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A9899358-D3A8-AB47-839A-1F02385AC41A}" xr6:coauthVersionLast="43" xr6:coauthVersionMax="43" xr10:uidLastSave="{00000000-0000-0000-0000-000000000000}"/>
  <bookViews>
    <workbookView xWindow="0" yWindow="-16600" windowWidth="28800" windowHeight="16440" activeTab="2" xr2:uid="{9A79F84E-1302-294E-AE89-92A1E42265F9}"/>
  </bookViews>
  <sheets>
    <sheet name="ctenidia" sheetId="1" r:id="rId1"/>
    <sheet name="larvae" sheetId="2" r:id="rId2"/>
    <sheet name="Lipid" sheetId="13" r:id="rId3"/>
    <sheet name="Library prep Batch 1 - ctenidia" sheetId="14" r:id="rId4"/>
    <sheet name="Library prep Batch 2 - ctenidia" sheetId="15" r:id="rId5"/>
    <sheet name="Library prep Batch 3 - larvae" sheetId="17" r:id="rId6"/>
    <sheet name="Library prep Batch 4 - larvae" sheetId="18" r:id="rId7"/>
    <sheet name="Library prep Batch 5 - larvae" sheetId="19" r:id="rId8"/>
    <sheet name="qPCR assay calcs, batch 1 and 2" sheetId="16" r:id="rId9"/>
    <sheet name="qPCR assay calcs, batches 3-5" sheetId="20" r:id="rId10"/>
    <sheet name="End Point PCR - organization" sheetId="21" r:id="rId11"/>
    <sheet name="Library prep test-run" sheetId="12" r:id="rId12"/>
    <sheet name="qPCR Master Mix calcs" sheetId="3" r:id="rId13"/>
    <sheet name="qPCR Round I" sheetId="6" r:id="rId14"/>
    <sheet name="qPCR Round II" sheetId="5" r:id="rId15"/>
    <sheet name="qPCR Round III" sheetId="7" r:id="rId16"/>
    <sheet name="qPCR Round IV" sheetId="8" r:id="rId17"/>
    <sheet name="DNAse Batch 1 RNA" sheetId="4" r:id="rId18"/>
    <sheet name="xtra sheet for random calcs,git" sheetId="10" r:id="rId19"/>
  </sheets>
  <definedNames>
    <definedName name="_xlnm._FilterDatabase" localSheetId="1" hidden="1">larvae!$B$1:$AN$108</definedName>
    <definedName name="_xlnm.Print_Area" localSheetId="10">'End Point PCR - organization'!$A$1:$O$198</definedName>
    <definedName name="_xlnm.Print_Area" localSheetId="1">larvae!$B$1:$AN$108</definedName>
    <definedName name="_xlnm.Print_Titles" localSheetId="1">larvae!$1:$1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8" i="2" l="1"/>
  <c r="AR18" i="2"/>
  <c r="K150" i="21"/>
  <c r="K151" i="21" s="1"/>
  <c r="K149" i="21"/>
  <c r="D4" i="21" l="1"/>
  <c r="F4" i="21" s="1"/>
  <c r="E151" i="21"/>
  <c r="J140" i="21"/>
  <c r="H140" i="21"/>
  <c r="E140" i="21"/>
  <c r="J139" i="21"/>
  <c r="H139" i="21"/>
  <c r="E139" i="21"/>
  <c r="J138" i="21"/>
  <c r="H138" i="21"/>
  <c r="F138" i="21"/>
  <c r="E138" i="21"/>
  <c r="J35" i="21"/>
  <c r="H35" i="21"/>
  <c r="D35" i="21"/>
  <c r="F35" i="21" s="1"/>
  <c r="J82" i="21"/>
  <c r="H82" i="21"/>
  <c r="F82" i="21"/>
  <c r="E82" i="21"/>
  <c r="J81" i="21"/>
  <c r="H81" i="21"/>
  <c r="D81" i="21"/>
  <c r="F81" i="21" s="1"/>
  <c r="J108" i="21"/>
  <c r="H108" i="21"/>
  <c r="D108" i="21"/>
  <c r="F108" i="21" s="1"/>
  <c r="J80" i="21"/>
  <c r="H80" i="21"/>
  <c r="D80" i="21"/>
  <c r="F80" i="21" s="1"/>
  <c r="J79" i="21"/>
  <c r="H79" i="21"/>
  <c r="D79" i="21"/>
  <c r="F79" i="21" s="1"/>
  <c r="J78" i="21"/>
  <c r="H78" i="21"/>
  <c r="F78" i="21"/>
  <c r="E78" i="21"/>
  <c r="J107" i="21"/>
  <c r="H107" i="21"/>
  <c r="D107" i="21"/>
  <c r="E107" i="21" s="1"/>
  <c r="J121" i="21"/>
  <c r="H121" i="21"/>
  <c r="F121" i="21"/>
  <c r="E121" i="21"/>
  <c r="J77" i="21"/>
  <c r="H77" i="21"/>
  <c r="D77" i="21"/>
  <c r="F77" i="21" s="1"/>
  <c r="J76" i="21"/>
  <c r="H76" i="21"/>
  <c r="D76" i="21"/>
  <c r="F76" i="21" s="1"/>
  <c r="J75" i="21"/>
  <c r="H75" i="21"/>
  <c r="F75" i="21"/>
  <c r="E75" i="21"/>
  <c r="J34" i="21"/>
  <c r="H34" i="21"/>
  <c r="D34" i="21"/>
  <c r="F34" i="21" s="1"/>
  <c r="J33" i="21"/>
  <c r="H33" i="21"/>
  <c r="D33" i="21"/>
  <c r="F33" i="21" s="1"/>
  <c r="J32" i="21"/>
  <c r="H32" i="21"/>
  <c r="D32" i="21"/>
  <c r="F32" i="21" s="1"/>
  <c r="J106" i="21"/>
  <c r="H106" i="21"/>
  <c r="D106" i="21"/>
  <c r="F106" i="21" s="1"/>
  <c r="J31" i="21"/>
  <c r="H31" i="21"/>
  <c r="D31" i="21"/>
  <c r="E31" i="21" s="1"/>
  <c r="J30" i="21"/>
  <c r="H30" i="21"/>
  <c r="D30" i="21"/>
  <c r="E30" i="21" s="1"/>
  <c r="J29" i="21"/>
  <c r="H29" i="21"/>
  <c r="D29" i="21"/>
  <c r="E29" i="21" s="1"/>
  <c r="J105" i="21"/>
  <c r="H105" i="21"/>
  <c r="D105" i="21"/>
  <c r="F105" i="21" s="1"/>
  <c r="J27" i="21"/>
  <c r="H27" i="21"/>
  <c r="D27" i="21"/>
  <c r="F27" i="21" s="1"/>
  <c r="J74" i="21"/>
  <c r="H74" i="21"/>
  <c r="D74" i="21"/>
  <c r="F74" i="21" s="1"/>
  <c r="J73" i="21"/>
  <c r="H73" i="21"/>
  <c r="D73" i="21"/>
  <c r="F73" i="21" s="1"/>
  <c r="J137" i="21"/>
  <c r="H137" i="21"/>
  <c r="F137" i="21"/>
  <c r="E137" i="21"/>
  <c r="J28" i="21"/>
  <c r="H28" i="21"/>
  <c r="D28" i="21"/>
  <c r="F28" i="21" s="1"/>
  <c r="J133" i="21"/>
  <c r="H133" i="21"/>
  <c r="E133" i="21"/>
  <c r="J120" i="21"/>
  <c r="H120" i="21"/>
  <c r="D120" i="21"/>
  <c r="F120" i="21" s="1"/>
  <c r="J26" i="21"/>
  <c r="H26" i="21"/>
  <c r="F26" i="21"/>
  <c r="E26" i="21"/>
  <c r="J119" i="21"/>
  <c r="H119" i="21"/>
  <c r="F119" i="21"/>
  <c r="E119" i="21"/>
  <c r="J25" i="21"/>
  <c r="H25" i="21"/>
  <c r="F25" i="21"/>
  <c r="E25" i="21"/>
  <c r="J72" i="21"/>
  <c r="H72" i="21"/>
  <c r="F72" i="21"/>
  <c r="E72" i="21"/>
  <c r="J71" i="21"/>
  <c r="H71" i="21"/>
  <c r="D71" i="21"/>
  <c r="E71" i="21" s="1"/>
  <c r="J70" i="21"/>
  <c r="H70" i="21"/>
  <c r="D70" i="21"/>
  <c r="E70" i="21" s="1"/>
  <c r="J104" i="21"/>
  <c r="H104" i="21"/>
  <c r="D104" i="21"/>
  <c r="E104" i="21" s="1"/>
  <c r="J24" i="21"/>
  <c r="H24" i="21"/>
  <c r="D24" i="21"/>
  <c r="F24" i="21" s="1"/>
  <c r="J126" i="21"/>
  <c r="H126" i="21"/>
  <c r="D126" i="21"/>
  <c r="F126" i="21" s="1"/>
  <c r="J118" i="21"/>
  <c r="H118" i="21"/>
  <c r="D118" i="21"/>
  <c r="F118" i="21" s="1"/>
  <c r="J23" i="21"/>
  <c r="H23" i="21"/>
  <c r="D23" i="21"/>
  <c r="F23" i="21" s="1"/>
  <c r="J22" i="21"/>
  <c r="H22" i="21"/>
  <c r="F22" i="21"/>
  <c r="E22" i="21"/>
  <c r="J17" i="21"/>
  <c r="H17" i="21"/>
  <c r="F17" i="21"/>
  <c r="E17" i="21"/>
  <c r="J103" i="21"/>
  <c r="H103" i="21"/>
  <c r="D103" i="21"/>
  <c r="F103" i="21" s="1"/>
  <c r="J102" i="21"/>
  <c r="H102" i="21"/>
  <c r="D102" i="21"/>
  <c r="F102" i="21" s="1"/>
  <c r="J21" i="21"/>
  <c r="H21" i="21"/>
  <c r="F21" i="21"/>
  <c r="E21" i="21"/>
  <c r="J20" i="21"/>
  <c r="H20" i="21"/>
  <c r="D20" i="21"/>
  <c r="F20" i="21" s="1"/>
  <c r="J101" i="21"/>
  <c r="H101" i="21"/>
  <c r="D101" i="21"/>
  <c r="F101" i="21" s="1"/>
  <c r="J19" i="21"/>
  <c r="H19" i="21"/>
  <c r="D19" i="21"/>
  <c r="F19" i="21" s="1"/>
  <c r="J125" i="21"/>
  <c r="H125" i="21"/>
  <c r="D125" i="21"/>
  <c r="F125" i="21" s="1"/>
  <c r="J69" i="21"/>
  <c r="H69" i="21"/>
  <c r="D69" i="21"/>
  <c r="E69" i="21" s="1"/>
  <c r="J68" i="21"/>
  <c r="H68" i="21"/>
  <c r="F68" i="21"/>
  <c r="E68" i="21"/>
  <c r="J67" i="21"/>
  <c r="H67" i="21"/>
  <c r="D67" i="21"/>
  <c r="F67" i="21" s="1"/>
  <c r="J66" i="21"/>
  <c r="H66" i="21"/>
  <c r="F66" i="21"/>
  <c r="E66" i="21"/>
  <c r="J18" i="21"/>
  <c r="H18" i="21"/>
  <c r="D18" i="21"/>
  <c r="F18" i="21" s="1"/>
  <c r="J124" i="21"/>
  <c r="H124" i="21"/>
  <c r="J136" i="21"/>
  <c r="H136" i="21"/>
  <c r="E136" i="21"/>
  <c r="J135" i="21"/>
  <c r="H135" i="21"/>
  <c r="E135" i="21"/>
  <c r="J117" i="21"/>
  <c r="H117" i="21"/>
  <c r="F117" i="21"/>
  <c r="E117" i="21"/>
  <c r="J65" i="21"/>
  <c r="H65" i="21"/>
  <c r="F65" i="21"/>
  <c r="E65" i="21"/>
  <c r="J16" i="21"/>
  <c r="H16" i="21"/>
  <c r="F16" i="21"/>
  <c r="E16" i="21"/>
  <c r="J64" i="21"/>
  <c r="H64" i="21"/>
  <c r="D64" i="21"/>
  <c r="E64" i="21" s="1"/>
  <c r="J63" i="21"/>
  <c r="H63" i="21"/>
  <c r="D63" i="21"/>
  <c r="F63" i="21" s="1"/>
  <c r="J100" i="21"/>
  <c r="H100" i="21"/>
  <c r="F100" i="21"/>
  <c r="E100" i="21"/>
  <c r="J116" i="21"/>
  <c r="H116" i="21"/>
  <c r="F116" i="21"/>
  <c r="E116" i="21"/>
  <c r="J130" i="21"/>
  <c r="H130" i="21"/>
  <c r="F130" i="21"/>
  <c r="E130" i="21"/>
  <c r="J62" i="21"/>
  <c r="H62" i="21"/>
  <c r="D62" i="21"/>
  <c r="F62" i="21" s="1"/>
  <c r="J129" i="21"/>
  <c r="H129" i="21"/>
  <c r="D129" i="21"/>
  <c r="F129" i="21" s="1"/>
  <c r="J115" i="21"/>
  <c r="H115" i="21"/>
  <c r="D115" i="21"/>
  <c r="F115" i="21" s="1"/>
  <c r="J114" i="21"/>
  <c r="H114" i="21"/>
  <c r="D114" i="21"/>
  <c r="F114" i="21" s="1"/>
  <c r="J15" i="21"/>
  <c r="H15" i="21"/>
  <c r="D15" i="21"/>
  <c r="F15" i="21" s="1"/>
  <c r="J61" i="21"/>
  <c r="H61" i="21"/>
  <c r="D61" i="21"/>
  <c r="F61" i="21" s="1"/>
  <c r="J60" i="21"/>
  <c r="H60" i="21"/>
  <c r="F60" i="21"/>
  <c r="E60" i="21"/>
  <c r="J99" i="21"/>
  <c r="H99" i="21"/>
  <c r="D99" i="21"/>
  <c r="E99" i="21" s="1"/>
  <c r="J14" i="21"/>
  <c r="H14" i="21"/>
  <c r="D14" i="21"/>
  <c r="F14" i="21" s="1"/>
  <c r="J98" i="21"/>
  <c r="H98" i="21"/>
  <c r="F98" i="21"/>
  <c r="E98" i="21"/>
  <c r="J113" i="21"/>
  <c r="H113" i="21"/>
  <c r="F113" i="21"/>
  <c r="E113" i="21"/>
  <c r="J97" i="21"/>
  <c r="H97" i="21"/>
  <c r="D97" i="21"/>
  <c r="F97" i="21" s="1"/>
  <c r="J59" i="21"/>
  <c r="H59" i="21"/>
  <c r="F59" i="21"/>
  <c r="E59" i="21"/>
  <c r="J112" i="21"/>
  <c r="H112" i="21"/>
  <c r="F112" i="21"/>
  <c r="E112" i="21"/>
  <c r="J13" i="21"/>
  <c r="H13" i="21"/>
  <c r="D13" i="21"/>
  <c r="E13" i="21" s="1"/>
  <c r="J12" i="21"/>
  <c r="H12" i="21"/>
  <c r="D12" i="21"/>
  <c r="F12" i="21" s="1"/>
  <c r="J11" i="21"/>
  <c r="H11" i="21"/>
  <c r="F11" i="21"/>
  <c r="E11" i="21"/>
  <c r="J128" i="21"/>
  <c r="H128" i="21"/>
  <c r="D128" i="21"/>
  <c r="F128" i="21" s="1"/>
  <c r="J58" i="21"/>
  <c r="H58" i="21"/>
  <c r="D58" i="21"/>
  <c r="F58" i="21" s="1"/>
  <c r="J57" i="21"/>
  <c r="H57" i="21"/>
  <c r="D57" i="21"/>
  <c r="E57" i="21" s="1"/>
  <c r="J96" i="21"/>
  <c r="H96" i="21"/>
  <c r="F96" i="21"/>
  <c r="E96" i="21"/>
  <c r="J95" i="21"/>
  <c r="H95" i="21"/>
  <c r="D95" i="21"/>
  <c r="F95" i="21" s="1"/>
  <c r="J94" i="21"/>
  <c r="H94" i="21"/>
  <c r="D94" i="21"/>
  <c r="E94" i="21" s="1"/>
  <c r="J111" i="21"/>
  <c r="H111" i="21"/>
  <c r="F111" i="21"/>
  <c r="E111" i="21"/>
  <c r="J56" i="21"/>
  <c r="H56" i="21"/>
  <c r="D56" i="21"/>
  <c r="F56" i="21" s="1"/>
  <c r="J123" i="21"/>
  <c r="H123" i="21"/>
  <c r="D123" i="21"/>
  <c r="E123" i="21" s="1"/>
  <c r="J55" i="21"/>
  <c r="H55" i="21"/>
  <c r="D55" i="21"/>
  <c r="F55" i="21" s="1"/>
  <c r="J93" i="21"/>
  <c r="H93" i="21"/>
  <c r="D93" i="21"/>
  <c r="E93" i="21" s="1"/>
  <c r="J54" i="21"/>
  <c r="H54" i="21"/>
  <c r="D54" i="21"/>
  <c r="F54" i="21" s="1"/>
  <c r="J10" i="21"/>
  <c r="H10" i="21"/>
  <c r="D10" i="21"/>
  <c r="E10" i="21" s="1"/>
  <c r="J53" i="21"/>
  <c r="H53" i="21"/>
  <c r="D53" i="21"/>
  <c r="F53" i="21" s="1"/>
  <c r="J9" i="21"/>
  <c r="H9" i="21"/>
  <c r="D9" i="21"/>
  <c r="F9" i="21" s="1"/>
  <c r="J52" i="21"/>
  <c r="H52" i="21"/>
  <c r="D52" i="21"/>
  <c r="E52" i="21" s="1"/>
  <c r="J51" i="21"/>
  <c r="H51" i="21"/>
  <c r="D51" i="21"/>
  <c r="E51" i="21" s="1"/>
  <c r="J110" i="21"/>
  <c r="H110" i="21"/>
  <c r="F110" i="21"/>
  <c r="E110" i="21"/>
  <c r="J109" i="21"/>
  <c r="H109" i="21"/>
  <c r="F109" i="21"/>
  <c r="E109" i="21"/>
  <c r="J92" i="21"/>
  <c r="H92" i="21"/>
  <c r="F92" i="21"/>
  <c r="E92" i="21"/>
  <c r="J50" i="21"/>
  <c r="H50" i="21"/>
  <c r="D50" i="21"/>
  <c r="F50" i="21" s="1"/>
  <c r="J131" i="21"/>
  <c r="H131" i="21"/>
  <c r="F131" i="21"/>
  <c r="E131" i="21"/>
  <c r="J49" i="21"/>
  <c r="H49" i="21"/>
  <c r="F49" i="21"/>
  <c r="E49" i="21"/>
  <c r="J127" i="21"/>
  <c r="H127" i="21"/>
  <c r="D127" i="21"/>
  <c r="F127" i="21" s="1"/>
  <c r="J5" i="21"/>
  <c r="H5" i="21"/>
  <c r="F5" i="21"/>
  <c r="E5" i="21"/>
  <c r="J8" i="21"/>
  <c r="H8" i="21"/>
  <c r="F8" i="21"/>
  <c r="E8" i="21"/>
  <c r="J7" i="21"/>
  <c r="H7" i="21"/>
  <c r="D7" i="21"/>
  <c r="E7" i="21" s="1"/>
  <c r="J6" i="21"/>
  <c r="H6" i="21"/>
  <c r="D6" i="21"/>
  <c r="E6" i="21" s="1"/>
  <c r="J4" i="21"/>
  <c r="H4" i="21"/>
  <c r="J91" i="21"/>
  <c r="H91" i="21"/>
  <c r="D91" i="21"/>
  <c r="F91" i="21" s="1"/>
  <c r="J90" i="21"/>
  <c r="H90" i="21"/>
  <c r="D90" i="21"/>
  <c r="E90" i="21" s="1"/>
  <c r="J89" i="21"/>
  <c r="H89" i="21"/>
  <c r="D89" i="21"/>
  <c r="F89" i="21" s="1"/>
  <c r="J48" i="21"/>
  <c r="H48" i="21"/>
  <c r="D48" i="21"/>
  <c r="F48" i="21" s="1"/>
  <c r="J132" i="21"/>
  <c r="H132" i="21"/>
  <c r="F132" i="21"/>
  <c r="E132" i="21"/>
  <c r="J88" i="21"/>
  <c r="H88" i="21"/>
  <c r="D88" i="21"/>
  <c r="F88" i="21" s="1"/>
  <c r="J47" i="21"/>
  <c r="H47" i="21"/>
  <c r="D47" i="21"/>
  <c r="E47" i="21" s="1"/>
  <c r="J46" i="21"/>
  <c r="H46" i="21"/>
  <c r="D46" i="21"/>
  <c r="F46" i="21" s="1"/>
  <c r="J45" i="21"/>
  <c r="H45" i="21"/>
  <c r="D45" i="21"/>
  <c r="E45" i="21" s="1"/>
  <c r="J44" i="21"/>
  <c r="H44" i="21"/>
  <c r="D44" i="21"/>
  <c r="E44" i="21" s="1"/>
  <c r="J43" i="21"/>
  <c r="H43" i="21"/>
  <c r="F43" i="21"/>
  <c r="E43" i="21"/>
  <c r="J87" i="21"/>
  <c r="H87" i="21"/>
  <c r="D87" i="21"/>
  <c r="E87" i="21" s="1"/>
  <c r="J3" i="21"/>
  <c r="H3" i="21"/>
  <c r="D3" i="21"/>
  <c r="E3" i="21" s="1"/>
  <c r="J42" i="21"/>
  <c r="H42" i="21"/>
  <c r="F42" i="21"/>
  <c r="E42" i="21"/>
  <c r="J142" i="21"/>
  <c r="H142" i="21"/>
  <c r="J41" i="21"/>
  <c r="H41" i="21"/>
  <c r="D41" i="21"/>
  <c r="E41" i="21" s="1"/>
  <c r="J86" i="21"/>
  <c r="H86" i="21"/>
  <c r="F86" i="21"/>
  <c r="E86" i="21"/>
  <c r="J40" i="21"/>
  <c r="H40" i="21"/>
  <c r="D40" i="21"/>
  <c r="F40" i="21" s="1"/>
  <c r="J134" i="21"/>
  <c r="H134" i="21"/>
  <c r="F134" i="21"/>
  <c r="E134" i="21"/>
  <c r="J85" i="21"/>
  <c r="H85" i="21"/>
  <c r="D85" i="21"/>
  <c r="F85" i="21" s="1"/>
  <c r="J84" i="21"/>
  <c r="H84" i="21"/>
  <c r="D84" i="21"/>
  <c r="E84" i="21" s="1"/>
  <c r="J39" i="21"/>
  <c r="H39" i="21"/>
  <c r="D39" i="21"/>
  <c r="F39" i="21" s="1"/>
  <c r="J143" i="21"/>
  <c r="H143" i="21"/>
  <c r="J122" i="21"/>
  <c r="H122" i="21"/>
  <c r="F122" i="21"/>
  <c r="E122" i="21"/>
  <c r="J141" i="21"/>
  <c r="H141" i="21"/>
  <c r="D141" i="21"/>
  <c r="F141" i="21" s="1"/>
  <c r="J83" i="21"/>
  <c r="H83" i="21"/>
  <c r="F83" i="21"/>
  <c r="E83" i="21"/>
  <c r="J38" i="21"/>
  <c r="H38" i="21"/>
  <c r="D38" i="21"/>
  <c r="E38" i="21" s="1"/>
  <c r="J37" i="21"/>
  <c r="H37" i="21"/>
  <c r="D37" i="21"/>
  <c r="E37" i="21" s="1"/>
  <c r="J36" i="21"/>
  <c r="H36" i="21"/>
  <c r="F36" i="21"/>
  <c r="E36" i="21"/>
  <c r="J2" i="21"/>
  <c r="H2" i="21"/>
  <c r="D2" i="21"/>
  <c r="F2" i="21" s="1"/>
  <c r="E35" i="21" l="1"/>
  <c r="E80" i="21"/>
  <c r="E81" i="21"/>
  <c r="F99" i="21"/>
  <c r="E24" i="21"/>
  <c r="F90" i="21"/>
  <c r="F52" i="21"/>
  <c r="E55" i="21"/>
  <c r="F6" i="21"/>
  <c r="E28" i="21"/>
  <c r="F30" i="21"/>
  <c r="E34" i="21"/>
  <c r="E105" i="21"/>
  <c r="F7" i="21"/>
  <c r="E58" i="21"/>
  <c r="F70" i="21"/>
  <c r="E56" i="21"/>
  <c r="F84" i="21"/>
  <c r="F44" i="21"/>
  <c r="F10" i="21"/>
  <c r="F64" i="21"/>
  <c r="F38" i="21"/>
  <c r="E141" i="21"/>
  <c r="F51" i="21"/>
  <c r="E129" i="21"/>
  <c r="F69" i="21"/>
  <c r="E126" i="21"/>
  <c r="F71" i="21"/>
  <c r="E27" i="21"/>
  <c r="F31" i="21"/>
  <c r="F107" i="21"/>
  <c r="E79" i="21"/>
  <c r="F41" i="21"/>
  <c r="F47" i="21"/>
  <c r="E4" i="21"/>
  <c r="E18" i="21"/>
  <c r="F57" i="21"/>
  <c r="E95" i="21"/>
  <c r="E54" i="21"/>
  <c r="E115" i="21"/>
  <c r="F87" i="21"/>
  <c r="F123" i="21"/>
  <c r="E106" i="21"/>
  <c r="E76" i="21"/>
  <c r="E108" i="21"/>
  <c r="E74" i="21"/>
  <c r="F29" i="21"/>
  <c r="E33" i="21"/>
  <c r="E73" i="21"/>
  <c r="E32" i="21"/>
  <c r="E77" i="21"/>
  <c r="E20" i="21"/>
  <c r="E118" i="21"/>
  <c r="F104" i="21"/>
  <c r="E19" i="21"/>
  <c r="E120" i="21"/>
  <c r="E125" i="21"/>
  <c r="E102" i="21"/>
  <c r="E103" i="21"/>
  <c r="E67" i="21"/>
  <c r="E101" i="21"/>
  <c r="E23" i="21"/>
  <c r="E61" i="21"/>
  <c r="F13" i="21"/>
  <c r="E62" i="21"/>
  <c r="E128" i="21"/>
  <c r="E14" i="21"/>
  <c r="E114" i="21"/>
  <c r="E63" i="21"/>
  <c r="E12" i="21"/>
  <c r="E97" i="21"/>
  <c r="E15" i="21"/>
  <c r="E50" i="21"/>
  <c r="E53" i="21"/>
  <c r="F93" i="21"/>
  <c r="F94" i="21"/>
  <c r="E127" i="21"/>
  <c r="E9" i="21"/>
  <c r="E46" i="21"/>
  <c r="F37" i="21"/>
  <c r="F3" i="21"/>
  <c r="E91" i="21"/>
  <c r="E85" i="21"/>
  <c r="E48" i="21"/>
  <c r="F45" i="21"/>
  <c r="E2" i="21"/>
  <c r="E89" i="21"/>
  <c r="E39" i="21"/>
  <c r="E88" i="21"/>
  <c r="E40" i="21"/>
  <c r="H28" i="17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9" i="17"/>
  <c r="H30" i="17"/>
  <c r="H31" i="17"/>
  <c r="H32" i="17"/>
  <c r="H5" i="17"/>
  <c r="C3" i="20"/>
  <c r="C6" i="20" s="1"/>
  <c r="D6" i="20" s="1"/>
  <c r="B17" i="20"/>
  <c r="B20" i="20" s="1"/>
  <c r="B9" i="20"/>
  <c r="C8" i="20"/>
  <c r="D8" i="20" s="1"/>
  <c r="O8" i="17"/>
  <c r="O5" i="17"/>
  <c r="D29" i="19"/>
  <c r="D27" i="19"/>
  <c r="D26" i="19"/>
  <c r="E26" i="19" s="1"/>
  <c r="D25" i="19"/>
  <c r="F25" i="19" s="1"/>
  <c r="D24" i="19"/>
  <c r="F24" i="19" s="1"/>
  <c r="E23" i="19"/>
  <c r="D22" i="19"/>
  <c r="D20" i="19"/>
  <c r="D19" i="19"/>
  <c r="D17" i="19"/>
  <c r="F17" i="19" s="1"/>
  <c r="D16" i="19"/>
  <c r="E16" i="19" s="1"/>
  <c r="D15" i="19"/>
  <c r="F15" i="19" s="1"/>
  <c r="D14" i="19"/>
  <c r="D13" i="19"/>
  <c r="D12" i="19"/>
  <c r="D11" i="19"/>
  <c r="D10" i="19"/>
  <c r="F10" i="19" s="1"/>
  <c r="D9" i="19"/>
  <c r="F9" i="19" s="1"/>
  <c r="D8" i="19"/>
  <c r="E8" i="19" s="1"/>
  <c r="D7" i="19"/>
  <c r="F7" i="19" s="1"/>
  <c r="F30" i="18"/>
  <c r="D31" i="18"/>
  <c r="F28" i="18"/>
  <c r="F27" i="18"/>
  <c r="D26" i="18"/>
  <c r="D25" i="18"/>
  <c r="E25" i="18" s="1"/>
  <c r="D24" i="18"/>
  <c r="F24" i="18" s="1"/>
  <c r="D23" i="18"/>
  <c r="D22" i="18"/>
  <c r="D21" i="18"/>
  <c r="D20" i="18"/>
  <c r="F19" i="18"/>
  <c r="D17" i="18"/>
  <c r="F17" i="18" s="1"/>
  <c r="D16" i="18"/>
  <c r="F16" i="18" s="1"/>
  <c r="D14" i="18"/>
  <c r="D13" i="18"/>
  <c r="D12" i="18"/>
  <c r="F12" i="18" s="1"/>
  <c r="D11" i="18"/>
  <c r="F11" i="18" s="1"/>
  <c r="D10" i="18"/>
  <c r="F9" i="18"/>
  <c r="D8" i="18"/>
  <c r="F8" i="18" s="1"/>
  <c r="F6" i="17"/>
  <c r="D27" i="17"/>
  <c r="F27" i="17" s="1"/>
  <c r="D26" i="17"/>
  <c r="F26" i="17" s="1"/>
  <c r="F24" i="17"/>
  <c r="F23" i="17"/>
  <c r="D22" i="17"/>
  <c r="D21" i="17"/>
  <c r="D20" i="17"/>
  <c r="D19" i="17"/>
  <c r="D18" i="17"/>
  <c r="F18" i="17" s="1"/>
  <c r="D17" i="17"/>
  <c r="E17" i="17" s="1"/>
  <c r="F16" i="17"/>
  <c r="D15" i="17"/>
  <c r="E15" i="17" s="1"/>
  <c r="D14" i="17"/>
  <c r="D11" i="17"/>
  <c r="D8" i="17"/>
  <c r="F8" i="17" s="1"/>
  <c r="D7" i="17"/>
  <c r="J32" i="19"/>
  <c r="J31" i="19"/>
  <c r="J30" i="19"/>
  <c r="F30" i="19"/>
  <c r="E30" i="19"/>
  <c r="J29" i="19"/>
  <c r="E29" i="19"/>
  <c r="J28" i="19"/>
  <c r="F28" i="19"/>
  <c r="J27" i="19"/>
  <c r="F27" i="19"/>
  <c r="E27" i="19"/>
  <c r="J26" i="19"/>
  <c r="F26" i="19"/>
  <c r="J25" i="19"/>
  <c r="P24" i="19"/>
  <c r="J24" i="19"/>
  <c r="P23" i="19"/>
  <c r="J23" i="19"/>
  <c r="J22" i="19"/>
  <c r="F22" i="19"/>
  <c r="J21" i="19"/>
  <c r="F21" i="19"/>
  <c r="O20" i="19"/>
  <c r="P20" i="19" s="1"/>
  <c r="J20" i="19"/>
  <c r="E20" i="19"/>
  <c r="P19" i="19"/>
  <c r="O19" i="19"/>
  <c r="J19" i="19"/>
  <c r="F19" i="19"/>
  <c r="O18" i="19"/>
  <c r="P22" i="19" s="1"/>
  <c r="J18" i="19"/>
  <c r="E18" i="19"/>
  <c r="O17" i="19"/>
  <c r="P17" i="19" s="1"/>
  <c r="J17" i="19"/>
  <c r="O16" i="19"/>
  <c r="P16" i="19" s="1"/>
  <c r="J16" i="19"/>
  <c r="O15" i="19"/>
  <c r="P15" i="19" s="1"/>
  <c r="J15" i="19"/>
  <c r="J14" i="19"/>
  <c r="F14" i="19"/>
  <c r="E14" i="19"/>
  <c r="J13" i="19"/>
  <c r="F13" i="19"/>
  <c r="E13" i="19"/>
  <c r="J12" i="19"/>
  <c r="F12" i="19"/>
  <c r="E12" i="19"/>
  <c r="J11" i="19"/>
  <c r="F11" i="19"/>
  <c r="E11" i="19"/>
  <c r="O10" i="19"/>
  <c r="J10" i="19"/>
  <c r="O9" i="19"/>
  <c r="P9" i="19" s="1"/>
  <c r="J9" i="19"/>
  <c r="O8" i="19"/>
  <c r="P8" i="19" s="1"/>
  <c r="J8" i="19"/>
  <c r="F8" i="19"/>
  <c r="P7" i="19"/>
  <c r="O7" i="19"/>
  <c r="J7" i="19"/>
  <c r="O6" i="19"/>
  <c r="J6" i="19"/>
  <c r="E6" i="19"/>
  <c r="O5" i="19"/>
  <c r="P5" i="19" s="1"/>
  <c r="J5" i="19"/>
  <c r="D5" i="19"/>
  <c r="F5" i="19" s="1"/>
  <c r="J32" i="18"/>
  <c r="J31" i="18"/>
  <c r="F31" i="18"/>
  <c r="J30" i="18"/>
  <c r="E30" i="18"/>
  <c r="J29" i="18"/>
  <c r="F29" i="18"/>
  <c r="J28" i="18"/>
  <c r="J27" i="18"/>
  <c r="J26" i="18"/>
  <c r="F26" i="18"/>
  <c r="E26" i="18"/>
  <c r="J25" i="18"/>
  <c r="P24" i="18"/>
  <c r="J24" i="18"/>
  <c r="P23" i="18"/>
  <c r="J23" i="18"/>
  <c r="E23" i="18"/>
  <c r="J22" i="18"/>
  <c r="F22" i="18"/>
  <c r="J21" i="18"/>
  <c r="F21" i="18"/>
  <c r="E21" i="18"/>
  <c r="O20" i="18"/>
  <c r="P20" i="18" s="1"/>
  <c r="J20" i="18"/>
  <c r="E20" i="18"/>
  <c r="P19" i="18"/>
  <c r="O19" i="18"/>
  <c r="J19" i="18"/>
  <c r="O18" i="18"/>
  <c r="P22" i="18" s="1"/>
  <c r="J18" i="18"/>
  <c r="F18" i="18"/>
  <c r="O17" i="18"/>
  <c r="P17" i="18" s="1"/>
  <c r="J17" i="18"/>
  <c r="O16" i="18"/>
  <c r="P16" i="18" s="1"/>
  <c r="J16" i="18"/>
  <c r="O15" i="18"/>
  <c r="P15" i="18" s="1"/>
  <c r="J15" i="18"/>
  <c r="F15" i="18"/>
  <c r="E15" i="18"/>
  <c r="J14" i="18"/>
  <c r="F14" i="18"/>
  <c r="E14" i="18"/>
  <c r="J13" i="18"/>
  <c r="E13" i="18"/>
  <c r="J12" i="18"/>
  <c r="J11" i="18"/>
  <c r="E11" i="18"/>
  <c r="O10" i="18"/>
  <c r="J10" i="18"/>
  <c r="F10" i="18"/>
  <c r="O9" i="18"/>
  <c r="P9" i="18" s="1"/>
  <c r="J9" i="18"/>
  <c r="O8" i="18"/>
  <c r="P8" i="18" s="1"/>
  <c r="J8" i="18"/>
  <c r="E8" i="18"/>
  <c r="P7" i="18"/>
  <c r="O7" i="18"/>
  <c r="J7" i="18"/>
  <c r="F7" i="18"/>
  <c r="O6" i="18"/>
  <c r="J6" i="18"/>
  <c r="F6" i="18"/>
  <c r="E6" i="18"/>
  <c r="D6" i="18"/>
  <c r="O5" i="18"/>
  <c r="P5" i="18" s="1"/>
  <c r="J5" i="18"/>
  <c r="J32" i="17"/>
  <c r="E32" i="17"/>
  <c r="J31" i="17"/>
  <c r="F31" i="17"/>
  <c r="J30" i="17"/>
  <c r="F30" i="17"/>
  <c r="E30" i="17"/>
  <c r="J29" i="17"/>
  <c r="F29" i="17"/>
  <c r="J28" i="17"/>
  <c r="E28" i="17"/>
  <c r="J27" i="17"/>
  <c r="J26" i="17"/>
  <c r="J25" i="17"/>
  <c r="F25" i="17"/>
  <c r="P24" i="17"/>
  <c r="J24" i="17"/>
  <c r="P23" i="17"/>
  <c r="J23" i="17"/>
  <c r="P22" i="17"/>
  <c r="J22" i="17"/>
  <c r="F22" i="17"/>
  <c r="J21" i="17"/>
  <c r="F21" i="17"/>
  <c r="O20" i="17"/>
  <c r="P20" i="17" s="1"/>
  <c r="J20" i="17"/>
  <c r="E20" i="17"/>
  <c r="O19" i="17"/>
  <c r="P19" i="17" s="1"/>
  <c r="J19" i="17"/>
  <c r="F19" i="17"/>
  <c r="O18" i="17"/>
  <c r="P18" i="17" s="1"/>
  <c r="J18" i="17"/>
  <c r="O17" i="17"/>
  <c r="P17" i="17" s="1"/>
  <c r="J17" i="17"/>
  <c r="O16" i="17"/>
  <c r="P16" i="17" s="1"/>
  <c r="J16" i="17"/>
  <c r="O15" i="17"/>
  <c r="P15" i="17" s="1"/>
  <c r="J15" i="17"/>
  <c r="J14" i="17"/>
  <c r="F14" i="17"/>
  <c r="E14" i="17"/>
  <c r="J13" i="17"/>
  <c r="F13" i="17"/>
  <c r="J12" i="17"/>
  <c r="F12" i="17"/>
  <c r="E12" i="17"/>
  <c r="J11" i="17"/>
  <c r="F11" i="17"/>
  <c r="E11" i="17"/>
  <c r="O10" i="17"/>
  <c r="J10" i="17"/>
  <c r="E10" i="17"/>
  <c r="O9" i="17"/>
  <c r="P9" i="17" s="1"/>
  <c r="J9" i="17"/>
  <c r="F9" i="17"/>
  <c r="E9" i="17"/>
  <c r="P8" i="17"/>
  <c r="J8" i="17"/>
  <c r="O7" i="17"/>
  <c r="P7" i="17" s="1"/>
  <c r="J7" i="17"/>
  <c r="F7" i="17"/>
  <c r="O6" i="17"/>
  <c r="J6" i="17"/>
  <c r="P5" i="17"/>
  <c r="J5" i="17"/>
  <c r="D5" i="17"/>
  <c r="E5" i="17" s="1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P16" i="15"/>
  <c r="P15" i="15"/>
  <c r="O20" i="15"/>
  <c r="O19" i="15"/>
  <c r="O18" i="15"/>
  <c r="O17" i="15"/>
  <c r="O16" i="15"/>
  <c r="O15" i="15"/>
  <c r="O17" i="14"/>
  <c r="P17" i="14" s="1"/>
  <c r="P24" i="15"/>
  <c r="P23" i="15"/>
  <c r="P22" i="15"/>
  <c r="P20" i="15"/>
  <c r="P19" i="15"/>
  <c r="P18" i="15"/>
  <c r="P17" i="15"/>
  <c r="B9" i="16"/>
  <c r="C3" i="16"/>
  <c r="C10" i="16" s="1"/>
  <c r="B17" i="16"/>
  <c r="B20" i="16" s="1"/>
  <c r="C6" i="16"/>
  <c r="D6" i="16" s="1"/>
  <c r="C5" i="16"/>
  <c r="D5" i="16" s="1"/>
  <c r="D24" i="15"/>
  <c r="P27" i="14"/>
  <c r="P26" i="14"/>
  <c r="P25" i="14"/>
  <c r="O23" i="14"/>
  <c r="P23" i="14" s="1"/>
  <c r="O22" i="14"/>
  <c r="P22" i="14" s="1"/>
  <c r="O20" i="14"/>
  <c r="P20" i="14" s="1"/>
  <c r="O19" i="14"/>
  <c r="P19" i="14" s="1"/>
  <c r="O18" i="14"/>
  <c r="P18" i="14" s="1"/>
  <c r="E26" i="17" l="1"/>
  <c r="E27" i="17"/>
  <c r="C5" i="20"/>
  <c r="D5" i="20" s="1"/>
  <c r="C10" i="20"/>
  <c r="C7" i="20"/>
  <c r="D7" i="20" s="1"/>
  <c r="B18" i="20"/>
  <c r="C4" i="20"/>
  <c r="B19" i="20"/>
  <c r="E9" i="19"/>
  <c r="F16" i="19"/>
  <c r="E15" i="19"/>
  <c r="E9" i="18"/>
  <c r="E27" i="18"/>
  <c r="E16" i="18"/>
  <c r="E12" i="18"/>
  <c r="E17" i="18"/>
  <c r="F15" i="17"/>
  <c r="E8" i="17"/>
  <c r="E16" i="17"/>
  <c r="E17" i="19"/>
  <c r="E21" i="19"/>
  <c r="F18" i="19"/>
  <c r="F13" i="18"/>
  <c r="E22" i="17"/>
  <c r="F28" i="17"/>
  <c r="E31" i="19"/>
  <c r="F20" i="19"/>
  <c r="E25" i="19"/>
  <c r="F29" i="19"/>
  <c r="E5" i="19"/>
  <c r="P18" i="19"/>
  <c r="F23" i="19"/>
  <c r="E7" i="19"/>
  <c r="E10" i="19"/>
  <c r="E19" i="19"/>
  <c r="E22" i="19"/>
  <c r="E32" i="19"/>
  <c r="E24" i="19"/>
  <c r="E28" i="19"/>
  <c r="E31" i="18"/>
  <c r="P18" i="18"/>
  <c r="F20" i="18"/>
  <c r="E7" i="18"/>
  <c r="E10" i="18"/>
  <c r="E19" i="18"/>
  <c r="E22" i="18"/>
  <c r="F25" i="18"/>
  <c r="F23" i="18"/>
  <c r="E29" i="18"/>
  <c r="E32" i="18"/>
  <c r="E18" i="18"/>
  <c r="E24" i="18"/>
  <c r="E28" i="18"/>
  <c r="F17" i="17"/>
  <c r="E7" i="17"/>
  <c r="E24" i="17"/>
  <c r="F32" i="17"/>
  <c r="F5" i="17"/>
  <c r="F10" i="17"/>
  <c r="E19" i="17"/>
  <c r="F20" i="17"/>
  <c r="E29" i="17"/>
  <c r="E18" i="17"/>
  <c r="E23" i="17"/>
  <c r="E31" i="17"/>
  <c r="E13" i="17"/>
  <c r="E25" i="17"/>
  <c r="E6" i="17"/>
  <c r="E21" i="17"/>
  <c r="C7" i="16"/>
  <c r="D7" i="16" s="1"/>
  <c r="C4" i="16"/>
  <c r="C8" i="16"/>
  <c r="D8" i="16" s="1"/>
  <c r="B18" i="16"/>
  <c r="B19" i="16"/>
  <c r="D4" i="16"/>
  <c r="O8" i="15"/>
  <c r="P8" i="15" s="1"/>
  <c r="O7" i="15"/>
  <c r="P7" i="15" s="1"/>
  <c r="O10" i="15"/>
  <c r="O9" i="15"/>
  <c r="P9" i="15" s="1"/>
  <c r="O6" i="15"/>
  <c r="O5" i="15"/>
  <c r="F27" i="15"/>
  <c r="F30" i="15"/>
  <c r="F16" i="15"/>
  <c r="F5" i="15"/>
  <c r="F26" i="15"/>
  <c r="F18" i="15"/>
  <c r="F17" i="15"/>
  <c r="F15" i="15"/>
  <c r="F14" i="15"/>
  <c r="F12" i="15"/>
  <c r="F11" i="15"/>
  <c r="F9" i="15"/>
  <c r="F8" i="15"/>
  <c r="E30" i="15"/>
  <c r="E27" i="15"/>
  <c r="E16" i="15"/>
  <c r="E15" i="15"/>
  <c r="E14" i="15"/>
  <c r="E13" i="15"/>
  <c r="E12" i="15"/>
  <c r="E11" i="15"/>
  <c r="E9" i="15"/>
  <c r="E8" i="15"/>
  <c r="D32" i="15"/>
  <c r="E32" i="15" s="1"/>
  <c r="D31" i="15"/>
  <c r="E31" i="15" s="1"/>
  <c r="D29" i="15"/>
  <c r="F29" i="15" s="1"/>
  <c r="D28" i="15"/>
  <c r="F28" i="15" s="1"/>
  <c r="D26" i="15"/>
  <c r="E26" i="15" s="1"/>
  <c r="D25" i="15"/>
  <c r="E25" i="15" s="1"/>
  <c r="F24" i="15"/>
  <c r="D23" i="15"/>
  <c r="E23" i="15" s="1"/>
  <c r="D22" i="15"/>
  <c r="E22" i="15" s="1"/>
  <c r="D21" i="15"/>
  <c r="F21" i="15" s="1"/>
  <c r="D20" i="15"/>
  <c r="E20" i="15" s="1"/>
  <c r="D19" i="15"/>
  <c r="F19" i="15" s="1"/>
  <c r="D18" i="15"/>
  <c r="E18" i="15" s="1"/>
  <c r="D17" i="15"/>
  <c r="E17" i="15" s="1"/>
  <c r="D13" i="15"/>
  <c r="F13" i="15" s="1"/>
  <c r="D10" i="15"/>
  <c r="E10" i="15" s="1"/>
  <c r="D7" i="15"/>
  <c r="F7" i="15" s="1"/>
  <c r="D6" i="15"/>
  <c r="F6" i="15" s="1"/>
  <c r="D5" i="15"/>
  <c r="E5" i="15" s="1"/>
  <c r="O11" i="14"/>
  <c r="O10" i="14"/>
  <c r="O9" i="14"/>
  <c r="P9" i="14" s="1"/>
  <c r="O8" i="14"/>
  <c r="P8" i="14" s="1"/>
  <c r="O7" i="14"/>
  <c r="O6" i="14"/>
  <c r="F17" i="14"/>
  <c r="E17" i="14"/>
  <c r="E31" i="14"/>
  <c r="F31" i="14"/>
  <c r="F19" i="14"/>
  <c r="F25" i="14"/>
  <c r="F22" i="14"/>
  <c r="F10" i="14"/>
  <c r="F7" i="14"/>
  <c r="F12" i="14"/>
  <c r="E19" i="14"/>
  <c r="E25" i="14"/>
  <c r="E22" i="14"/>
  <c r="E10" i="14"/>
  <c r="E7" i="14"/>
  <c r="E12" i="14"/>
  <c r="D9" i="14"/>
  <c r="E9" i="14" s="1"/>
  <c r="D24" i="14"/>
  <c r="F24" i="14" s="1"/>
  <c r="D32" i="14"/>
  <c r="F32" i="14" s="1"/>
  <c r="D28" i="14"/>
  <c r="F28" i="14" s="1"/>
  <c r="D6" i="14"/>
  <c r="F6" i="14" s="1"/>
  <c r="D23" i="14"/>
  <c r="F23" i="14" s="1"/>
  <c r="D35" i="14"/>
  <c r="F35" i="14" s="1"/>
  <c r="D27" i="14"/>
  <c r="F27" i="14" s="1"/>
  <c r="D33" i="14"/>
  <c r="F33" i="14" s="1"/>
  <c r="D20" i="14"/>
  <c r="F20" i="14" s="1"/>
  <c r="D26" i="14"/>
  <c r="F26" i="14" s="1"/>
  <c r="D16" i="14"/>
  <c r="F16" i="14" s="1"/>
  <c r="D30" i="14"/>
  <c r="F30" i="14" s="1"/>
  <c r="D11" i="14"/>
  <c r="F11" i="14" s="1"/>
  <c r="D15" i="14"/>
  <c r="F15" i="14" s="1"/>
  <c r="D14" i="14"/>
  <c r="F14" i="14" s="1"/>
  <c r="D8" i="14"/>
  <c r="F8" i="14" s="1"/>
  <c r="D18" i="14"/>
  <c r="E18" i="14" s="1"/>
  <c r="D34" i="14"/>
  <c r="F34" i="14" s="1"/>
  <c r="D29" i="14"/>
  <c r="E29" i="14" s="1"/>
  <c r="D4" i="20" l="1"/>
  <c r="D9" i="20" s="1"/>
  <c r="C9" i="20"/>
  <c r="E28" i="15"/>
  <c r="F20" i="15"/>
  <c r="E19" i="15"/>
  <c r="F25" i="15"/>
  <c r="P5" i="15"/>
  <c r="E29" i="15"/>
  <c r="E20" i="14"/>
  <c r="D9" i="16"/>
  <c r="C9" i="16"/>
  <c r="F22" i="15"/>
  <c r="F32" i="15"/>
  <c r="E24" i="15"/>
  <c r="F23" i="15"/>
  <c r="E21" i="15"/>
  <c r="F10" i="15"/>
  <c r="E6" i="15"/>
  <c r="F31" i="15"/>
  <c r="E7" i="15"/>
  <c r="P10" i="14"/>
  <c r="P6" i="14"/>
  <c r="F29" i="14"/>
  <c r="E8" i="14"/>
  <c r="E27" i="14"/>
  <c r="E15" i="14"/>
  <c r="F18" i="14"/>
  <c r="E23" i="14"/>
  <c r="E14" i="14"/>
  <c r="E11" i="14"/>
  <c r="E32" i="14"/>
  <c r="E35" i="14"/>
  <c r="E6" i="14"/>
  <c r="E30" i="14"/>
  <c r="E24" i="14"/>
  <c r="E33" i="14"/>
  <c r="F9" i="14"/>
  <c r="E34" i="14"/>
  <c r="E16" i="14"/>
  <c r="E26" i="14"/>
  <c r="E28" i="14"/>
  <c r="O7" i="13"/>
  <c r="O6" i="13"/>
  <c r="O5" i="13"/>
  <c r="O3" i="13"/>
  <c r="O2" i="13"/>
  <c r="N5" i="13"/>
  <c r="N4" i="13"/>
  <c r="N3" i="13"/>
  <c r="N2" i="13"/>
  <c r="M5" i="13"/>
  <c r="M4" i="13"/>
  <c r="M3" i="13"/>
  <c r="M2" i="13"/>
  <c r="L7" i="13"/>
  <c r="L5" i="13"/>
  <c r="L4" i="13"/>
  <c r="L3" i="13"/>
  <c r="L2" i="13"/>
  <c r="N7" i="13"/>
  <c r="M7" i="13"/>
  <c r="N6" i="13" l="1"/>
  <c r="N8" i="13" s="1"/>
  <c r="L6" i="13"/>
  <c r="L8" i="13" s="1"/>
  <c r="O8" i="13"/>
  <c r="M6" i="13"/>
  <c r="M8" i="13" s="1"/>
  <c r="C35" i="12"/>
  <c r="D35" i="12" s="1"/>
  <c r="C34" i="12"/>
  <c r="D34" i="12"/>
  <c r="Q10" i="12"/>
  <c r="Q9" i="12"/>
  <c r="Q8" i="12"/>
  <c r="Q7" i="12"/>
  <c r="Q6" i="12"/>
  <c r="Q5" i="12"/>
  <c r="Q4" i="12"/>
  <c r="Q3" i="12"/>
  <c r="Q2" i="12"/>
  <c r="O10" i="12"/>
  <c r="O9" i="12"/>
  <c r="O8" i="12"/>
  <c r="O7" i="12"/>
  <c r="O6" i="12"/>
  <c r="O5" i="12"/>
  <c r="O4" i="12"/>
  <c r="O3" i="12"/>
  <c r="O2" i="12"/>
  <c r="B20" i="12"/>
  <c r="I9" i="12"/>
  <c r="I8" i="12"/>
  <c r="I7" i="12"/>
  <c r="I6" i="12"/>
  <c r="I5" i="12"/>
  <c r="I4" i="12"/>
  <c r="I3" i="12"/>
  <c r="I2" i="12"/>
  <c r="B27" i="12" l="1"/>
  <c r="B29" i="12" s="1"/>
  <c r="D15" i="12"/>
  <c r="C19" i="12"/>
  <c r="D19" i="12" s="1"/>
  <c r="C18" i="12"/>
  <c r="D18" i="12" s="1"/>
  <c r="C17" i="12"/>
  <c r="D17" i="12" s="1"/>
  <c r="C16" i="12"/>
  <c r="D16" i="12" s="1"/>
  <c r="C15" i="12"/>
  <c r="C14" i="12"/>
  <c r="B28" i="12" l="1"/>
  <c r="B30" i="12"/>
  <c r="C20" i="12"/>
  <c r="D20" i="12"/>
  <c r="F1" i="2" l="1"/>
  <c r="Z52" i="1"/>
  <c r="Z34" i="1"/>
  <c r="Z7" i="1"/>
  <c r="AB85" i="2"/>
  <c r="AB68" i="2"/>
  <c r="AB54" i="2"/>
  <c r="AB37" i="2"/>
  <c r="AB4" i="2"/>
  <c r="AE68" i="2"/>
  <c r="AC34" i="1"/>
  <c r="AC7" i="1"/>
  <c r="AE54" i="2"/>
  <c r="AE4" i="2"/>
  <c r="AB52" i="1"/>
  <c r="AB34" i="1"/>
  <c r="AB7" i="1"/>
  <c r="AD85" i="2"/>
  <c r="AD68" i="2"/>
  <c r="AD54" i="2"/>
  <c r="AD37" i="2"/>
  <c r="AD4" i="2"/>
  <c r="AC58" i="2"/>
  <c r="AA2" i="1"/>
  <c r="AQ25" i="2"/>
  <c r="H9" i="3"/>
  <c r="H8" i="3"/>
  <c r="H7" i="3"/>
  <c r="H6" i="3"/>
  <c r="H10" i="3" s="1"/>
  <c r="H5" i="3"/>
  <c r="H4" i="3"/>
  <c r="V58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4" i="1"/>
  <c r="AA5" i="1"/>
  <c r="AA6" i="1"/>
  <c r="AA7" i="1"/>
  <c r="AA3" i="1"/>
  <c r="G8" i="3"/>
  <c r="G7" i="3"/>
  <c r="G6" i="3"/>
  <c r="G5" i="3"/>
  <c r="G9" i="3"/>
  <c r="G10" i="3"/>
  <c r="B30" i="3"/>
  <c r="B31" i="3" s="1"/>
  <c r="B17" i="3"/>
  <c r="B16" i="3"/>
  <c r="B14" i="3"/>
  <c r="F10" i="3"/>
  <c r="F9" i="3"/>
  <c r="F8" i="3"/>
  <c r="F7" i="3"/>
  <c r="F6" i="3"/>
  <c r="F5" i="3"/>
  <c r="F4" i="3"/>
  <c r="F3" i="3"/>
  <c r="E4" i="3"/>
  <c r="B21" i="3"/>
  <c r="B20" i="3"/>
  <c r="B19" i="3"/>
  <c r="W62" i="1"/>
  <c r="E9" i="3"/>
  <c r="D4" i="3"/>
  <c r="Z110" i="2"/>
  <c r="W110" i="2"/>
  <c r="D7" i="3"/>
  <c r="C4" i="3"/>
  <c r="C9" i="3" s="1"/>
  <c r="S42" i="2"/>
  <c r="S100" i="2"/>
  <c r="S95" i="2"/>
  <c r="S97" i="2"/>
  <c r="S102" i="2"/>
  <c r="S99" i="2"/>
  <c r="S98" i="2"/>
  <c r="S96" i="2"/>
  <c r="S91" i="2"/>
  <c r="S90" i="2"/>
  <c r="S86" i="2"/>
  <c r="S94" i="2"/>
  <c r="S92" i="2"/>
  <c r="S89" i="2"/>
  <c r="S87" i="2"/>
  <c r="S85" i="2"/>
  <c r="S73" i="2"/>
  <c r="S83" i="2"/>
  <c r="S82" i="2"/>
  <c r="S81" i="2"/>
  <c r="S80" i="2"/>
  <c r="S79" i="2"/>
  <c r="S78" i="2"/>
  <c r="S77" i="2"/>
  <c r="S76" i="2"/>
  <c r="S75" i="2"/>
  <c r="S68" i="2"/>
  <c r="S56" i="2"/>
  <c r="S55" i="2"/>
  <c r="S54" i="2"/>
  <c r="S53" i="2"/>
  <c r="S52" i="2"/>
  <c r="S51" i="2"/>
  <c r="S67" i="2"/>
  <c r="S63" i="2"/>
  <c r="S60" i="2"/>
  <c r="S59" i="2"/>
  <c r="S50" i="2"/>
  <c r="S48" i="2"/>
  <c r="S47" i="2"/>
  <c r="S46" i="2"/>
  <c r="S45" i="2"/>
  <c r="S44" i="2"/>
  <c r="S41" i="2"/>
  <c r="S40" i="2"/>
  <c r="S39" i="2"/>
  <c r="S38" i="2"/>
  <c r="S37" i="2"/>
  <c r="S35" i="2"/>
  <c r="S33" i="2"/>
  <c r="S31" i="2"/>
  <c r="S29" i="2"/>
  <c r="S28" i="2"/>
  <c r="S26" i="2"/>
  <c r="S25" i="2"/>
  <c r="S24" i="2"/>
  <c r="S22" i="2"/>
  <c r="S21" i="2"/>
  <c r="S19" i="2"/>
  <c r="S17" i="2"/>
  <c r="S14" i="2"/>
  <c r="S13" i="2"/>
  <c r="S11" i="2"/>
  <c r="S10" i="2"/>
  <c r="S9" i="2"/>
  <c r="S8" i="2"/>
  <c r="S7" i="2"/>
  <c r="S5" i="2"/>
  <c r="S4" i="2"/>
  <c r="S3" i="2"/>
  <c r="S2" i="2"/>
  <c r="M60" i="1"/>
  <c r="M59" i="1"/>
  <c r="M58" i="1"/>
  <c r="M57" i="1"/>
  <c r="M55" i="1"/>
  <c r="M54" i="1"/>
  <c r="M53" i="1"/>
  <c r="M52" i="1"/>
  <c r="M50" i="1"/>
  <c r="M49" i="1"/>
  <c r="M48" i="1"/>
  <c r="M47" i="1"/>
  <c r="M45" i="1"/>
  <c r="M44" i="1"/>
  <c r="M43" i="1"/>
  <c r="M42" i="1"/>
  <c r="M40" i="1"/>
  <c r="M39" i="1"/>
  <c r="M38" i="1"/>
  <c r="M37" i="1"/>
  <c r="M35" i="1"/>
  <c r="M34" i="1"/>
  <c r="M33" i="1"/>
  <c r="M30" i="1"/>
  <c r="M29" i="1"/>
  <c r="M25" i="1"/>
  <c r="M24" i="1"/>
  <c r="M23" i="1"/>
  <c r="M22" i="1"/>
  <c r="M19" i="1"/>
  <c r="M18" i="1"/>
  <c r="M17" i="1"/>
  <c r="M16" i="1"/>
  <c r="M12" i="1"/>
  <c r="M10" i="1"/>
  <c r="M9" i="1"/>
  <c r="M7" i="1"/>
  <c r="M5" i="1"/>
  <c r="M4" i="1"/>
  <c r="M3" i="1"/>
  <c r="M6" i="1"/>
  <c r="M56" i="1"/>
  <c r="M46" i="1"/>
  <c r="M36" i="1"/>
  <c r="M32" i="1"/>
  <c r="M28" i="1"/>
  <c r="M27" i="1"/>
  <c r="M26" i="1"/>
  <c r="M20" i="1"/>
  <c r="M15" i="1"/>
  <c r="M14" i="1"/>
  <c r="M2" i="1"/>
  <c r="X6" i="4"/>
  <c r="R31" i="4"/>
  <c r="Q31" i="4"/>
  <c r="X30" i="4"/>
  <c r="V30" i="4"/>
  <c r="U30" i="4"/>
  <c r="R30" i="4"/>
  <c r="T30" i="4" s="1"/>
  <c r="Q30" i="4"/>
  <c r="X29" i="4"/>
  <c r="V29" i="4"/>
  <c r="U29" i="4"/>
  <c r="R29" i="4"/>
  <c r="T29" i="4" s="1"/>
  <c r="Q29" i="4"/>
  <c r="X28" i="4"/>
  <c r="V28" i="4"/>
  <c r="U28" i="4"/>
  <c r="R28" i="4"/>
  <c r="T28" i="4" s="1"/>
  <c r="Q28" i="4"/>
  <c r="X27" i="4"/>
  <c r="V27" i="4"/>
  <c r="U27" i="4"/>
  <c r="R27" i="4"/>
  <c r="T27" i="4" s="1"/>
  <c r="Q27" i="4"/>
  <c r="X26" i="4"/>
  <c r="V26" i="4"/>
  <c r="U26" i="4"/>
  <c r="R26" i="4"/>
  <c r="T26" i="4" s="1"/>
  <c r="Q26" i="4"/>
  <c r="X25" i="4"/>
  <c r="V25" i="4"/>
  <c r="U25" i="4"/>
  <c r="T25" i="4"/>
  <c r="Q25" i="4"/>
  <c r="X24" i="4"/>
  <c r="V24" i="4"/>
  <c r="U24" i="4"/>
  <c r="R24" i="4"/>
  <c r="T24" i="4" s="1"/>
  <c r="Q24" i="4"/>
  <c r="X23" i="4"/>
  <c r="V23" i="4"/>
  <c r="U23" i="4"/>
  <c r="R23" i="4"/>
  <c r="T23" i="4" s="1"/>
  <c r="Q23" i="4"/>
  <c r="X22" i="4"/>
  <c r="V22" i="4"/>
  <c r="U22" i="4"/>
  <c r="T22" i="4"/>
  <c r="Q22" i="4"/>
  <c r="X21" i="4"/>
  <c r="V21" i="4"/>
  <c r="U21" i="4"/>
  <c r="R21" i="4"/>
  <c r="T21" i="4" s="1"/>
  <c r="Q21" i="4"/>
  <c r="X20" i="4"/>
  <c r="V20" i="4"/>
  <c r="U20" i="4"/>
  <c r="R20" i="4"/>
  <c r="T20" i="4" s="1"/>
  <c r="Q20" i="4"/>
  <c r="X19" i="4"/>
  <c r="V19" i="4"/>
  <c r="U19" i="4"/>
  <c r="R19" i="4"/>
  <c r="T19" i="4" s="1"/>
  <c r="Q19" i="4"/>
  <c r="X18" i="4"/>
  <c r="V18" i="4"/>
  <c r="U18" i="4"/>
  <c r="R18" i="4"/>
  <c r="T18" i="4" s="1"/>
  <c r="Q18" i="4"/>
  <c r="X17" i="4"/>
  <c r="V17" i="4"/>
  <c r="U17" i="4"/>
  <c r="R17" i="4"/>
  <c r="T17" i="4" s="1"/>
  <c r="Q17" i="4"/>
  <c r="X16" i="4"/>
  <c r="V16" i="4"/>
  <c r="U16" i="4"/>
  <c r="R16" i="4"/>
  <c r="T16" i="4" s="1"/>
  <c r="Q16" i="4"/>
  <c r="X15" i="4"/>
  <c r="V15" i="4"/>
  <c r="U15" i="4"/>
  <c r="R15" i="4"/>
  <c r="T15" i="4" s="1"/>
  <c r="Q15" i="4"/>
  <c r="X14" i="4"/>
  <c r="V14" i="4"/>
  <c r="U14" i="4"/>
  <c r="R14" i="4"/>
  <c r="T14" i="4" s="1"/>
  <c r="Q14" i="4"/>
  <c r="X13" i="4"/>
  <c r="V13" i="4"/>
  <c r="U13" i="4"/>
  <c r="R13" i="4"/>
  <c r="T13" i="4" s="1"/>
  <c r="Q13" i="4"/>
  <c r="X12" i="4"/>
  <c r="V12" i="4"/>
  <c r="U12" i="4"/>
  <c r="R12" i="4"/>
  <c r="T12" i="4" s="1"/>
  <c r="Q12" i="4"/>
  <c r="X11" i="4"/>
  <c r="V11" i="4"/>
  <c r="U11" i="4"/>
  <c r="R11" i="4"/>
  <c r="T11" i="4" s="1"/>
  <c r="Q11" i="4"/>
  <c r="X10" i="4"/>
  <c r="V10" i="4"/>
  <c r="U10" i="4"/>
  <c r="R10" i="4"/>
  <c r="T10" i="4" s="1"/>
  <c r="Q10" i="4"/>
  <c r="X9" i="4"/>
  <c r="V9" i="4"/>
  <c r="U9" i="4"/>
  <c r="R9" i="4"/>
  <c r="T9" i="4" s="1"/>
  <c r="Q9" i="4"/>
  <c r="X8" i="4"/>
  <c r="V8" i="4"/>
  <c r="U8" i="4"/>
  <c r="R8" i="4"/>
  <c r="T8" i="4" s="1"/>
  <c r="Q8" i="4"/>
  <c r="X7" i="4"/>
  <c r="V7" i="4"/>
  <c r="U7" i="4"/>
  <c r="R7" i="4"/>
  <c r="T7" i="4" s="1"/>
  <c r="Q7" i="4"/>
  <c r="X5" i="4"/>
  <c r="V5" i="4"/>
  <c r="U5" i="4"/>
  <c r="R5" i="4"/>
  <c r="T5" i="4" s="1"/>
  <c r="Q5" i="4"/>
  <c r="X4" i="4"/>
  <c r="V4" i="4"/>
  <c r="U4" i="4"/>
  <c r="R4" i="4"/>
  <c r="T4" i="4" s="1"/>
  <c r="Q4" i="4"/>
  <c r="X3" i="4"/>
  <c r="V3" i="4"/>
  <c r="U3" i="4"/>
  <c r="R3" i="4"/>
  <c r="T3" i="4" s="1"/>
  <c r="Q3" i="4"/>
  <c r="X2" i="4"/>
  <c r="V2" i="4"/>
  <c r="U2" i="4"/>
  <c r="R2" i="4"/>
  <c r="T2" i="4" s="1"/>
  <c r="Q2" i="4"/>
  <c r="B10" i="3"/>
  <c r="B4" i="3"/>
  <c r="D6" i="3"/>
  <c r="C29" i="3" l="1"/>
  <c r="E8" i="3"/>
  <c r="E5" i="3"/>
  <c r="E7" i="3"/>
  <c r="E6" i="3"/>
  <c r="E10" i="3"/>
  <c r="D8" i="3"/>
  <c r="D9" i="3"/>
  <c r="D5" i="3"/>
  <c r="C5" i="3"/>
  <c r="C6" i="3"/>
  <c r="C7" i="3"/>
  <c r="C8" i="3"/>
  <c r="D10" i="3" l="1"/>
  <c r="C10" i="3"/>
  <c r="U62" i="1"/>
  <c r="U42" i="1"/>
  <c r="U52" i="1"/>
  <c r="U32" i="1"/>
  <c r="U22" i="1"/>
  <c r="U12" i="1"/>
  <c r="U60" i="1"/>
  <c r="U50" i="1"/>
  <c r="U40" i="1"/>
  <c r="U30" i="1"/>
  <c r="U20" i="1"/>
  <c r="U10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9" i="1"/>
  <c r="U8" i="1"/>
  <c r="U7" i="1"/>
  <c r="U6" i="1"/>
  <c r="U5" i="1"/>
  <c r="U4" i="1"/>
  <c r="U3" i="1"/>
  <c r="U2" i="1"/>
  <c r="V17" i="2"/>
  <c r="V42" i="2"/>
  <c r="V102" i="2"/>
  <c r="V83" i="2"/>
  <c r="V44" i="2"/>
  <c r="V19" i="2"/>
  <c r="V85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2" i="2"/>
  <c r="V81" i="2"/>
  <c r="V80" i="2"/>
  <c r="V79" i="2"/>
  <c r="V78" i="2"/>
  <c r="V77" i="2"/>
  <c r="V76" i="2"/>
  <c r="V75" i="2"/>
  <c r="V74" i="2"/>
  <c r="V73" i="2"/>
  <c r="V72" i="2"/>
  <c r="V70" i="2"/>
  <c r="V69" i="2"/>
  <c r="V68" i="2"/>
  <c r="V67" i="2"/>
  <c r="V66" i="2"/>
  <c r="V65" i="2"/>
  <c r="V64" i="2"/>
  <c r="V63" i="2"/>
  <c r="V62" i="2"/>
  <c r="V61" i="2"/>
  <c r="V60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13" i="2" l="1"/>
  <c r="R102" i="2"/>
  <c r="R101" i="2"/>
  <c r="R94" i="2"/>
  <c r="R93" i="2"/>
  <c r="R88" i="2"/>
  <c r="R87" i="2"/>
  <c r="R76" i="2"/>
  <c r="R75" i="2"/>
  <c r="R74" i="2"/>
  <c r="R73" i="2"/>
  <c r="R50" i="2"/>
  <c r="R49" i="2"/>
  <c r="R37" i="2"/>
  <c r="R36" i="2"/>
  <c r="R35" i="2"/>
  <c r="R34" i="2"/>
  <c r="R33" i="2"/>
  <c r="R32" i="2"/>
  <c r="R31" i="2"/>
  <c r="R30" i="2"/>
  <c r="R28" i="2"/>
  <c r="R27" i="2"/>
  <c r="R23" i="2"/>
  <c r="R22" i="2"/>
  <c r="R21" i="2"/>
  <c r="R20" i="2"/>
  <c r="R15" i="2"/>
  <c r="R14" i="2"/>
  <c r="R12" i="2"/>
  <c r="R6" i="2"/>
  <c r="R5" i="2"/>
  <c r="S101" i="2"/>
  <c r="S88" i="2"/>
  <c r="S74" i="2"/>
  <c r="S23" i="2"/>
  <c r="S15" i="2"/>
  <c r="S6" i="2"/>
  <c r="S12" i="1"/>
  <c r="S22" i="1"/>
  <c r="S32" i="1"/>
  <c r="S42" i="1"/>
  <c r="S52" i="1"/>
  <c r="S60" i="1"/>
  <c r="S50" i="1"/>
  <c r="S40" i="1"/>
  <c r="S30" i="1"/>
  <c r="S20" i="1"/>
  <c r="S10" i="1"/>
  <c r="S59" i="1"/>
  <c r="S58" i="1"/>
  <c r="S57" i="1"/>
  <c r="S56" i="1"/>
  <c r="S55" i="1"/>
  <c r="S54" i="1"/>
  <c r="S53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29" i="1"/>
  <c r="S28" i="1"/>
  <c r="S27" i="1"/>
  <c r="S26" i="1"/>
  <c r="S25" i="1"/>
  <c r="S24" i="1"/>
  <c r="S23" i="1"/>
  <c r="S19" i="1"/>
  <c r="S18" i="1"/>
  <c r="S17" i="1"/>
  <c r="S16" i="1"/>
  <c r="S15" i="1"/>
  <c r="S14" i="1"/>
  <c r="S13" i="1"/>
  <c r="S9" i="1"/>
  <c r="S8" i="1"/>
  <c r="S7" i="1"/>
  <c r="S6" i="1"/>
  <c r="S5" i="1"/>
  <c r="S4" i="1"/>
  <c r="S3" i="1"/>
  <c r="S2" i="1"/>
  <c r="R99" i="2"/>
  <c r="R100" i="2"/>
  <c r="R91" i="2"/>
  <c r="R81" i="2"/>
  <c r="R80" i="2"/>
  <c r="R54" i="2"/>
  <c r="R53" i="2"/>
  <c r="R11" i="2"/>
  <c r="S12" i="2"/>
  <c r="R83" i="2"/>
  <c r="R17" i="2"/>
  <c r="R105" i="2"/>
  <c r="R85" i="2"/>
  <c r="R44" i="2"/>
  <c r="R19" i="2"/>
  <c r="R106" i="2"/>
  <c r="R98" i="2"/>
  <c r="R97" i="2"/>
  <c r="R96" i="2"/>
  <c r="R95" i="2"/>
  <c r="R92" i="2"/>
  <c r="R90" i="2"/>
  <c r="R89" i="2"/>
  <c r="R86" i="2"/>
  <c r="R82" i="2"/>
  <c r="R79" i="2"/>
  <c r="R78" i="2"/>
  <c r="R77" i="2"/>
  <c r="R68" i="2"/>
  <c r="R63" i="2"/>
  <c r="R56" i="2"/>
  <c r="R55" i="2"/>
  <c r="R52" i="2"/>
  <c r="R51" i="2"/>
  <c r="R48" i="2"/>
  <c r="R47" i="2"/>
  <c r="R46" i="2"/>
  <c r="R45" i="2"/>
  <c r="R41" i="2"/>
  <c r="R40" i="2"/>
  <c r="R39" i="2"/>
  <c r="R38" i="2"/>
  <c r="R26" i="2"/>
  <c r="R25" i="2"/>
  <c r="R24" i="2"/>
  <c r="R10" i="2"/>
  <c r="R9" i="2"/>
  <c r="R8" i="2"/>
  <c r="R7" i="2"/>
  <c r="R4" i="2"/>
  <c r="R3" i="2"/>
  <c r="R2" i="2"/>
  <c r="S93" i="2"/>
  <c r="S36" i="2"/>
  <c r="S32" i="2"/>
  <c r="S30" i="2"/>
  <c r="S27" i="2"/>
  <c r="S20" i="2"/>
  <c r="S34" i="2"/>
  <c r="Q46" i="1"/>
  <c r="Q28" i="1"/>
  <c r="Q27" i="1"/>
  <c r="Q26" i="1"/>
  <c r="P56" i="1"/>
  <c r="Q56" i="1" s="1"/>
  <c r="P46" i="1"/>
  <c r="P28" i="1"/>
  <c r="P27" i="1"/>
  <c r="P26" i="1"/>
  <c r="P15" i="1"/>
  <c r="Q15" i="1" s="1"/>
  <c r="R13" i="1" l="1"/>
  <c r="M13" i="1"/>
  <c r="O13" i="1" s="1"/>
  <c r="P13" i="1" s="1"/>
  <c r="Q13" i="1" s="1"/>
  <c r="R60" i="1"/>
  <c r="R59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2" i="1"/>
  <c r="R10" i="1"/>
  <c r="R9" i="1"/>
  <c r="R8" i="1"/>
  <c r="R7" i="1"/>
  <c r="R6" i="1"/>
  <c r="R5" i="1"/>
  <c r="R4" i="1"/>
  <c r="R3" i="1"/>
  <c r="R2" i="1"/>
  <c r="O59" i="1"/>
  <c r="P59" i="1" s="1"/>
  <c r="Q59" i="1" s="1"/>
  <c r="O54" i="1"/>
  <c r="P54" i="1" s="1"/>
  <c r="Q54" i="1" s="1"/>
  <c r="O53" i="1"/>
  <c r="P53" i="1" s="1"/>
  <c r="Q53" i="1" s="1"/>
  <c r="O52" i="1"/>
  <c r="P52" i="1" s="1"/>
  <c r="Q52" i="1" s="1"/>
  <c r="O44" i="1"/>
  <c r="P44" i="1" s="1"/>
  <c r="Q44" i="1" s="1"/>
  <c r="O43" i="1"/>
  <c r="P43" i="1" s="1"/>
  <c r="Q43" i="1" s="1"/>
  <c r="O42" i="1"/>
  <c r="P42" i="1" s="1"/>
  <c r="Q42" i="1" s="1"/>
  <c r="O34" i="1"/>
  <c r="P34" i="1" s="1"/>
  <c r="Q34" i="1" s="1"/>
  <c r="O33" i="1"/>
  <c r="P33" i="1" s="1"/>
  <c r="Q33" i="1" s="1"/>
  <c r="O32" i="1"/>
  <c r="P32" i="1" s="1"/>
  <c r="Q32" i="1" s="1"/>
  <c r="O35" i="1"/>
  <c r="P35" i="1" s="1"/>
  <c r="Q35" i="1" s="1"/>
  <c r="O24" i="1"/>
  <c r="P24" i="1" s="1"/>
  <c r="Q24" i="1" s="1"/>
  <c r="O23" i="1"/>
  <c r="P23" i="1" s="1"/>
  <c r="Q23" i="1" s="1"/>
  <c r="O22" i="1"/>
  <c r="P22" i="1" s="1"/>
  <c r="Q22" i="1" s="1"/>
  <c r="O14" i="1"/>
  <c r="P14" i="1" s="1"/>
  <c r="Q14" i="1" s="1"/>
  <c r="O12" i="1"/>
  <c r="P12" i="1" s="1"/>
  <c r="Q12" i="1" s="1"/>
  <c r="O60" i="1"/>
  <c r="P60" i="1" s="1"/>
  <c r="Q60" i="1" s="1"/>
  <c r="O58" i="1"/>
  <c r="P58" i="1" s="1"/>
  <c r="Q58" i="1" s="1"/>
  <c r="O57" i="1"/>
  <c r="P57" i="1" s="1"/>
  <c r="Q57" i="1" s="1"/>
  <c r="O55" i="1"/>
  <c r="P55" i="1" s="1"/>
  <c r="Q55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5" i="1"/>
  <c r="P45" i="1" s="1"/>
  <c r="Q45" i="1" s="1"/>
  <c r="O40" i="1"/>
  <c r="P40" i="1" s="1"/>
  <c r="Q40" i="1" s="1"/>
  <c r="O39" i="1"/>
  <c r="P39" i="1" s="1"/>
  <c r="Q39" i="1" s="1"/>
  <c r="O38" i="1"/>
  <c r="P38" i="1" s="1"/>
  <c r="Q38" i="1" s="1"/>
  <c r="O37" i="1"/>
  <c r="P37" i="1" s="1"/>
  <c r="Q37" i="1" s="1"/>
  <c r="O36" i="1"/>
  <c r="P36" i="1" s="1"/>
  <c r="Q36" i="1" s="1"/>
  <c r="O30" i="1"/>
  <c r="P30" i="1" s="1"/>
  <c r="Q30" i="1" s="1"/>
  <c r="O29" i="1"/>
  <c r="P29" i="1" s="1"/>
  <c r="Q29" i="1" s="1"/>
  <c r="O25" i="1"/>
  <c r="P25" i="1" s="1"/>
  <c r="Q25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0" i="1"/>
  <c r="P10" i="1" s="1"/>
  <c r="Q10" i="1" s="1"/>
  <c r="O9" i="1"/>
  <c r="P9" i="1" s="1"/>
  <c r="Q9" i="1" s="1"/>
  <c r="M8" i="1"/>
  <c r="O8" i="1" s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Q62" i="1" l="1"/>
  <c r="B147" i="21"/>
  <c r="B148" i="21"/>
  <c r="G148" i="21" s="1"/>
  <c r="B149" i="21"/>
  <c r="H148" i="21" s="1"/>
  <c r="B152" i="21"/>
  <c r="J148" i="21" s="1"/>
  <c r="B151" i="21"/>
  <c r="I148" i="21" s="1"/>
  <c r="B153" i="21"/>
  <c r="B150" i="21"/>
  <c r="F148" i="21" s="1"/>
  <c r="F150" i="21" s="1"/>
  <c r="H149" i="21" l="1"/>
  <c r="H150" i="21"/>
  <c r="I150" i="21"/>
  <c r="I149" i="21"/>
  <c r="I151" i="21" s="1"/>
  <c r="J149" i="21"/>
  <c r="J150" i="21"/>
  <c r="G150" i="21"/>
  <c r="G149" i="21"/>
  <c r="F149" i="21"/>
  <c r="F151" i="21" s="1"/>
  <c r="G151" i="21" l="1"/>
  <c r="J151" i="21"/>
  <c r="H151" i="21"/>
</calcChain>
</file>

<file path=xl/sharedStrings.xml><?xml version="1.0" encoding="utf-8"?>
<sst xmlns="http://schemas.openxmlformats.org/spreadsheetml/2006/main" count="5193" uniqueCount="733">
  <si>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</si>
  <si>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</si>
  <si>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</si>
  <si>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</si>
  <si>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</si>
  <si>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</si>
  <si>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</si>
  <si>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</si>
  <si>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</si>
  <si>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</si>
  <si>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</si>
  <si>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</si>
  <si>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</si>
  <si>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</si>
  <si>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</si>
  <si>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</si>
  <si>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</si>
  <si>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</si>
  <si>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</si>
  <si>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</si>
  <si>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</si>
  <si>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</si>
  <si>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</si>
  <si>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</si>
  <si>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</si>
  <si>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</si>
  <si>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</si>
  <si>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</si>
  <si>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</si>
  <si>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</si>
  <si>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</si>
  <si>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</si>
  <si>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</si>
  <si>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</si>
  <si>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</si>
  <si>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</si>
  <si>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</si>
  <si>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</si>
  <si>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</si>
  <si>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</si>
  <si>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</si>
  <si>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</si>
  <si>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</si>
  <si>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</si>
  <si>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</si>
  <si>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</si>
  <si>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</si>
  <si>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</si>
  <si>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</si>
  <si>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</si>
  <si>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</si>
  <si>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</si>
  <si>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</si>
  <si>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</si>
  <si>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</si>
  <si>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</si>
  <si>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</si>
  <si>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</si>
  <si>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</si>
  <si>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</si>
  <si>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</si>
  <si>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</si>
  <si>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</si>
  <si>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</si>
  <si>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</si>
  <si>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</si>
  <si>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</si>
  <si>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</si>
  <si>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</si>
  <si>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</si>
  <si>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</si>
  <si>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</si>
  <si>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</si>
  <si>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</si>
  <si>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</si>
  <si>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</si>
  <si>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&lt; 10</t>
  </si>
  <si>
    <t>Not recorded</t>
  </si>
  <si>
    <t>Homogenization Batch</t>
  </si>
  <si>
    <t>RNA Isolation Batch</t>
  </si>
  <si>
    <t>Total volume, uL (RNA + H2O)</t>
  </si>
  <si>
    <t>TOO HIGH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</si>
  <si>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</si>
  <si>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</si>
  <si>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</si>
  <si>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</si>
  <si>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</si>
  <si>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</si>
  <si>
    <t>Amount of RNA (ng)</t>
  </si>
  <si>
    <t>Spawning Tank</t>
  </si>
  <si>
    <t>Treatment</t>
  </si>
  <si>
    <t>SN-6 Low A</t>
  </si>
  <si>
    <t>Oyster Bay C1</t>
  </si>
  <si>
    <t>6 Low</t>
  </si>
  <si>
    <t>SN-6 Low B</t>
  </si>
  <si>
    <t>SN-10 Ambient A</t>
  </si>
  <si>
    <t>10 Ambient</t>
  </si>
  <si>
    <t>SN-10 Ambient B</t>
  </si>
  <si>
    <t>K-6 Low</t>
  </si>
  <si>
    <t>Oyster Bay C2</t>
  </si>
  <si>
    <t>SN-10 Low B</t>
  </si>
  <si>
    <t>10 Low</t>
  </si>
  <si>
    <t>SN-6 Ambient B</t>
  </si>
  <si>
    <t>6 Ambient</t>
  </si>
  <si>
    <t>K-10 Low</t>
  </si>
  <si>
    <t>HL-10 Ambient</t>
  </si>
  <si>
    <t>NF-10 Low B</t>
  </si>
  <si>
    <t>K-10 Ambient</t>
  </si>
  <si>
    <t>NF-10  Low A</t>
  </si>
  <si>
    <t>NF-6 Low B</t>
  </si>
  <si>
    <t>NF-10 Ambient A</t>
  </si>
  <si>
    <t>NF-6 Ambient B</t>
  </si>
  <si>
    <t>HL-10 Low</t>
  </si>
  <si>
    <t>NF-6 Ambient A</t>
  </si>
  <si>
    <t>SN-10 Low A</t>
  </si>
  <si>
    <t>K-6 Ambient</t>
  </si>
  <si>
    <t>NF-6 Low A</t>
  </si>
  <si>
    <t>HL-6 Low</t>
  </si>
  <si>
    <t>HL-6 Ambient</t>
  </si>
  <si>
    <t>NF-10 Ambient B</t>
  </si>
  <si>
    <t>SN-6 low A</t>
  </si>
  <si>
    <t>SN-6 Ambient A</t>
  </si>
  <si>
    <t>05-A</t>
  </si>
  <si>
    <t>07-A</t>
  </si>
  <si>
    <t>08-A</t>
  </si>
  <si>
    <t>09-A</t>
  </si>
  <si>
    <t>10-A</t>
  </si>
  <si>
    <t>11-A</t>
  </si>
  <si>
    <t>12-A</t>
  </si>
  <si>
    <t>13-A</t>
  </si>
  <si>
    <t>14-A</t>
  </si>
  <si>
    <t>15-A</t>
  </si>
  <si>
    <t>16-A</t>
  </si>
  <si>
    <t>17-A</t>
  </si>
  <si>
    <t>18-A</t>
  </si>
  <si>
    <t>19-A</t>
  </si>
  <si>
    <t>20-A</t>
  </si>
  <si>
    <t>21-A</t>
  </si>
  <si>
    <t>22-A</t>
  </si>
  <si>
    <t>23-A</t>
  </si>
  <si>
    <t>24-A</t>
  </si>
  <si>
    <t>25-A</t>
  </si>
  <si>
    <t>26-A</t>
  </si>
  <si>
    <t>27-A</t>
  </si>
  <si>
    <t>28-A</t>
  </si>
  <si>
    <t>29-A</t>
  </si>
  <si>
    <t>30-A</t>
  </si>
  <si>
    <t>31-A</t>
  </si>
  <si>
    <t>32-A</t>
  </si>
  <si>
    <t>33-A</t>
  </si>
  <si>
    <t>34-A</t>
  </si>
  <si>
    <t>35-A</t>
  </si>
  <si>
    <t>36-A</t>
  </si>
  <si>
    <t>37-A</t>
  </si>
  <si>
    <t>38-A</t>
  </si>
  <si>
    <t>39-A</t>
  </si>
  <si>
    <t>40-A</t>
  </si>
  <si>
    <t>41-A</t>
  </si>
  <si>
    <t>42-A</t>
  </si>
  <si>
    <t>43-A</t>
  </si>
  <si>
    <t>44-A</t>
  </si>
  <si>
    <t>45-A</t>
  </si>
  <si>
    <t>46-A</t>
  </si>
  <si>
    <t>47-A</t>
  </si>
  <si>
    <t>48-A</t>
  </si>
  <si>
    <t>49-A</t>
  </si>
  <si>
    <t>50-A</t>
  </si>
  <si>
    <t>51-A</t>
  </si>
  <si>
    <t>52-A</t>
  </si>
  <si>
    <t>53-A</t>
  </si>
  <si>
    <t>54-A</t>
  </si>
  <si>
    <t>55-A</t>
  </si>
  <si>
    <t>56-A</t>
  </si>
  <si>
    <t>57-A</t>
  </si>
  <si>
    <t>58-A</t>
  </si>
  <si>
    <t>59-A</t>
  </si>
  <si>
    <t>60-A</t>
  </si>
  <si>
    <t>61-A</t>
  </si>
  <si>
    <t>62-A</t>
  </si>
  <si>
    <t>63-A</t>
  </si>
  <si>
    <t>64-A</t>
  </si>
  <si>
    <t>65-A</t>
  </si>
  <si>
    <t>66-A</t>
  </si>
  <si>
    <t>67-A</t>
  </si>
  <si>
    <t>68-A</t>
  </si>
  <si>
    <t>69-A</t>
  </si>
  <si>
    <t>70-A</t>
  </si>
  <si>
    <t>71-A</t>
  </si>
  <si>
    <t>72-A</t>
  </si>
  <si>
    <t>73-A</t>
  </si>
  <si>
    <t>74-A</t>
  </si>
  <si>
    <t>75-A</t>
  </si>
  <si>
    <t>76-A</t>
  </si>
  <si>
    <t>77-A</t>
  </si>
  <si>
    <t>78-A</t>
  </si>
  <si>
    <t>79-A</t>
  </si>
  <si>
    <t>80-A</t>
  </si>
  <si>
    <t>81-A</t>
  </si>
  <si>
    <t>Have DNA already? If so, tube label</t>
  </si>
  <si>
    <t>Have RNA already?</t>
  </si>
  <si>
    <t>QuantSeq already?</t>
  </si>
  <si>
    <t>YES , #1</t>
  </si>
  <si>
    <t>YES, #41</t>
  </si>
  <si>
    <t>YES</t>
  </si>
  <si>
    <t>YES, #43</t>
  </si>
  <si>
    <t>NO</t>
  </si>
  <si>
    <t>YES, #6</t>
  </si>
  <si>
    <t>YES, #35</t>
  </si>
  <si>
    <t>YES, #46</t>
  </si>
  <si>
    <t>YES , #4</t>
  </si>
  <si>
    <t>YES, #47</t>
  </si>
  <si>
    <t>YES, #Test 10</t>
  </si>
  <si>
    <t>YES, #44</t>
  </si>
  <si>
    <t>YES,  #38</t>
  </si>
  <si>
    <t>YES, #7</t>
  </si>
  <si>
    <t>YES, #39</t>
  </si>
  <si>
    <t>YES, #Test 13</t>
  </si>
  <si>
    <t>YES, #Test 11</t>
  </si>
  <si>
    <t>YES, #2</t>
  </si>
  <si>
    <t>YES, #3</t>
  </si>
  <si>
    <t>YES, #8</t>
  </si>
  <si>
    <t>YES, #37</t>
  </si>
  <si>
    <t>YES, #Test 12</t>
  </si>
  <si>
    <t>YES, #5</t>
  </si>
  <si>
    <t>YES, #34</t>
  </si>
  <si>
    <t>YES, #45</t>
  </si>
  <si>
    <t>Tissue Type</t>
  </si>
  <si>
    <t>Larvae upon release</t>
  </si>
  <si>
    <t>RNA ISOLATION BATCH</t>
  </si>
  <si>
    <t>RNA ISOLATION DATE</t>
  </si>
  <si>
    <t>DATE HOMOG.</t>
  </si>
  <si>
    <t>HOMOG. BATCH</t>
  </si>
  <si>
    <t>Yes, too low, #42</t>
  </si>
  <si>
    <t>Yes, too low, #36</t>
  </si>
  <si>
    <t>Yes, too low, #40</t>
  </si>
  <si>
    <t>RNA Control</t>
  </si>
  <si>
    <t>NA</t>
  </si>
  <si>
    <t>na</t>
  </si>
  <si>
    <t>&lt;10</t>
  </si>
  <si>
    <t>Amount of RNA (ug)</t>
  </si>
  <si>
    <t>% of tissue RNA?</t>
  </si>
  <si>
    <t>VOL RNAzol (mL)</t>
  </si>
  <si>
    <t>not recorded</t>
  </si>
  <si>
    <t>Date larvae collected</t>
  </si>
  <si>
    <t>LOW</t>
  </si>
  <si>
    <t>Total RNA volume remaining, uL (RNA + H2O)</t>
  </si>
  <si>
    <t>Volume homogenate left (uL)</t>
  </si>
  <si>
    <t>poor yield b/c black substance w/ RNA?</t>
  </si>
  <si>
    <t>poor yield b/c very little tissue (likely)</t>
  </si>
  <si>
    <t>HIGH</t>
  </si>
  <si>
    <t>Amount of RNA in 5 uL</t>
  </si>
  <si>
    <t>RNA in 5 uL</t>
  </si>
  <si>
    <t>Volume for DNase treatment</t>
  </si>
  <si>
    <t>404b</t>
  </si>
  <si>
    <t>Homo./RNA TUBE #</t>
  </si>
  <si>
    <t>431b</t>
  </si>
  <si>
    <t>432b</t>
  </si>
  <si>
    <t>442b</t>
  </si>
  <si>
    <t>443b</t>
  </si>
  <si>
    <t>452b</t>
  </si>
  <si>
    <t>461b</t>
  </si>
  <si>
    <t>462b</t>
  </si>
  <si>
    <t>471b</t>
  </si>
  <si>
    <t>472b</t>
  </si>
  <si>
    <t>486b</t>
  </si>
  <si>
    <t>521b</t>
  </si>
  <si>
    <t>522b</t>
  </si>
  <si>
    <t>533b</t>
  </si>
  <si>
    <t>552b</t>
  </si>
  <si>
    <t>Imaged for size date</t>
  </si>
  <si>
    <t>01-A</t>
  </si>
  <si>
    <t>06-A</t>
  </si>
  <si>
    <t>02-A</t>
  </si>
  <si>
    <t>04-A</t>
  </si>
  <si>
    <t>03-A</t>
  </si>
  <si>
    <t>565b</t>
  </si>
  <si>
    <t>unknown</t>
  </si>
  <si>
    <t>Amount of RNA in Dnase treatment (ug), max is 10 ug</t>
  </si>
  <si>
    <t>Date Turbo Dnase treatment</t>
  </si>
  <si>
    <t xml:space="preserve"> Volume for DNase treatment </t>
  </si>
  <si>
    <t xml:space="preserve"> Amount of RNA in Dnase treatment (ug), max is 10 ug </t>
  </si>
  <si>
    <t xml:space="preserve"> Date Turbo Dnase treatment </t>
  </si>
  <si>
    <t>[RNA] after Turbo Dnase treatment</t>
  </si>
  <si>
    <t># Reactions</t>
  </si>
  <si>
    <t>Template (RNA sample) (uL)</t>
  </si>
  <si>
    <t>Sso Fast (uL)</t>
  </si>
  <si>
    <t>DEPC-treated water (uL)</t>
  </si>
  <si>
    <t># Samples</t>
  </si>
  <si>
    <t>Date</t>
  </si>
  <si>
    <t>Total Volume in mastermix (uL)</t>
  </si>
  <si>
    <t>Pf, 10 uM (uL)</t>
  </si>
  <si>
    <t>Pr, 10 uM (uL)</t>
  </si>
  <si>
    <t>per reaction</t>
  </si>
  <si>
    <t>Round DNase treated</t>
  </si>
  <si>
    <t>Round Dnase treatment</t>
  </si>
  <si>
    <t>homog. Control</t>
  </si>
  <si>
    <t>RNAzol control</t>
  </si>
  <si>
    <t>Turbo Dnase control</t>
  </si>
  <si>
    <t>Diluted with 50 uL b/f Dnasing</t>
  </si>
  <si>
    <t>Used 25 uL for TurboDNase</t>
  </si>
  <si>
    <t>Appr. Volume Dnased RNA</t>
  </si>
  <si>
    <t>Concentration stock primers (uM)</t>
  </si>
  <si>
    <t>Concentration working stock primer</t>
  </si>
  <si>
    <t>Volume primers needed</t>
  </si>
  <si>
    <t>Total samples (incl. controls)</t>
  </si>
  <si>
    <t>Sample remaining for qPCR</t>
  </si>
  <si>
    <t># Samples on one plate</t>
  </si>
  <si>
    <t># plates</t>
  </si>
  <si>
    <t>1 plate , 32 rxns</t>
  </si>
  <si>
    <t>1 full plate</t>
  </si>
  <si>
    <t>All 3 reactions</t>
  </si>
  <si>
    <t>Volume primer stocks used</t>
  </si>
  <si>
    <t>Volume H2O to add</t>
  </si>
  <si>
    <t>Check New Concentration</t>
  </si>
  <si>
    <t>[RNA] after Turbo Dnase treatment (ng/uL)</t>
  </si>
  <si>
    <t>[RNA] after Dnase treatment (ng/uL)</t>
  </si>
  <si>
    <t>Date qPCR for contamin.</t>
  </si>
  <si>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</si>
  <si>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</si>
  <si>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</si>
  <si>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</si>
  <si>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</si>
  <si>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</si>
  <si>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</si>
  <si>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</si>
  <si>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</si>
  <si>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A01</t>
  </si>
  <si>
    <t>FAM</t>
  </si>
  <si>
    <t>Unkn</t>
  </si>
  <si>
    <t>None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</si>
  <si>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</si>
  <si>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</si>
  <si>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</si>
  <si>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</si>
  <si>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</si>
  <si>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</si>
  <si>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</si>
  <si>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</si>
  <si>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</si>
  <si>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</si>
  <si>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</si>
  <si>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</si>
  <si>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</si>
  <si>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</si>
  <si>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</si>
  <si>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</si>
  <si>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</si>
  <si>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</si>
  <si>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</si>
  <si>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</si>
  <si>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</si>
  <si>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</si>
  <si>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</si>
  <si>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</si>
  <si>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</si>
  <si>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</si>
  <si>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</si>
  <si>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</si>
  <si>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</si>
  <si>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</si>
  <si>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</si>
  <si>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</si>
  <si>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</si>
  <si>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</si>
  <si>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</si>
  <si>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</si>
  <si>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</si>
  <si>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</si>
  <si>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</si>
  <si>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</si>
  <si>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</si>
  <si>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</si>
  <si>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</si>
  <si>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</si>
  <si>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</si>
  <si>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</si>
  <si>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</si>
  <si>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</si>
  <si>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</si>
  <si>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</si>
  <si>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</si>
  <si>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</si>
  <si>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</si>
  <si>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</si>
  <si>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</si>
  <si>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</si>
  <si>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</si>
  <si>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</si>
  <si>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</si>
  <si>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</si>
  <si>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</si>
  <si>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</si>
  <si>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</si>
  <si>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</si>
  <si>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</si>
  <si>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</si>
  <si>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</si>
  <si>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</si>
  <si>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</si>
  <si>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</si>
  <si>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</si>
  <si>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</si>
  <si>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</si>
  <si>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</si>
  <si>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</si>
  <si>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</si>
  <si>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</si>
  <si>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</si>
  <si>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575 Control</t>
  </si>
  <si>
    <t>G08</t>
  </si>
  <si>
    <t>G09</t>
  </si>
  <si>
    <t>NTC</t>
  </si>
  <si>
    <t>G10</t>
  </si>
  <si>
    <t>G11</t>
  </si>
  <si>
    <t>Pos Ctrl</t>
  </si>
  <si>
    <t>DNA (1A)</t>
  </si>
  <si>
    <t>G12</t>
  </si>
  <si>
    <t>EF1_qPCR</t>
  </si>
  <si>
    <t>DNA 8a</t>
  </si>
  <si>
    <t>38b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</si>
  <si>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</si>
  <si>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</si>
  <si>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</si>
  <si>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</si>
  <si>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</si>
  <si>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</si>
  <si>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</si>
  <si>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</si>
  <si>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</si>
  <si>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DNA (7a)</t>
  </si>
  <si>
    <t>H10</t>
  </si>
  <si>
    <t>H11</t>
  </si>
  <si>
    <t>H12</t>
  </si>
  <si>
    <t>572 (control)</t>
  </si>
  <si>
    <t>574 (control)</t>
  </si>
  <si>
    <t xml:space="preserve">Test new primer </t>
  </si>
  <si>
    <t>ng RNA in. 5 uL</t>
  </si>
  <si>
    <t>Date qPCR for DNA contam. (not amplif.)</t>
  </si>
  <si>
    <t>qPCR for DNA contamin with Actin?</t>
  </si>
  <si>
    <t>X</t>
  </si>
  <si>
    <t>Test primer 8/13 &amp; 8/15</t>
  </si>
  <si>
    <t>Actin Re-do</t>
  </si>
  <si>
    <t>Diluted with 50 uL b/f Dnasing, and another 20 uL after</t>
  </si>
  <si>
    <t>Diluted with 20 uL after Dnasing</t>
  </si>
  <si>
    <t>Diluted with 50 uL b/f Dnasing, , and another 20 uL after</t>
  </si>
  <si>
    <t>Diluted with 50 uL b/f DnasingDiluted with 50 uL b/f Dnasing, and another 20 uL after</t>
  </si>
  <si>
    <t>Tissue</t>
  </si>
  <si>
    <t>Ctenidia</t>
  </si>
  <si>
    <t>Larvae</t>
  </si>
  <si>
    <t>10 High</t>
  </si>
  <si>
    <t>6 High</t>
  </si>
  <si>
    <t>Control</t>
  </si>
  <si>
    <t>Treatment (pCO2, Temp)</t>
  </si>
  <si>
    <t>RNA Tube #</t>
  </si>
  <si>
    <t>ng RNA in 0.5 uL</t>
  </si>
  <si>
    <t>Check RNA quality?</t>
  </si>
  <si>
    <t>[RNA] ng/uL after isolation</t>
  </si>
  <si>
    <t>date qPCR for contamin. with actin?</t>
  </si>
  <si>
    <t># Freeze/thaw cycles after RNA isolation</t>
  </si>
  <si>
    <t>Date quantified after Dnase</t>
  </si>
  <si>
    <t xml:space="preserve">Diluted with 50 uL b/f Dnasing, and another 20 uL after. Add 1 more freeze-thaw cycle (accidentally froze b/f needing to dilute &amp; quantify again). </t>
  </si>
  <si>
    <t>Date cDNA synthesis</t>
  </si>
  <si>
    <t xml:space="preserve">Vol for QuantSeq </t>
  </si>
  <si>
    <t>Vol H2O</t>
  </si>
  <si>
    <t>Vol RNA for QuantSeq</t>
  </si>
  <si>
    <t>Pico [RNA]</t>
  </si>
  <si>
    <t>Date purification (pre-pcr)</t>
  </si>
  <si>
    <t>Date cDNA</t>
  </si>
  <si>
    <t>pico [RNA]</t>
  </si>
  <si>
    <t>6 Low High</t>
  </si>
  <si>
    <t>qPCR Assay Mastermis Calcs</t>
  </si>
  <si>
    <t>Item</t>
  </si>
  <si>
    <t>per rxn</t>
  </si>
  <si>
    <t>cDNA, diluted to 19uL</t>
  </si>
  <si>
    <t>per rxn (uL)</t>
  </si>
  <si>
    <t>Enzyme mix (E)</t>
  </si>
  <si>
    <t>2.5x SYBR Green I nucleic acid dye</t>
  </si>
  <si>
    <t>Number of samples</t>
  </si>
  <si>
    <t>all rxns * 1.1</t>
  </si>
  <si>
    <t>all rxns (inc. NTC) (uL)</t>
  </si>
  <si>
    <t>Mastermix total vol</t>
  </si>
  <si>
    <t>SYBR Green Calcs</t>
  </si>
  <si>
    <t>Stock concentration</t>
  </si>
  <si>
    <t>Desired concentratino</t>
  </si>
  <si>
    <t>Total volume needed 2.5x</t>
  </si>
  <si>
    <t>Volume 100x</t>
  </si>
  <si>
    <t>Volume DMSO</t>
  </si>
  <si>
    <t>Final concentration</t>
  </si>
  <si>
    <t>Dilution ratio (should be 1:40)</t>
  </si>
  <si>
    <t>P7 Primer (7000)</t>
  </si>
  <si>
    <t>PCR mix (PCR)</t>
  </si>
  <si>
    <t>Elution Buffer (EB)</t>
  </si>
  <si>
    <t>ng RNA used</t>
  </si>
  <si>
    <t>Vol RNA used for QuantSeq</t>
  </si>
  <si>
    <t>Date qPCR Assay run 1</t>
  </si>
  <si>
    <t>Date qPCR Assay run 2</t>
  </si>
  <si>
    <t>RFU @ endpoint</t>
  </si>
  <si>
    <t>50% max</t>
  </si>
  <si>
    <t>Cycles, round down</t>
  </si>
  <si>
    <t>ng RNA in 5uL (QuantSeq max vol)</t>
  </si>
  <si>
    <t>RNA Sample no.</t>
  </si>
  <si>
    <t>No. Cycles @ 50%</t>
  </si>
  <si>
    <t>No. Cycles @ 50% minus 3 cycles</t>
  </si>
  <si>
    <t>PCR Mastermix Calcs</t>
  </si>
  <si>
    <t>PCR</t>
  </si>
  <si>
    <t>E3</t>
  </si>
  <si>
    <t># rxns</t>
  </si>
  <si>
    <t>Total</t>
  </si>
  <si>
    <t>Total*1.1</t>
  </si>
  <si>
    <t>Larval Sample Number</t>
  </si>
  <si>
    <t>Any left?</t>
  </si>
  <si>
    <t>6-ambient</t>
  </si>
  <si>
    <t>6-low</t>
  </si>
  <si>
    <t>10-ambient</t>
  </si>
  <si>
    <t>10-low</t>
  </si>
  <si>
    <t>total</t>
  </si>
  <si>
    <t># larvals samples left</t>
  </si>
  <si>
    <t>small</t>
  </si>
  <si>
    <t>with small</t>
  </si>
  <si>
    <t>very small amt left</t>
  </si>
  <si>
    <t>Concentrate maybe?</t>
  </si>
  <si>
    <t>NTC - 12/5/19</t>
  </si>
  <si>
    <t>Library Generation</t>
  </si>
  <si>
    <t>cDNA synthesis</t>
  </si>
  <si>
    <t xml:space="preserve">Sample No. </t>
  </si>
  <si>
    <t>Vol RNA used</t>
  </si>
  <si>
    <t>[RNA] (ng/ul)</t>
  </si>
  <si>
    <t>Vol H2O to add</t>
  </si>
  <si>
    <t>NTC1 - B1</t>
  </si>
  <si>
    <t>NTC2 - B1</t>
  </si>
  <si>
    <t xml:space="preserve">Work in 4 rows of 7 </t>
  </si>
  <si>
    <t>Sample order in plate</t>
  </si>
  <si>
    <t>Library Generation Plate Configuration</t>
  </si>
  <si>
    <t>Vol per sample</t>
  </si>
  <si>
    <t># samples + 2 NTC</t>
  </si>
  <si>
    <t>Step 6: RS</t>
  </si>
  <si>
    <t>Vol per rxn (uL)</t>
  </si>
  <si>
    <t>Total + 15%</t>
  </si>
  <si>
    <t>Vol per aliquot (n=7)</t>
  </si>
  <si>
    <t>Step 7: SS1</t>
  </si>
  <si>
    <t>Step 3 MM: FS2</t>
  </si>
  <si>
    <t>Step 3 MM: E1</t>
  </si>
  <si>
    <t>Step 9 MM: SS2</t>
  </si>
  <si>
    <t>Step 9 MM: E2</t>
  </si>
  <si>
    <t>A</t>
  </si>
  <si>
    <t>B</t>
  </si>
  <si>
    <t>C</t>
  </si>
  <si>
    <t>D</t>
  </si>
  <si>
    <t>E</t>
  </si>
  <si>
    <t>F</t>
  </si>
  <si>
    <t>G</t>
  </si>
  <si>
    <t>H</t>
  </si>
  <si>
    <t>Step, Chem.</t>
  </si>
  <si>
    <t>NTC1 -B2</t>
  </si>
  <si>
    <t># samples + 1 NTC</t>
  </si>
  <si>
    <t>Total + 10% or 15%</t>
  </si>
  <si>
    <t>Purification</t>
  </si>
  <si>
    <t>Date performed</t>
  </si>
  <si>
    <t>Step 12: PB</t>
  </si>
  <si>
    <t>Total + 10 or 15%</t>
  </si>
  <si>
    <t>Step 15: EB</t>
  </si>
  <si>
    <t>Step 16: PS</t>
  </si>
  <si>
    <t>Step 19: 80% EtOH</t>
  </si>
  <si>
    <t>Step 20: 80% EtOH</t>
  </si>
  <si>
    <t>Step 22: EB</t>
  </si>
  <si>
    <t>Total 80% EtOH needed (uL):</t>
  </si>
  <si>
    <t>Vol 200 proof EtOH</t>
  </si>
  <si>
    <t>Vol DEPC-treated water</t>
  </si>
  <si>
    <t>Desired concentration</t>
  </si>
  <si>
    <t>qPCR NTC</t>
  </si>
  <si>
    <t>B4 - NTC2</t>
  </si>
  <si>
    <t>B3 - NTC1</t>
  </si>
  <si>
    <t>B3 - NTC2</t>
  </si>
  <si>
    <t>B5 - NTC1</t>
  </si>
  <si>
    <t>B5 - NTC2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</si>
  <si>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</si>
  <si>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</si>
  <si>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</si>
  <si>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</si>
  <si>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</si>
  <si>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</si>
  <si>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</si>
  <si>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</si>
  <si>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</si>
  <si>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</si>
  <si>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</si>
  <si>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</si>
  <si>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</si>
  <si>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Library Prep Batch #</t>
  </si>
  <si>
    <t>ctenidia</t>
  </si>
  <si>
    <t>larvae</t>
  </si>
  <si>
    <t>B1 - NTC1</t>
  </si>
  <si>
    <t>B1 - NTC2</t>
  </si>
  <si>
    <t>Date End Point PCR</t>
  </si>
  <si>
    <t>Batch End Point PCR</t>
  </si>
  <si>
    <t>Mastermix Calculations</t>
  </si>
  <si>
    <t>Cycles</t>
  </si>
  <si>
    <t>No. Samples</t>
  </si>
  <si>
    <t>16 cycles</t>
  </si>
  <si>
    <t>17 cycles</t>
  </si>
  <si>
    <t>14 cycles</t>
  </si>
  <si>
    <t>15 cycles</t>
  </si>
  <si>
    <t>No. rxns + 2 NTC</t>
  </si>
  <si>
    <t>PCR Mix (PCR) * 1.08</t>
  </si>
  <si>
    <t>Enzyme Mix 3 (E3) * 1.08</t>
  </si>
  <si>
    <t>total volume (uL)</t>
  </si>
  <si>
    <t>Purified ds cDNA &amp; qPCR Assay Plate Setup, library generation batches #3, #4, and #5</t>
  </si>
  <si>
    <t xml:space="preserve">Purified ds cDNA &amp; qPCR Assay Plate Setup, library generation batches #1 and #2 </t>
  </si>
  <si>
    <t>NTC1 - (qPCR)</t>
  </si>
  <si>
    <t>NTC2 - (qPCR)</t>
  </si>
  <si>
    <t>Purified ds cDNA &amp; qPCR Assay Plate Setup, library generation batches #3, #4, and #5 - LARVAE</t>
  </si>
  <si>
    <t>Purified ds cDNA &amp; qPCR Assay Plate Setup, library generation batches #1 and #2  - CTENIDIA</t>
  </si>
  <si>
    <t>Cycles, round down (for most)</t>
  </si>
  <si>
    <t>CAGCGT</t>
  </si>
  <si>
    <t>TCAGGA</t>
  </si>
  <si>
    <t>TCTTAA</t>
  </si>
  <si>
    <t>TTTATG</t>
  </si>
  <si>
    <t>AGATAG</t>
  </si>
  <si>
    <t>CTCTCG</t>
  </si>
  <si>
    <t>GTGCCA</t>
  </si>
  <si>
    <t>AGTACT</t>
  </si>
  <si>
    <t>AAGCTC</t>
  </si>
  <si>
    <t>GACATC</t>
  </si>
  <si>
    <t>GCAGCC</t>
  </si>
  <si>
    <t>CGCGGA</t>
  </si>
  <si>
    <t>GATCAC</t>
  </si>
  <si>
    <t>CGGTTA</t>
  </si>
  <si>
    <t>GTCAGG</t>
  </si>
  <si>
    <t>AACGCC</t>
  </si>
  <si>
    <t>TTGGTA</t>
  </si>
  <si>
    <t>TGACAC</t>
  </si>
  <si>
    <t>TCGAGG</t>
  </si>
  <si>
    <t>ATAAGA</t>
  </si>
  <si>
    <t>GACGAT</t>
  </si>
  <si>
    <t>CGATCT</t>
  </si>
  <si>
    <t>ACTCTT</t>
  </si>
  <si>
    <t>CCTGCT</t>
  </si>
  <si>
    <t>ACCAGT</t>
  </si>
  <si>
    <t>TTAACT</t>
  </si>
  <si>
    <t>ATACTG</t>
  </si>
  <si>
    <t>CAAGCA</t>
  </si>
  <si>
    <t>GTTACC</t>
  </si>
  <si>
    <t>AAGACA</t>
  </si>
  <si>
    <t>CACTAA</t>
  </si>
  <si>
    <t>GGTGAG</t>
  </si>
  <si>
    <t>TCGTTC</t>
  </si>
  <si>
    <t>CGTCGC</t>
  </si>
  <si>
    <t>TGCTAT</t>
  </si>
  <si>
    <t>GCGCTG</t>
  </si>
  <si>
    <t>TGCACG</t>
  </si>
  <si>
    <t>ATGAAC</t>
  </si>
  <si>
    <t>TATGTC</t>
  </si>
  <si>
    <t>GCTCGA</t>
  </si>
  <si>
    <t>CGCAAC</t>
  </si>
  <si>
    <t>ACAGAT</t>
  </si>
  <si>
    <t>GGTATA</t>
  </si>
  <si>
    <t>TTCCGC</t>
  </si>
  <si>
    <t>CCAATT</t>
  </si>
  <si>
    <t>ATGGCG</t>
  </si>
  <si>
    <t>AAGTGG</t>
  </si>
  <si>
    <t>GAACCT</t>
  </si>
  <si>
    <t>ACATTA</t>
  </si>
  <si>
    <t>CCTAAG</t>
  </si>
  <si>
    <t>GAGTCC</t>
  </si>
  <si>
    <t>GCGAAT</t>
  </si>
  <si>
    <t>TGGCGA</t>
  </si>
  <si>
    <t>TAGGCT</t>
  </si>
  <si>
    <t>CGCCTG</t>
  </si>
  <si>
    <t>GAAGTG</t>
  </si>
  <si>
    <t>AGTTGA</t>
  </si>
  <si>
    <t>ATTGGT</t>
  </si>
  <si>
    <t>CTCATA</t>
  </si>
  <si>
    <t>TTCGAG</t>
  </si>
  <si>
    <t>GTGTAG</t>
  </si>
  <si>
    <t>AATCCG</t>
  </si>
  <si>
    <t>GGAGGT</t>
  </si>
  <si>
    <t>TGGATT</t>
  </si>
  <si>
    <t>ACCGTG</t>
  </si>
  <si>
    <t>CTCCAT</t>
  </si>
  <si>
    <t>AATGAA</t>
  </si>
  <si>
    <t>CAATGC</t>
  </si>
  <si>
    <t>AACCGA</t>
  </si>
  <si>
    <t>GCCACA</t>
  </si>
  <si>
    <t>CCGACC</t>
  </si>
  <si>
    <t>AGAATC</t>
  </si>
  <si>
    <t>CTAGTC</t>
  </si>
  <si>
    <t>GGCTGC</t>
  </si>
  <si>
    <t>CACACT</t>
  </si>
  <si>
    <t>ACCTAC</t>
  </si>
  <si>
    <t>CAACAG</t>
  </si>
  <si>
    <t>GCATGG</t>
  </si>
  <si>
    <t>ACAACG</t>
  </si>
  <si>
    <t>ACGTCT</t>
  </si>
  <si>
    <t>CAGATG</t>
  </si>
  <si>
    <t>CATCTA</t>
  </si>
  <si>
    <t>GGCCAA</t>
  </si>
  <si>
    <t>AGGCAT</t>
  </si>
  <si>
    <t>TGTGCA</t>
  </si>
  <si>
    <t>TACCTT</t>
  </si>
  <si>
    <t>CCGCAA</t>
  </si>
  <si>
    <t>CGAAGG</t>
  </si>
  <si>
    <t>GATTGT</t>
  </si>
  <si>
    <t>AATAGC</t>
  </si>
  <si>
    <t>ATATCC</t>
  </si>
  <si>
    <t>CAGGAC</t>
  </si>
  <si>
    <t>GTAGAA</t>
  </si>
  <si>
    <t>AACAAG</t>
  </si>
  <si>
    <t>AGACCA</t>
  </si>
  <si>
    <t>ACACGC</t>
  </si>
  <si>
    <t>i7 Index Primers (7001-7096) - CTENIDIA</t>
  </si>
  <si>
    <t>i7 Index Primers (7001-7096) - LARVAE</t>
  </si>
  <si>
    <t>END POINT PCR - 16 CYCLES</t>
  </si>
  <si>
    <t>LARVAE</t>
  </si>
  <si>
    <t>INDEX #</t>
  </si>
  <si>
    <t>SAMPLE LOCATION ON PLATE</t>
  </si>
  <si>
    <t>END POINT PCR - 15 CYCLES</t>
  </si>
  <si>
    <t>END POINT PCR - 14 CYCLES</t>
  </si>
  <si>
    <t>END POINT PCR - 17 CYCLES</t>
  </si>
  <si>
    <r>
      <t xml:space="preserve">AMPLIFIED and indexed ds cDNA - </t>
    </r>
    <r>
      <rPr>
        <b/>
        <sz val="16"/>
        <color rgb="FFA20907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</si>
  <si>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r>
      <t xml:space="preserve">AMPLIFIED and indexed ds cDNA - </t>
    </r>
    <r>
      <rPr>
        <b/>
        <sz val="16"/>
        <color rgb="FFA20907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</si>
  <si>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[DNA] ng/uL</t>
  </si>
  <si>
    <t>not quantified</t>
  </si>
  <si>
    <t>Bioanalyzer results</t>
  </si>
  <si>
    <t>B2 - NTC1</t>
  </si>
  <si>
    <t>SMPL LOC.</t>
  </si>
  <si>
    <t>END POINT PCR - 18 CYCLES</t>
  </si>
  <si>
    <t>END POINT PCR - 20 CYCLES</t>
  </si>
  <si>
    <t>18 cycles</t>
  </si>
  <si>
    <t>20 cycles</t>
  </si>
  <si>
    <t>End Point PCR cycles</t>
  </si>
  <si>
    <t>ds cDNA concentration</t>
  </si>
  <si>
    <t>TOO LOW</t>
  </si>
  <si>
    <t>NOT QUANTIFIED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</si>
</sst>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00%"/>
    <numFmt numFmtId="167" formatCode="_(* #,##0.0000_);_(* \(#,##0.0000\);_(* &quot;-&quot;??_);_(@_)"/>
    <numFmt numFmtId="168" formatCode="_(* #,##0.0_);_(* \(#,##0.0\);_(* &quot;-&quot;??_);_(@_)"/>
    <numFmt numFmtId="169" formatCode="_(* #,##0.0_);_(* \(#,##0.0\);_(* &quot;-&quot;?_);_(@_)"/>
    <numFmt numFmtId="170" formatCode="mm/dd/yy;@"/>
    <numFmt numFmtId="171" formatCode="_(* #,##0.00000_);_(* \(#,##0.00000\);_(* &quot;-&quot;??_);_(@_)"/>
    <numFmt numFmtId="172" formatCode="_(* #,##0.000_);_(* \(#,##0.000\);_(* &quot;-&quot;??_);_(@_)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rgb="FFA20907"/>
      <name val="Calibri (Body)"/>
    </font>
    <font>
      <i/>
      <sz val="16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090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BE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951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165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165" fontId="4" fillId="0" borderId="8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" fontId="4" fillId="0" borderId="1" xfId="0" applyNumberFormat="1" applyFont="1" applyFill="1" applyBorder="1"/>
    <xf numFmtId="16" fontId="4" fillId="0" borderId="0" xfId="0" applyNumberFormat="1" applyFont="1" applyFill="1" applyBorder="1"/>
    <xf numFmtId="16" fontId="4" fillId="0" borderId="4" xfId="0" applyNumberFormat="1" applyFont="1" applyFill="1" applyBorder="1"/>
    <xf numFmtId="0" fontId="0" fillId="0" borderId="1" xfId="0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166" fontId="0" fillId="0" borderId="1" xfId="2" applyNumberFormat="1" applyFont="1" applyBorder="1" applyAlignment="1">
      <alignment vertical="center"/>
    </xf>
    <xf numFmtId="43" fontId="4" fillId="0" borderId="1" xfId="1" applyFont="1" applyFill="1" applyBorder="1"/>
    <xf numFmtId="43" fontId="4" fillId="0" borderId="0" xfId="1" applyFont="1" applyFill="1" applyBorder="1"/>
    <xf numFmtId="43" fontId="0" fillId="0" borderId="1" xfId="1" applyFont="1" applyFill="1" applyBorder="1"/>
    <xf numFmtId="43" fontId="4" fillId="0" borderId="1" xfId="1" applyNumberFormat="1" applyFont="1" applyFill="1" applyBorder="1"/>
    <xf numFmtId="43" fontId="4" fillId="0" borderId="0" xfId="1" applyNumberFormat="1" applyFont="1" applyFill="1" applyBorder="1"/>
    <xf numFmtId="43" fontId="0" fillId="0" borderId="1" xfId="1" applyNumberFormat="1" applyFont="1" applyFill="1" applyBorder="1"/>
    <xf numFmtId="168" fontId="4" fillId="0" borderId="1" xfId="1" applyNumberFormat="1" applyFont="1" applyFill="1" applyBorder="1"/>
    <xf numFmtId="168" fontId="4" fillId="0" borderId="0" xfId="1" applyNumberFormat="1" applyFont="1" applyFill="1" applyBorder="1"/>
    <xf numFmtId="168" fontId="0" fillId="0" borderId="0" xfId="1" applyNumberFormat="1" applyFont="1" applyFill="1"/>
    <xf numFmtId="168" fontId="0" fillId="0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1" xfId="0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6" fontId="4" fillId="0" borderId="1" xfId="0" applyNumberFormat="1" applyFont="1" applyBorder="1"/>
    <xf numFmtId="165" fontId="8" fillId="0" borderId="6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43" fontId="4" fillId="0" borderId="12" xfId="1" applyNumberFormat="1" applyFont="1" applyFill="1" applyBorder="1"/>
    <xf numFmtId="43" fontId="3" fillId="0" borderId="2" xfId="1" applyFont="1" applyFill="1" applyBorder="1" applyAlignment="1">
      <alignment horizontal="center" wrapText="1"/>
    </xf>
    <xf numFmtId="168" fontId="3" fillId="0" borderId="2" xfId="1" applyNumberFormat="1" applyFont="1" applyFill="1" applyBorder="1" applyAlignment="1">
      <alignment horizontal="center" wrapText="1"/>
    </xf>
    <xf numFmtId="168" fontId="4" fillId="0" borderId="15" xfId="1" applyNumberFormat="1" applyFont="1" applyFill="1" applyBorder="1"/>
    <xf numFmtId="168" fontId="4" fillId="0" borderId="12" xfId="1" applyNumberFormat="1" applyFont="1" applyFill="1" applyBorder="1"/>
    <xf numFmtId="168" fontId="8" fillId="0" borderId="12" xfId="1" applyNumberFormat="1" applyFont="1" applyFill="1" applyBorder="1"/>
    <xf numFmtId="168" fontId="0" fillId="0" borderId="15" xfId="1" applyNumberFormat="1" applyFont="1" applyFill="1" applyBorder="1"/>
    <xf numFmtId="168" fontId="0" fillId="0" borderId="17" xfId="1" applyNumberFormat="1" applyFont="1" applyFill="1" applyBorder="1"/>
    <xf numFmtId="168" fontId="0" fillId="0" borderId="16" xfId="1" applyNumberFormat="1" applyFont="1" applyFill="1" applyBorder="1"/>
    <xf numFmtId="164" fontId="3" fillId="0" borderId="2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4" fillId="0" borderId="12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0" fillId="0" borderId="16" xfId="1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4" fillId="0" borderId="1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4" fillId="0" borderId="19" xfId="1" applyNumberFormat="1" applyFont="1" applyFill="1" applyBorder="1"/>
    <xf numFmtId="0" fontId="4" fillId="0" borderId="20" xfId="0" applyFont="1" applyFill="1" applyBorder="1"/>
    <xf numFmtId="0" fontId="0" fillId="0" borderId="0" xfId="0" applyFill="1" applyBorder="1"/>
    <xf numFmtId="165" fontId="4" fillId="0" borderId="1" xfId="0" applyNumberFormat="1" applyFont="1" applyFill="1" applyBorder="1" applyAlignment="1">
      <alignment horizontal="right"/>
    </xf>
    <xf numFmtId="0" fontId="0" fillId="0" borderId="12" xfId="0" applyFont="1" applyFill="1" applyBorder="1"/>
    <xf numFmtId="0" fontId="0" fillId="0" borderId="0" xfId="0" applyFont="1" applyFill="1"/>
    <xf numFmtId="0" fontId="4" fillId="0" borderId="1" xfId="0" applyFont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6" fillId="0" borderId="12" xfId="0" applyFont="1" applyFill="1" applyBorder="1"/>
    <xf numFmtId="0" fontId="8" fillId="0" borderId="7" xfId="0" applyFont="1" applyFill="1" applyBorder="1"/>
    <xf numFmtId="0" fontId="6" fillId="0" borderId="0" xfId="0" applyFont="1" applyFill="1"/>
    <xf numFmtId="170" fontId="3" fillId="0" borderId="2" xfId="0" applyNumberFormat="1" applyFont="1" applyFill="1" applyBorder="1" applyAlignment="1">
      <alignment horizontal="center" wrapText="1"/>
    </xf>
    <xf numFmtId="170" fontId="4" fillId="0" borderId="1" xfId="0" applyNumberFormat="1" applyFont="1" applyFill="1" applyBorder="1"/>
    <xf numFmtId="170" fontId="4" fillId="0" borderId="0" xfId="0" applyNumberFormat="1" applyFont="1" applyFill="1" applyBorder="1"/>
    <xf numFmtId="164" fontId="3" fillId="0" borderId="2" xfId="1" applyNumberFormat="1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4" fontId="4" fillId="0" borderId="15" xfId="1" applyNumberFormat="1" applyFont="1" applyFill="1" applyBorder="1"/>
    <xf numFmtId="14" fontId="4" fillId="0" borderId="12" xfId="1" applyNumberFormat="1" applyFont="1" applyFill="1" applyBorder="1"/>
    <xf numFmtId="168" fontId="4" fillId="0" borderId="19" xfId="1" applyNumberFormat="1" applyFont="1" applyFill="1" applyBorder="1"/>
    <xf numFmtId="14" fontId="0" fillId="0" borderId="15" xfId="1" applyNumberFormat="1" applyFont="1" applyFill="1" applyBorder="1"/>
    <xf numFmtId="0" fontId="0" fillId="0" borderId="0" xfId="0" applyAlignment="1">
      <alignment horizontal="right"/>
    </xf>
    <xf numFmtId="43" fontId="0" fillId="0" borderId="0" xfId="0" applyNumberFormat="1"/>
    <xf numFmtId="0" fontId="7" fillId="0" borderId="1" xfId="0" applyFont="1" applyBorder="1" applyAlignment="1">
      <alignment horizontal="right"/>
    </xf>
    <xf numFmtId="0" fontId="10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4" fontId="4" fillId="0" borderId="0" xfId="1" applyNumberFormat="1" applyFont="1" applyFill="1" applyBorder="1"/>
    <xf numFmtId="164" fontId="4" fillId="0" borderId="17" xfId="1" applyNumberFormat="1" applyFont="1" applyFill="1" applyBorder="1"/>
    <xf numFmtId="14" fontId="4" fillId="0" borderId="17" xfId="1" applyNumberFormat="1" applyFont="1" applyFill="1" applyBorder="1"/>
    <xf numFmtId="168" fontId="4" fillId="0" borderId="17" xfId="1" applyNumberFormat="1" applyFont="1" applyFill="1" applyBorder="1"/>
    <xf numFmtId="14" fontId="4" fillId="0" borderId="1" xfId="1" applyNumberFormat="1" applyFont="1" applyFill="1" applyBorder="1"/>
    <xf numFmtId="0" fontId="0" fillId="0" borderId="1" xfId="0" applyFont="1" applyFill="1" applyBorder="1" applyAlignment="1">
      <alignment horizontal="right"/>
    </xf>
    <xf numFmtId="170" fontId="0" fillId="0" borderId="1" xfId="0" applyNumberFormat="1" applyFont="1" applyFill="1" applyBorder="1"/>
    <xf numFmtId="16" fontId="0" fillId="0" borderId="1" xfId="0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4" fontId="0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14" fontId="0" fillId="0" borderId="16" xfId="1" applyNumberFormat="1" applyFont="1" applyFill="1" applyBorder="1"/>
    <xf numFmtId="43" fontId="0" fillId="0" borderId="1" xfId="1" applyNumberFormat="1" applyFont="1" applyBorder="1"/>
    <xf numFmtId="0" fontId="7" fillId="0" borderId="11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14" fontId="10" fillId="0" borderId="1" xfId="0" applyNumberFormat="1" applyFont="1" applyBorder="1"/>
    <xf numFmtId="168" fontId="0" fillId="0" borderId="21" xfId="0" applyNumberFormat="1" applyFill="1" applyBorder="1"/>
    <xf numFmtId="0" fontId="7" fillId="0" borderId="0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9" fontId="10" fillId="0" borderId="0" xfId="0" applyNumberFormat="1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right"/>
    </xf>
    <xf numFmtId="168" fontId="0" fillId="0" borderId="1" xfId="0" applyNumberFormat="1" applyFill="1" applyBorder="1"/>
    <xf numFmtId="0" fontId="12" fillId="0" borderId="1" xfId="0" applyFont="1" applyFill="1" applyBorder="1" applyAlignment="1">
      <alignment horizontal="right"/>
    </xf>
    <xf numFmtId="169" fontId="10" fillId="0" borderId="1" xfId="0" applyNumberFormat="1" applyFont="1" applyBorder="1"/>
    <xf numFmtId="0" fontId="0" fillId="0" borderId="11" xfId="0" applyFill="1" applyBorder="1"/>
    <xf numFmtId="43" fontId="0" fillId="0" borderId="0" xfId="0" applyNumberFormat="1" applyBorder="1"/>
    <xf numFmtId="0" fontId="0" fillId="2" borderId="12" xfId="0" applyFont="1" applyFill="1" applyBorder="1"/>
    <xf numFmtId="165" fontId="4" fillId="2" borderId="6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2" xfId="1" applyNumberFormat="1" applyFont="1" applyFill="1" applyBorder="1"/>
    <xf numFmtId="168" fontId="4" fillId="2" borderId="12" xfId="1" applyNumberFormat="1" applyFont="1" applyFill="1" applyBorder="1"/>
    <xf numFmtId="0" fontId="4" fillId="2" borderId="7" xfId="0" applyFont="1" applyFill="1" applyBorder="1"/>
    <xf numFmtId="0" fontId="0" fillId="2" borderId="0" xfId="0" applyFont="1" applyFill="1"/>
    <xf numFmtId="14" fontId="4" fillId="2" borderId="12" xfId="1" applyNumberFormat="1" applyFont="1" applyFill="1" applyBorder="1"/>
    <xf numFmtId="164" fontId="4" fillId="2" borderId="1" xfId="1" applyNumberFormat="1" applyFont="1" applyFill="1" applyBorder="1"/>
    <xf numFmtId="16" fontId="4" fillId="2" borderId="1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14" fontId="0" fillId="0" borderId="0" xfId="1" applyNumberFormat="1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4" fontId="0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8" fontId="6" fillId="0" borderId="1" xfId="1" applyNumberFormat="1" applyFont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68" fontId="11" fillId="0" borderId="1" xfId="1" applyNumberFormat="1" applyFont="1" applyBorder="1" applyAlignment="1">
      <alignment vertical="center"/>
    </xf>
    <xf numFmtId="168" fontId="4" fillId="2" borderId="1" xfId="1" applyNumberFormat="1" applyFont="1" applyFill="1" applyBorder="1"/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7" fillId="0" borderId="1" xfId="0" applyFont="1" applyBorder="1"/>
    <xf numFmtId="14" fontId="3" fillId="0" borderId="2" xfId="1" applyNumberFormat="1" applyFont="1" applyFill="1" applyBorder="1" applyAlignment="1">
      <alignment horizontal="center" wrapText="1"/>
    </xf>
    <xf numFmtId="14" fontId="4" fillId="0" borderId="19" xfId="1" applyNumberFormat="1" applyFont="1" applyFill="1" applyBorder="1"/>
    <xf numFmtId="14" fontId="0" fillId="0" borderId="0" xfId="1" applyNumberFormat="1" applyFont="1" applyFill="1"/>
    <xf numFmtId="14" fontId="0" fillId="0" borderId="17" xfId="1" applyNumberFormat="1" applyFont="1" applyFill="1" applyBorder="1"/>
    <xf numFmtId="14" fontId="5" fillId="0" borderId="12" xfId="0" applyNumberFormat="1" applyFont="1" applyBorder="1"/>
    <xf numFmtId="164" fontId="4" fillId="0" borderId="15" xfId="1" applyNumberFormat="1" applyFont="1" applyFill="1" applyBorder="1" applyAlignment="1">
      <alignment horizontal="center"/>
    </xf>
    <xf numFmtId="164" fontId="4" fillId="0" borderId="12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17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4" fontId="9" fillId="0" borderId="1" xfId="1" applyNumberFormat="1" applyFont="1" applyBorder="1" applyAlignment="1">
      <alignment horizontal="center" wrapText="1"/>
    </xf>
    <xf numFmtId="14" fontId="6" fillId="0" borderId="1" xfId="1" applyNumberFormat="1" applyFont="1" applyBorder="1" applyAlignment="1">
      <alignment vertical="center"/>
    </xf>
    <xf numFmtId="43" fontId="4" fillId="0" borderId="17" xfId="1" applyNumberFormat="1" applyFont="1" applyFill="1" applyBorder="1"/>
    <xf numFmtId="43" fontId="5" fillId="0" borderId="12" xfId="0" applyNumberFormat="1" applyFont="1" applyBorder="1"/>
    <xf numFmtId="43" fontId="5" fillId="0" borderId="1" xfId="0" applyNumberFormat="1" applyFont="1" applyBorder="1"/>
    <xf numFmtId="14" fontId="5" fillId="0" borderId="1" xfId="0" applyNumberFormat="1" applyFont="1" applyBorder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68" fontId="0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8" fontId="0" fillId="0" borderId="0" xfId="0" applyNumberFormat="1" applyBorder="1" applyAlignment="1">
      <alignment horizontal="right" vertical="center"/>
    </xf>
    <xf numFmtId="171" fontId="0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43" fontId="7" fillId="0" borderId="0" xfId="0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168" fontId="13" fillId="0" borderId="1" xfId="1" applyNumberFormat="1" applyFont="1" applyBorder="1" applyAlignment="1">
      <alignment horizontal="center" wrapText="1"/>
    </xf>
    <xf numFmtId="14" fontId="13" fillId="0" borderId="1" xfId="1" applyNumberFormat="1" applyFont="1" applyBorder="1" applyAlignment="1">
      <alignment horizontal="center" wrapText="1"/>
    </xf>
    <xf numFmtId="168" fontId="14" fillId="0" borderId="1" xfId="1" applyNumberFormat="1" applyFont="1" applyFill="1" applyBorder="1" applyAlignment="1">
      <alignment horizontal="center" wrapText="1"/>
    </xf>
    <xf numFmtId="168" fontId="13" fillId="0" borderId="1" xfId="1" applyNumberFormat="1" applyFont="1" applyFill="1" applyBorder="1" applyAlignment="1">
      <alignment horizontal="center" wrapText="1"/>
    </xf>
    <xf numFmtId="1" fontId="0" fillId="0" borderId="0" xfId="0" applyNumberFormat="1" applyFont="1" applyBorder="1" applyAlignment="1">
      <alignment horizontal="center" vertical="center"/>
    </xf>
    <xf numFmtId="168" fontId="1" fillId="0" borderId="0" xfId="1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/>
    <xf numFmtId="0" fontId="12" fillId="0" borderId="1" xfId="0" applyFont="1" applyBorder="1" applyAlignment="1">
      <alignment wrapText="1"/>
    </xf>
    <xf numFmtId="0" fontId="10" fillId="0" borderId="1" xfId="0" applyFont="1" applyFill="1" applyBorder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43" fontId="0" fillId="0" borderId="1" xfId="0" applyNumberFormat="1" applyBorder="1"/>
    <xf numFmtId="168" fontId="0" fillId="0" borderId="1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3" xfId="1" applyNumberFormat="1" applyFont="1" applyBorder="1" applyAlignment="1">
      <alignment vertical="center"/>
    </xf>
    <xf numFmtId="0" fontId="13" fillId="0" borderId="0" xfId="0" applyFont="1" applyAlignment="1">
      <alignment horizontal="right" wrapText="1"/>
    </xf>
    <xf numFmtId="1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1" applyNumberFormat="1" applyFont="1" applyBorder="1" applyAlignment="1">
      <alignment vertical="center"/>
    </xf>
    <xf numFmtId="168" fontId="19" fillId="0" borderId="0" xfId="1" applyNumberFormat="1" applyFont="1" applyBorder="1" applyAlignment="1">
      <alignment vertical="center"/>
    </xf>
    <xf numFmtId="14" fontId="19" fillId="0" borderId="0" xfId="1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horizontal="left" vertical="center"/>
    </xf>
    <xf numFmtId="168" fontId="0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8" fontId="19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68" fontId="0" fillId="0" borderId="1" xfId="0" applyNumberForma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168" fontId="1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164" fontId="7" fillId="0" borderId="1" xfId="1" applyNumberFormat="1" applyFont="1" applyBorder="1" applyAlignment="1">
      <alignment wrapText="1"/>
    </xf>
    <xf numFmtId="164" fontId="0" fillId="0" borderId="0" xfId="1" applyNumberFormat="1" applyFont="1" applyBorder="1"/>
    <xf numFmtId="0" fontId="0" fillId="3" borderId="0" xfId="0" applyFill="1" applyBorder="1"/>
    <xf numFmtId="0" fontId="0" fillId="3" borderId="1" xfId="0" applyFill="1" applyBorder="1"/>
    <xf numFmtId="0" fontId="0" fillId="0" borderId="1" xfId="0" applyFont="1" applyBorder="1"/>
    <xf numFmtId="43" fontId="0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center" wrapText="1"/>
    </xf>
    <xf numFmtId="170" fontId="3" fillId="4" borderId="2" xfId="0" applyNumberFormat="1" applyFont="1" applyFill="1" applyBorder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43" fontId="3" fillId="4" borderId="2" xfId="1" applyFont="1" applyFill="1" applyBorder="1" applyAlignment="1">
      <alignment horizontal="center" wrapText="1"/>
    </xf>
    <xf numFmtId="168" fontId="3" fillId="4" borderId="2" xfId="1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170" fontId="4" fillId="4" borderId="1" xfId="0" applyNumberFormat="1" applyFont="1" applyFill="1" applyBorder="1"/>
    <xf numFmtId="16" fontId="4" fillId="4" borderId="4" xfId="0" applyNumberFormat="1" applyFont="1" applyFill="1" applyBorder="1"/>
    <xf numFmtId="168" fontId="4" fillId="4" borderId="4" xfId="1" applyNumberFormat="1" applyFont="1" applyFill="1" applyBorder="1"/>
    <xf numFmtId="164" fontId="4" fillId="4" borderId="15" xfId="1" applyNumberFormat="1" applyFont="1" applyFill="1" applyBorder="1"/>
    <xf numFmtId="43" fontId="4" fillId="4" borderId="15" xfId="1" applyFont="1" applyFill="1" applyBorder="1"/>
    <xf numFmtId="14" fontId="4" fillId="4" borderId="15" xfId="1" applyNumberFormat="1" applyFont="1" applyFill="1" applyBorder="1"/>
    <xf numFmtId="168" fontId="4" fillId="4" borderId="15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/>
    <xf numFmtId="168" fontId="4" fillId="4" borderId="1" xfId="1" applyNumberFormat="1" applyFont="1" applyFill="1" applyBorder="1"/>
    <xf numFmtId="164" fontId="4" fillId="4" borderId="12" xfId="1" applyNumberFormat="1" applyFont="1" applyFill="1" applyBorder="1"/>
    <xf numFmtId="43" fontId="4" fillId="4" borderId="12" xfId="1" applyFont="1" applyFill="1" applyBorder="1"/>
    <xf numFmtId="14" fontId="4" fillId="4" borderId="12" xfId="1" applyNumberFormat="1" applyFont="1" applyFill="1" applyBorder="1"/>
    <xf numFmtId="168" fontId="4" fillId="4" borderId="12" xfId="1" applyNumberFormat="1" applyFont="1" applyFill="1" applyBorder="1"/>
    <xf numFmtId="14" fontId="0" fillId="4" borderId="12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170" fontId="8" fillId="4" borderId="1" xfId="0" applyNumberFormat="1" applyFont="1" applyFill="1" applyBorder="1"/>
    <xf numFmtId="168" fontId="8" fillId="4" borderId="1" xfId="1" applyNumberFormat="1" applyFont="1" applyFill="1" applyBorder="1"/>
    <xf numFmtId="164" fontId="8" fillId="4" borderId="12" xfId="1" applyNumberFormat="1" applyFont="1" applyFill="1" applyBorder="1"/>
    <xf numFmtId="43" fontId="8" fillId="4" borderId="12" xfId="1" applyFont="1" applyFill="1" applyBorder="1"/>
    <xf numFmtId="168" fontId="8" fillId="4" borderId="12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170" fontId="4" fillId="4" borderId="9" xfId="0" applyNumberFormat="1" applyFont="1" applyFill="1" applyBorder="1"/>
    <xf numFmtId="168" fontId="4" fillId="4" borderId="9" xfId="1" applyNumberFormat="1" applyFont="1" applyFill="1" applyBorder="1"/>
    <xf numFmtId="164" fontId="4" fillId="4" borderId="16" xfId="1" applyNumberFormat="1" applyFont="1" applyFill="1" applyBorder="1"/>
    <xf numFmtId="43" fontId="4" fillId="4" borderId="16" xfId="1" applyFont="1" applyFill="1" applyBorder="1"/>
    <xf numFmtId="14" fontId="4" fillId="4" borderId="16" xfId="1" applyNumberFormat="1" applyFont="1" applyFill="1" applyBorder="1"/>
    <xf numFmtId="168" fontId="4" fillId="4" borderId="16" xfId="1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70" fontId="4" fillId="4" borderId="0" xfId="0" applyNumberFormat="1" applyFont="1" applyFill="1" applyBorder="1"/>
    <xf numFmtId="168" fontId="4" fillId="4" borderId="0" xfId="1" applyNumberFormat="1" applyFont="1" applyFill="1" applyBorder="1"/>
    <xf numFmtId="164" fontId="4" fillId="4" borderId="0" xfId="1" applyNumberFormat="1" applyFont="1" applyFill="1" applyBorder="1"/>
    <xf numFmtId="43" fontId="4" fillId="4" borderId="0" xfId="1" applyFont="1" applyFill="1" applyBorder="1"/>
    <xf numFmtId="170" fontId="4" fillId="4" borderId="4" xfId="0" applyNumberFormat="1" applyFont="1" applyFill="1" applyBorder="1"/>
    <xf numFmtId="0" fontId="4" fillId="4" borderId="11" xfId="0" applyFont="1" applyFill="1" applyBorder="1"/>
    <xf numFmtId="16" fontId="4" fillId="4" borderId="9" xfId="0" applyNumberFormat="1" applyFont="1" applyFill="1" applyBorder="1"/>
    <xf numFmtId="170" fontId="0" fillId="4" borderId="0" xfId="0" applyNumberFormat="1" applyFont="1" applyFill="1"/>
    <xf numFmtId="16" fontId="8" fillId="4" borderId="1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170" fontId="4" fillId="4" borderId="2" xfId="0" applyNumberFormat="1" applyFont="1" applyFill="1" applyBorder="1"/>
    <xf numFmtId="168" fontId="4" fillId="4" borderId="2" xfId="1" applyNumberFormat="1" applyFont="1" applyFill="1" applyBorder="1"/>
    <xf numFmtId="164" fontId="4" fillId="4" borderId="2" xfId="1" applyNumberFormat="1" applyFont="1" applyFill="1" applyBorder="1"/>
    <xf numFmtId="43" fontId="4" fillId="4" borderId="19" xfId="1" applyFont="1" applyFill="1" applyBorder="1"/>
    <xf numFmtId="164" fontId="4" fillId="4" borderId="19" xfId="1" applyNumberFormat="1" applyFont="1" applyFill="1" applyBorder="1"/>
    <xf numFmtId="168" fontId="4" fillId="4" borderId="19" xfId="1" applyNumberFormat="1" applyFont="1" applyFill="1" applyBorder="1"/>
    <xf numFmtId="16" fontId="4" fillId="4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168" fontId="0" fillId="4" borderId="0" xfId="1" applyNumberFormat="1" applyFont="1" applyFill="1"/>
    <xf numFmtId="164" fontId="0" fillId="4" borderId="0" xfId="1" applyNumberFormat="1" applyFont="1" applyFill="1"/>
    <xf numFmtId="43" fontId="0" fillId="4" borderId="0" xfId="1" applyFont="1" applyFill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170" fontId="0" fillId="4" borderId="4" xfId="0" applyNumberFormat="1" applyFont="1" applyFill="1" applyBorder="1"/>
    <xf numFmtId="16" fontId="0" fillId="4" borderId="4" xfId="0" applyNumberFormat="1" applyFont="1" applyFill="1" applyBorder="1"/>
    <xf numFmtId="0" fontId="5" fillId="4" borderId="1" xfId="0" applyFont="1" applyFill="1" applyBorder="1"/>
    <xf numFmtId="168" fontId="0" fillId="4" borderId="4" xfId="1" applyNumberFormat="1" applyFont="1" applyFill="1" applyBorder="1"/>
    <xf numFmtId="164" fontId="0" fillId="4" borderId="15" xfId="1" applyNumberFormat="1" applyFont="1" applyFill="1" applyBorder="1"/>
    <xf numFmtId="43" fontId="0" fillId="4" borderId="15" xfId="1" applyFont="1" applyFill="1" applyBorder="1"/>
    <xf numFmtId="14" fontId="0" fillId="4" borderId="15" xfId="1" applyNumberFormat="1" applyFont="1" applyFill="1" applyBorder="1"/>
    <xf numFmtId="168" fontId="0" fillId="4" borderId="15" xfId="1" applyNumberFormat="1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3" xfId="0" applyFont="1" applyFill="1" applyBorder="1"/>
    <xf numFmtId="170" fontId="0" fillId="4" borderId="13" xfId="0" applyNumberFormat="1" applyFont="1" applyFill="1" applyBorder="1"/>
    <xf numFmtId="168" fontId="0" fillId="4" borderId="13" xfId="1" applyNumberFormat="1" applyFont="1" applyFill="1" applyBorder="1"/>
    <xf numFmtId="164" fontId="0" fillId="4" borderId="17" xfId="1" applyNumberFormat="1" applyFont="1" applyFill="1" applyBorder="1"/>
    <xf numFmtId="43" fontId="0" fillId="4" borderId="17" xfId="1" applyFont="1" applyFill="1" applyBorder="1"/>
    <xf numFmtId="164" fontId="4" fillId="4" borderId="17" xfId="1" applyNumberFormat="1" applyFont="1" applyFill="1" applyBorder="1"/>
    <xf numFmtId="168" fontId="0" fillId="4" borderId="17" xfId="1" applyNumberFormat="1" applyFont="1" applyFill="1" applyBorder="1"/>
    <xf numFmtId="0" fontId="0" fillId="4" borderId="1" xfId="0" applyFont="1" applyFill="1" applyBorder="1" applyAlignment="1">
      <alignment horizontal="center"/>
    </xf>
    <xf numFmtId="16" fontId="0" fillId="4" borderId="13" xfId="0" applyNumberFormat="1" applyFont="1" applyFill="1" applyBorder="1"/>
    <xf numFmtId="0" fontId="0" fillId="4" borderId="9" xfId="0" applyFont="1" applyFill="1" applyBorder="1" applyAlignment="1">
      <alignment horizontal="center"/>
    </xf>
    <xf numFmtId="0" fontId="0" fillId="4" borderId="9" xfId="0" applyFont="1" applyFill="1" applyBorder="1"/>
    <xf numFmtId="170" fontId="0" fillId="4" borderId="9" xfId="0" applyNumberFormat="1" applyFont="1" applyFill="1" applyBorder="1"/>
    <xf numFmtId="168" fontId="0" fillId="4" borderId="9" xfId="1" applyNumberFormat="1" applyFont="1" applyFill="1" applyBorder="1"/>
    <xf numFmtId="164" fontId="0" fillId="4" borderId="16" xfId="1" applyNumberFormat="1" applyFont="1" applyFill="1" applyBorder="1"/>
    <xf numFmtId="43" fontId="0" fillId="4" borderId="16" xfId="1" applyFont="1" applyFill="1" applyBorder="1"/>
    <xf numFmtId="14" fontId="0" fillId="4" borderId="16" xfId="1" applyNumberFormat="1" applyFont="1" applyFill="1" applyBorder="1"/>
    <xf numFmtId="168" fontId="0" fillId="4" borderId="16" xfId="1" applyNumberFormat="1" applyFont="1" applyFill="1" applyBorder="1"/>
    <xf numFmtId="0" fontId="11" fillId="0" borderId="12" xfId="0" applyFont="1" applyBorder="1" applyAlignment="1">
      <alignment horizontal="right"/>
    </xf>
    <xf numFmtId="0" fontId="0" fillId="0" borderId="12" xfId="0" applyFont="1" applyBorder="1" applyAlignment="1">
      <alignment horizontal="right" vertical="center"/>
    </xf>
    <xf numFmtId="168" fontId="1" fillId="0" borderId="1" xfId="1" applyNumberFormat="1" applyFont="1" applyFill="1" applyBorder="1"/>
    <xf numFmtId="0" fontId="1" fillId="0" borderId="1" xfId="0" applyFont="1" applyFill="1" applyBorder="1"/>
    <xf numFmtId="168" fontId="1" fillId="0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2" xfId="0" applyBorder="1"/>
    <xf numFmtId="0" fontId="1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0" fillId="0" borderId="23" xfId="0" applyBorder="1"/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" xfId="0" applyBorder="1"/>
    <xf numFmtId="0" fontId="0" fillId="0" borderId="19" xfId="0" applyBorder="1"/>
    <xf numFmtId="0" fontId="10" fillId="0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7" fillId="0" borderId="21" xfId="0" applyFont="1" applyFill="1" applyBorder="1" applyAlignment="1">
      <alignment wrapText="1"/>
    </xf>
    <xf numFmtId="0" fontId="0" fillId="5" borderId="1" xfId="0" applyFill="1" applyBorder="1"/>
    <xf numFmtId="168" fontId="0" fillId="5" borderId="1" xfId="1" applyNumberFormat="1" applyFont="1" applyFill="1" applyBorder="1" applyAlignment="1">
      <alignment vertical="center"/>
    </xf>
    <xf numFmtId="43" fontId="0" fillId="5" borderId="1" xfId="0" applyNumberFormat="1" applyFill="1" applyBorder="1"/>
    <xf numFmtId="164" fontId="7" fillId="5" borderId="1" xfId="1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horizontal="right"/>
    </xf>
    <xf numFmtId="43" fontId="0" fillId="5" borderId="1" xfId="0" applyNumberFormat="1" applyFont="1" applyFill="1" applyBorder="1"/>
    <xf numFmtId="164" fontId="0" fillId="5" borderId="1" xfId="1" applyNumberFormat="1" applyFont="1" applyFill="1" applyBorder="1"/>
    <xf numFmtId="168" fontId="1" fillId="5" borderId="1" xfId="1" applyNumberFormat="1" applyFont="1" applyFill="1" applyBorder="1" applyAlignment="1">
      <alignment horizontal="right"/>
    </xf>
    <xf numFmtId="0" fontId="0" fillId="5" borderId="0" xfId="0" applyFill="1"/>
    <xf numFmtId="0" fontId="7" fillId="0" borderId="1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/>
    </xf>
    <xf numFmtId="0" fontId="0" fillId="0" borderId="0" xfId="0" applyFill="1"/>
    <xf numFmtId="0" fontId="0" fillId="8" borderId="1" xfId="0" applyFill="1" applyBorder="1"/>
    <xf numFmtId="168" fontId="0" fillId="8" borderId="1" xfId="1" applyNumberFormat="1" applyFont="1" applyFill="1" applyBorder="1" applyAlignment="1">
      <alignment vertical="center"/>
    </xf>
    <xf numFmtId="43" fontId="0" fillId="8" borderId="1" xfId="0" applyNumberFormat="1" applyFill="1" applyBorder="1"/>
    <xf numFmtId="0" fontId="7" fillId="8" borderId="1" xfId="0" applyFont="1" applyFill="1" applyBorder="1" applyAlignment="1">
      <alignment wrapText="1"/>
    </xf>
    <xf numFmtId="0" fontId="0" fillId="8" borderId="0" xfId="0" applyFill="1"/>
    <xf numFmtId="164" fontId="0" fillId="8" borderId="1" xfId="1" applyNumberFormat="1" applyFont="1" applyFill="1" applyBorder="1"/>
    <xf numFmtId="0" fontId="0" fillId="8" borderId="1" xfId="0" applyFont="1" applyFill="1" applyBorder="1"/>
    <xf numFmtId="168" fontId="1" fillId="8" borderId="1" xfId="1" applyNumberFormat="1" applyFont="1" applyFill="1" applyBorder="1"/>
    <xf numFmtId="43" fontId="0" fillId="8" borderId="1" xfId="0" applyNumberFormat="1" applyFont="1" applyFill="1" applyBorder="1"/>
    <xf numFmtId="168" fontId="0" fillId="8" borderId="1" xfId="1" applyNumberFormat="1" applyFont="1" applyFill="1" applyBorder="1" applyAlignment="1">
      <alignment horizontal="right"/>
    </xf>
    <xf numFmtId="43" fontId="0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168" fontId="1" fillId="8" borderId="1" xfId="1" applyNumberFormat="1" applyFont="1" applyFill="1" applyBorder="1" applyAlignment="1">
      <alignment horizontal="right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vertical="center"/>
    </xf>
    <xf numFmtId="43" fontId="0" fillId="9" borderId="1" xfId="0" applyNumberFormat="1" applyFill="1" applyBorder="1"/>
    <xf numFmtId="164" fontId="7" fillId="9" borderId="1" xfId="1" applyNumberFormat="1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9" borderId="0" xfId="0" applyFill="1"/>
    <xf numFmtId="164" fontId="0" fillId="9" borderId="1" xfId="1" applyNumberFormat="1" applyFont="1" applyFill="1" applyBorder="1"/>
    <xf numFmtId="0" fontId="0" fillId="9" borderId="1" xfId="0" applyFont="1" applyFill="1" applyBorder="1"/>
    <xf numFmtId="168" fontId="1" fillId="9" borderId="1" xfId="1" applyNumberFormat="1" applyFont="1" applyFill="1" applyBorder="1"/>
    <xf numFmtId="43" fontId="0" fillId="9" borderId="1" xfId="0" applyNumberFormat="1" applyFont="1" applyFill="1" applyBorder="1"/>
    <xf numFmtId="168" fontId="0" fillId="9" borderId="1" xfId="1" applyNumberFormat="1" applyFont="1" applyFill="1" applyBorder="1" applyAlignment="1">
      <alignment horizontal="right"/>
    </xf>
    <xf numFmtId="43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8" fontId="1" fillId="9" borderId="1" xfId="1" applyNumberFormat="1" applyFont="1" applyFill="1" applyBorder="1" applyAlignment="1">
      <alignment horizontal="right"/>
    </xf>
    <xf numFmtId="0" fontId="0" fillId="2" borderId="1" xfId="0" applyFill="1" applyBorder="1"/>
    <xf numFmtId="168" fontId="0" fillId="2" borderId="1" xfId="1" applyNumberFormat="1" applyFont="1" applyFill="1" applyBorder="1" applyAlignment="1">
      <alignment vertical="center"/>
    </xf>
    <xf numFmtId="43" fontId="0" fillId="2" borderId="1" xfId="0" applyNumberFormat="1" applyFill="1" applyBorder="1"/>
    <xf numFmtId="164" fontId="7" fillId="2" borderId="1" xfId="1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2" borderId="0" xfId="0" applyFill="1"/>
    <xf numFmtId="164" fontId="0" fillId="2" borderId="1" xfId="1" applyNumberFormat="1" applyFont="1" applyFill="1" applyBorder="1"/>
    <xf numFmtId="168" fontId="11" fillId="2" borderId="1" xfId="1" applyNumberFormat="1" applyFont="1" applyFill="1" applyBorder="1" applyAlignment="1">
      <alignment vertical="center"/>
    </xf>
    <xf numFmtId="0" fontId="0" fillId="2" borderId="1" xfId="0" applyFont="1" applyFill="1" applyBorder="1"/>
    <xf numFmtId="168" fontId="1" fillId="2" borderId="1" xfId="1" applyNumberFormat="1" applyFont="1" applyFill="1" applyBorder="1"/>
    <xf numFmtId="43" fontId="0" fillId="2" borderId="1" xfId="0" applyNumberFormat="1" applyFont="1" applyFill="1" applyBorder="1"/>
    <xf numFmtId="168" fontId="0" fillId="2" borderId="1" xfId="1" applyNumberFormat="1" applyFont="1" applyFill="1" applyBorder="1" applyAlignment="1">
      <alignment horizontal="right"/>
    </xf>
    <xf numFmtId="43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8" fontId="1" fillId="2" borderId="1" xfId="1" applyNumberFormat="1" applyFont="1" applyFill="1" applyBorder="1" applyAlignment="1">
      <alignment horizontal="right"/>
    </xf>
    <xf numFmtId="0" fontId="22" fillId="0" borderId="1" xfId="0" applyFont="1" applyFill="1" applyBorder="1"/>
    <xf numFmtId="168" fontId="22" fillId="0" borderId="1" xfId="1" applyNumberFormat="1" applyFont="1" applyFill="1" applyBorder="1" applyAlignment="1">
      <alignment vertical="center"/>
    </xf>
    <xf numFmtId="43" fontId="22" fillId="0" borderId="1" xfId="0" applyNumberFormat="1" applyFont="1" applyFill="1" applyBorder="1"/>
    <xf numFmtId="164" fontId="23" fillId="0" borderId="1" xfId="1" applyNumberFormat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2" fillId="0" borderId="0" xfId="0" applyFont="1" applyFill="1"/>
    <xf numFmtId="0" fontId="22" fillId="0" borderId="1" xfId="0" applyFont="1" applyFill="1" applyBorder="1" applyAlignment="1">
      <alignment horizontal="right"/>
    </xf>
    <xf numFmtId="164" fontId="22" fillId="0" borderId="1" xfId="1" applyNumberFormat="1" applyFont="1" applyFill="1" applyBorder="1"/>
    <xf numFmtId="43" fontId="22" fillId="0" borderId="1" xfId="0" applyNumberFormat="1" applyFont="1" applyFill="1" applyBorder="1" applyAlignment="1">
      <alignment horizontal="right"/>
    </xf>
    <xf numFmtId="0" fontId="0" fillId="11" borderId="1" xfId="0" applyFill="1" applyBorder="1"/>
    <xf numFmtId="168" fontId="0" fillId="11" borderId="1" xfId="1" applyNumberFormat="1" applyFont="1" applyFill="1" applyBorder="1" applyAlignment="1">
      <alignment vertical="center"/>
    </xf>
    <xf numFmtId="43" fontId="0" fillId="11" borderId="1" xfId="0" applyNumberFormat="1" applyFill="1" applyBorder="1"/>
    <xf numFmtId="164" fontId="0" fillId="11" borderId="1" xfId="1" applyNumberFormat="1" applyFont="1" applyFill="1" applyBorder="1"/>
    <xf numFmtId="0" fontId="7" fillId="11" borderId="1" xfId="0" applyFont="1" applyFill="1" applyBorder="1" applyAlignment="1">
      <alignment wrapText="1"/>
    </xf>
    <xf numFmtId="0" fontId="0" fillId="11" borderId="0" xfId="0" applyFill="1"/>
    <xf numFmtId="0" fontId="0" fillId="11" borderId="1" xfId="0" applyFont="1" applyFill="1" applyBorder="1"/>
    <xf numFmtId="0" fontId="0" fillId="11" borderId="1" xfId="0" applyFont="1" applyFill="1" applyBorder="1" applyAlignment="1">
      <alignment horizontal="right"/>
    </xf>
    <xf numFmtId="43" fontId="0" fillId="11" borderId="1" xfId="0" applyNumberFormat="1" applyFont="1" applyFill="1" applyBorder="1" applyAlignment="1">
      <alignment horizontal="right"/>
    </xf>
    <xf numFmtId="168" fontId="0" fillId="11" borderId="1" xfId="1" applyNumberFormat="1" applyFont="1" applyFill="1" applyBorder="1" applyAlignment="1">
      <alignment horizontal="right"/>
    </xf>
    <xf numFmtId="0" fontId="7" fillId="8" borderId="1" xfId="0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 vertical="center"/>
    </xf>
    <xf numFmtId="0" fontId="13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 vertical="center"/>
    </xf>
    <xf numFmtId="0" fontId="13" fillId="11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12" xfId="0" applyBorder="1"/>
    <xf numFmtId="0" fontId="20" fillId="12" borderId="1" xfId="0" applyFont="1" applyFill="1" applyBorder="1"/>
    <xf numFmtId="0" fontId="0" fillId="13" borderId="1" xfId="0" applyFill="1" applyBorder="1"/>
    <xf numFmtId="0" fontId="0" fillId="13" borderId="1" xfId="0" applyFont="1" applyFill="1" applyBorder="1" applyAlignment="1">
      <alignment horizontal="center" vertical="center"/>
    </xf>
    <xf numFmtId="0" fontId="0" fillId="13" borderId="22" xfId="0" applyFill="1" applyBorder="1"/>
    <xf numFmtId="0" fontId="0" fillId="13" borderId="24" xfId="0" applyFill="1" applyBorder="1"/>
    <xf numFmtId="0" fontId="0" fillId="0" borderId="2" xfId="0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wrapText="1"/>
    </xf>
    <xf numFmtId="0" fontId="0" fillId="8" borderId="6" xfId="0" applyFill="1" applyBorder="1"/>
    <xf numFmtId="0" fontId="0" fillId="8" borderId="6" xfId="0" applyFont="1" applyFill="1" applyBorder="1"/>
    <xf numFmtId="0" fontId="0" fillId="8" borderId="8" xfId="0" applyFont="1" applyFill="1" applyBorder="1"/>
    <xf numFmtId="0" fontId="13" fillId="8" borderId="9" xfId="0" applyFont="1" applyFill="1" applyBorder="1" applyAlignment="1">
      <alignment horizontal="right"/>
    </xf>
    <xf numFmtId="168" fontId="1" fillId="8" borderId="9" xfId="1" applyNumberFormat="1" applyFont="1" applyFill="1" applyBorder="1" applyAlignment="1">
      <alignment horizontal="right"/>
    </xf>
    <xf numFmtId="43" fontId="0" fillId="8" borderId="9" xfId="0" applyNumberFormat="1" applyFont="1" applyFill="1" applyBorder="1"/>
    <xf numFmtId="0" fontId="0" fillId="8" borderId="9" xfId="0" applyFont="1" applyFill="1" applyBorder="1"/>
    <xf numFmtId="0" fontId="0" fillId="8" borderId="9" xfId="0" applyFill="1" applyBorder="1"/>
    <xf numFmtId="164" fontId="0" fillId="8" borderId="9" xfId="1" applyNumberFormat="1" applyFont="1" applyFill="1" applyBorder="1"/>
    <xf numFmtId="0" fontId="7" fillId="8" borderId="9" xfId="0" applyFont="1" applyFill="1" applyBorder="1" applyAlignment="1">
      <alignment wrapText="1"/>
    </xf>
    <xf numFmtId="0" fontId="0" fillId="2" borderId="13" xfId="0" applyFill="1" applyBorder="1"/>
    <xf numFmtId="0" fontId="7" fillId="2" borderId="13" xfId="0" applyFont="1" applyFill="1" applyBorder="1" applyAlignment="1">
      <alignment wrapText="1"/>
    </xf>
    <xf numFmtId="0" fontId="0" fillId="9" borderId="3" xfId="0" applyFill="1" applyBorder="1"/>
    <xf numFmtId="0" fontId="7" fillId="9" borderId="4" xfId="0" applyFont="1" applyFill="1" applyBorder="1" applyAlignment="1">
      <alignment horizontal="right" vertical="center"/>
    </xf>
    <xf numFmtId="168" fontId="0" fillId="9" borderId="4" xfId="1" applyNumberFormat="1" applyFont="1" applyFill="1" applyBorder="1" applyAlignment="1">
      <alignment vertical="center"/>
    </xf>
    <xf numFmtId="43" fontId="0" fillId="9" borderId="4" xfId="0" applyNumberFormat="1" applyFill="1" applyBorder="1"/>
    <xf numFmtId="0" fontId="0" fillId="9" borderId="4" xfId="0" applyFill="1" applyBorder="1"/>
    <xf numFmtId="164" fontId="7" fillId="9" borderId="4" xfId="1" applyNumberFormat="1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0" fillId="9" borderId="6" xfId="0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13" fillId="9" borderId="9" xfId="0" applyFont="1" applyFill="1" applyBorder="1" applyAlignment="1">
      <alignment horizontal="right"/>
    </xf>
    <xf numFmtId="168" fontId="1" fillId="9" borderId="9" xfId="1" applyNumberFormat="1" applyFont="1" applyFill="1" applyBorder="1" applyAlignment="1">
      <alignment horizontal="right"/>
    </xf>
    <xf numFmtId="43" fontId="0" fillId="9" borderId="9" xfId="0" applyNumberFormat="1" applyFont="1" applyFill="1" applyBorder="1"/>
    <xf numFmtId="0" fontId="0" fillId="9" borderId="9" xfId="0" applyFont="1" applyFill="1" applyBorder="1"/>
    <xf numFmtId="0" fontId="0" fillId="9" borderId="9" xfId="0" applyFill="1" applyBorder="1"/>
    <xf numFmtId="164" fontId="0" fillId="9" borderId="9" xfId="1" applyNumberFormat="1" applyFont="1" applyFill="1" applyBorder="1"/>
    <xf numFmtId="0" fontId="7" fillId="9" borderId="9" xfId="0" applyFont="1" applyFill="1" applyBorder="1" applyAlignment="1">
      <alignment wrapText="1"/>
    </xf>
    <xf numFmtId="0" fontId="0" fillId="2" borderId="3" xfId="0" applyFill="1" applyBorder="1"/>
    <xf numFmtId="0" fontId="7" fillId="2" borderId="4" xfId="0" applyFont="1" applyFill="1" applyBorder="1" applyAlignment="1">
      <alignment horizontal="right" vertical="center"/>
    </xf>
    <xf numFmtId="168" fontId="0" fillId="2" borderId="4" xfId="1" applyNumberFormat="1" applyFont="1" applyFill="1" applyBorder="1" applyAlignment="1">
      <alignment vertical="center"/>
    </xf>
    <xf numFmtId="43" fontId="0" fillId="2" borderId="4" xfId="0" applyNumberFormat="1" applyFill="1" applyBorder="1"/>
    <xf numFmtId="0" fontId="0" fillId="2" borderId="4" xfId="0" applyFill="1" applyBorder="1"/>
    <xf numFmtId="164" fontId="7" fillId="2" borderId="4" xfId="1" applyNumberFormat="1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2" borderId="6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13" fillId="2" borderId="9" xfId="0" applyFont="1" applyFill="1" applyBorder="1" applyAlignment="1">
      <alignment horizontal="right"/>
    </xf>
    <xf numFmtId="168" fontId="1" fillId="2" borderId="9" xfId="1" applyNumberFormat="1" applyFont="1" applyFill="1" applyBorder="1" applyAlignment="1">
      <alignment horizontal="right"/>
    </xf>
    <xf numFmtId="43" fontId="0" fillId="2" borderId="9" xfId="0" applyNumberFormat="1" applyFont="1" applyFill="1" applyBorder="1"/>
    <xf numFmtId="0" fontId="0" fillId="2" borderId="9" xfId="0" applyFont="1" applyFill="1" applyBorder="1"/>
    <xf numFmtId="0" fontId="0" fillId="2" borderId="9" xfId="0" applyFill="1" applyBorder="1"/>
    <xf numFmtId="164" fontId="0" fillId="2" borderId="9" xfId="1" applyNumberFormat="1" applyFont="1" applyFill="1" applyBorder="1"/>
    <xf numFmtId="0" fontId="7" fillId="2" borderId="9" xfId="0" applyFont="1" applyFill="1" applyBorder="1" applyAlignment="1">
      <alignment wrapText="1"/>
    </xf>
    <xf numFmtId="0" fontId="0" fillId="11" borderId="13" xfId="0" applyFill="1" applyBorder="1"/>
    <xf numFmtId="0" fontId="7" fillId="11" borderId="13" xfId="0" applyFont="1" applyFill="1" applyBorder="1" applyAlignment="1">
      <alignment horizontal="right" vertical="center"/>
    </xf>
    <xf numFmtId="168" fontId="0" fillId="11" borderId="13" xfId="1" applyNumberFormat="1" applyFont="1" applyFill="1" applyBorder="1" applyAlignment="1">
      <alignment vertical="center"/>
    </xf>
    <xf numFmtId="43" fontId="0" fillId="11" borderId="13" xfId="0" applyNumberFormat="1" applyFill="1" applyBorder="1"/>
    <xf numFmtId="164" fontId="7" fillId="11" borderId="13" xfId="1" applyNumberFormat="1" applyFont="1" applyFill="1" applyBorder="1" applyAlignment="1">
      <alignment wrapText="1"/>
    </xf>
    <xf numFmtId="0" fontId="7" fillId="11" borderId="13" xfId="0" applyFont="1" applyFill="1" applyBorder="1" applyAlignment="1">
      <alignment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8" borderId="3" xfId="0" applyFont="1" applyFill="1" applyBorder="1"/>
    <xf numFmtId="0" fontId="13" fillId="8" borderId="4" xfId="0" applyFont="1" applyFill="1" applyBorder="1" applyAlignment="1">
      <alignment horizontal="right"/>
    </xf>
    <xf numFmtId="168" fontId="1" fillId="8" borderId="4" xfId="1" applyNumberFormat="1" applyFont="1" applyFill="1" applyBorder="1"/>
    <xf numFmtId="43" fontId="0" fillId="8" borderId="4" xfId="0" applyNumberFormat="1" applyFont="1" applyFill="1" applyBorder="1"/>
    <xf numFmtId="0" fontId="0" fillId="8" borderId="4" xfId="0" applyFont="1" applyFill="1" applyBorder="1"/>
    <xf numFmtId="0" fontId="0" fillId="8" borderId="4" xfId="0" applyFill="1" applyBorder="1"/>
    <xf numFmtId="164" fontId="0" fillId="8" borderId="4" xfId="1" applyNumberFormat="1" applyFont="1" applyFill="1" applyBorder="1"/>
    <xf numFmtId="0" fontId="7" fillId="8" borderId="4" xfId="0" applyFont="1" applyFill="1" applyBorder="1" applyAlignment="1">
      <alignment wrapText="1"/>
    </xf>
    <xf numFmtId="0" fontId="0" fillId="8" borderId="3" xfId="0" applyFill="1" applyBorder="1"/>
    <xf numFmtId="0" fontId="7" fillId="8" borderId="4" xfId="0" applyFont="1" applyFill="1" applyBorder="1" applyAlignment="1">
      <alignment horizontal="right" vertical="center"/>
    </xf>
    <xf numFmtId="168" fontId="0" fillId="8" borderId="4" xfId="1" applyNumberFormat="1" applyFont="1" applyFill="1" applyBorder="1" applyAlignment="1">
      <alignment vertical="center"/>
    </xf>
    <xf numFmtId="43" fontId="0" fillId="8" borderId="4" xfId="0" applyNumberFormat="1" applyFill="1" applyBorder="1"/>
    <xf numFmtId="0" fontId="0" fillId="8" borderId="8" xfId="0" applyFill="1" applyBorder="1"/>
    <xf numFmtId="0" fontId="7" fillId="8" borderId="9" xfId="0" applyFont="1" applyFill="1" applyBorder="1" applyAlignment="1">
      <alignment horizontal="right" vertical="center"/>
    </xf>
    <xf numFmtId="168" fontId="0" fillId="8" borderId="9" xfId="1" applyNumberFormat="1" applyFont="1" applyFill="1" applyBorder="1" applyAlignment="1">
      <alignment vertical="center"/>
    </xf>
    <xf numFmtId="43" fontId="0" fillId="8" borderId="9" xfId="0" applyNumberFormat="1" applyFill="1" applyBorder="1"/>
    <xf numFmtId="0" fontId="0" fillId="9" borderId="8" xfId="0" applyFill="1" applyBorder="1"/>
    <xf numFmtId="0" fontId="7" fillId="9" borderId="9" xfId="0" applyFont="1" applyFill="1" applyBorder="1" applyAlignment="1">
      <alignment horizontal="right" vertical="center"/>
    </xf>
    <xf numFmtId="168" fontId="0" fillId="9" borderId="9" xfId="1" applyNumberFormat="1" applyFont="1" applyFill="1" applyBorder="1" applyAlignment="1">
      <alignment vertical="center"/>
    </xf>
    <xf numFmtId="43" fontId="0" fillId="9" borderId="9" xfId="0" applyNumberFormat="1" applyFill="1" applyBorder="1"/>
    <xf numFmtId="0" fontId="0" fillId="9" borderId="3" xfId="0" applyFont="1" applyFill="1" applyBorder="1"/>
    <xf numFmtId="0" fontId="13" fillId="9" borderId="4" xfId="0" applyFont="1" applyFill="1" applyBorder="1" applyAlignment="1">
      <alignment horizontal="right"/>
    </xf>
    <xf numFmtId="168" fontId="1" fillId="9" borderId="4" xfId="1" applyNumberFormat="1" applyFont="1" applyFill="1" applyBorder="1"/>
    <xf numFmtId="43" fontId="0" fillId="9" borderId="4" xfId="0" applyNumberFormat="1" applyFont="1" applyFill="1" applyBorder="1"/>
    <xf numFmtId="0" fontId="0" fillId="9" borderId="4" xfId="0" applyFont="1" applyFill="1" applyBorder="1"/>
    <xf numFmtId="164" fontId="0" fillId="9" borderId="4" xfId="1" applyNumberFormat="1" applyFont="1" applyFill="1" applyBorder="1"/>
    <xf numFmtId="0" fontId="0" fillId="2" borderId="25" xfId="0" applyFont="1" applyFill="1" applyBorder="1"/>
    <xf numFmtId="0" fontId="13" fillId="2" borderId="13" xfId="0" applyFont="1" applyFill="1" applyBorder="1" applyAlignment="1">
      <alignment horizontal="right"/>
    </xf>
    <xf numFmtId="168" fontId="1" fillId="2" borderId="13" xfId="1" applyNumberFormat="1" applyFont="1" applyFill="1" applyBorder="1"/>
    <xf numFmtId="43" fontId="0" fillId="2" borderId="13" xfId="0" applyNumberFormat="1" applyFont="1" applyFill="1" applyBorder="1"/>
    <xf numFmtId="0" fontId="0" fillId="2" borderId="13" xfId="0" applyFont="1" applyFill="1" applyBorder="1"/>
    <xf numFmtId="164" fontId="0" fillId="2" borderId="13" xfId="1" applyNumberFormat="1" applyFont="1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right" vertical="center"/>
    </xf>
    <xf numFmtId="168" fontId="0" fillId="2" borderId="9" xfId="1" applyNumberFormat="1" applyFont="1" applyFill="1" applyBorder="1" applyAlignment="1">
      <alignment vertical="center"/>
    </xf>
    <xf numFmtId="43" fontId="0" fillId="2" borderId="9" xfId="0" applyNumberFormat="1" applyFill="1" applyBorder="1"/>
    <xf numFmtId="0" fontId="0" fillId="8" borderId="25" xfId="0" applyFill="1" applyBorder="1"/>
    <xf numFmtId="0" fontId="7" fillId="8" borderId="13" xfId="0" applyFont="1" applyFill="1" applyBorder="1" applyAlignment="1">
      <alignment horizontal="right" vertical="center"/>
    </xf>
    <xf numFmtId="168" fontId="0" fillId="8" borderId="13" xfId="1" applyNumberFormat="1" applyFont="1" applyFill="1" applyBorder="1" applyAlignment="1">
      <alignment vertical="center"/>
    </xf>
    <xf numFmtId="43" fontId="0" fillId="8" borderId="13" xfId="0" applyNumberFormat="1" applyFill="1" applyBorder="1"/>
    <xf numFmtId="0" fontId="0" fillId="8" borderId="13" xfId="0" applyFill="1" applyBorder="1"/>
    <xf numFmtId="164" fontId="0" fillId="8" borderId="13" xfId="1" applyNumberFormat="1" applyFont="1" applyFill="1" applyBorder="1"/>
    <xf numFmtId="0" fontId="7" fillId="8" borderId="13" xfId="0" applyFont="1" applyFill="1" applyBorder="1" applyAlignment="1">
      <alignment wrapText="1"/>
    </xf>
    <xf numFmtId="0" fontId="0" fillId="8" borderId="0" xfId="0" applyFill="1" applyBorder="1"/>
    <xf numFmtId="0" fontId="0" fillId="8" borderId="25" xfId="0" applyFont="1" applyFill="1" applyBorder="1"/>
    <xf numFmtId="0" fontId="13" fillId="8" borderId="13" xfId="0" applyFont="1" applyFill="1" applyBorder="1" applyAlignment="1">
      <alignment horizontal="right"/>
    </xf>
    <xf numFmtId="0" fontId="0" fillId="8" borderId="4" xfId="0" applyFont="1" applyFill="1" applyBorder="1" applyAlignment="1">
      <alignment wrapText="1"/>
    </xf>
    <xf numFmtId="168" fontId="0" fillId="8" borderId="13" xfId="1" applyNumberFormat="1" applyFont="1" applyFill="1" applyBorder="1" applyAlignment="1">
      <alignment horizontal="right"/>
    </xf>
    <xf numFmtId="43" fontId="0" fillId="8" borderId="13" xfId="0" applyNumberFormat="1" applyFont="1" applyFill="1" applyBorder="1" applyAlignment="1">
      <alignment horizontal="right"/>
    </xf>
    <xf numFmtId="0" fontId="0" fillId="8" borderId="13" xfId="0" applyFont="1" applyFill="1" applyBorder="1" applyAlignment="1">
      <alignment horizontal="right"/>
    </xf>
    <xf numFmtId="0" fontId="2" fillId="14" borderId="26" xfId="0" applyFont="1" applyFill="1" applyBorder="1"/>
    <xf numFmtId="0" fontId="0" fillId="14" borderId="0" xfId="0" applyFill="1"/>
    <xf numFmtId="0" fontId="24" fillId="15" borderId="27" xfId="0" applyFont="1" applyFill="1" applyBorder="1" applyAlignment="1">
      <alignment horizontal="center"/>
    </xf>
    <xf numFmtId="0" fontId="24" fillId="0" borderId="27" xfId="0" applyFont="1" applyBorder="1" applyAlignment="1">
      <alignment horizontal="left"/>
    </xf>
    <xf numFmtId="0" fontId="26" fillId="0" borderId="0" xfId="3" applyFont="1"/>
    <xf numFmtId="0" fontId="7" fillId="13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3" applyFont="1" applyFill="1"/>
    <xf numFmtId="0" fontId="0" fillId="13" borderId="1" xfId="0" applyFont="1" applyFill="1" applyBorder="1"/>
    <xf numFmtId="0" fontId="0" fillId="0" borderId="13" xfId="0" applyFont="1" applyBorder="1" applyAlignment="1">
      <alignment horizontal="center" vertical="center"/>
    </xf>
    <xf numFmtId="0" fontId="7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168" fontId="0" fillId="14" borderId="0" xfId="1" applyNumberFormat="1" applyFont="1" applyFill="1" applyBorder="1" applyAlignment="1">
      <alignment vertical="center"/>
    </xf>
    <xf numFmtId="14" fontId="0" fillId="14" borderId="0" xfId="1" applyNumberFormat="1" applyFont="1" applyFill="1" applyBorder="1" applyAlignment="1">
      <alignment vertical="center"/>
    </xf>
    <xf numFmtId="0" fontId="24" fillId="2" borderId="27" xfId="0" applyFont="1" applyFill="1" applyBorder="1" applyAlignment="1">
      <alignment horizontal="left"/>
    </xf>
    <xf numFmtId="0" fontId="26" fillId="2" borderId="0" xfId="3" applyFont="1" applyFill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27" fillId="0" borderId="0" xfId="0" applyFont="1" applyBorder="1" applyAlignment="1">
      <alignment horizontal="left" vertical="center"/>
    </xf>
    <xf numFmtId="164" fontId="1" fillId="8" borderId="4" xfId="1" applyNumberFormat="1" applyFont="1" applyFill="1" applyBorder="1" applyAlignment="1">
      <alignment wrapText="1"/>
    </xf>
    <xf numFmtId="164" fontId="1" fillId="8" borderId="1" xfId="1" applyNumberFormat="1" applyFont="1" applyFill="1" applyBorder="1" applyAlignment="1">
      <alignment wrapText="1"/>
    </xf>
    <xf numFmtId="0" fontId="0" fillId="1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29" fillId="17" borderId="27" xfId="0" applyFont="1" applyFill="1" applyBorder="1" applyAlignment="1">
      <alignment horizontal="left"/>
    </xf>
    <xf numFmtId="0" fontId="30" fillId="17" borderId="0" xfId="3" applyFont="1" applyFill="1"/>
    <xf numFmtId="0" fontId="24" fillId="16" borderId="27" xfId="0" applyFont="1" applyFill="1" applyBorder="1" applyAlignment="1">
      <alignment horizontal="left"/>
    </xf>
    <xf numFmtId="0" fontId="26" fillId="16" borderId="0" xfId="3" applyFont="1" applyFill="1"/>
    <xf numFmtId="0" fontId="31" fillId="12" borderId="1" xfId="0" applyFont="1" applyFill="1" applyBorder="1"/>
    <xf numFmtId="0" fontId="10" fillId="0" borderId="1" xfId="0" applyFont="1" applyBorder="1" applyAlignment="1">
      <alignment horizontal="right"/>
    </xf>
    <xf numFmtId="0" fontId="10" fillId="13" borderId="1" xfId="0" applyFont="1" applyFill="1" applyBorder="1" applyAlignment="1">
      <alignment horizontal="right"/>
    </xf>
    <xf numFmtId="0" fontId="29" fillId="12" borderId="27" xfId="0" applyFont="1" applyFill="1" applyBorder="1" applyAlignment="1">
      <alignment horizontal="left"/>
    </xf>
    <xf numFmtId="0" fontId="30" fillId="12" borderId="0" xfId="3" applyFont="1" applyFill="1"/>
    <xf numFmtId="0" fontId="7" fillId="0" borderId="1" xfId="0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9" fillId="6" borderId="27" xfId="0" applyFont="1" applyFill="1" applyBorder="1" applyAlignment="1">
      <alignment horizontal="left"/>
    </xf>
    <xf numFmtId="0" fontId="30" fillId="6" borderId="0" xfId="3" applyFont="1" applyFill="1"/>
    <xf numFmtId="0" fontId="29" fillId="5" borderId="27" xfId="0" applyFont="1" applyFill="1" applyBorder="1" applyAlignment="1">
      <alignment horizontal="left"/>
    </xf>
    <xf numFmtId="0" fontId="30" fillId="5" borderId="0" xfId="3" applyFont="1" applyFill="1"/>
    <xf numFmtId="0" fontId="31" fillId="12" borderId="12" xfId="0" applyFont="1" applyFill="1" applyBorder="1"/>
    <xf numFmtId="0" fontId="10" fillId="0" borderId="12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20" fillId="12" borderId="6" xfId="0" applyFont="1" applyFill="1" applyBorder="1"/>
    <xf numFmtId="0" fontId="31" fillId="12" borderId="7" xfId="0" applyFont="1" applyFill="1" applyBorder="1"/>
    <xf numFmtId="0" fontId="7" fillId="0" borderId="6" xfId="0" applyFont="1" applyBorder="1" applyAlignment="1">
      <alignment horizontal="center" vertical="center"/>
    </xf>
    <xf numFmtId="0" fontId="10" fillId="0" borderId="7" xfId="0" applyFont="1" applyBorder="1"/>
    <xf numFmtId="0" fontId="7" fillId="13" borderId="6" xfId="0" applyFont="1" applyFill="1" applyBorder="1" applyAlignment="1">
      <alignment horizontal="center" vertical="center"/>
    </xf>
    <xf numFmtId="0" fontId="10" fillId="13" borderId="7" xfId="0" applyFont="1" applyFill="1" applyBorder="1"/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/>
    <xf numFmtId="0" fontId="20" fillId="12" borderId="12" xfId="0" applyFont="1" applyFill="1" applyBorder="1"/>
    <xf numFmtId="0" fontId="0" fillId="13" borderId="12" xfId="0" applyFill="1" applyBorder="1"/>
    <xf numFmtId="0" fontId="10" fillId="0" borderId="7" xfId="0" applyFont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0" fillId="12" borderId="22" xfId="0" applyFont="1" applyFill="1" applyBorder="1"/>
    <xf numFmtId="0" fontId="0" fillId="0" borderId="22" xfId="0" applyFont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13" borderId="2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0" fillId="12" borderId="7" xfId="0" applyFont="1" applyFill="1" applyBorder="1"/>
    <xf numFmtId="0" fontId="0" fillId="0" borderId="7" xfId="0" applyFont="1" applyBorder="1"/>
    <xf numFmtId="0" fontId="22" fillId="0" borderId="3" xfId="0" applyFont="1" applyFill="1" applyBorder="1"/>
    <xf numFmtId="0" fontId="23" fillId="0" borderId="4" xfId="0" applyFont="1" applyFill="1" applyBorder="1" applyAlignment="1">
      <alignment horizontal="right" vertical="center"/>
    </xf>
    <xf numFmtId="168" fontId="22" fillId="0" borderId="4" xfId="1" applyNumberFormat="1" applyFont="1" applyFill="1" applyBorder="1" applyAlignment="1">
      <alignment vertical="center"/>
    </xf>
    <xf numFmtId="43" fontId="22" fillId="0" borderId="4" xfId="0" applyNumberFormat="1" applyFont="1" applyFill="1" applyBorder="1"/>
    <xf numFmtId="0" fontId="22" fillId="0" borderId="4" xfId="0" applyFont="1" applyFill="1" applyBorder="1"/>
    <xf numFmtId="164" fontId="22" fillId="0" borderId="4" xfId="1" applyNumberFormat="1" applyFont="1" applyFill="1" applyBorder="1"/>
    <xf numFmtId="0" fontId="23" fillId="0" borderId="4" xfId="0" applyFont="1" applyFill="1" applyBorder="1" applyAlignment="1">
      <alignment wrapText="1"/>
    </xf>
    <xf numFmtId="0" fontId="0" fillId="18" borderId="6" xfId="0" applyFill="1" applyBorder="1"/>
    <xf numFmtId="0" fontId="7" fillId="18" borderId="1" xfId="0" applyFont="1" applyFill="1" applyBorder="1" applyAlignment="1">
      <alignment horizontal="right" vertical="center"/>
    </xf>
    <xf numFmtId="168" fontId="0" fillId="18" borderId="1" xfId="1" applyNumberFormat="1" applyFont="1" applyFill="1" applyBorder="1" applyAlignment="1">
      <alignment vertical="center"/>
    </xf>
    <xf numFmtId="43" fontId="0" fillId="18" borderId="1" xfId="0" applyNumberFormat="1" applyFill="1" applyBorder="1"/>
    <xf numFmtId="0" fontId="0" fillId="18" borderId="1" xfId="0" applyFill="1" applyBorder="1"/>
    <xf numFmtId="164" fontId="0" fillId="18" borderId="1" xfId="1" applyNumberFormat="1" applyFont="1" applyFill="1" applyBorder="1"/>
    <xf numFmtId="0" fontId="7" fillId="18" borderId="1" xfId="0" applyFont="1" applyFill="1" applyBorder="1" applyAlignment="1">
      <alignment wrapText="1"/>
    </xf>
    <xf numFmtId="0" fontId="0" fillId="18" borderId="0" xfId="0" applyFill="1"/>
    <xf numFmtId="0" fontId="0" fillId="18" borderId="8" xfId="0" applyFill="1" applyBorder="1"/>
    <xf numFmtId="0" fontId="7" fillId="18" borderId="9" xfId="0" applyFont="1" applyFill="1" applyBorder="1" applyAlignment="1">
      <alignment horizontal="right" vertical="center"/>
    </xf>
    <xf numFmtId="168" fontId="0" fillId="18" borderId="9" xfId="1" applyNumberFormat="1" applyFont="1" applyFill="1" applyBorder="1" applyAlignment="1">
      <alignment vertical="center"/>
    </xf>
    <xf numFmtId="43" fontId="0" fillId="18" borderId="9" xfId="0" applyNumberFormat="1" applyFill="1" applyBorder="1"/>
    <xf numFmtId="0" fontId="0" fillId="18" borderId="9" xfId="0" applyFill="1" applyBorder="1"/>
    <xf numFmtId="164" fontId="0" fillId="18" borderId="9" xfId="1" applyNumberFormat="1" applyFont="1" applyFill="1" applyBorder="1"/>
    <xf numFmtId="0" fontId="7" fillId="18" borderId="9" xfId="0" applyFont="1" applyFill="1" applyBorder="1" applyAlignment="1">
      <alignment wrapText="1"/>
    </xf>
    <xf numFmtId="0" fontId="0" fillId="18" borderId="25" xfId="0" applyFont="1" applyFill="1" applyBorder="1"/>
    <xf numFmtId="0" fontId="13" fillId="18" borderId="13" xfId="0" applyFont="1" applyFill="1" applyBorder="1" applyAlignment="1">
      <alignment horizontal="right"/>
    </xf>
    <xf numFmtId="168" fontId="1" fillId="18" borderId="13" xfId="1" applyNumberFormat="1" applyFont="1" applyFill="1" applyBorder="1"/>
    <xf numFmtId="43" fontId="0" fillId="18" borderId="13" xfId="0" applyNumberFormat="1" applyFont="1" applyFill="1" applyBorder="1"/>
    <xf numFmtId="0" fontId="0" fillId="18" borderId="13" xfId="0" applyFont="1" applyFill="1" applyBorder="1"/>
    <xf numFmtId="0" fontId="0" fillId="18" borderId="13" xfId="0" applyFill="1" applyBorder="1"/>
    <xf numFmtId="164" fontId="0" fillId="18" borderId="13" xfId="1" applyNumberFormat="1" applyFont="1" applyFill="1" applyBorder="1"/>
    <xf numFmtId="0" fontId="7" fillId="18" borderId="13" xfId="0" applyFont="1" applyFill="1" applyBorder="1" applyAlignment="1">
      <alignment wrapText="1"/>
    </xf>
    <xf numFmtId="0" fontId="0" fillId="18" borderId="6" xfId="0" applyFont="1" applyFill="1" applyBorder="1"/>
    <xf numFmtId="0" fontId="13" fillId="18" borderId="1" xfId="0" applyFont="1" applyFill="1" applyBorder="1" applyAlignment="1">
      <alignment horizontal="right"/>
    </xf>
    <xf numFmtId="168" fontId="1" fillId="18" borderId="1" xfId="1" applyNumberFormat="1" applyFont="1" applyFill="1" applyBorder="1"/>
    <xf numFmtId="43" fontId="0" fillId="18" borderId="1" xfId="0" applyNumberFormat="1" applyFont="1" applyFill="1" applyBorder="1"/>
    <xf numFmtId="0" fontId="0" fillId="18" borderId="1" xfId="0" applyFont="1" applyFill="1" applyBorder="1"/>
    <xf numFmtId="168" fontId="0" fillId="18" borderId="1" xfId="1" applyNumberFormat="1" applyFont="1" applyFill="1" applyBorder="1" applyAlignment="1">
      <alignment horizontal="right"/>
    </xf>
    <xf numFmtId="43" fontId="0" fillId="18" borderId="1" xfId="0" applyNumberFormat="1" applyFont="1" applyFill="1" applyBorder="1" applyAlignment="1">
      <alignment horizontal="right"/>
    </xf>
    <xf numFmtId="0" fontId="0" fillId="18" borderId="1" xfId="0" applyFont="1" applyFill="1" applyBorder="1" applyAlignment="1">
      <alignment horizontal="right"/>
    </xf>
    <xf numFmtId="0" fontId="0" fillId="18" borderId="8" xfId="0" applyFont="1" applyFill="1" applyBorder="1"/>
    <xf numFmtId="0" fontId="13" fillId="18" borderId="9" xfId="0" applyFont="1" applyFill="1" applyBorder="1" applyAlignment="1">
      <alignment horizontal="right"/>
    </xf>
    <xf numFmtId="168" fontId="1" fillId="18" borderId="9" xfId="1" applyNumberFormat="1" applyFont="1" applyFill="1" applyBorder="1" applyAlignment="1">
      <alignment horizontal="right"/>
    </xf>
    <xf numFmtId="43" fontId="0" fillId="18" borderId="9" xfId="0" applyNumberFormat="1" applyFont="1" applyFill="1" applyBorder="1"/>
    <xf numFmtId="0" fontId="0" fillId="18" borderId="9" xfId="0" applyFont="1" applyFill="1" applyBorder="1"/>
    <xf numFmtId="168" fontId="1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29" fillId="19" borderId="27" xfId="0" applyFont="1" applyFill="1" applyBorder="1" applyAlignment="1">
      <alignment horizontal="left"/>
    </xf>
    <xf numFmtId="0" fontId="30" fillId="19" borderId="0" xfId="3" applyFont="1" applyFill="1"/>
    <xf numFmtId="0" fontId="24" fillId="20" borderId="27" xfId="0" applyFont="1" applyFill="1" applyBorder="1" applyAlignment="1">
      <alignment horizontal="left"/>
    </xf>
    <xf numFmtId="0" fontId="26" fillId="20" borderId="0" xfId="3" applyFont="1" applyFill="1"/>
    <xf numFmtId="0" fontId="27" fillId="0" borderId="0" xfId="0" applyFont="1" applyFill="1" applyBorder="1"/>
    <xf numFmtId="0" fontId="27" fillId="14" borderId="0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0" fillId="13" borderId="12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17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16" xfId="0" applyFill="1" applyBorder="1"/>
    <xf numFmtId="14" fontId="0" fillId="2" borderId="15" xfId="0" applyNumberFormat="1" applyFill="1" applyBorder="1"/>
    <xf numFmtId="14" fontId="0" fillId="2" borderId="12" xfId="0" applyNumberFormat="1" applyFill="1" applyBorder="1"/>
    <xf numFmtId="14" fontId="0" fillId="2" borderId="16" xfId="0" applyNumberFormat="1" applyFill="1" applyBorder="1"/>
    <xf numFmtId="14" fontId="0" fillId="2" borderId="17" xfId="0" applyNumberFormat="1" applyFill="1" applyBorder="1"/>
    <xf numFmtId="0" fontId="0" fillId="18" borderId="12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1" borderId="17" xfId="0" applyFill="1" applyBorder="1"/>
    <xf numFmtId="0" fontId="0" fillId="11" borderId="12" xfId="0" applyFill="1" applyBorder="1"/>
    <xf numFmtId="0" fontId="22" fillId="0" borderId="15" xfId="0" applyFont="1" applyFill="1" applyBorder="1"/>
    <xf numFmtId="0" fontId="22" fillId="0" borderId="12" xfId="0" applyFont="1" applyFill="1" applyBorder="1"/>
    <xf numFmtId="0" fontId="0" fillId="5" borderId="12" xfId="0" applyFill="1" applyBorder="1"/>
    <xf numFmtId="0" fontId="0" fillId="21" borderId="1" xfId="0" applyFill="1" applyBorder="1"/>
    <xf numFmtId="0" fontId="7" fillId="21" borderId="1" xfId="0" applyFont="1" applyFill="1" applyBorder="1" applyAlignment="1">
      <alignment horizontal="right" vertical="center"/>
    </xf>
    <xf numFmtId="168" fontId="0" fillId="21" borderId="1" xfId="1" applyNumberFormat="1" applyFont="1" applyFill="1" applyBorder="1" applyAlignment="1">
      <alignment vertical="center"/>
    </xf>
    <xf numFmtId="43" fontId="0" fillId="21" borderId="1" xfId="0" applyNumberFormat="1" applyFill="1" applyBorder="1"/>
    <xf numFmtId="164" fontId="0" fillId="21" borderId="1" xfId="1" applyNumberFormat="1" applyFont="1" applyFill="1" applyBorder="1"/>
    <xf numFmtId="0" fontId="7" fillId="21" borderId="1" xfId="0" applyFont="1" applyFill="1" applyBorder="1" applyAlignment="1">
      <alignment wrapText="1"/>
    </xf>
    <xf numFmtId="0" fontId="0" fillId="21" borderId="12" xfId="0" applyFill="1" applyBorder="1"/>
    <xf numFmtId="0" fontId="0" fillId="21" borderId="0" xfId="0" applyFill="1"/>
    <xf numFmtId="0" fontId="0" fillId="21" borderId="1" xfId="0" applyFont="1" applyFill="1" applyBorder="1"/>
    <xf numFmtId="0" fontId="13" fillId="21" borderId="1" xfId="0" applyFont="1" applyFill="1" applyBorder="1" applyAlignment="1">
      <alignment horizontal="right"/>
    </xf>
    <xf numFmtId="168" fontId="1" fillId="21" borderId="1" xfId="1" applyNumberFormat="1" applyFont="1" applyFill="1" applyBorder="1"/>
    <xf numFmtId="43" fontId="0" fillId="21" borderId="1" xfId="0" applyNumberFormat="1" applyFont="1" applyFill="1" applyBorder="1"/>
    <xf numFmtId="0" fontId="0" fillId="13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13" borderId="19" xfId="0" applyFont="1" applyFill="1" applyBorder="1"/>
    <xf numFmtId="0" fontId="20" fillId="12" borderId="2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13" borderId="22" xfId="0" applyFont="1" applyFill="1" applyBorder="1"/>
    <xf numFmtId="0" fontId="0" fillId="0" borderId="22" xfId="0" applyFont="1" applyBorder="1"/>
    <xf numFmtId="0" fontId="0" fillId="0" borderId="22" xfId="0" applyFont="1" applyBorder="1" applyAlignment="1">
      <alignment horizontal="left"/>
    </xf>
    <xf numFmtId="0" fontId="0" fillId="13" borderId="22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21" fillId="19" borderId="34" xfId="0" applyFont="1" applyFill="1" applyBorder="1" applyAlignment="1">
      <alignment horizontal="center" vertical="center"/>
    </xf>
    <xf numFmtId="0" fontId="28" fillId="19" borderId="35" xfId="0" applyFont="1" applyFill="1" applyBorder="1" applyAlignment="1">
      <alignment horizontal="center" vertical="center"/>
    </xf>
    <xf numFmtId="0" fontId="21" fillId="10" borderId="34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wrapText="1"/>
    </xf>
    <xf numFmtId="0" fontId="31" fillId="12" borderId="22" xfId="0" applyFont="1" applyFill="1" applyBorder="1"/>
    <xf numFmtId="0" fontId="10" fillId="0" borderId="22" xfId="0" applyFont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0" fillId="22" borderId="34" xfId="1" applyNumberFormat="1" applyFont="1" applyFill="1" applyBorder="1" applyAlignment="1">
      <alignment horizontal="center" vertical="center"/>
    </xf>
    <xf numFmtId="0" fontId="10" fillId="22" borderId="35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9" fillId="10" borderId="27" xfId="0" applyFont="1" applyFill="1" applyBorder="1" applyAlignment="1">
      <alignment horizontal="left"/>
    </xf>
    <xf numFmtId="0" fontId="30" fillId="10" borderId="0" xfId="3" applyFont="1" applyFill="1"/>
    <xf numFmtId="0" fontId="24" fillId="3" borderId="27" xfId="0" applyFont="1" applyFill="1" applyBorder="1" applyAlignment="1">
      <alignment horizontal="left"/>
    </xf>
    <xf numFmtId="0" fontId="26" fillId="3" borderId="0" xfId="3" applyFont="1" applyFill="1"/>
    <xf numFmtId="0" fontId="21" fillId="0" borderId="0" xfId="0" applyFont="1" applyFill="1" applyBorder="1" applyAlignment="1">
      <alignment horizontal="center"/>
    </xf>
    <xf numFmtId="0" fontId="21" fillId="23" borderId="34" xfId="0" applyFont="1" applyFill="1" applyBorder="1" applyAlignment="1">
      <alignment horizontal="center" vertical="center"/>
    </xf>
    <xf numFmtId="0" fontId="28" fillId="23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24" borderId="34" xfId="1" applyNumberFormat="1" applyFont="1" applyFill="1" applyBorder="1" applyAlignment="1">
      <alignment horizontal="center" vertical="center"/>
    </xf>
    <xf numFmtId="0" fontId="10" fillId="24" borderId="3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43" fontId="9" fillId="0" borderId="1" xfId="1" applyNumberFormat="1" applyFont="1" applyBorder="1" applyAlignment="1">
      <alignment horizontal="right" wrapText="1"/>
    </xf>
    <xf numFmtId="43" fontId="0" fillId="0" borderId="1" xfId="1" applyNumberFormat="1" applyFont="1" applyBorder="1" applyAlignment="1">
      <alignment horizontal="right" vertical="center"/>
    </xf>
    <xf numFmtId="43" fontId="6" fillId="0" borderId="1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4" fillId="0" borderId="12" xfId="1" applyNumberFormat="1" applyFont="1" applyFill="1" applyBorder="1" applyAlignment="1">
      <alignment horizontal="right"/>
    </xf>
    <xf numFmtId="43" fontId="4" fillId="0" borderId="12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/>
    </xf>
    <xf numFmtId="43" fontId="4" fillId="0" borderId="19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164" fontId="4" fillId="2" borderId="12" xfId="1" applyNumberFormat="1" applyFont="1" applyFill="1" applyBorder="1" applyAlignment="1">
      <alignment horizontal="right"/>
    </xf>
    <xf numFmtId="43" fontId="4" fillId="2" borderId="12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43" fontId="0" fillId="0" borderId="15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43" fontId="0" fillId="0" borderId="17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43" fontId="0" fillId="0" borderId="16" xfId="1" applyNumberFormat="1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 wrapText="1"/>
    </xf>
    <xf numFmtId="43" fontId="9" fillId="0" borderId="2" xfId="1" applyNumberFormat="1" applyFont="1" applyBorder="1" applyAlignment="1">
      <alignment horizontal="right" wrapText="1"/>
    </xf>
    <xf numFmtId="43" fontId="4" fillId="0" borderId="1" xfId="1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vertical="center"/>
    </xf>
    <xf numFmtId="0" fontId="21" fillId="25" borderId="1" xfId="0" applyFont="1" applyFill="1" applyBorder="1" applyAlignment="1">
      <alignment horizontal="center" vertical="center"/>
    </xf>
    <xf numFmtId="43" fontId="21" fillId="25" borderId="1" xfId="1" applyNumberFormat="1" applyFont="1" applyFill="1" applyBorder="1" applyAlignment="1">
      <alignment horizontal="right" vertical="center"/>
    </xf>
    <xf numFmtId="43" fontId="34" fillId="25" borderId="12" xfId="1" applyNumberFormat="1" applyFont="1" applyFill="1" applyBorder="1" applyAlignment="1">
      <alignment horizontal="right"/>
    </xf>
    <xf numFmtId="0" fontId="34" fillId="25" borderId="1" xfId="0" applyFont="1" applyFill="1" applyBorder="1" applyAlignment="1">
      <alignment horizontal="center"/>
    </xf>
    <xf numFmtId="43" fontId="34" fillId="25" borderId="1" xfId="1" applyNumberFormat="1" applyFont="1" applyFill="1" applyBorder="1" applyAlignment="1">
      <alignment horizontal="right"/>
    </xf>
    <xf numFmtId="0" fontId="34" fillId="25" borderId="4" xfId="0" applyFont="1" applyFill="1" applyBorder="1" applyAlignment="1">
      <alignment horizontal="center"/>
    </xf>
    <xf numFmtId="0" fontId="34" fillId="25" borderId="9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10" borderId="36" xfId="0" applyFont="1" applyFill="1" applyBorder="1" applyAlignment="1">
      <alignment horizontal="center"/>
    </xf>
    <xf numFmtId="0" fontId="21" fillId="10" borderId="37" xfId="0" applyFon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1" fillId="19" borderId="36" xfId="0" applyFont="1" applyFill="1" applyBorder="1" applyAlignment="1">
      <alignment horizontal="center"/>
    </xf>
    <xf numFmtId="0" fontId="21" fillId="19" borderId="37" xfId="0" applyFont="1" applyFill="1" applyBorder="1" applyAlignment="1">
      <alignment horizontal="center"/>
    </xf>
    <xf numFmtId="14" fontId="0" fillId="7" borderId="28" xfId="1" applyNumberFormat="1" applyFont="1" applyFill="1" applyBorder="1" applyAlignment="1">
      <alignment horizontal="center" vertical="center"/>
    </xf>
    <xf numFmtId="14" fontId="0" fillId="7" borderId="29" xfId="1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8" fillId="5" borderId="30" xfId="0" applyFont="1" applyFill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168" fontId="28" fillId="6" borderId="29" xfId="1" applyNumberFormat="1" applyFont="1" applyFill="1" applyBorder="1" applyAlignment="1">
      <alignment horizontal="center" vertical="center"/>
    </xf>
    <xf numFmtId="168" fontId="28" fillId="6" borderId="30" xfId="1" applyNumberFormat="1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/>
    </xf>
    <xf numFmtId="0" fontId="21" fillId="6" borderId="32" xfId="0" applyFont="1" applyFill="1" applyBorder="1" applyAlignment="1">
      <alignment horizontal="center"/>
    </xf>
    <xf numFmtId="0" fontId="21" fillId="6" borderId="33" xfId="0" applyFont="1" applyFill="1" applyBorder="1" applyAlignment="1">
      <alignment horizontal="center"/>
    </xf>
    <xf numFmtId="14" fontId="21" fillId="5" borderId="28" xfId="1" applyNumberFormat="1" applyFont="1" applyFill="1" applyBorder="1" applyAlignment="1">
      <alignment horizontal="center" vertical="center"/>
    </xf>
    <xf numFmtId="14" fontId="21" fillId="5" borderId="29" xfId="1" applyNumberFormat="1" applyFont="1" applyFill="1" applyBorder="1" applyAlignment="1">
      <alignment horizontal="center" vertical="center"/>
    </xf>
    <xf numFmtId="0" fontId="21" fillId="17" borderId="28" xfId="0" applyFont="1" applyFill="1" applyBorder="1" applyAlignment="1">
      <alignment horizontal="center" vertical="center"/>
    </xf>
    <xf numFmtId="0" fontId="21" fillId="17" borderId="29" xfId="0" applyFont="1" applyFill="1" applyBorder="1" applyAlignment="1">
      <alignment horizontal="center" vertical="center"/>
    </xf>
    <xf numFmtId="168" fontId="28" fillId="17" borderId="29" xfId="1" applyNumberFormat="1" applyFont="1" applyFill="1" applyBorder="1" applyAlignment="1">
      <alignment horizontal="center" vertical="center"/>
    </xf>
    <xf numFmtId="168" fontId="28" fillId="17" borderId="30" xfId="1" applyNumberFormat="1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center"/>
    </xf>
    <xf numFmtId="0" fontId="21" fillId="17" borderId="32" xfId="0" applyFont="1" applyFill="1" applyBorder="1" applyAlignment="1">
      <alignment horizontal="center"/>
    </xf>
    <xf numFmtId="0" fontId="21" fillId="17" borderId="33" xfId="0" applyFont="1" applyFill="1" applyBorder="1" applyAlignment="1">
      <alignment horizontal="center"/>
    </xf>
    <xf numFmtId="168" fontId="21" fillId="12" borderId="28" xfId="1" applyNumberFormat="1" applyFont="1" applyFill="1" applyBorder="1" applyAlignment="1">
      <alignment horizontal="center" vertical="center"/>
    </xf>
    <xf numFmtId="168" fontId="21" fillId="12" borderId="29" xfId="1" applyNumberFormat="1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/>
    </xf>
    <xf numFmtId="0" fontId="28" fillId="12" borderId="30" xfId="0" applyFont="1" applyFill="1" applyBorder="1" applyAlignment="1">
      <alignment horizontal="center"/>
    </xf>
    <xf numFmtId="0" fontId="21" fillId="12" borderId="31" xfId="0" applyFont="1" applyFill="1" applyBorder="1" applyAlignment="1">
      <alignment horizontal="center"/>
    </xf>
    <xf numFmtId="0" fontId="21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center"/>
    </xf>
    <xf numFmtId="0" fontId="24" fillId="15" borderId="27" xfId="0" applyFon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168" fontId="10" fillId="16" borderId="29" xfId="1" applyNumberFormat="1" applyFont="1" applyFill="1" applyBorder="1" applyAlignment="1">
      <alignment horizontal="center" vertical="center"/>
    </xf>
    <xf numFmtId="168" fontId="10" fillId="16" borderId="30" xfId="1" applyNumberFormat="1" applyFont="1" applyFill="1" applyBorder="1" applyAlignment="1">
      <alignment horizontal="center" vertical="center"/>
    </xf>
    <xf numFmtId="14" fontId="0" fillId="2" borderId="28" xfId="1" applyNumberFormat="1" applyFont="1" applyFill="1" applyBorder="1" applyAlignment="1">
      <alignment horizontal="center" vertical="center"/>
    </xf>
    <xf numFmtId="14" fontId="0" fillId="2" borderId="29" xfId="1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13" borderId="39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13" borderId="40" xfId="0" applyFont="1" applyFill="1" applyBorder="1"/>
    <xf numFmtId="0" fontId="0" fillId="0" borderId="22" xfId="0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3" borderId="8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Standard 2" xfId="3" xr:uid="{8C455192-1343-6F4C-8F5A-8A6846089904}"/>
  </cellStyles>
  <dxfs count="8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209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RNA used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22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</c:numCache>
            </c:numRef>
          </c:xVal>
          <c:yVal>
            <c:numRef>
              <c:f>'End Point PCR - organization'!$F$2:$F$143</c:f>
              <c:numCache>
                <c:formatCode>General</c:formatCode>
                <c:ptCount val="14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312</c:v>
                </c:pt>
                <c:pt idx="4">
                  <c:v>350</c:v>
                </c:pt>
                <c:pt idx="5">
                  <c:v>350</c:v>
                </c:pt>
                <c:pt idx="6">
                  <c:v>218</c:v>
                </c:pt>
                <c:pt idx="7">
                  <c:v>350</c:v>
                </c:pt>
                <c:pt idx="8">
                  <c:v>349.99999999999994</c:v>
                </c:pt>
                <c:pt idx="9">
                  <c:v>315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137</c:v>
                </c:pt>
                <c:pt idx="15">
                  <c:v>196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95.5</c:v>
                </c:pt>
                <c:pt idx="20">
                  <c:v>288</c:v>
                </c:pt>
                <c:pt idx="21">
                  <c:v>350</c:v>
                </c:pt>
                <c:pt idx="22">
                  <c:v>350</c:v>
                </c:pt>
                <c:pt idx="23">
                  <c:v>111</c:v>
                </c:pt>
                <c:pt idx="24">
                  <c:v>300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252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125</c:v>
                </c:pt>
                <c:pt idx="41">
                  <c:v>345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349.99999999999994</c:v>
                </c:pt>
                <c:pt idx="46">
                  <c:v>350</c:v>
                </c:pt>
                <c:pt idx="47">
                  <c:v>148</c:v>
                </c:pt>
                <c:pt idx="48">
                  <c:v>349.99999999999994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340</c:v>
                </c:pt>
                <c:pt idx="58">
                  <c:v>301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222</c:v>
                </c:pt>
                <c:pt idx="64">
                  <c:v>235</c:v>
                </c:pt>
                <c:pt idx="65">
                  <c:v>350</c:v>
                </c:pt>
                <c:pt idx="66">
                  <c:v>292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146</c:v>
                </c:pt>
                <c:pt idx="71">
                  <c:v>350</c:v>
                </c:pt>
                <c:pt idx="72">
                  <c:v>350</c:v>
                </c:pt>
                <c:pt idx="73">
                  <c:v>292</c:v>
                </c:pt>
                <c:pt idx="74">
                  <c:v>350</c:v>
                </c:pt>
                <c:pt idx="75">
                  <c:v>350</c:v>
                </c:pt>
                <c:pt idx="76">
                  <c:v>284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81</c:v>
                </c:pt>
                <c:pt idx="81">
                  <c:v>211</c:v>
                </c:pt>
                <c:pt idx="82">
                  <c:v>350</c:v>
                </c:pt>
                <c:pt idx="83">
                  <c:v>349.99999999999994</c:v>
                </c:pt>
                <c:pt idx="84">
                  <c:v>272</c:v>
                </c:pt>
                <c:pt idx="85">
                  <c:v>349.99999999999994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223</c:v>
                </c:pt>
                <c:pt idx="91">
                  <c:v>349.99999999999994</c:v>
                </c:pt>
                <c:pt idx="92">
                  <c:v>350</c:v>
                </c:pt>
                <c:pt idx="93">
                  <c:v>350</c:v>
                </c:pt>
                <c:pt idx="94">
                  <c:v>198</c:v>
                </c:pt>
                <c:pt idx="95">
                  <c:v>350</c:v>
                </c:pt>
                <c:pt idx="96">
                  <c:v>161</c:v>
                </c:pt>
                <c:pt idx="97">
                  <c:v>350</c:v>
                </c:pt>
                <c:pt idx="98">
                  <c:v>164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329</c:v>
                </c:pt>
                <c:pt idx="108">
                  <c:v>324</c:v>
                </c:pt>
                <c:pt idx="109">
                  <c:v>211</c:v>
                </c:pt>
                <c:pt idx="110">
                  <c:v>349</c:v>
                </c:pt>
                <c:pt idx="111">
                  <c:v>32.599999999999994</c:v>
                </c:pt>
                <c:pt idx="112">
                  <c:v>350</c:v>
                </c:pt>
                <c:pt idx="113">
                  <c:v>350</c:v>
                </c:pt>
                <c:pt idx="114">
                  <c:v>140</c:v>
                </c:pt>
                <c:pt idx="115">
                  <c:v>156</c:v>
                </c:pt>
                <c:pt idx="116">
                  <c:v>350</c:v>
                </c:pt>
                <c:pt idx="117">
                  <c:v>156</c:v>
                </c:pt>
                <c:pt idx="118">
                  <c:v>350</c:v>
                </c:pt>
                <c:pt idx="119">
                  <c:v>333</c:v>
                </c:pt>
                <c:pt idx="120">
                  <c:v>174</c:v>
                </c:pt>
                <c:pt idx="121">
                  <c:v>350</c:v>
                </c:pt>
                <c:pt idx="122">
                  <c:v>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125.5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207</c:v>
                </c:pt>
                <c:pt idx="137">
                  <c:v>0</c:v>
                </c:pt>
                <c:pt idx="138">
                  <c:v>0</c:v>
                </c:pt>
                <c:pt idx="139">
                  <c:v>350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754A-9C4D-0985D25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[RNA]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22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</c:numCache>
            </c:numRef>
          </c:xVal>
          <c:yVal>
            <c:numRef>
              <c:f>'End Point PCR - organization'!$C$2:$C$143</c:f>
              <c:numCache>
                <c:formatCode>_(* #,##0.0_);_(* \(#,##0.0\);_(* "-"??_);_(@_)</c:formatCode>
                <c:ptCount val="142"/>
                <c:pt idx="0">
                  <c:v>156</c:v>
                </c:pt>
                <c:pt idx="1">
                  <c:v>180</c:v>
                </c:pt>
                <c:pt idx="2">
                  <c:v>114</c:v>
                </c:pt>
                <c:pt idx="3">
                  <c:v>62.4</c:v>
                </c:pt>
                <c:pt idx="4">
                  <c:v>190</c:v>
                </c:pt>
                <c:pt idx="5">
                  <c:v>95.2</c:v>
                </c:pt>
                <c:pt idx="6">
                  <c:v>43.6</c:v>
                </c:pt>
                <c:pt idx="7">
                  <c:v>89.6</c:v>
                </c:pt>
                <c:pt idx="8">
                  <c:v>170</c:v>
                </c:pt>
                <c:pt idx="9">
                  <c:v>63</c:v>
                </c:pt>
                <c:pt idx="10">
                  <c:v>196</c:v>
                </c:pt>
                <c:pt idx="11">
                  <c:v>188</c:v>
                </c:pt>
                <c:pt idx="12">
                  <c:v>77.2</c:v>
                </c:pt>
                <c:pt idx="13">
                  <c:v>138</c:v>
                </c:pt>
                <c:pt idx="14">
                  <c:v>27.4</c:v>
                </c:pt>
                <c:pt idx="15">
                  <c:v>39.200000000000003</c:v>
                </c:pt>
                <c:pt idx="16">
                  <c:v>140</c:v>
                </c:pt>
                <c:pt idx="17">
                  <c:v>186</c:v>
                </c:pt>
                <c:pt idx="18">
                  <c:v>124</c:v>
                </c:pt>
                <c:pt idx="19">
                  <c:v>19.100000000000001</c:v>
                </c:pt>
                <c:pt idx="20">
                  <c:v>57.6</c:v>
                </c:pt>
                <c:pt idx="21">
                  <c:v>186</c:v>
                </c:pt>
                <c:pt idx="22">
                  <c:v>96.4</c:v>
                </c:pt>
                <c:pt idx="23">
                  <c:v>22.2</c:v>
                </c:pt>
                <c:pt idx="24">
                  <c:v>60</c:v>
                </c:pt>
                <c:pt idx="25">
                  <c:v>87.6</c:v>
                </c:pt>
                <c:pt idx="26">
                  <c:v>68.400000000000006</c:v>
                </c:pt>
                <c:pt idx="27">
                  <c:v>162</c:v>
                </c:pt>
                <c:pt idx="28">
                  <c:v>136</c:v>
                </c:pt>
                <c:pt idx="29">
                  <c:v>84</c:v>
                </c:pt>
                <c:pt idx="30">
                  <c:v>152</c:v>
                </c:pt>
                <c:pt idx="31">
                  <c:v>93.6</c:v>
                </c:pt>
                <c:pt idx="32">
                  <c:v>89.2</c:v>
                </c:pt>
                <c:pt idx="33">
                  <c:v>70.599999999999994</c:v>
                </c:pt>
                <c:pt idx="34">
                  <c:v>50.4</c:v>
                </c:pt>
                <c:pt idx="35">
                  <c:v>75.8</c:v>
                </c:pt>
                <c:pt idx="36">
                  <c:v>162</c:v>
                </c:pt>
                <c:pt idx="37">
                  <c:v>200</c:v>
                </c:pt>
                <c:pt idx="38">
                  <c:v>182</c:v>
                </c:pt>
                <c:pt idx="39">
                  <c:v>148</c:v>
                </c:pt>
                <c:pt idx="40">
                  <c:v>25</c:v>
                </c:pt>
                <c:pt idx="41">
                  <c:v>69</c:v>
                </c:pt>
                <c:pt idx="42">
                  <c:v>90.6</c:v>
                </c:pt>
                <c:pt idx="43">
                  <c:v>148</c:v>
                </c:pt>
                <c:pt idx="44">
                  <c:v>78.599999999999994</c:v>
                </c:pt>
                <c:pt idx="45">
                  <c:v>158</c:v>
                </c:pt>
                <c:pt idx="46">
                  <c:v>180</c:v>
                </c:pt>
                <c:pt idx="47">
                  <c:v>29.6</c:v>
                </c:pt>
                <c:pt idx="48">
                  <c:v>158</c:v>
                </c:pt>
                <c:pt idx="49">
                  <c:v>82</c:v>
                </c:pt>
                <c:pt idx="50">
                  <c:v>194</c:v>
                </c:pt>
                <c:pt idx="51">
                  <c:v>72.400000000000006</c:v>
                </c:pt>
                <c:pt idx="52">
                  <c:v>85.2</c:v>
                </c:pt>
                <c:pt idx="53">
                  <c:v>130</c:v>
                </c:pt>
                <c:pt idx="54">
                  <c:v>102</c:v>
                </c:pt>
                <c:pt idx="55">
                  <c:v>162</c:v>
                </c:pt>
                <c:pt idx="56">
                  <c:v>180</c:v>
                </c:pt>
                <c:pt idx="57">
                  <c:v>68</c:v>
                </c:pt>
                <c:pt idx="58">
                  <c:v>60.2</c:v>
                </c:pt>
                <c:pt idx="59">
                  <c:v>164</c:v>
                </c:pt>
                <c:pt idx="60">
                  <c:v>130</c:v>
                </c:pt>
                <c:pt idx="61">
                  <c:v>124</c:v>
                </c:pt>
                <c:pt idx="62">
                  <c:v>82.6</c:v>
                </c:pt>
                <c:pt idx="63">
                  <c:v>44.4</c:v>
                </c:pt>
                <c:pt idx="64">
                  <c:v>47</c:v>
                </c:pt>
                <c:pt idx="65">
                  <c:v>112</c:v>
                </c:pt>
                <c:pt idx="66">
                  <c:v>58.4</c:v>
                </c:pt>
                <c:pt idx="67">
                  <c:v>95.4</c:v>
                </c:pt>
                <c:pt idx="68">
                  <c:v>160</c:v>
                </c:pt>
                <c:pt idx="69">
                  <c:v>156</c:v>
                </c:pt>
                <c:pt idx="70">
                  <c:v>29.2</c:v>
                </c:pt>
                <c:pt idx="71">
                  <c:v>97</c:v>
                </c:pt>
                <c:pt idx="72">
                  <c:v>168</c:v>
                </c:pt>
                <c:pt idx="73">
                  <c:v>58.4</c:v>
                </c:pt>
                <c:pt idx="74">
                  <c:v>108</c:v>
                </c:pt>
                <c:pt idx="75">
                  <c:v>89.8</c:v>
                </c:pt>
                <c:pt idx="76">
                  <c:v>56.8</c:v>
                </c:pt>
                <c:pt idx="77">
                  <c:v>74.599999999999994</c:v>
                </c:pt>
                <c:pt idx="78">
                  <c:v>162</c:v>
                </c:pt>
                <c:pt idx="79">
                  <c:v>142</c:v>
                </c:pt>
                <c:pt idx="80">
                  <c:v>16.2</c:v>
                </c:pt>
                <c:pt idx="81">
                  <c:v>42.2</c:v>
                </c:pt>
                <c:pt idx="82">
                  <c:v>75.2</c:v>
                </c:pt>
                <c:pt idx="83">
                  <c:v>158</c:v>
                </c:pt>
                <c:pt idx="84">
                  <c:v>54.4</c:v>
                </c:pt>
                <c:pt idx="85">
                  <c:v>81.599999999999994</c:v>
                </c:pt>
                <c:pt idx="86">
                  <c:v>73.599999999999994</c:v>
                </c:pt>
                <c:pt idx="87">
                  <c:v>174</c:v>
                </c:pt>
                <c:pt idx="88">
                  <c:v>110</c:v>
                </c:pt>
                <c:pt idx="89">
                  <c:v>172</c:v>
                </c:pt>
                <c:pt idx="90">
                  <c:v>44.6</c:v>
                </c:pt>
                <c:pt idx="91">
                  <c:v>77.599999999999994</c:v>
                </c:pt>
                <c:pt idx="92">
                  <c:v>146</c:v>
                </c:pt>
                <c:pt idx="93">
                  <c:v>77.2</c:v>
                </c:pt>
                <c:pt idx="94">
                  <c:v>39.6</c:v>
                </c:pt>
                <c:pt idx="95">
                  <c:v>106</c:v>
                </c:pt>
                <c:pt idx="96">
                  <c:v>32.200000000000003</c:v>
                </c:pt>
                <c:pt idx="97">
                  <c:v>97.2</c:v>
                </c:pt>
                <c:pt idx="98">
                  <c:v>32.799999999999997</c:v>
                </c:pt>
                <c:pt idx="99">
                  <c:v>71.400000000000006</c:v>
                </c:pt>
                <c:pt idx="100">
                  <c:v>114</c:v>
                </c:pt>
                <c:pt idx="101">
                  <c:v>118</c:v>
                </c:pt>
                <c:pt idx="102">
                  <c:v>148</c:v>
                </c:pt>
                <c:pt idx="103">
                  <c:v>99</c:v>
                </c:pt>
                <c:pt idx="104">
                  <c:v>83</c:v>
                </c:pt>
                <c:pt idx="105">
                  <c:v>72.599999999999994</c:v>
                </c:pt>
                <c:pt idx="106">
                  <c:v>93.4</c:v>
                </c:pt>
                <c:pt idx="107">
                  <c:v>65.8</c:v>
                </c:pt>
                <c:pt idx="108">
                  <c:v>64.8</c:v>
                </c:pt>
                <c:pt idx="109">
                  <c:v>42.2</c:v>
                </c:pt>
                <c:pt idx="110">
                  <c:v>69.8</c:v>
                </c:pt>
                <c:pt idx="111">
                  <c:v>6.52</c:v>
                </c:pt>
                <c:pt idx="112">
                  <c:v>126</c:v>
                </c:pt>
                <c:pt idx="113">
                  <c:v>74</c:v>
                </c:pt>
                <c:pt idx="114">
                  <c:v>28</c:v>
                </c:pt>
                <c:pt idx="115">
                  <c:v>31.2</c:v>
                </c:pt>
                <c:pt idx="116">
                  <c:v>108</c:v>
                </c:pt>
                <c:pt idx="117">
                  <c:v>31.2</c:v>
                </c:pt>
                <c:pt idx="118">
                  <c:v>128</c:v>
                </c:pt>
                <c:pt idx="119">
                  <c:v>66.599999999999994</c:v>
                </c:pt>
                <c:pt idx="120">
                  <c:v>34.799999999999997</c:v>
                </c:pt>
                <c:pt idx="121">
                  <c:v>136</c:v>
                </c:pt>
                <c:pt idx="122" formatCode="General">
                  <c:v>0</c:v>
                </c:pt>
                <c:pt idx="123">
                  <c:v>104</c:v>
                </c:pt>
                <c:pt idx="124">
                  <c:v>98.6</c:v>
                </c:pt>
                <c:pt idx="125">
                  <c:v>94.8</c:v>
                </c:pt>
                <c:pt idx="126">
                  <c:v>94.4</c:v>
                </c:pt>
                <c:pt idx="127">
                  <c:v>74.599999999999994</c:v>
                </c:pt>
                <c:pt idx="128">
                  <c:v>25.1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General">
                  <c:v>0</c:v>
                </c:pt>
                <c:pt idx="136">
                  <c:v>41.4</c:v>
                </c:pt>
                <c:pt idx="137">
                  <c:v>0</c:v>
                </c:pt>
                <c:pt idx="138">
                  <c:v>0</c:v>
                </c:pt>
                <c:pt idx="139">
                  <c:v>89.4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1-4E4D-87EF-92CC9238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165100</xdr:colOff>
      <xdr:row>0</xdr:row>
      <xdr:rowOff>863600</xdr:rowOff>
    </xdr:from>
    <xdr:to>
      <xdr:col>22</xdr:col>
      <xdr:colOff>1358900</xdr:colOff>
      <xdr:row>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EBE28E-CD68-734A-BE69-A5E57D29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158750</xdr:colOff>
      <xdr:row>15</xdr:row>
      <xdr:rowOff>12700</xdr:rowOff>
    </xdr:from>
    <xdr:to>
      <xdr:col>22</xdr:col>
      <xdr:colOff>1352550</xdr:colOff>
      <xdr:row>28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E3F12-C90F-3348-A1FB-666658ED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4DBA1-3B40-854D-9B60-31941306F74E}" name="Table1" displayName="Table1" ref="B23:N31" totalsRowShown="0" headerRowDxfId="78" dataDxfId="76" headerRowBorderDxfId="77" tableBorderDxfId="75" totalsRowBorderDxfId="74">
  <autoFilter ref="B23:N31" xr:uid="{54E8C15D-86A2-7348-8AE5-AA0632933458}"/>
  <tableColumns count="13">
    <tableColumn id="1" xr3:uid="{2040EDC6-CFBE-E74D-90F3-58F32AF28BFC}" name="Column1" dataDxfId="73"/>
    <tableColumn id="2" xr3:uid="{7F44FCC8-6C66-3845-A052-0D0432D1A148}" name="1" dataDxfId="72"/>
    <tableColumn id="3" xr3:uid="{B3B03665-0259-394C-B97C-550E75BE4BAF}" name="2" dataDxfId="71"/>
    <tableColumn id="4" xr3:uid="{44F32F6F-57F6-D74B-998F-EA7FCD647597}" name="3" dataDxfId="70"/>
    <tableColumn id="5" xr3:uid="{5D5F6D78-7D57-CB43-A8FB-2337418661B7}" name="4"/>
    <tableColumn id="6" xr3:uid="{CD070093-4CCD-544C-8641-1F7E0FC370A3}" name="5"/>
    <tableColumn id="7" xr3:uid="{2A9FA186-2750-9340-82F2-39EFF49BF0B8}" name="6" dataDxfId="69"/>
    <tableColumn id="8" xr3:uid="{2CB288F8-8815-BC46-933D-C4FACFC543D3}" name="7" dataDxfId="68"/>
    <tableColumn id="9" xr3:uid="{98F9E266-8327-E747-8CB9-9FB798C163CF}" name="8" dataDxfId="67"/>
    <tableColumn id="10" xr3:uid="{4DA2EB77-5E90-8B44-AFC1-ED83CA7FBC9D}" name="9" dataDxfId="66"/>
    <tableColumn id="11" xr3:uid="{85D2CB7C-7656-6944-A120-E6782228C3CF}" name="10" dataDxfId="65"/>
    <tableColumn id="12" xr3:uid="{ED8BD610-BDED-C74D-AD00-68F96DB20149}" name="11" dataDxfId="64"/>
    <tableColumn id="13" xr3:uid="{EB97A6C3-FECD-494F-8BFC-52845EE1129B}" name="12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3680C-847D-044D-9561-38F8509CCB71}" name="Table13" displayName="Table13" ref="A168:M175" headerRowCount="0" totalsRowShown="0" headerRowDxfId="62" dataDxfId="60" headerRowBorderDxfId="61" tableBorderDxfId="59" totalsRowBorderDxfId="58">
  <tableColumns count="13">
    <tableColumn id="1" xr3:uid="{7DF842DA-F50E-B04B-B9F6-5B93AC3DA761}" name="Column1" headerRowDxfId="57" dataDxfId="56"/>
    <tableColumn id="2" xr3:uid="{45EDB65D-2F87-124F-B048-C2A35A48763F}" name="1" headerRowDxfId="55" dataDxfId="54"/>
    <tableColumn id="3" xr3:uid="{00AEC3BA-2FC9-3340-B0BF-3919309FDD90}" name="2" headerRowDxfId="53" dataDxfId="52"/>
    <tableColumn id="4" xr3:uid="{E2ABA5D5-F4DF-6648-8080-9C99204AE240}" name="3" headerRowDxfId="51" dataDxfId="50"/>
    <tableColumn id="5" xr3:uid="{FF132A67-AE2E-EB4B-8000-93008DEFEC81}" name="4" headerRowDxfId="49" dataDxfId="48"/>
    <tableColumn id="6" xr3:uid="{C11EECE4-6FF5-124C-B9B1-2C49F78451B8}" name="5" headerRowDxfId="47" dataDxfId="46"/>
    <tableColumn id="7" xr3:uid="{F46099F0-8692-B04E-B27D-F8BA79F40D6E}" name="6" headerRowDxfId="45" dataDxfId="44"/>
    <tableColumn id="8" xr3:uid="{403E037F-BB6D-1D45-A3C7-508FC48AC101}" name="7" headerRowDxfId="43" dataDxfId="42"/>
    <tableColumn id="9" xr3:uid="{FCFA4970-9DA8-5943-A99D-71D33C41BC78}" name="8" headerRowDxfId="41" dataDxfId="40"/>
    <tableColumn id="10" xr3:uid="{26FDE36F-346C-B84F-8780-E875B8DDC47A}" name="9" headerRowDxfId="39" dataDxfId="38"/>
    <tableColumn id="11" xr3:uid="{3BFFF991-56A3-C64C-BFD7-62800E4DB784}" name="10" headerRowDxfId="37" dataDxfId="36"/>
    <tableColumn id="12" xr3:uid="{E20CFEC2-2EF4-244F-A036-DCE6D92BF66F}" name="11" headerRowDxfId="35" dataDxfId="34"/>
    <tableColumn id="13" xr3:uid="{18D0A406-AF22-CF4A-B3EC-D5399E9D8CA0}" name="12" headerRowDxfId="33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55F34-3B45-8043-A6F0-96EB9D9ADAD2}" name="Table137" displayName="Table137" ref="A293:M300" headerRowCount="0" totalsRowShown="0" headerRowDxfId="31" dataDxfId="29" headerRowBorderDxfId="30" tableBorderDxfId="28" totalsRowBorderDxfId="27">
  <tableColumns count="13">
    <tableColumn id="1" xr3:uid="{DC7FCD24-7DB9-4846-A7EC-A289F5020654}" name="Column1" headerRowDxfId="26" dataDxfId="25"/>
    <tableColumn id="2" xr3:uid="{E099A013-569A-5F42-81D4-1B41613BCAB8}" name="1" headerRowDxfId="24" dataDxfId="23"/>
    <tableColumn id="3" xr3:uid="{7E00DFDF-13DA-CF46-BB29-B720019F00AD}" name="2" headerRowDxfId="22" dataDxfId="21"/>
    <tableColumn id="4" xr3:uid="{673ECBB8-0718-1B41-B233-D60A2D12BE32}" name="3" headerRowDxfId="20" dataDxfId="19"/>
    <tableColumn id="5" xr3:uid="{744F360B-EC92-8940-B97B-DB8AC7F83624}" name="4" headerRowDxfId="18" dataDxfId="17"/>
    <tableColumn id="6" xr3:uid="{343BB33F-D84D-8A4A-AC65-003D2B5525DD}" name="5" headerRowDxfId="16" dataDxfId="15"/>
    <tableColumn id="7" xr3:uid="{332006DD-CAF6-764E-81F0-853F54AE9FE3}" name="6" headerRowDxfId="14" dataDxfId="13"/>
    <tableColumn id="8" xr3:uid="{21EC40D7-9B24-2243-BD26-58D85517A9F3}" name="7" headerRowDxfId="12" dataDxfId="11"/>
    <tableColumn id="9" xr3:uid="{4CB40886-1A95-314B-96D5-48202EBE4903}" name="8" headerRowDxfId="10" dataDxfId="9"/>
    <tableColumn id="10" xr3:uid="{3ECE2786-E56F-944A-A75C-4FF72D486A79}" name="9" headerRowDxfId="8" dataDxfId="3"/>
    <tableColumn id="11" xr3:uid="{297AF4AA-049E-6940-B736-85171B23C4AA}" name="10" headerRowDxfId="7" dataDxfId="1"/>
    <tableColumn id="12" xr3:uid="{72CD6581-F0A0-0444-9B78-C303D36B6A40}" name="11" headerRowDxfId="6" dataDxfId="0"/>
    <tableColumn id="13" xr3:uid="{339B89F4-B7EC-5144-8720-39A8C4C1F1E6}" name="12" headerRowDxfId="5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>
    <pageSetUpPr fitToPage="1"/>
  </sheetPr>
  <dimension ref="A1:AJ62"/>
  <sheetViews>
    <sheetView workbookViewId="0">
      <pane xSplit="5160" ySplit="1900" topLeftCell="X42" activePane="bottomLeft"/>
      <selection pane="topRight" activeCell="AH1" sqref="AH1:AI1"/>
      <selection pane="bottomLeft" activeCell="C60" sqref="C2:C60"/>
      <selection pane="bottomRight" activeCell="AI53" sqref="AI53"/>
    </sheetView>
  </sheetViews>
  <sheetFormatPr baseColWidth="10" defaultRowHeight="16"/>
  <cols>
    <col min="1" max="1" width="14" style="9" customWidth="1"/>
    <col min="2" max="2" width="9.5" style="9" customWidth="1"/>
    <col min="3" max="3" width="15.6640625" style="185" customWidth="1"/>
    <col min="4" max="5" width="10.83203125" style="9" customWidth="1"/>
    <col min="6" max="6" width="15.6640625" style="9" customWidth="1"/>
    <col min="7" max="7" width="11" style="9" customWidth="1"/>
    <col min="8" max="8" width="15.5" style="9" customWidth="1"/>
    <col min="9" max="9" width="18.6640625" style="9" customWidth="1"/>
    <col min="10" max="10" width="18" style="9" customWidth="1"/>
    <col min="11" max="11" width="11.83203125" style="9" customWidth="1"/>
    <col min="12" max="12" width="14.83203125" style="9" customWidth="1"/>
    <col min="13" max="13" width="17.5" style="9" customWidth="1"/>
    <col min="14" max="14" width="17.33203125" style="9" customWidth="1"/>
    <col min="15" max="17" width="10.83203125" style="9" customWidth="1"/>
    <col min="18" max="19" width="12.5" style="9" customWidth="1"/>
    <col min="20" max="20" width="12.5" style="191" customWidth="1"/>
    <col min="21" max="21" width="17.33203125" style="9" customWidth="1"/>
    <col min="22" max="22" width="17.33203125" style="191" customWidth="1"/>
    <col min="23" max="24" width="12.5" style="9" customWidth="1"/>
    <col min="25" max="29" width="12.5" style="188" customWidth="1"/>
    <col min="30" max="30" width="12.5" style="187" customWidth="1"/>
    <col min="31" max="31" width="12.5" style="188" customWidth="1"/>
    <col min="32" max="32" width="17.33203125" style="187" customWidth="1"/>
    <col min="33" max="33" width="12.5" style="187" customWidth="1"/>
    <col min="34" max="34" width="12.5" style="850" customWidth="1"/>
    <col min="35" max="35" width="14.1640625" style="847" customWidth="1"/>
    <col min="36" max="36" width="121.33203125" style="9" customWidth="1"/>
    <col min="37" max="16384" width="10.83203125" style="9"/>
  </cols>
  <sheetData>
    <row r="1" spans="1:36" s="184" customFormat="1" ht="73">
      <c r="A1" s="193" t="s">
        <v>18</v>
      </c>
      <c r="B1" s="193" t="s">
        <v>19</v>
      </c>
      <c r="C1" s="193" t="s">
        <v>0</v>
      </c>
      <c r="D1" s="193" t="s">
        <v>12</v>
      </c>
      <c r="E1" s="193" t="s">
        <v>13</v>
      </c>
      <c r="F1" s="193" t="s">
        <v>8</v>
      </c>
      <c r="G1" s="193" t="s">
        <v>9</v>
      </c>
      <c r="H1" s="193" t="s">
        <v>10</v>
      </c>
      <c r="I1" s="193" t="s">
        <v>14</v>
      </c>
      <c r="J1" s="193" t="s">
        <v>78</v>
      </c>
      <c r="K1" s="193" t="s">
        <v>15</v>
      </c>
      <c r="L1" s="193" t="s">
        <v>79</v>
      </c>
      <c r="M1" s="193" t="s">
        <v>80</v>
      </c>
      <c r="N1" s="193" t="s">
        <v>17</v>
      </c>
      <c r="O1" s="193" t="s">
        <v>88</v>
      </c>
      <c r="P1" s="193" t="s">
        <v>239</v>
      </c>
      <c r="Q1" s="193" t="s">
        <v>240</v>
      </c>
      <c r="R1" s="193" t="s">
        <v>83</v>
      </c>
      <c r="S1" s="193" t="s">
        <v>251</v>
      </c>
      <c r="T1" s="194" t="s">
        <v>279</v>
      </c>
      <c r="U1" s="195" t="s">
        <v>280</v>
      </c>
      <c r="V1" s="194" t="s">
        <v>294</v>
      </c>
      <c r="W1" s="195" t="s">
        <v>281</v>
      </c>
      <c r="X1" s="195" t="s">
        <v>316</v>
      </c>
      <c r="Y1" s="196" t="s">
        <v>315</v>
      </c>
      <c r="Z1" s="196" t="s">
        <v>468</v>
      </c>
      <c r="AA1" s="196" t="s">
        <v>436</v>
      </c>
      <c r="AB1" s="196" t="s">
        <v>464</v>
      </c>
      <c r="AC1" s="196" t="s">
        <v>463</v>
      </c>
      <c r="AD1" s="227" t="s">
        <v>438</v>
      </c>
      <c r="AE1" s="196" t="s">
        <v>459</v>
      </c>
      <c r="AF1" s="227" t="s">
        <v>467</v>
      </c>
      <c r="AG1" s="227" t="s">
        <v>466</v>
      </c>
      <c r="AH1" s="848" t="s">
        <v>729</v>
      </c>
      <c r="AI1" s="844" t="s">
        <v>730</v>
      </c>
      <c r="AJ1" s="193" t="s">
        <v>16</v>
      </c>
    </row>
    <row r="2" spans="1:36">
      <c r="A2" s="1" t="s">
        <v>37</v>
      </c>
      <c r="B2" s="1" t="s">
        <v>85</v>
      </c>
      <c r="C2" s="870">
        <v>291</v>
      </c>
      <c r="D2" s="1" t="s">
        <v>1</v>
      </c>
      <c r="E2" s="1" t="s">
        <v>7</v>
      </c>
      <c r="F2" s="1" t="s">
        <v>20</v>
      </c>
      <c r="G2" s="1" t="s">
        <v>11</v>
      </c>
      <c r="H2" s="35">
        <v>80</v>
      </c>
      <c r="I2" s="3">
        <v>43656</v>
      </c>
      <c r="J2" s="4">
        <v>1</v>
      </c>
      <c r="K2" s="3">
        <v>43658</v>
      </c>
      <c r="L2" s="4">
        <v>1</v>
      </c>
      <c r="M2" s="1">
        <f>50-5+100-1+50-50</f>
        <v>144</v>
      </c>
      <c r="N2" s="1">
        <v>200</v>
      </c>
      <c r="O2" s="5">
        <f>N2*M2</f>
        <v>28800</v>
      </c>
      <c r="P2" s="36">
        <f>O2/1000</f>
        <v>28.8</v>
      </c>
      <c r="Q2" s="37">
        <f>(P2/1000)/H2</f>
        <v>3.5999999999999997E-4</v>
      </c>
      <c r="R2" s="7">
        <f>500/N2</f>
        <v>2.5</v>
      </c>
      <c r="S2" s="7">
        <f>5*N2</f>
        <v>1000</v>
      </c>
      <c r="T2" s="5">
        <v>50</v>
      </c>
      <c r="U2" s="7">
        <f>T2*N2/1000</f>
        <v>10</v>
      </c>
      <c r="V2" s="5">
        <v>4</v>
      </c>
      <c r="W2" s="197">
        <v>43682</v>
      </c>
      <c r="X2" s="197">
        <v>43683</v>
      </c>
      <c r="Y2" s="198">
        <v>158</v>
      </c>
      <c r="Z2" s="198"/>
      <c r="AA2" s="198">
        <f>Y2*5</f>
        <v>790</v>
      </c>
      <c r="AB2" s="198"/>
      <c r="AC2" s="198"/>
      <c r="AD2" s="197">
        <v>43692</v>
      </c>
      <c r="AE2" s="197">
        <v>43692</v>
      </c>
      <c r="AF2" s="200">
        <v>43804</v>
      </c>
      <c r="AG2" s="197"/>
      <c r="AH2" s="849">
        <v>15</v>
      </c>
      <c r="AI2" s="871" t="s">
        <v>244</v>
      </c>
      <c r="AJ2" s="1" t="s">
        <v>298</v>
      </c>
    </row>
    <row r="3" spans="1:36">
      <c r="A3" s="1" t="s">
        <v>37</v>
      </c>
      <c r="B3" s="1" t="s">
        <v>85</v>
      </c>
      <c r="C3" s="8">
        <v>292</v>
      </c>
      <c r="D3" s="1" t="s">
        <v>1</v>
      </c>
      <c r="E3" s="1" t="s">
        <v>7</v>
      </c>
      <c r="F3" s="1" t="s">
        <v>21</v>
      </c>
      <c r="G3" s="1" t="s">
        <v>11</v>
      </c>
      <c r="H3" s="35">
        <v>10</v>
      </c>
      <c r="I3" s="3">
        <v>43656</v>
      </c>
      <c r="J3" s="4">
        <v>1</v>
      </c>
      <c r="K3" s="3">
        <v>43661</v>
      </c>
      <c r="L3" s="4">
        <v>2</v>
      </c>
      <c r="M3" s="1">
        <f>50-5+100-1-50</f>
        <v>94</v>
      </c>
      <c r="N3" s="1">
        <v>47.8</v>
      </c>
      <c r="O3" s="5">
        <f t="shared" ref="O3:O60" si="0">N3*M3</f>
        <v>4493.2</v>
      </c>
      <c r="P3" s="36">
        <f>O3/1000</f>
        <v>4.4931999999999999</v>
      </c>
      <c r="Q3" s="37">
        <f>P3/1000/H3</f>
        <v>4.4932000000000001E-4</v>
      </c>
      <c r="R3" s="7">
        <f t="shared" ref="R3:R10" si="1">500/N3</f>
        <v>10.460251046025105</v>
      </c>
      <c r="S3" s="7">
        <f>5*N3</f>
        <v>239</v>
      </c>
      <c r="T3" s="5">
        <v>50</v>
      </c>
      <c r="U3" s="7">
        <f>T3*N3/1000</f>
        <v>2.39</v>
      </c>
      <c r="V3" s="5">
        <v>2</v>
      </c>
      <c r="W3" s="197">
        <v>43682</v>
      </c>
      <c r="X3" s="197">
        <v>43683</v>
      </c>
      <c r="Y3" s="198">
        <v>29.6</v>
      </c>
      <c r="Z3" s="198"/>
      <c r="AA3" s="198">
        <f>Y3*5</f>
        <v>148</v>
      </c>
      <c r="AB3" s="198"/>
      <c r="AC3" s="198"/>
      <c r="AD3" s="197"/>
      <c r="AE3" s="198"/>
      <c r="AF3" s="197"/>
      <c r="AG3" s="197"/>
      <c r="AH3" s="849">
        <v>15</v>
      </c>
      <c r="AI3" s="845">
        <v>1.32</v>
      </c>
      <c r="AJ3" s="1"/>
    </row>
    <row r="4" spans="1:36">
      <c r="A4" s="1" t="s">
        <v>37</v>
      </c>
      <c r="B4" s="1" t="s">
        <v>85</v>
      </c>
      <c r="C4" s="8">
        <v>293</v>
      </c>
      <c r="D4" s="1" t="s">
        <v>1</v>
      </c>
      <c r="E4" s="1" t="s">
        <v>7</v>
      </c>
      <c r="F4" s="1" t="s">
        <v>22</v>
      </c>
      <c r="G4" s="1" t="s">
        <v>11</v>
      </c>
      <c r="H4" s="35">
        <v>10</v>
      </c>
      <c r="I4" s="3">
        <v>43656</v>
      </c>
      <c r="J4" s="4">
        <v>1</v>
      </c>
      <c r="K4" s="3">
        <v>43661</v>
      </c>
      <c r="L4" s="4">
        <v>2</v>
      </c>
      <c r="M4" s="1">
        <f>50-5+100-1-50</f>
        <v>94</v>
      </c>
      <c r="N4" s="1">
        <v>47.2</v>
      </c>
      <c r="O4" s="5">
        <f t="shared" si="0"/>
        <v>4436.8</v>
      </c>
      <c r="P4" s="36">
        <f t="shared" ref="P4:P9" si="2">O4/1000</f>
        <v>4.4367999999999999</v>
      </c>
      <c r="Q4" s="37">
        <f t="shared" ref="Q4:Q9" si="3">P4/1000/H4</f>
        <v>4.4367999999999995E-4</v>
      </c>
      <c r="R4" s="7">
        <f t="shared" si="1"/>
        <v>10.59322033898305</v>
      </c>
      <c r="S4" s="7">
        <f t="shared" ref="S4:S9" si="4">5*N4</f>
        <v>236</v>
      </c>
      <c r="T4" s="5">
        <v>50</v>
      </c>
      <c r="U4" s="7">
        <f t="shared" ref="U4:U9" si="5">T4*N4/1000</f>
        <v>2.36</v>
      </c>
      <c r="V4" s="5">
        <v>2</v>
      </c>
      <c r="W4" s="197">
        <v>43682</v>
      </c>
      <c r="X4" s="197">
        <v>43683</v>
      </c>
      <c r="Y4" s="198">
        <v>39.6</v>
      </c>
      <c r="Z4" s="198"/>
      <c r="AA4" s="198">
        <f t="shared" ref="AA4:AA60" si="6">Y4*5</f>
        <v>198</v>
      </c>
      <c r="AB4" s="198"/>
      <c r="AC4" s="198"/>
      <c r="AD4" s="197"/>
      <c r="AE4" s="198"/>
      <c r="AF4" s="197"/>
      <c r="AG4" s="197"/>
      <c r="AH4" s="849">
        <v>16</v>
      </c>
      <c r="AI4" s="845">
        <v>1.03</v>
      </c>
      <c r="AJ4" s="1"/>
    </row>
    <row r="5" spans="1:36">
      <c r="A5" s="1" t="s">
        <v>37</v>
      </c>
      <c r="B5" s="1" t="s">
        <v>85</v>
      </c>
      <c r="C5" s="8">
        <v>294</v>
      </c>
      <c r="D5" s="1" t="s">
        <v>1</v>
      </c>
      <c r="E5" s="1" t="s">
        <v>7</v>
      </c>
      <c r="F5" s="1" t="s">
        <v>87</v>
      </c>
      <c r="G5" s="1" t="s">
        <v>11</v>
      </c>
      <c r="H5" s="35">
        <v>80</v>
      </c>
      <c r="I5" s="3">
        <v>43656</v>
      </c>
      <c r="J5" s="4">
        <v>4</v>
      </c>
      <c r="K5" s="3">
        <v>43661</v>
      </c>
      <c r="L5" s="4">
        <v>2</v>
      </c>
      <c r="M5" s="1">
        <f>150-1-50</f>
        <v>99</v>
      </c>
      <c r="N5" s="1">
        <v>108</v>
      </c>
      <c r="O5" s="5">
        <f t="shared" si="0"/>
        <v>10692</v>
      </c>
      <c r="P5" s="36">
        <f t="shared" si="2"/>
        <v>10.692</v>
      </c>
      <c r="Q5" s="37">
        <f t="shared" si="3"/>
        <v>1.3365E-4</v>
      </c>
      <c r="R5" s="7">
        <f t="shared" si="1"/>
        <v>4.6296296296296298</v>
      </c>
      <c r="S5" s="7">
        <f t="shared" si="4"/>
        <v>540</v>
      </c>
      <c r="T5" s="5">
        <v>50</v>
      </c>
      <c r="U5" s="7">
        <f t="shared" si="5"/>
        <v>5.4</v>
      </c>
      <c r="V5" s="5">
        <v>4</v>
      </c>
      <c r="W5" s="197">
        <v>43682</v>
      </c>
      <c r="X5" s="197">
        <v>43683</v>
      </c>
      <c r="Y5" s="198">
        <v>110</v>
      </c>
      <c r="Z5" s="198"/>
      <c r="AA5" s="198">
        <f t="shared" si="6"/>
        <v>550</v>
      </c>
      <c r="AB5" s="198"/>
      <c r="AC5" s="198"/>
      <c r="AD5" s="197">
        <v>43692</v>
      </c>
      <c r="AE5" s="197">
        <v>43692</v>
      </c>
      <c r="AF5" s="197">
        <v>43804</v>
      </c>
      <c r="AG5" s="197"/>
      <c r="AH5" s="849">
        <v>16</v>
      </c>
      <c r="AI5" s="845">
        <v>1.95</v>
      </c>
      <c r="AJ5" s="1"/>
    </row>
    <row r="6" spans="1:36">
      <c r="A6" s="1" t="s">
        <v>37</v>
      </c>
      <c r="B6" s="1" t="s">
        <v>85</v>
      </c>
      <c r="C6" s="870">
        <v>295</v>
      </c>
      <c r="D6" s="1" t="s">
        <v>1</v>
      </c>
      <c r="E6" s="1" t="s">
        <v>7</v>
      </c>
      <c r="F6" s="1" t="s">
        <v>23</v>
      </c>
      <c r="G6" s="1" t="s">
        <v>11</v>
      </c>
      <c r="H6" s="35">
        <v>10</v>
      </c>
      <c r="I6" s="3">
        <v>43656</v>
      </c>
      <c r="J6" s="4">
        <v>4</v>
      </c>
      <c r="K6" s="3">
        <v>43661</v>
      </c>
      <c r="L6" s="4">
        <v>2</v>
      </c>
      <c r="M6" s="149">
        <f>50-1+3-50</f>
        <v>2</v>
      </c>
      <c r="N6" s="1">
        <v>49.6</v>
      </c>
      <c r="O6" s="5">
        <f t="shared" si="0"/>
        <v>99.2</v>
      </c>
      <c r="P6" s="36">
        <f t="shared" si="2"/>
        <v>9.9199999999999997E-2</v>
      </c>
      <c r="Q6" s="37">
        <f t="shared" si="3"/>
        <v>9.9199999999999999E-6</v>
      </c>
      <c r="R6" s="7">
        <f t="shared" si="1"/>
        <v>10.080645161290322</v>
      </c>
      <c r="S6" s="7">
        <f t="shared" si="4"/>
        <v>248</v>
      </c>
      <c r="T6" s="5">
        <v>49</v>
      </c>
      <c r="U6" s="7">
        <f t="shared" si="5"/>
        <v>2.4304000000000001</v>
      </c>
      <c r="V6" s="5">
        <v>2</v>
      </c>
      <c r="W6" s="197">
        <v>43682</v>
      </c>
      <c r="X6" s="197">
        <v>43683</v>
      </c>
      <c r="Y6" s="198">
        <v>34.799999999999997</v>
      </c>
      <c r="Z6" s="198"/>
      <c r="AA6" s="198">
        <f t="shared" si="6"/>
        <v>174</v>
      </c>
      <c r="AB6" s="198"/>
      <c r="AC6" s="198"/>
      <c r="AD6" s="197"/>
      <c r="AE6" s="197">
        <v>43692</v>
      </c>
      <c r="AF6" s="197">
        <v>43804</v>
      </c>
      <c r="AG6" s="197"/>
      <c r="AH6" s="849">
        <v>18</v>
      </c>
      <c r="AI6" s="871" t="s">
        <v>244</v>
      </c>
      <c r="AJ6" s="1"/>
    </row>
    <row r="7" spans="1:36">
      <c r="A7" s="1" t="s">
        <v>37</v>
      </c>
      <c r="B7" s="1" t="s">
        <v>85</v>
      </c>
      <c r="C7" s="8">
        <v>296</v>
      </c>
      <c r="D7" s="1" t="s">
        <v>1</v>
      </c>
      <c r="E7" s="1" t="s">
        <v>7</v>
      </c>
      <c r="F7" s="1" t="s">
        <v>24</v>
      </c>
      <c r="G7" s="1" t="s">
        <v>11</v>
      </c>
      <c r="H7" s="35">
        <v>60</v>
      </c>
      <c r="I7" s="3">
        <v>43658</v>
      </c>
      <c r="J7" s="4">
        <v>5</v>
      </c>
      <c r="K7" s="3">
        <v>43662</v>
      </c>
      <c r="L7" s="4">
        <v>3</v>
      </c>
      <c r="M7" s="1">
        <f>150-1-50</f>
        <v>99</v>
      </c>
      <c r="N7" s="1">
        <v>198</v>
      </c>
      <c r="O7" s="5">
        <f t="shared" si="0"/>
        <v>19602</v>
      </c>
      <c r="P7" s="36">
        <f t="shared" si="2"/>
        <v>19.602</v>
      </c>
      <c r="Q7" s="37">
        <f t="shared" si="3"/>
        <v>3.2670000000000003E-4</v>
      </c>
      <c r="R7" s="7">
        <f t="shared" si="1"/>
        <v>2.5252525252525251</v>
      </c>
      <c r="S7" s="7">
        <f t="shared" si="4"/>
        <v>990</v>
      </c>
      <c r="T7" s="5">
        <v>50</v>
      </c>
      <c r="U7" s="7">
        <f t="shared" si="5"/>
        <v>9.9</v>
      </c>
      <c r="V7" s="5">
        <v>2</v>
      </c>
      <c r="W7" s="197">
        <v>43682</v>
      </c>
      <c r="X7" s="197">
        <v>43683</v>
      </c>
      <c r="Y7" s="198">
        <v>180</v>
      </c>
      <c r="Z7" s="198">
        <f>9626/1000*6</f>
        <v>57.756</v>
      </c>
      <c r="AA7" s="198">
        <f t="shared" si="6"/>
        <v>900</v>
      </c>
      <c r="AB7" s="36">
        <f>500/Y7</f>
        <v>2.7777777777777777</v>
      </c>
      <c r="AC7" s="36">
        <f>5-AB7</f>
        <v>2.2222222222222223</v>
      </c>
      <c r="AD7" s="197"/>
      <c r="AE7" s="198"/>
      <c r="AF7" s="197">
        <v>43697</v>
      </c>
      <c r="AG7" s="197">
        <v>43698</v>
      </c>
      <c r="AH7" s="849">
        <v>15</v>
      </c>
      <c r="AI7" s="845">
        <v>3.46</v>
      </c>
      <c r="AJ7" s="1"/>
    </row>
    <row r="8" spans="1:36" hidden="1">
      <c r="A8" s="73" t="s">
        <v>37</v>
      </c>
      <c r="B8" s="73" t="s">
        <v>85</v>
      </c>
      <c r="C8" s="74">
        <v>297</v>
      </c>
      <c r="D8" s="73" t="s">
        <v>1</v>
      </c>
      <c r="E8" s="73" t="s">
        <v>7</v>
      </c>
      <c r="F8" s="73" t="s">
        <v>25</v>
      </c>
      <c r="G8" s="73" t="s">
        <v>11</v>
      </c>
      <c r="H8" s="75" t="s">
        <v>76</v>
      </c>
      <c r="I8" s="76">
        <v>43658</v>
      </c>
      <c r="J8" s="77">
        <v>5</v>
      </c>
      <c r="K8" s="76">
        <v>43662</v>
      </c>
      <c r="L8" s="77">
        <v>3</v>
      </c>
      <c r="M8" s="73">
        <f>150-1</f>
        <v>149</v>
      </c>
      <c r="N8" s="73">
        <v>4.2</v>
      </c>
      <c r="O8" s="78">
        <f t="shared" si="0"/>
        <v>625.80000000000007</v>
      </c>
      <c r="P8" s="79">
        <f t="shared" si="2"/>
        <v>0.62580000000000002</v>
      </c>
      <c r="Q8" s="80" t="e">
        <f t="shared" si="3"/>
        <v>#VALUE!</v>
      </c>
      <c r="R8" s="81">
        <f t="shared" si="1"/>
        <v>119.04761904761904</v>
      </c>
      <c r="S8" s="81">
        <f t="shared" si="4"/>
        <v>21</v>
      </c>
      <c r="T8" s="78">
        <v>50</v>
      </c>
      <c r="U8" s="81">
        <f t="shared" si="5"/>
        <v>0.21</v>
      </c>
      <c r="V8" s="78" t="s">
        <v>244</v>
      </c>
      <c r="W8" s="81"/>
      <c r="X8" s="197">
        <v>43683</v>
      </c>
      <c r="Y8" s="199" t="s">
        <v>244</v>
      </c>
      <c r="Z8" s="199"/>
      <c r="AA8" s="199" t="s">
        <v>244</v>
      </c>
      <c r="AB8" s="199"/>
      <c r="AC8" s="199"/>
      <c r="AD8" s="228"/>
      <c r="AE8" s="199"/>
      <c r="AF8" s="228"/>
      <c r="AG8" s="228"/>
      <c r="AH8" s="78"/>
      <c r="AI8" s="846"/>
      <c r="AJ8" s="1"/>
    </row>
    <row r="9" spans="1:36">
      <c r="A9" s="1" t="s">
        <v>37</v>
      </c>
      <c r="B9" s="1" t="s">
        <v>85</v>
      </c>
      <c r="C9" s="8">
        <v>298</v>
      </c>
      <c r="D9" s="1" t="s">
        <v>1</v>
      </c>
      <c r="E9" s="1" t="s">
        <v>7</v>
      </c>
      <c r="F9" s="1" t="s">
        <v>26</v>
      </c>
      <c r="G9" s="1" t="s">
        <v>11</v>
      </c>
      <c r="H9" s="35">
        <v>80</v>
      </c>
      <c r="I9" s="3">
        <v>43658</v>
      </c>
      <c r="J9" s="4">
        <v>7</v>
      </c>
      <c r="K9" s="3">
        <v>43662</v>
      </c>
      <c r="L9" s="4">
        <v>4</v>
      </c>
      <c r="M9" s="1">
        <f>150-1-50</f>
        <v>99</v>
      </c>
      <c r="N9" s="1">
        <v>76.400000000000006</v>
      </c>
      <c r="O9" s="5">
        <f t="shared" si="0"/>
        <v>7563.6</v>
      </c>
      <c r="P9" s="36">
        <f t="shared" si="2"/>
        <v>7.5636000000000001</v>
      </c>
      <c r="Q9" s="37">
        <f t="shared" si="3"/>
        <v>9.4544999999999997E-5</v>
      </c>
      <c r="R9" s="7">
        <f t="shared" si="1"/>
        <v>6.5445026178010464</v>
      </c>
      <c r="S9" s="7">
        <f t="shared" si="4"/>
        <v>382</v>
      </c>
      <c r="T9" s="5">
        <v>50</v>
      </c>
      <c r="U9" s="7">
        <f t="shared" si="5"/>
        <v>3.8200000000000003</v>
      </c>
      <c r="V9" s="5">
        <v>2</v>
      </c>
      <c r="W9" s="197">
        <v>43682</v>
      </c>
      <c r="X9" s="197">
        <v>43683</v>
      </c>
      <c r="Y9" s="198">
        <v>182</v>
      </c>
      <c r="Z9" s="198"/>
      <c r="AA9" s="198">
        <f t="shared" si="6"/>
        <v>910</v>
      </c>
      <c r="AB9" s="198"/>
      <c r="AC9" s="198"/>
      <c r="AD9" s="197">
        <v>43692</v>
      </c>
      <c r="AE9" s="197">
        <v>43692</v>
      </c>
      <c r="AF9" s="200">
        <v>43804</v>
      </c>
      <c r="AG9" s="197"/>
      <c r="AH9" s="849">
        <v>15</v>
      </c>
      <c r="AI9" s="845">
        <v>3.08</v>
      </c>
      <c r="AJ9" s="1" t="s">
        <v>84</v>
      </c>
    </row>
    <row r="10" spans="1:36">
      <c r="A10" s="1" t="s">
        <v>37</v>
      </c>
      <c r="B10" s="1" t="s">
        <v>85</v>
      </c>
      <c r="C10" s="8">
        <v>299</v>
      </c>
      <c r="D10" s="1" t="s">
        <v>1</v>
      </c>
      <c r="E10" s="1" t="s">
        <v>7</v>
      </c>
      <c r="F10" s="1" t="s">
        <v>27</v>
      </c>
      <c r="G10" s="1" t="s">
        <v>11</v>
      </c>
      <c r="H10" s="35">
        <v>10</v>
      </c>
      <c r="I10" s="3">
        <v>43658</v>
      </c>
      <c r="J10" s="4">
        <v>7</v>
      </c>
      <c r="K10" s="3">
        <v>43662</v>
      </c>
      <c r="L10" s="4">
        <v>4</v>
      </c>
      <c r="M10" s="1">
        <f>150-1-50</f>
        <v>99</v>
      </c>
      <c r="N10" s="1">
        <v>56.8</v>
      </c>
      <c r="O10" s="5">
        <f t="shared" si="0"/>
        <v>5623.2</v>
      </c>
      <c r="P10" s="36">
        <f>O10/1000</f>
        <v>5.6231999999999998</v>
      </c>
      <c r="Q10" s="37">
        <f>P10/1000/H10</f>
        <v>5.6232000000000005E-4</v>
      </c>
      <c r="R10" s="7">
        <f t="shared" si="1"/>
        <v>8.8028169014084519</v>
      </c>
      <c r="S10" s="7">
        <f>5*N10</f>
        <v>284</v>
      </c>
      <c r="T10" s="5">
        <v>50</v>
      </c>
      <c r="U10" s="7">
        <f>T10*N10/1000</f>
        <v>2.84</v>
      </c>
      <c r="V10" s="5">
        <v>4</v>
      </c>
      <c r="W10" s="197">
        <v>43682</v>
      </c>
      <c r="X10" s="197">
        <v>43683</v>
      </c>
      <c r="Y10" s="198">
        <v>50.4</v>
      </c>
      <c r="Z10" s="198"/>
      <c r="AA10" s="198">
        <f t="shared" si="6"/>
        <v>252</v>
      </c>
      <c r="AB10" s="198"/>
      <c r="AC10" s="198"/>
      <c r="AD10" s="197">
        <v>43692</v>
      </c>
      <c r="AE10" s="197">
        <v>43692</v>
      </c>
      <c r="AF10" s="197">
        <v>43804</v>
      </c>
      <c r="AG10" s="197"/>
      <c r="AH10" s="849">
        <v>15</v>
      </c>
      <c r="AI10" s="845">
        <v>2.46</v>
      </c>
      <c r="AJ10" s="1"/>
    </row>
    <row r="11" spans="1:36">
      <c r="A11" s="1"/>
      <c r="B11" s="1"/>
      <c r="C11" s="8"/>
      <c r="D11" s="1"/>
      <c r="E11" s="1"/>
      <c r="F11" s="1"/>
      <c r="G11" s="1"/>
      <c r="H11" s="2"/>
      <c r="I11" s="1"/>
      <c r="J11" s="4"/>
      <c r="K11" s="1"/>
      <c r="L11" s="4"/>
      <c r="M11" s="1"/>
      <c r="N11" s="1"/>
      <c r="O11" s="5"/>
      <c r="P11" s="5"/>
      <c r="Q11" s="5"/>
      <c r="R11" s="7"/>
      <c r="S11" s="7"/>
      <c r="T11" s="5"/>
      <c r="U11" s="7"/>
      <c r="V11" s="5"/>
      <c r="W11" s="7"/>
      <c r="X11" s="7"/>
      <c r="Y11" s="198"/>
      <c r="Z11" s="198"/>
      <c r="AA11" s="198"/>
      <c r="AB11" s="198"/>
      <c r="AC11" s="198"/>
      <c r="AD11" s="197"/>
      <c r="AE11" s="198"/>
      <c r="AF11" s="197"/>
      <c r="AG11" s="197"/>
      <c r="AH11" s="849"/>
      <c r="AI11" s="845"/>
      <c r="AJ11" s="1"/>
    </row>
    <row r="12" spans="1:36" s="189" customFormat="1">
      <c r="A12" s="160" t="s">
        <v>37</v>
      </c>
      <c r="B12" s="160" t="s">
        <v>86</v>
      </c>
      <c r="C12" s="161">
        <v>301</v>
      </c>
      <c r="D12" s="160" t="s">
        <v>2</v>
      </c>
      <c r="E12" s="160" t="s">
        <v>7</v>
      </c>
      <c r="F12" s="160" t="s">
        <v>28</v>
      </c>
      <c r="G12" s="160" t="s">
        <v>11</v>
      </c>
      <c r="H12" s="162">
        <v>10</v>
      </c>
      <c r="I12" s="163">
        <v>43656</v>
      </c>
      <c r="J12" s="164">
        <v>1</v>
      </c>
      <c r="K12" s="163">
        <v>43658</v>
      </c>
      <c r="L12" s="164">
        <v>1</v>
      </c>
      <c r="M12" s="160">
        <f>50-5+100-1-50</f>
        <v>94</v>
      </c>
      <c r="N12" s="160">
        <v>82.6</v>
      </c>
      <c r="O12" s="5">
        <f t="shared" si="0"/>
        <v>7764.4</v>
      </c>
      <c r="P12" s="36">
        <f>O12/1000</f>
        <v>7.7643999999999993</v>
      </c>
      <c r="Q12" s="37">
        <f>(P12/1000)/H12</f>
        <v>7.7643999999999999E-4</v>
      </c>
      <c r="R12" s="7">
        <f t="shared" ref="R12:R20" si="7">500/N12</f>
        <v>6.053268765133172</v>
      </c>
      <c r="S12" s="7">
        <f>5*N12</f>
        <v>413</v>
      </c>
      <c r="T12" s="5">
        <v>50</v>
      </c>
      <c r="U12" s="7">
        <f>T12*N12/1000</f>
        <v>4.13</v>
      </c>
      <c r="V12" s="5">
        <v>2</v>
      </c>
      <c r="W12" s="197">
        <v>43682</v>
      </c>
      <c r="X12" s="197">
        <v>43683</v>
      </c>
      <c r="Y12" s="198">
        <v>75.8</v>
      </c>
      <c r="Z12" s="198"/>
      <c r="AA12" s="198">
        <f t="shared" si="6"/>
        <v>379</v>
      </c>
      <c r="AB12" s="198"/>
      <c r="AC12" s="198"/>
      <c r="AD12" s="197"/>
      <c r="AE12" s="198"/>
      <c r="AF12" s="197">
        <v>43804</v>
      </c>
      <c r="AG12" s="197"/>
      <c r="AH12" s="849">
        <v>15</v>
      </c>
      <c r="AI12" s="845">
        <v>2.82</v>
      </c>
      <c r="AJ12" s="160"/>
    </row>
    <row r="13" spans="1:36" s="189" customFormat="1">
      <c r="A13" s="160" t="s">
        <v>37</v>
      </c>
      <c r="B13" s="160" t="s">
        <v>86</v>
      </c>
      <c r="C13" s="161">
        <v>302</v>
      </c>
      <c r="D13" s="160" t="s">
        <v>2</v>
      </c>
      <c r="E13" s="160" t="s">
        <v>7</v>
      </c>
      <c r="F13" s="160" t="s">
        <v>29</v>
      </c>
      <c r="G13" s="160" t="s">
        <v>11</v>
      </c>
      <c r="H13" s="162">
        <v>10</v>
      </c>
      <c r="I13" s="163">
        <v>43656</v>
      </c>
      <c r="J13" s="164">
        <v>1</v>
      </c>
      <c r="K13" s="163">
        <v>43661</v>
      </c>
      <c r="L13" s="164">
        <v>2</v>
      </c>
      <c r="M13" s="160">
        <f>50-5</f>
        <v>45</v>
      </c>
      <c r="N13" s="160">
        <v>36.799999999999997</v>
      </c>
      <c r="O13" s="5">
        <f>N13*M13</f>
        <v>1655.9999999999998</v>
      </c>
      <c r="P13" s="36">
        <f t="shared" ref="P13:P19" si="8">O13/1000</f>
        <v>1.6559999999999997</v>
      </c>
      <c r="Q13" s="37">
        <f t="shared" ref="Q13:Q19" si="9">P13/1000/H13</f>
        <v>1.6559999999999996E-4</v>
      </c>
      <c r="R13" s="7">
        <f>500/N13</f>
        <v>13.586956521739131</v>
      </c>
      <c r="S13" s="7">
        <f t="shared" ref="S13:S19" si="10">5*N13</f>
        <v>184</v>
      </c>
      <c r="T13" s="5">
        <v>50</v>
      </c>
      <c r="U13" s="7">
        <f t="shared" ref="U13:U19" si="11">T13*N13/1000</f>
        <v>1.8399999999999999</v>
      </c>
      <c r="V13" s="5">
        <v>5</v>
      </c>
      <c r="W13" s="197">
        <v>43683</v>
      </c>
      <c r="X13" s="197">
        <v>43683</v>
      </c>
      <c r="Y13" s="198">
        <v>62.4</v>
      </c>
      <c r="Z13" s="198"/>
      <c r="AA13" s="198">
        <f t="shared" si="6"/>
        <v>312</v>
      </c>
      <c r="AB13" s="198"/>
      <c r="AC13" s="198"/>
      <c r="AD13" s="197"/>
      <c r="AE13" s="198"/>
      <c r="AF13" s="197"/>
      <c r="AG13" s="197"/>
      <c r="AH13" s="849">
        <v>14</v>
      </c>
      <c r="AI13" s="845">
        <v>4.9000000000000004</v>
      </c>
      <c r="AJ13" s="160" t="s">
        <v>299</v>
      </c>
    </row>
    <row r="14" spans="1:36">
      <c r="A14" s="1" t="s">
        <v>37</v>
      </c>
      <c r="B14" s="1" t="s">
        <v>86</v>
      </c>
      <c r="C14" s="870">
        <v>306</v>
      </c>
      <c r="D14" s="1" t="s">
        <v>2</v>
      </c>
      <c r="E14" s="1" t="s">
        <v>7</v>
      </c>
      <c r="F14" s="1" t="s">
        <v>30</v>
      </c>
      <c r="G14" s="1" t="s">
        <v>11</v>
      </c>
      <c r="H14" s="35">
        <v>50</v>
      </c>
      <c r="I14" s="3">
        <v>43656</v>
      </c>
      <c r="J14" s="4">
        <v>2</v>
      </c>
      <c r="K14" s="3">
        <v>43661</v>
      </c>
      <c r="L14" s="4">
        <v>3</v>
      </c>
      <c r="M14" s="1">
        <f>50-5+100-1+50-50</f>
        <v>144</v>
      </c>
      <c r="N14" s="1">
        <v>200</v>
      </c>
      <c r="O14" s="5">
        <f t="shared" si="0"/>
        <v>28800</v>
      </c>
      <c r="P14" s="36">
        <f t="shared" si="8"/>
        <v>28.8</v>
      </c>
      <c r="Q14" s="37">
        <f t="shared" si="9"/>
        <v>5.7600000000000001E-4</v>
      </c>
      <c r="R14" s="7">
        <f t="shared" si="7"/>
        <v>2.5</v>
      </c>
      <c r="S14" s="7">
        <f t="shared" si="10"/>
        <v>1000</v>
      </c>
      <c r="T14" s="5">
        <v>50</v>
      </c>
      <c r="U14" s="7">
        <f t="shared" si="11"/>
        <v>10</v>
      </c>
      <c r="V14" s="5">
        <v>4</v>
      </c>
      <c r="W14" s="197">
        <v>43682</v>
      </c>
      <c r="X14" s="197">
        <v>43683</v>
      </c>
      <c r="Y14" s="198">
        <v>136</v>
      </c>
      <c r="Z14" s="198"/>
      <c r="AA14" s="198">
        <f t="shared" si="6"/>
        <v>680</v>
      </c>
      <c r="AB14" s="198"/>
      <c r="AC14" s="198"/>
      <c r="AD14" s="197"/>
      <c r="AE14" s="197">
        <v>43692</v>
      </c>
      <c r="AF14" s="197"/>
      <c r="AG14" s="197"/>
      <c r="AH14" s="849">
        <v>18</v>
      </c>
      <c r="AI14" s="871" t="s">
        <v>244</v>
      </c>
      <c r="AJ14" s="1" t="s">
        <v>298</v>
      </c>
    </row>
    <row r="15" spans="1:36">
      <c r="A15" s="1" t="s">
        <v>37</v>
      </c>
      <c r="B15" s="1" t="s">
        <v>86</v>
      </c>
      <c r="C15" s="8">
        <v>304</v>
      </c>
      <c r="D15" s="1" t="s">
        <v>2</v>
      </c>
      <c r="E15" s="1" t="s">
        <v>7</v>
      </c>
      <c r="F15" s="1" t="s">
        <v>32</v>
      </c>
      <c r="G15" s="1" t="s">
        <v>11</v>
      </c>
      <c r="H15" s="35">
        <v>50</v>
      </c>
      <c r="I15" s="3">
        <v>43656</v>
      </c>
      <c r="J15" s="4">
        <v>1</v>
      </c>
      <c r="K15" s="3">
        <v>43661</v>
      </c>
      <c r="L15" s="4">
        <v>2</v>
      </c>
      <c r="M15" s="1">
        <f>150-1+50-50</f>
        <v>149</v>
      </c>
      <c r="N15" s="1" t="s">
        <v>81</v>
      </c>
      <c r="O15" s="6" t="s">
        <v>82</v>
      </c>
      <c r="P15" s="36" t="e">
        <f t="shared" si="8"/>
        <v>#VALUE!</v>
      </c>
      <c r="Q15" s="37" t="e">
        <f t="shared" si="9"/>
        <v>#VALUE!</v>
      </c>
      <c r="R15" s="7" t="e">
        <f t="shared" si="7"/>
        <v>#VALUE!</v>
      </c>
      <c r="S15" s="7" t="e">
        <f t="shared" si="10"/>
        <v>#VALUE!</v>
      </c>
      <c r="T15" s="5">
        <v>50</v>
      </c>
      <c r="U15" s="7" t="e">
        <f t="shared" si="11"/>
        <v>#VALUE!</v>
      </c>
      <c r="V15" s="5">
        <v>4</v>
      </c>
      <c r="W15" s="197">
        <v>43682</v>
      </c>
      <c r="X15" s="197">
        <v>43683</v>
      </c>
      <c r="Y15" s="198">
        <v>200</v>
      </c>
      <c r="Z15" s="198"/>
      <c r="AA15" s="198">
        <f t="shared" si="6"/>
        <v>1000</v>
      </c>
      <c r="AB15" s="198"/>
      <c r="AC15" s="198"/>
      <c r="AD15" s="197">
        <v>43692</v>
      </c>
      <c r="AE15" s="197">
        <v>43692</v>
      </c>
      <c r="AF15" s="197">
        <v>43804</v>
      </c>
      <c r="AG15" s="197"/>
      <c r="AH15" s="849">
        <v>15</v>
      </c>
      <c r="AI15" s="845">
        <v>2.8</v>
      </c>
      <c r="AJ15" s="1" t="s">
        <v>298</v>
      </c>
    </row>
    <row r="16" spans="1:36">
      <c r="A16" s="1" t="s">
        <v>37</v>
      </c>
      <c r="B16" s="1" t="s">
        <v>86</v>
      </c>
      <c r="C16" s="8">
        <v>305</v>
      </c>
      <c r="D16" s="1" t="s">
        <v>2</v>
      </c>
      <c r="E16" s="1" t="s">
        <v>7</v>
      </c>
      <c r="F16" s="1" t="s">
        <v>33</v>
      </c>
      <c r="G16" s="1" t="s">
        <v>11</v>
      </c>
      <c r="H16" s="35">
        <v>20</v>
      </c>
      <c r="I16" s="3">
        <v>43656</v>
      </c>
      <c r="J16" s="4">
        <v>1</v>
      </c>
      <c r="K16" s="3">
        <v>43661</v>
      </c>
      <c r="L16" s="4">
        <v>2</v>
      </c>
      <c r="M16" s="1">
        <f>150-1-50</f>
        <v>99</v>
      </c>
      <c r="N16" s="1">
        <v>82</v>
      </c>
      <c r="O16" s="5">
        <f t="shared" si="0"/>
        <v>8118</v>
      </c>
      <c r="P16" s="36">
        <f t="shared" si="8"/>
        <v>8.1180000000000003</v>
      </c>
      <c r="Q16" s="37">
        <f t="shared" si="9"/>
        <v>4.059E-4</v>
      </c>
      <c r="R16" s="7">
        <f t="shared" si="7"/>
        <v>6.0975609756097562</v>
      </c>
      <c r="S16" s="7">
        <f t="shared" si="10"/>
        <v>410</v>
      </c>
      <c r="T16" s="5">
        <v>50</v>
      </c>
      <c r="U16" s="7">
        <f t="shared" si="11"/>
        <v>4.0999999999999996</v>
      </c>
      <c r="V16" s="5">
        <v>2</v>
      </c>
      <c r="W16" s="197">
        <v>43682</v>
      </c>
      <c r="X16" s="197">
        <v>43683</v>
      </c>
      <c r="Y16" s="198">
        <v>75.2</v>
      </c>
      <c r="Z16" s="198"/>
      <c r="AA16" s="198">
        <f t="shared" si="6"/>
        <v>376</v>
      </c>
      <c r="AB16" s="198"/>
      <c r="AC16" s="198"/>
      <c r="AD16" s="197">
        <v>43692</v>
      </c>
      <c r="AE16" s="197">
        <v>43692</v>
      </c>
      <c r="AF16" s="197">
        <v>43804</v>
      </c>
      <c r="AG16" s="197"/>
      <c r="AH16" s="849">
        <v>16</v>
      </c>
      <c r="AI16" s="845">
        <v>2.96</v>
      </c>
      <c r="AJ16" s="1"/>
    </row>
    <row r="17" spans="1:36">
      <c r="A17" s="1" t="s">
        <v>37</v>
      </c>
      <c r="B17" s="1" t="s">
        <v>86</v>
      </c>
      <c r="C17" s="8">
        <v>303</v>
      </c>
      <c r="D17" s="1" t="s">
        <v>2</v>
      </c>
      <c r="E17" s="1" t="s">
        <v>7</v>
      </c>
      <c r="F17" s="1" t="s">
        <v>31</v>
      </c>
      <c r="G17" s="1" t="s">
        <v>11</v>
      </c>
      <c r="H17" s="35">
        <v>80</v>
      </c>
      <c r="I17" s="3">
        <v>43658</v>
      </c>
      <c r="J17" s="4">
        <v>1</v>
      </c>
      <c r="K17" s="3">
        <v>43662</v>
      </c>
      <c r="L17" s="4">
        <v>2</v>
      </c>
      <c r="M17" s="1">
        <f>150-1-50</f>
        <v>99</v>
      </c>
      <c r="N17" s="1">
        <v>120</v>
      </c>
      <c r="O17" s="5">
        <f t="shared" si="0"/>
        <v>11880</v>
      </c>
      <c r="P17" s="36">
        <f t="shared" si="8"/>
        <v>11.88</v>
      </c>
      <c r="Q17" s="37">
        <f t="shared" si="9"/>
        <v>1.485E-4</v>
      </c>
      <c r="R17" s="7">
        <f t="shared" si="7"/>
        <v>4.166666666666667</v>
      </c>
      <c r="S17" s="7">
        <f t="shared" si="10"/>
        <v>600</v>
      </c>
      <c r="T17" s="5">
        <v>50</v>
      </c>
      <c r="U17" s="7">
        <f t="shared" si="11"/>
        <v>6</v>
      </c>
      <c r="V17" s="5">
        <v>2</v>
      </c>
      <c r="W17" s="197">
        <v>43682</v>
      </c>
      <c r="X17" s="197">
        <v>43683</v>
      </c>
      <c r="Y17" s="198">
        <v>95.2</v>
      </c>
      <c r="Z17" s="198"/>
      <c r="AA17" s="198">
        <f t="shared" si="6"/>
        <v>476</v>
      </c>
      <c r="AB17" s="198"/>
      <c r="AC17" s="198"/>
      <c r="AD17" s="197"/>
      <c r="AE17" s="198"/>
      <c r="AF17" s="197"/>
      <c r="AG17" s="197"/>
      <c r="AH17" s="849">
        <v>14</v>
      </c>
      <c r="AI17" s="845">
        <v>2.4</v>
      </c>
      <c r="AJ17" s="1"/>
    </row>
    <row r="18" spans="1:36">
      <c r="A18" s="1" t="s">
        <v>37</v>
      </c>
      <c r="B18" s="1" t="s">
        <v>86</v>
      </c>
      <c r="C18" s="870">
        <v>307</v>
      </c>
      <c r="D18" s="1" t="s">
        <v>2</v>
      </c>
      <c r="E18" s="1" t="s">
        <v>7</v>
      </c>
      <c r="F18" s="1" t="s">
        <v>34</v>
      </c>
      <c r="G18" s="1" t="s">
        <v>11</v>
      </c>
      <c r="H18" s="35">
        <v>70</v>
      </c>
      <c r="I18" s="3">
        <v>43658</v>
      </c>
      <c r="J18" s="4">
        <v>4</v>
      </c>
      <c r="K18" s="3">
        <v>43662</v>
      </c>
      <c r="L18" s="4">
        <v>3</v>
      </c>
      <c r="M18" s="1">
        <f>150-1-50</f>
        <v>99</v>
      </c>
      <c r="N18" s="1">
        <v>95.4</v>
      </c>
      <c r="O18" s="5">
        <f t="shared" si="0"/>
        <v>9444.6</v>
      </c>
      <c r="P18" s="36">
        <f t="shared" si="8"/>
        <v>9.4446000000000012</v>
      </c>
      <c r="Q18" s="37">
        <f t="shared" si="9"/>
        <v>1.3492285714285715E-4</v>
      </c>
      <c r="R18" s="7">
        <f t="shared" si="7"/>
        <v>5.2410901467505235</v>
      </c>
      <c r="S18" s="7">
        <f t="shared" si="10"/>
        <v>477</v>
      </c>
      <c r="T18" s="5">
        <v>50</v>
      </c>
      <c r="U18" s="7">
        <f t="shared" si="11"/>
        <v>4.7699999999999996</v>
      </c>
      <c r="V18" s="5">
        <v>2</v>
      </c>
      <c r="W18" s="197">
        <v>43682</v>
      </c>
      <c r="X18" s="197">
        <v>43683</v>
      </c>
      <c r="Y18" s="198">
        <v>89.4</v>
      </c>
      <c r="Z18" s="198"/>
      <c r="AA18" s="198">
        <f t="shared" si="6"/>
        <v>447</v>
      </c>
      <c r="AB18" s="198"/>
      <c r="AC18" s="198"/>
      <c r="AD18" s="197"/>
      <c r="AE18" s="198"/>
      <c r="AF18" s="197">
        <v>43804</v>
      </c>
      <c r="AG18" s="197"/>
      <c r="AH18" s="845" t="s">
        <v>731</v>
      </c>
      <c r="AI18" s="871" t="s">
        <v>731</v>
      </c>
      <c r="AJ18" s="1"/>
    </row>
    <row r="19" spans="1:36">
      <c r="A19" s="1" t="s">
        <v>37</v>
      </c>
      <c r="B19" s="1" t="s">
        <v>86</v>
      </c>
      <c r="C19" s="8">
        <v>308</v>
      </c>
      <c r="D19" s="1" t="s">
        <v>2</v>
      </c>
      <c r="E19" s="1" t="s">
        <v>7</v>
      </c>
      <c r="F19" s="1" t="s">
        <v>35</v>
      </c>
      <c r="G19" s="1" t="s">
        <v>11</v>
      </c>
      <c r="H19" s="35">
        <v>70</v>
      </c>
      <c r="I19" s="3">
        <v>43658</v>
      </c>
      <c r="J19" s="4">
        <v>4</v>
      </c>
      <c r="K19" s="3">
        <v>43662</v>
      </c>
      <c r="L19" s="4">
        <v>4</v>
      </c>
      <c r="M19" s="1">
        <f>150-1-50</f>
        <v>99</v>
      </c>
      <c r="N19" s="1">
        <v>63.6</v>
      </c>
      <c r="O19" s="5">
        <f t="shared" si="0"/>
        <v>6296.4000000000005</v>
      </c>
      <c r="P19" s="36">
        <f t="shared" si="8"/>
        <v>6.2964000000000002</v>
      </c>
      <c r="Q19" s="37">
        <f t="shared" si="9"/>
        <v>8.994857142857144E-5</v>
      </c>
      <c r="R19" s="7">
        <f t="shared" si="7"/>
        <v>7.8616352201257858</v>
      </c>
      <c r="S19" s="7">
        <f t="shared" si="10"/>
        <v>318</v>
      </c>
      <c r="T19" s="5">
        <v>50</v>
      </c>
      <c r="U19" s="7">
        <f t="shared" si="11"/>
        <v>3.18</v>
      </c>
      <c r="V19" s="5">
        <v>2</v>
      </c>
      <c r="W19" s="197">
        <v>43682</v>
      </c>
      <c r="X19" s="197">
        <v>43683</v>
      </c>
      <c r="Y19" s="198">
        <v>73.599999999999994</v>
      </c>
      <c r="Z19" s="198"/>
      <c r="AA19" s="198">
        <f t="shared" si="6"/>
        <v>368</v>
      </c>
      <c r="AB19" s="198"/>
      <c r="AC19" s="198"/>
      <c r="AD19" s="197"/>
      <c r="AE19" s="198"/>
      <c r="AF19" s="197">
        <v>43804</v>
      </c>
      <c r="AG19" s="197"/>
      <c r="AH19" s="849">
        <v>16</v>
      </c>
      <c r="AI19" s="845">
        <v>2.48</v>
      </c>
      <c r="AJ19" s="1"/>
    </row>
    <row r="20" spans="1:36">
      <c r="A20" s="1" t="s">
        <v>37</v>
      </c>
      <c r="B20" s="1" t="s">
        <v>86</v>
      </c>
      <c r="C20" s="8">
        <v>309</v>
      </c>
      <c r="D20" s="1" t="s">
        <v>2</v>
      </c>
      <c r="E20" s="1" t="s">
        <v>7</v>
      </c>
      <c r="F20" s="1" t="s">
        <v>36</v>
      </c>
      <c r="G20" s="1" t="s">
        <v>11</v>
      </c>
      <c r="H20" s="35">
        <v>80</v>
      </c>
      <c r="I20" s="3">
        <v>43658</v>
      </c>
      <c r="J20" s="4">
        <v>6</v>
      </c>
      <c r="K20" s="3">
        <v>43662</v>
      </c>
      <c r="L20" s="4">
        <v>4</v>
      </c>
      <c r="M20" s="1">
        <f>150-1+50-50</f>
        <v>149</v>
      </c>
      <c r="N20" s="1">
        <v>200</v>
      </c>
      <c r="O20" s="5">
        <f t="shared" si="0"/>
        <v>29800</v>
      </c>
      <c r="P20" s="36">
        <f>O20/1000</f>
        <v>29.8</v>
      </c>
      <c r="Q20" s="37">
        <f>P20/1000/H20</f>
        <v>3.725E-4</v>
      </c>
      <c r="R20" s="7">
        <f t="shared" si="7"/>
        <v>2.5</v>
      </c>
      <c r="S20" s="7">
        <f>5*N20</f>
        <v>1000</v>
      </c>
      <c r="T20" s="5">
        <v>50</v>
      </c>
      <c r="U20" s="7">
        <f>T20*N20/1000</f>
        <v>10</v>
      </c>
      <c r="V20" s="5">
        <v>4</v>
      </c>
      <c r="W20" s="197">
        <v>43682</v>
      </c>
      <c r="X20" s="197">
        <v>43683</v>
      </c>
      <c r="Y20" s="198">
        <v>170</v>
      </c>
      <c r="Z20" s="198"/>
      <c r="AA20" s="198">
        <f t="shared" si="6"/>
        <v>850</v>
      </c>
      <c r="AB20" s="198"/>
      <c r="AC20" s="198"/>
      <c r="AD20" s="197">
        <v>43692</v>
      </c>
      <c r="AE20" s="197">
        <v>43692</v>
      </c>
      <c r="AF20" s="197"/>
      <c r="AG20" s="197"/>
      <c r="AH20" s="849">
        <v>14</v>
      </c>
      <c r="AI20" s="845">
        <v>1.46</v>
      </c>
      <c r="AJ20" s="1" t="s">
        <v>460</v>
      </c>
    </row>
    <row r="21" spans="1:36">
      <c r="A21" s="1"/>
      <c r="B21" s="1"/>
      <c r="C21" s="8"/>
      <c r="D21" s="1"/>
      <c r="E21" s="1"/>
      <c r="F21" s="1"/>
      <c r="G21" s="1"/>
      <c r="H21" s="2"/>
      <c r="I21" s="1"/>
      <c r="J21" s="4"/>
      <c r="K21" s="1"/>
      <c r="L21" s="4"/>
      <c r="M21" s="1"/>
      <c r="N21" s="1"/>
      <c r="O21" s="5"/>
      <c r="P21" s="5"/>
      <c r="Q21" s="5"/>
      <c r="R21" s="7"/>
      <c r="S21" s="7"/>
      <c r="T21" s="5"/>
      <c r="U21" s="7"/>
      <c r="V21" s="5"/>
      <c r="W21" s="7"/>
      <c r="X21" s="7"/>
      <c r="Y21" s="198"/>
      <c r="Z21" s="198"/>
      <c r="AA21" s="198">
        <f t="shared" si="6"/>
        <v>0</v>
      </c>
      <c r="AB21" s="198"/>
      <c r="AC21" s="198"/>
      <c r="AD21" s="197"/>
      <c r="AE21" s="198"/>
      <c r="AF21" s="197"/>
      <c r="AG21" s="197"/>
      <c r="AH21" s="849"/>
      <c r="AI21" s="845"/>
      <c r="AJ21" s="1"/>
    </row>
    <row r="22" spans="1:36" s="189" customFormat="1">
      <c r="A22" s="160" t="s">
        <v>74</v>
      </c>
      <c r="B22" s="160" t="s">
        <v>85</v>
      </c>
      <c r="C22" s="161">
        <v>311</v>
      </c>
      <c r="D22" s="160" t="s">
        <v>3</v>
      </c>
      <c r="E22" s="160" t="s">
        <v>7</v>
      </c>
      <c r="F22" s="160" t="s">
        <v>38</v>
      </c>
      <c r="G22" s="160" t="s">
        <v>11</v>
      </c>
      <c r="H22" s="162">
        <v>80</v>
      </c>
      <c r="I22" s="163">
        <v>43656</v>
      </c>
      <c r="J22" s="164">
        <v>2</v>
      </c>
      <c r="K22" s="163">
        <v>43658</v>
      </c>
      <c r="L22" s="164">
        <v>1</v>
      </c>
      <c r="M22" s="160">
        <f>50-5+100-1-50</f>
        <v>94</v>
      </c>
      <c r="N22" s="160">
        <v>174</v>
      </c>
      <c r="O22" s="5">
        <f t="shared" si="0"/>
        <v>16356</v>
      </c>
      <c r="P22" s="36">
        <f>O22/1000</f>
        <v>16.356000000000002</v>
      </c>
      <c r="Q22" s="37">
        <f>(P22/1000)/H22</f>
        <v>2.0445000000000004E-4</v>
      </c>
      <c r="R22" s="7">
        <f t="shared" ref="R22:R30" si="12">500/N22</f>
        <v>2.8735632183908044</v>
      </c>
      <c r="S22" s="7">
        <f>5*N22</f>
        <v>870</v>
      </c>
      <c r="T22" s="5">
        <v>50</v>
      </c>
      <c r="U22" s="7">
        <f>T22*N22/1000</f>
        <v>8.6999999999999993</v>
      </c>
      <c r="V22" s="5">
        <v>2</v>
      </c>
      <c r="W22" s="197">
        <v>43682</v>
      </c>
      <c r="X22" s="197">
        <v>43683</v>
      </c>
      <c r="Y22" s="198">
        <v>158</v>
      </c>
      <c r="Z22" s="198"/>
      <c r="AA22" s="198">
        <f t="shared" si="6"/>
        <v>790</v>
      </c>
      <c r="AB22" s="198"/>
      <c r="AC22" s="198"/>
      <c r="AD22" s="197"/>
      <c r="AE22" s="198"/>
      <c r="AF22" s="200">
        <v>43804</v>
      </c>
      <c r="AG22" s="197"/>
      <c r="AH22" s="849">
        <v>16</v>
      </c>
      <c r="AI22" s="845">
        <v>3.76</v>
      </c>
      <c r="AJ22" s="160"/>
    </row>
    <row r="23" spans="1:36">
      <c r="A23" s="1" t="s">
        <v>74</v>
      </c>
      <c r="B23" s="1" t="s">
        <v>85</v>
      </c>
      <c r="C23" s="8">
        <v>312</v>
      </c>
      <c r="D23" s="1" t="s">
        <v>3</v>
      </c>
      <c r="E23" s="1" t="s">
        <v>7</v>
      </c>
      <c r="F23" s="1" t="s">
        <v>39</v>
      </c>
      <c r="G23" s="1" t="s">
        <v>11</v>
      </c>
      <c r="H23" s="35">
        <v>80</v>
      </c>
      <c r="I23" s="3">
        <v>43656</v>
      </c>
      <c r="J23" s="4">
        <v>2</v>
      </c>
      <c r="K23" s="3">
        <v>43661</v>
      </c>
      <c r="L23" s="4">
        <v>2</v>
      </c>
      <c r="M23" s="1">
        <f>50-5+100-1-50</f>
        <v>94</v>
      </c>
      <c r="N23" s="1">
        <v>97.4</v>
      </c>
      <c r="O23" s="5">
        <f t="shared" si="0"/>
        <v>9155.6</v>
      </c>
      <c r="P23" s="36">
        <f t="shared" ref="P23:P29" si="13">O23/1000</f>
        <v>9.1555999999999997</v>
      </c>
      <c r="Q23" s="37">
        <f t="shared" ref="Q23:Q29" si="14">P23/1000/H23</f>
        <v>1.1444499999999999E-4</v>
      </c>
      <c r="R23" s="7">
        <f t="shared" si="12"/>
        <v>5.1334702258726894</v>
      </c>
      <c r="S23" s="7">
        <f t="shared" ref="S23:S29" si="15">5*N23</f>
        <v>487</v>
      </c>
      <c r="T23" s="5">
        <v>50</v>
      </c>
      <c r="U23" s="7">
        <f t="shared" ref="U23:U29" si="16">T23*N23/1000</f>
        <v>4.87</v>
      </c>
      <c r="V23" s="5">
        <v>2</v>
      </c>
      <c r="W23" s="197">
        <v>43682</v>
      </c>
      <c r="X23" s="197">
        <v>43683</v>
      </c>
      <c r="Y23" s="198">
        <v>90.6</v>
      </c>
      <c r="Z23" s="198"/>
      <c r="AA23" s="198">
        <f t="shared" si="6"/>
        <v>453</v>
      </c>
      <c r="AB23" s="198"/>
      <c r="AC23" s="198"/>
      <c r="AD23" s="197"/>
      <c r="AE23" s="198"/>
      <c r="AF23" s="197">
        <v>43804</v>
      </c>
      <c r="AG23" s="197"/>
      <c r="AH23" s="849">
        <v>15</v>
      </c>
      <c r="AI23" s="845">
        <v>1.58</v>
      </c>
      <c r="AJ23" s="1"/>
    </row>
    <row r="24" spans="1:36">
      <c r="A24" s="1" t="s">
        <v>74</v>
      </c>
      <c r="B24" s="1" t="s">
        <v>85</v>
      </c>
      <c r="C24" s="8">
        <v>313</v>
      </c>
      <c r="D24" s="1" t="s">
        <v>3</v>
      </c>
      <c r="E24" s="1" t="s">
        <v>7</v>
      </c>
      <c r="F24" s="1" t="s">
        <v>40</v>
      </c>
      <c r="G24" s="1" t="s">
        <v>11</v>
      </c>
      <c r="H24" s="2" t="s">
        <v>77</v>
      </c>
      <c r="I24" s="3">
        <v>43656</v>
      </c>
      <c r="J24" s="4">
        <v>3</v>
      </c>
      <c r="K24" s="3">
        <v>43661</v>
      </c>
      <c r="L24" s="4">
        <v>2</v>
      </c>
      <c r="M24" s="1">
        <f>50-5+100-1-50</f>
        <v>94</v>
      </c>
      <c r="N24" s="1">
        <v>76.2</v>
      </c>
      <c r="O24" s="5">
        <f t="shared" si="0"/>
        <v>7162.8</v>
      </c>
      <c r="P24" s="36">
        <f t="shared" si="13"/>
        <v>7.1627999999999998</v>
      </c>
      <c r="Q24" s="37" t="e">
        <f t="shared" si="14"/>
        <v>#VALUE!</v>
      </c>
      <c r="R24" s="7">
        <f t="shared" si="12"/>
        <v>6.5616797900262469</v>
      </c>
      <c r="S24" s="7">
        <f t="shared" si="15"/>
        <v>381</v>
      </c>
      <c r="T24" s="5">
        <v>50</v>
      </c>
      <c r="U24" s="7">
        <f t="shared" si="16"/>
        <v>3.81</v>
      </c>
      <c r="V24" s="5">
        <v>2</v>
      </c>
      <c r="W24" s="197">
        <v>43682</v>
      </c>
      <c r="X24" s="197">
        <v>43683</v>
      </c>
      <c r="Y24" s="198">
        <v>72.400000000000006</v>
      </c>
      <c r="Z24" s="198"/>
      <c r="AA24" s="198">
        <f t="shared" si="6"/>
        <v>362</v>
      </c>
      <c r="AB24" s="198"/>
      <c r="AC24" s="198"/>
      <c r="AD24" s="197"/>
      <c r="AE24" s="198"/>
      <c r="AF24" s="197"/>
      <c r="AG24" s="197"/>
      <c r="AH24" s="849">
        <v>15</v>
      </c>
      <c r="AI24" s="845">
        <v>1.81</v>
      </c>
      <c r="AJ24" s="1"/>
    </row>
    <row r="25" spans="1:36">
      <c r="A25" s="1" t="s">
        <v>74</v>
      </c>
      <c r="B25" s="1" t="s">
        <v>85</v>
      </c>
      <c r="C25" s="870">
        <v>314</v>
      </c>
      <c r="D25" s="1" t="s">
        <v>3</v>
      </c>
      <c r="E25" s="1" t="s">
        <v>7</v>
      </c>
      <c r="F25" s="1" t="s">
        <v>41</v>
      </c>
      <c r="G25" s="1" t="s">
        <v>11</v>
      </c>
      <c r="H25" s="2" t="s">
        <v>77</v>
      </c>
      <c r="I25" s="3">
        <v>43656</v>
      </c>
      <c r="J25" s="4">
        <v>3</v>
      </c>
      <c r="K25" s="3">
        <v>43661</v>
      </c>
      <c r="L25" s="4">
        <v>2</v>
      </c>
      <c r="M25" s="1">
        <f>150-1-50</f>
        <v>99</v>
      </c>
      <c r="N25" s="1">
        <v>49.6</v>
      </c>
      <c r="O25" s="5">
        <f t="shared" si="0"/>
        <v>4910.4000000000005</v>
      </c>
      <c r="P25" s="36">
        <f t="shared" si="13"/>
        <v>4.910400000000001</v>
      </c>
      <c r="Q25" s="37" t="e">
        <f t="shared" si="14"/>
        <v>#VALUE!</v>
      </c>
      <c r="R25" s="7">
        <f t="shared" si="12"/>
        <v>10.080645161290322</v>
      </c>
      <c r="S25" s="7">
        <f t="shared" si="15"/>
        <v>248</v>
      </c>
      <c r="T25" s="5">
        <v>50</v>
      </c>
      <c r="U25" s="7">
        <f t="shared" si="16"/>
        <v>2.48</v>
      </c>
      <c r="V25" s="5">
        <v>2</v>
      </c>
      <c r="W25" s="197">
        <v>43682</v>
      </c>
      <c r="X25" s="197">
        <v>43683</v>
      </c>
      <c r="Y25" s="198">
        <v>42.2</v>
      </c>
      <c r="Z25" s="198"/>
      <c r="AA25" s="198">
        <f t="shared" si="6"/>
        <v>211</v>
      </c>
      <c r="AB25" s="198"/>
      <c r="AC25" s="198"/>
      <c r="AD25" s="197"/>
      <c r="AE25" s="198"/>
      <c r="AF25" s="197"/>
      <c r="AG25" s="197"/>
      <c r="AH25" s="849">
        <v>17</v>
      </c>
      <c r="AI25" s="871" t="s">
        <v>244</v>
      </c>
      <c r="AJ25" s="1"/>
    </row>
    <row r="26" spans="1:36">
      <c r="A26" s="1" t="s">
        <v>74</v>
      </c>
      <c r="B26" s="1" t="s">
        <v>85</v>
      </c>
      <c r="C26" s="8">
        <v>315</v>
      </c>
      <c r="D26" s="1" t="s">
        <v>3</v>
      </c>
      <c r="E26" s="1" t="s">
        <v>7</v>
      </c>
      <c r="F26" s="1" t="s">
        <v>42</v>
      </c>
      <c r="G26" s="1" t="s">
        <v>11</v>
      </c>
      <c r="H26" s="35">
        <v>70</v>
      </c>
      <c r="I26" s="3">
        <v>43656</v>
      </c>
      <c r="J26" s="4">
        <v>4</v>
      </c>
      <c r="K26" s="3">
        <v>43661</v>
      </c>
      <c r="L26" s="4">
        <v>2</v>
      </c>
      <c r="M26" s="1">
        <f>150-1+50-50</f>
        <v>149</v>
      </c>
      <c r="N26" s="1" t="s">
        <v>81</v>
      </c>
      <c r="O26" s="6" t="s">
        <v>82</v>
      </c>
      <c r="P26" s="36" t="e">
        <f t="shared" si="13"/>
        <v>#VALUE!</v>
      </c>
      <c r="Q26" s="37" t="e">
        <f t="shared" si="14"/>
        <v>#VALUE!</v>
      </c>
      <c r="R26" s="7" t="e">
        <f t="shared" si="12"/>
        <v>#VALUE!</v>
      </c>
      <c r="S26" s="7" t="e">
        <f t="shared" si="15"/>
        <v>#VALUE!</v>
      </c>
      <c r="T26" s="5">
        <v>50</v>
      </c>
      <c r="U26" s="7" t="e">
        <f t="shared" si="16"/>
        <v>#VALUE!</v>
      </c>
      <c r="V26" s="5">
        <v>4</v>
      </c>
      <c r="W26" s="197">
        <v>43682</v>
      </c>
      <c r="X26" s="197">
        <v>43683</v>
      </c>
      <c r="Y26" s="198">
        <v>148</v>
      </c>
      <c r="Z26" s="198"/>
      <c r="AA26" s="198">
        <f t="shared" si="6"/>
        <v>740</v>
      </c>
      <c r="AB26" s="198"/>
      <c r="AC26" s="198"/>
      <c r="AD26" s="197">
        <v>43692</v>
      </c>
      <c r="AE26" s="197">
        <v>43692</v>
      </c>
      <c r="AF26" s="200">
        <v>43804</v>
      </c>
      <c r="AG26" s="197"/>
      <c r="AH26" s="849">
        <v>15</v>
      </c>
      <c r="AI26" s="845">
        <v>2.3199999999999998</v>
      </c>
      <c r="AJ26" s="1" t="s">
        <v>442</v>
      </c>
    </row>
    <row r="27" spans="1:36">
      <c r="A27" s="1" t="s">
        <v>74</v>
      </c>
      <c r="B27" s="1" t="s">
        <v>85</v>
      </c>
      <c r="C27" s="8">
        <v>316</v>
      </c>
      <c r="D27" s="1" t="s">
        <v>3</v>
      </c>
      <c r="E27" s="1" t="s">
        <v>7</v>
      </c>
      <c r="F27" s="1" t="s">
        <v>43</v>
      </c>
      <c r="G27" s="1" t="s">
        <v>11</v>
      </c>
      <c r="H27" s="35">
        <v>100</v>
      </c>
      <c r="I27" s="3">
        <v>43658</v>
      </c>
      <c r="J27" s="4">
        <v>4</v>
      </c>
      <c r="K27" s="3">
        <v>43662</v>
      </c>
      <c r="L27" s="4">
        <v>3</v>
      </c>
      <c r="M27" s="1">
        <f>150-1+50-50</f>
        <v>149</v>
      </c>
      <c r="N27" s="1" t="s">
        <v>81</v>
      </c>
      <c r="O27" s="6" t="s">
        <v>82</v>
      </c>
      <c r="P27" s="36" t="e">
        <f t="shared" si="13"/>
        <v>#VALUE!</v>
      </c>
      <c r="Q27" s="37" t="e">
        <f t="shared" si="14"/>
        <v>#VALUE!</v>
      </c>
      <c r="R27" s="7" t="e">
        <f t="shared" si="12"/>
        <v>#VALUE!</v>
      </c>
      <c r="S27" s="7" t="e">
        <f t="shared" si="15"/>
        <v>#VALUE!</v>
      </c>
      <c r="T27" s="5">
        <v>50</v>
      </c>
      <c r="U27" s="7" t="e">
        <f t="shared" si="16"/>
        <v>#VALUE!</v>
      </c>
      <c r="V27" s="5">
        <v>4</v>
      </c>
      <c r="W27" s="197">
        <v>43682</v>
      </c>
      <c r="X27" s="197">
        <v>43683</v>
      </c>
      <c r="Y27" s="198">
        <v>146</v>
      </c>
      <c r="Z27" s="198"/>
      <c r="AA27" s="198">
        <f t="shared" si="6"/>
        <v>730</v>
      </c>
      <c r="AB27" s="198"/>
      <c r="AC27" s="198"/>
      <c r="AD27" s="197"/>
      <c r="AE27" s="197">
        <v>43692</v>
      </c>
      <c r="AF27" s="197"/>
      <c r="AG27" s="197"/>
      <c r="AH27" s="849">
        <v>16</v>
      </c>
      <c r="AI27" s="845">
        <v>3.74</v>
      </c>
      <c r="AJ27" s="1" t="s">
        <v>442</v>
      </c>
    </row>
    <row r="28" spans="1:36">
      <c r="A28" s="1" t="s">
        <v>74</v>
      </c>
      <c r="B28" s="1" t="s">
        <v>85</v>
      </c>
      <c r="C28" s="8">
        <v>317</v>
      </c>
      <c r="D28" s="1" t="s">
        <v>3</v>
      </c>
      <c r="E28" s="1" t="s">
        <v>7</v>
      </c>
      <c r="F28" s="1" t="s">
        <v>44</v>
      </c>
      <c r="G28" s="1" t="s">
        <v>11</v>
      </c>
      <c r="H28" s="35">
        <v>70</v>
      </c>
      <c r="I28" s="3">
        <v>43658</v>
      </c>
      <c r="J28" s="4">
        <v>5</v>
      </c>
      <c r="K28" s="3">
        <v>43662</v>
      </c>
      <c r="L28" s="4">
        <v>3</v>
      </c>
      <c r="M28" s="1">
        <f>150-1+50-50</f>
        <v>149</v>
      </c>
      <c r="N28" s="1" t="s">
        <v>81</v>
      </c>
      <c r="O28" s="6" t="s">
        <v>82</v>
      </c>
      <c r="P28" s="36" t="e">
        <f t="shared" si="13"/>
        <v>#VALUE!</v>
      </c>
      <c r="Q28" s="37" t="e">
        <f t="shared" si="14"/>
        <v>#VALUE!</v>
      </c>
      <c r="R28" s="7" t="e">
        <f t="shared" si="12"/>
        <v>#VALUE!</v>
      </c>
      <c r="S28" s="7" t="e">
        <f t="shared" si="15"/>
        <v>#VALUE!</v>
      </c>
      <c r="T28" s="5">
        <v>50</v>
      </c>
      <c r="U28" s="7" t="e">
        <f t="shared" si="16"/>
        <v>#VALUE!</v>
      </c>
      <c r="V28" s="5">
        <v>4</v>
      </c>
      <c r="W28" s="197">
        <v>43682</v>
      </c>
      <c r="X28" s="197">
        <v>43683</v>
      </c>
      <c r="Y28" s="198">
        <v>158</v>
      </c>
      <c r="Z28" s="198"/>
      <c r="AA28" s="198">
        <f t="shared" si="6"/>
        <v>790</v>
      </c>
      <c r="AB28" s="198"/>
      <c r="AC28" s="198"/>
      <c r="AD28" s="197">
        <v>43692</v>
      </c>
      <c r="AE28" s="197">
        <v>43692</v>
      </c>
      <c r="AF28" s="197"/>
      <c r="AG28" s="197"/>
      <c r="AH28" s="849">
        <v>15</v>
      </c>
      <c r="AI28" s="845">
        <v>2.14</v>
      </c>
      <c r="AJ28" s="1" t="s">
        <v>442</v>
      </c>
    </row>
    <row r="29" spans="1:36">
      <c r="A29" s="1" t="s">
        <v>74</v>
      </c>
      <c r="B29" s="1" t="s">
        <v>85</v>
      </c>
      <c r="C29" s="8">
        <v>318</v>
      </c>
      <c r="D29" s="1" t="s">
        <v>3</v>
      </c>
      <c r="E29" s="1" t="s">
        <v>7</v>
      </c>
      <c r="F29" s="1" t="s">
        <v>45</v>
      </c>
      <c r="G29" s="1" t="s">
        <v>11</v>
      </c>
      <c r="H29" s="35">
        <v>60</v>
      </c>
      <c r="I29" s="3">
        <v>43658</v>
      </c>
      <c r="J29" s="4">
        <v>6</v>
      </c>
      <c r="K29" s="3">
        <v>43662</v>
      </c>
      <c r="L29" s="4">
        <v>4</v>
      </c>
      <c r="M29" s="1">
        <f>150-1-50</f>
        <v>99</v>
      </c>
      <c r="N29" s="1">
        <v>182</v>
      </c>
      <c r="O29" s="5">
        <f t="shared" si="0"/>
        <v>18018</v>
      </c>
      <c r="P29" s="36">
        <f t="shared" si="13"/>
        <v>18.018000000000001</v>
      </c>
      <c r="Q29" s="37">
        <f t="shared" si="14"/>
        <v>3.0029999999999998E-4</v>
      </c>
      <c r="R29" s="7">
        <f t="shared" si="12"/>
        <v>2.7472527472527473</v>
      </c>
      <c r="S29" s="7">
        <f t="shared" si="15"/>
        <v>910</v>
      </c>
      <c r="T29" s="5">
        <v>50</v>
      </c>
      <c r="U29" s="7">
        <f t="shared" si="16"/>
        <v>9.1</v>
      </c>
      <c r="V29" s="5">
        <v>2</v>
      </c>
      <c r="W29" s="197">
        <v>43682</v>
      </c>
      <c r="X29" s="197">
        <v>43683</v>
      </c>
      <c r="Y29" s="198">
        <v>174</v>
      </c>
      <c r="Z29" s="198"/>
      <c r="AA29" s="198">
        <f t="shared" si="6"/>
        <v>870</v>
      </c>
      <c r="AB29" s="198"/>
      <c r="AC29" s="198"/>
      <c r="AD29" s="197">
        <v>43692</v>
      </c>
      <c r="AE29" s="198"/>
      <c r="AF29" s="200">
        <v>43804</v>
      </c>
      <c r="AG29" s="197"/>
      <c r="AH29" s="849">
        <v>16</v>
      </c>
      <c r="AI29" s="845">
        <v>4.08</v>
      </c>
      <c r="AJ29" s="1"/>
    </row>
    <row r="30" spans="1:36">
      <c r="A30" s="1" t="s">
        <v>74</v>
      </c>
      <c r="B30" s="1" t="s">
        <v>85</v>
      </c>
      <c r="C30" s="870">
        <v>319</v>
      </c>
      <c r="D30" s="1" t="s">
        <v>3</v>
      </c>
      <c r="E30" s="1" t="s">
        <v>7</v>
      </c>
      <c r="F30" s="1" t="s">
        <v>46</v>
      </c>
      <c r="G30" s="1" t="s">
        <v>11</v>
      </c>
      <c r="H30" s="35">
        <v>20</v>
      </c>
      <c r="I30" s="3">
        <v>43658</v>
      </c>
      <c r="J30" s="4">
        <v>7</v>
      </c>
      <c r="K30" s="3">
        <v>43662</v>
      </c>
      <c r="L30" s="4">
        <v>4</v>
      </c>
      <c r="M30" s="1">
        <f>150-1-50</f>
        <v>99</v>
      </c>
      <c r="N30" s="1">
        <v>61.8</v>
      </c>
      <c r="O30" s="5">
        <f t="shared" si="0"/>
        <v>6118.2</v>
      </c>
      <c r="P30" s="36">
        <f>O30/1000</f>
        <v>6.1181999999999999</v>
      </c>
      <c r="Q30" s="37">
        <f>P30/1000/H30</f>
        <v>3.0591E-4</v>
      </c>
      <c r="R30" s="7">
        <f t="shared" si="12"/>
        <v>8.0906148867313927</v>
      </c>
      <c r="S30" s="7">
        <f>5*N30</f>
        <v>309</v>
      </c>
      <c r="T30" s="5">
        <v>50</v>
      </c>
      <c r="U30" s="7">
        <f>T30*N30/1000</f>
        <v>3.09</v>
      </c>
      <c r="V30" s="5">
        <v>5</v>
      </c>
      <c r="W30" s="200">
        <v>43683</v>
      </c>
      <c r="X30" s="197">
        <v>43683</v>
      </c>
      <c r="Y30" s="201">
        <v>77.599999999999994</v>
      </c>
      <c r="Z30" s="201"/>
      <c r="AA30" s="198">
        <f t="shared" si="6"/>
        <v>388</v>
      </c>
      <c r="AB30" s="198"/>
      <c r="AC30" s="198"/>
      <c r="AD30" s="197">
        <v>43692</v>
      </c>
      <c r="AE30" s="197">
        <v>43692</v>
      </c>
      <c r="AF30" s="197"/>
      <c r="AG30" s="197"/>
      <c r="AH30" s="849">
        <v>16</v>
      </c>
      <c r="AI30" s="871">
        <v>0.64400000000000002</v>
      </c>
      <c r="AJ30" s="1"/>
    </row>
    <row r="31" spans="1:36">
      <c r="A31" s="1"/>
      <c r="B31" s="1"/>
      <c r="C31" s="8"/>
      <c r="D31" s="1"/>
      <c r="E31" s="1"/>
      <c r="F31" s="1"/>
      <c r="G31" s="1"/>
      <c r="H31" s="2"/>
      <c r="I31" s="1"/>
      <c r="J31" s="4"/>
      <c r="K31" s="1"/>
      <c r="L31" s="4"/>
      <c r="M31" s="1"/>
      <c r="N31" s="1"/>
      <c r="O31" s="5"/>
      <c r="P31" s="5"/>
      <c r="Q31" s="5"/>
      <c r="R31" s="7"/>
      <c r="S31" s="7"/>
      <c r="T31" s="5"/>
      <c r="U31" s="7"/>
      <c r="V31" s="5"/>
      <c r="W31" s="7"/>
      <c r="X31" s="7"/>
      <c r="Y31" s="198"/>
      <c r="Z31" s="198"/>
      <c r="AA31" s="198">
        <f t="shared" si="6"/>
        <v>0</v>
      </c>
      <c r="AB31" s="198"/>
      <c r="AC31" s="198"/>
      <c r="AD31" s="197"/>
      <c r="AE31" s="198"/>
      <c r="AF31" s="200"/>
      <c r="AG31" s="197"/>
      <c r="AH31" s="849"/>
      <c r="AI31" s="845"/>
      <c r="AJ31" s="1"/>
    </row>
    <row r="32" spans="1:36" s="189" customFormat="1">
      <c r="A32" s="160" t="s">
        <v>74</v>
      </c>
      <c r="B32" s="160" t="s">
        <v>86</v>
      </c>
      <c r="C32" s="161">
        <v>321</v>
      </c>
      <c r="D32" s="160" t="s">
        <v>4</v>
      </c>
      <c r="E32" s="160" t="s">
        <v>7</v>
      </c>
      <c r="F32" s="160" t="s">
        <v>47</v>
      </c>
      <c r="G32" s="160" t="s">
        <v>11</v>
      </c>
      <c r="H32" s="162">
        <v>60</v>
      </c>
      <c r="I32" s="163">
        <v>43656</v>
      </c>
      <c r="J32" s="164">
        <v>2</v>
      </c>
      <c r="K32" s="163">
        <v>43658</v>
      </c>
      <c r="L32" s="164">
        <v>1</v>
      </c>
      <c r="M32" s="160">
        <f>50-5+100-1+50-50</f>
        <v>144</v>
      </c>
      <c r="N32" s="160">
        <v>188</v>
      </c>
      <c r="O32" s="5">
        <f t="shared" si="0"/>
        <v>27072</v>
      </c>
      <c r="P32" s="36">
        <f>O32/1000</f>
        <v>27.071999999999999</v>
      </c>
      <c r="Q32" s="37">
        <f>(P32/1000)/H32</f>
        <v>4.5119999999999996E-4</v>
      </c>
      <c r="R32" s="7">
        <f t="shared" ref="R32:R40" si="17">500/N32</f>
        <v>2.6595744680851063</v>
      </c>
      <c r="S32" s="7">
        <f>5*N32</f>
        <v>940</v>
      </c>
      <c r="T32" s="5">
        <v>50</v>
      </c>
      <c r="U32" s="7">
        <f>T32*N32/1000</f>
        <v>9.4</v>
      </c>
      <c r="V32" s="5">
        <v>4</v>
      </c>
      <c r="W32" s="7"/>
      <c r="X32" s="197">
        <v>43683</v>
      </c>
      <c r="Y32" s="198">
        <v>148</v>
      </c>
      <c r="Z32" s="198"/>
      <c r="AA32" s="198">
        <f t="shared" si="6"/>
        <v>740</v>
      </c>
      <c r="AB32" s="198"/>
      <c r="AC32" s="198"/>
      <c r="AD32" s="197"/>
      <c r="AE32" s="197">
        <v>43692</v>
      </c>
      <c r="AF32" s="197">
        <v>43804</v>
      </c>
      <c r="AG32" s="197"/>
      <c r="AH32" s="849">
        <v>15</v>
      </c>
      <c r="AI32" s="845">
        <v>3.64</v>
      </c>
      <c r="AJ32" s="160" t="s">
        <v>298</v>
      </c>
    </row>
    <row r="33" spans="1:36">
      <c r="A33" s="1" t="s">
        <v>74</v>
      </c>
      <c r="B33" s="1" t="s">
        <v>86</v>
      </c>
      <c r="C33" s="8">
        <v>322</v>
      </c>
      <c r="D33" s="1" t="s">
        <v>4</v>
      </c>
      <c r="E33" s="1" t="s">
        <v>7</v>
      </c>
      <c r="F33" s="1" t="s">
        <v>48</v>
      </c>
      <c r="G33" s="1" t="s">
        <v>11</v>
      </c>
      <c r="H33" s="35">
        <v>20</v>
      </c>
      <c r="I33" s="3">
        <v>43656</v>
      </c>
      <c r="J33" s="4">
        <v>2</v>
      </c>
      <c r="K33" s="3">
        <v>43661</v>
      </c>
      <c r="L33" s="4">
        <v>2</v>
      </c>
      <c r="M33" s="1">
        <f>50-5+100-1-50</f>
        <v>94</v>
      </c>
      <c r="N33" s="1">
        <v>63.4</v>
      </c>
      <c r="O33" s="5">
        <f t="shared" si="0"/>
        <v>5959.5999999999995</v>
      </c>
      <c r="P33" s="36">
        <f t="shared" ref="P33:P39" si="18">O33/1000</f>
        <v>5.9595999999999991</v>
      </c>
      <c r="Q33" s="37">
        <f t="shared" ref="Q33:Q39" si="19">P33/1000/H33</f>
        <v>2.9797999999999994E-4</v>
      </c>
      <c r="R33" s="7">
        <f t="shared" si="17"/>
        <v>7.8864353312302837</v>
      </c>
      <c r="S33" s="7">
        <f t="shared" ref="S33:S39" si="20">5*N33</f>
        <v>317</v>
      </c>
      <c r="T33" s="5">
        <v>50</v>
      </c>
      <c r="U33" s="7">
        <f t="shared" ref="U33:U39" si="21">T33*N33/1000</f>
        <v>3.17</v>
      </c>
      <c r="V33" s="5">
        <v>2</v>
      </c>
      <c r="W33" s="197">
        <v>43682</v>
      </c>
      <c r="X33" s="197">
        <v>43683</v>
      </c>
      <c r="Y33" s="198">
        <v>44.6</v>
      </c>
      <c r="Z33" s="198"/>
      <c r="AA33" s="198">
        <f t="shared" si="6"/>
        <v>223</v>
      </c>
      <c r="AB33" s="198"/>
      <c r="AC33" s="198"/>
      <c r="AD33" s="197"/>
      <c r="AE33" s="198"/>
      <c r="AF33" s="197"/>
      <c r="AG33" s="197"/>
      <c r="AH33" s="6">
        <v>16</v>
      </c>
      <c r="AI33" s="845" t="s">
        <v>732</v>
      </c>
      <c r="AJ33" s="1"/>
    </row>
    <row r="34" spans="1:36">
      <c r="A34" s="1" t="s">
        <v>74</v>
      </c>
      <c r="B34" s="1" t="s">
        <v>86</v>
      </c>
      <c r="C34" s="8">
        <v>323</v>
      </c>
      <c r="D34" s="1" t="s">
        <v>4</v>
      </c>
      <c r="E34" s="1" t="s">
        <v>7</v>
      </c>
      <c r="F34" s="1" t="s">
        <v>49</v>
      </c>
      <c r="G34" s="1" t="s">
        <v>11</v>
      </c>
      <c r="H34" s="35">
        <v>20</v>
      </c>
      <c r="I34" s="3">
        <v>43656</v>
      </c>
      <c r="J34" s="4">
        <v>3</v>
      </c>
      <c r="K34" s="3">
        <v>43661</v>
      </c>
      <c r="L34" s="4">
        <v>2</v>
      </c>
      <c r="M34" s="1">
        <f>50-5+100-1-50</f>
        <v>94</v>
      </c>
      <c r="N34" s="1">
        <v>110</v>
      </c>
      <c r="O34" s="5">
        <f t="shared" si="0"/>
        <v>10340</v>
      </c>
      <c r="P34" s="36">
        <f t="shared" si="18"/>
        <v>10.34</v>
      </c>
      <c r="Q34" s="37">
        <f t="shared" si="19"/>
        <v>5.1699999999999999E-4</v>
      </c>
      <c r="R34" s="7">
        <f t="shared" si="17"/>
        <v>4.5454545454545459</v>
      </c>
      <c r="S34" s="7">
        <f t="shared" si="20"/>
        <v>550</v>
      </c>
      <c r="T34" s="5">
        <v>50</v>
      </c>
      <c r="U34" s="7">
        <f t="shared" si="21"/>
        <v>5.5</v>
      </c>
      <c r="V34" s="5">
        <v>2</v>
      </c>
      <c r="W34" s="197">
        <v>43682</v>
      </c>
      <c r="X34" s="197">
        <v>43683</v>
      </c>
      <c r="Y34" s="198">
        <v>102</v>
      </c>
      <c r="Z34" s="198">
        <f>6390/1000*6</f>
        <v>38.339999999999996</v>
      </c>
      <c r="AA34" s="198">
        <f t="shared" si="6"/>
        <v>510</v>
      </c>
      <c r="AB34" s="36">
        <f>500/Y34</f>
        <v>4.9019607843137258</v>
      </c>
      <c r="AC34" s="36">
        <f>5-AB34</f>
        <v>9.8039215686274161E-2</v>
      </c>
      <c r="AD34" s="197"/>
      <c r="AE34" s="198"/>
      <c r="AF34" s="197">
        <v>43697</v>
      </c>
      <c r="AG34" s="197">
        <v>43698</v>
      </c>
      <c r="AH34" s="849">
        <v>15</v>
      </c>
      <c r="AI34" s="845">
        <v>3.7</v>
      </c>
      <c r="AJ34" s="1"/>
    </row>
    <row r="35" spans="1:36">
      <c r="A35" s="1" t="s">
        <v>74</v>
      </c>
      <c r="B35" s="1" t="s">
        <v>86</v>
      </c>
      <c r="C35" s="870">
        <v>324</v>
      </c>
      <c r="D35" s="1" t="s">
        <v>4</v>
      </c>
      <c r="E35" s="1" t="s">
        <v>7</v>
      </c>
      <c r="F35" s="1" t="s">
        <v>50</v>
      </c>
      <c r="G35" s="1" t="s">
        <v>11</v>
      </c>
      <c r="H35" s="35">
        <v>40</v>
      </c>
      <c r="I35" s="3">
        <v>43656</v>
      </c>
      <c r="J35" s="4">
        <v>3</v>
      </c>
      <c r="K35" s="3">
        <v>43661</v>
      </c>
      <c r="L35" s="4">
        <v>2</v>
      </c>
      <c r="M35" s="1">
        <f>150-1-50</f>
        <v>99</v>
      </c>
      <c r="N35" s="1">
        <v>164</v>
      </c>
      <c r="O35" s="5">
        <f t="shared" si="0"/>
        <v>16236</v>
      </c>
      <c r="P35" s="36">
        <f t="shared" si="18"/>
        <v>16.236000000000001</v>
      </c>
      <c r="Q35" s="37">
        <f t="shared" si="19"/>
        <v>4.059E-4</v>
      </c>
      <c r="R35" s="7">
        <f t="shared" si="17"/>
        <v>3.0487804878048781</v>
      </c>
      <c r="S35" s="7">
        <f t="shared" si="20"/>
        <v>820</v>
      </c>
      <c r="T35" s="5">
        <v>50</v>
      </c>
      <c r="U35" s="7">
        <f t="shared" si="21"/>
        <v>8.1999999999999993</v>
      </c>
      <c r="V35" s="5">
        <v>4</v>
      </c>
      <c r="W35" s="197">
        <v>43682</v>
      </c>
      <c r="X35" s="197">
        <v>43683</v>
      </c>
      <c r="Y35" s="198">
        <v>172</v>
      </c>
      <c r="Z35" s="198"/>
      <c r="AA35" s="198">
        <f t="shared" si="6"/>
        <v>860</v>
      </c>
      <c r="AB35" s="198"/>
      <c r="AC35" s="198"/>
      <c r="AD35" s="197"/>
      <c r="AE35" s="197">
        <v>43692</v>
      </c>
      <c r="AF35" s="200">
        <v>43804</v>
      </c>
      <c r="AG35" s="197"/>
      <c r="AH35" s="849">
        <v>16</v>
      </c>
      <c r="AI35" s="871">
        <v>0.78</v>
      </c>
      <c r="AJ35" s="1"/>
    </row>
    <row r="36" spans="1:36">
      <c r="A36" s="1" t="s">
        <v>74</v>
      </c>
      <c r="B36" s="1" t="s">
        <v>86</v>
      </c>
      <c r="C36" s="8">
        <v>325</v>
      </c>
      <c r="D36" s="1" t="s">
        <v>4</v>
      </c>
      <c r="E36" s="1" t="s">
        <v>7</v>
      </c>
      <c r="F36" s="1" t="s">
        <v>51</v>
      </c>
      <c r="G36" s="1" t="s">
        <v>11</v>
      </c>
      <c r="H36" s="35">
        <v>70</v>
      </c>
      <c r="I36" s="3">
        <v>43656</v>
      </c>
      <c r="J36" s="4">
        <v>5</v>
      </c>
      <c r="K36" s="3">
        <v>43661</v>
      </c>
      <c r="L36" s="4">
        <v>2</v>
      </c>
      <c r="M36" s="1">
        <f>150-1+50-50</f>
        <v>149</v>
      </c>
      <c r="N36" s="1">
        <v>200</v>
      </c>
      <c r="O36" s="5">
        <f t="shared" si="0"/>
        <v>29800</v>
      </c>
      <c r="P36" s="36">
        <f t="shared" si="18"/>
        <v>29.8</v>
      </c>
      <c r="Q36" s="37">
        <f t="shared" si="19"/>
        <v>4.2571428571428572E-4</v>
      </c>
      <c r="R36" s="7">
        <f t="shared" si="17"/>
        <v>2.5</v>
      </c>
      <c r="S36" s="7">
        <f t="shared" si="20"/>
        <v>1000</v>
      </c>
      <c r="T36" s="5">
        <v>50</v>
      </c>
      <c r="U36" s="7">
        <f t="shared" si="21"/>
        <v>10</v>
      </c>
      <c r="V36" s="5">
        <v>4</v>
      </c>
      <c r="W36" s="197">
        <v>43682</v>
      </c>
      <c r="X36" s="197">
        <v>43683</v>
      </c>
      <c r="Y36" s="198">
        <v>180</v>
      </c>
      <c r="Z36" s="198"/>
      <c r="AA36" s="198">
        <f t="shared" si="6"/>
        <v>900</v>
      </c>
      <c r="AB36" s="198"/>
      <c r="AC36" s="198"/>
      <c r="AD36" s="197">
        <v>43692</v>
      </c>
      <c r="AE36" s="197">
        <v>43692</v>
      </c>
      <c r="AF36" s="197">
        <v>43804</v>
      </c>
      <c r="AG36" s="197"/>
      <c r="AH36" s="869">
        <v>14</v>
      </c>
      <c r="AI36" s="845">
        <v>2.92</v>
      </c>
      <c r="AJ36" s="1" t="s">
        <v>298</v>
      </c>
    </row>
    <row r="37" spans="1:36">
      <c r="A37" s="1" t="s">
        <v>74</v>
      </c>
      <c r="B37" s="1" t="s">
        <v>86</v>
      </c>
      <c r="C37" s="8">
        <v>326</v>
      </c>
      <c r="D37" s="1" t="s">
        <v>4</v>
      </c>
      <c r="E37" s="1" t="s">
        <v>7</v>
      </c>
      <c r="F37" s="1" t="s">
        <v>52</v>
      </c>
      <c r="G37" s="1" t="s">
        <v>11</v>
      </c>
      <c r="H37" s="35">
        <v>70</v>
      </c>
      <c r="I37" s="3">
        <v>43658</v>
      </c>
      <c r="J37" s="4">
        <v>5</v>
      </c>
      <c r="K37" s="3">
        <v>43662</v>
      </c>
      <c r="L37" s="4">
        <v>3</v>
      </c>
      <c r="M37" s="1">
        <f>150-1-50</f>
        <v>99</v>
      </c>
      <c r="N37" s="1">
        <v>168</v>
      </c>
      <c r="O37" s="5">
        <f t="shared" si="0"/>
        <v>16632</v>
      </c>
      <c r="P37" s="36">
        <f t="shared" si="18"/>
        <v>16.632000000000001</v>
      </c>
      <c r="Q37" s="37">
        <f t="shared" si="19"/>
        <v>2.376E-4</v>
      </c>
      <c r="R37" s="7">
        <f t="shared" si="17"/>
        <v>2.9761904761904763</v>
      </c>
      <c r="S37" s="7">
        <f t="shared" si="20"/>
        <v>840</v>
      </c>
      <c r="T37" s="5">
        <v>50</v>
      </c>
      <c r="U37" s="7">
        <f t="shared" si="21"/>
        <v>8.4</v>
      </c>
      <c r="V37" s="5">
        <v>2</v>
      </c>
      <c r="W37" s="197">
        <v>43682</v>
      </c>
      <c r="X37" s="197">
        <v>43683</v>
      </c>
      <c r="Y37" s="198">
        <v>130</v>
      </c>
      <c r="Z37" s="198"/>
      <c r="AA37" s="198">
        <f t="shared" si="6"/>
        <v>650</v>
      </c>
      <c r="AB37" s="198"/>
      <c r="AC37" s="198"/>
      <c r="AD37" s="197"/>
      <c r="AE37" s="198"/>
      <c r="AF37" s="197"/>
      <c r="AG37" s="197"/>
      <c r="AH37" s="849">
        <v>15</v>
      </c>
      <c r="AI37" s="845">
        <v>4.04</v>
      </c>
      <c r="AJ37" s="1"/>
    </row>
    <row r="38" spans="1:36">
      <c r="A38" s="1" t="s">
        <v>74</v>
      </c>
      <c r="B38" s="1" t="s">
        <v>86</v>
      </c>
      <c r="C38" s="8">
        <v>327</v>
      </c>
      <c r="D38" s="1" t="s">
        <v>4</v>
      </c>
      <c r="E38" s="1" t="s">
        <v>7</v>
      </c>
      <c r="F38" s="1" t="s">
        <v>53</v>
      </c>
      <c r="G38" s="1" t="s">
        <v>11</v>
      </c>
      <c r="H38" s="35">
        <v>40</v>
      </c>
      <c r="I38" s="3">
        <v>43658</v>
      </c>
      <c r="J38" s="4">
        <v>6</v>
      </c>
      <c r="K38" s="3">
        <v>43662</v>
      </c>
      <c r="L38" s="4">
        <v>3</v>
      </c>
      <c r="M38" s="1">
        <f>150-1-50</f>
        <v>99</v>
      </c>
      <c r="N38" s="1">
        <v>94.6</v>
      </c>
      <c r="O38" s="5">
        <f t="shared" si="0"/>
        <v>9365.4</v>
      </c>
      <c r="P38" s="36">
        <f t="shared" si="18"/>
        <v>9.3653999999999993</v>
      </c>
      <c r="Q38" s="37">
        <f t="shared" si="19"/>
        <v>2.3413499999999998E-4</v>
      </c>
      <c r="R38" s="7">
        <f t="shared" si="17"/>
        <v>5.2854122621564485</v>
      </c>
      <c r="S38" s="7">
        <f t="shared" si="20"/>
        <v>473</v>
      </c>
      <c r="T38" s="5">
        <v>50</v>
      </c>
      <c r="U38" s="7">
        <f t="shared" si="21"/>
        <v>4.7300000000000004</v>
      </c>
      <c r="V38" s="5">
        <v>2</v>
      </c>
      <c r="W38" s="197">
        <v>43682</v>
      </c>
      <c r="X38" s="197">
        <v>43683</v>
      </c>
      <c r="Y38" s="198">
        <v>85.2</v>
      </c>
      <c r="Z38" s="198"/>
      <c r="AA38" s="198">
        <f t="shared" si="6"/>
        <v>426</v>
      </c>
      <c r="AB38" s="198"/>
      <c r="AC38" s="198"/>
      <c r="AD38" s="197"/>
      <c r="AE38" s="198"/>
      <c r="AF38" s="197"/>
      <c r="AG38" s="197"/>
      <c r="AH38" s="849">
        <v>15</v>
      </c>
      <c r="AI38" s="845">
        <v>1.97</v>
      </c>
      <c r="AJ38" s="1"/>
    </row>
    <row r="39" spans="1:36">
      <c r="A39" s="1" t="s">
        <v>74</v>
      </c>
      <c r="B39" s="1" t="s">
        <v>86</v>
      </c>
      <c r="C39" s="8">
        <v>328</v>
      </c>
      <c r="D39" s="1" t="s">
        <v>4</v>
      </c>
      <c r="E39" s="1" t="s">
        <v>7</v>
      </c>
      <c r="F39" s="1" t="s">
        <v>54</v>
      </c>
      <c r="G39" s="1" t="s">
        <v>11</v>
      </c>
      <c r="H39" s="35">
        <v>50</v>
      </c>
      <c r="I39" s="3">
        <v>43658</v>
      </c>
      <c r="J39" s="4">
        <v>6</v>
      </c>
      <c r="K39" s="3">
        <v>43662</v>
      </c>
      <c r="L39" s="4">
        <v>4</v>
      </c>
      <c r="M39" s="1">
        <f>150-1-50</f>
        <v>99</v>
      </c>
      <c r="N39" s="1">
        <v>176</v>
      </c>
      <c r="O39" s="5">
        <f t="shared" si="0"/>
        <v>17424</v>
      </c>
      <c r="P39" s="36">
        <f t="shared" si="18"/>
        <v>17.423999999999999</v>
      </c>
      <c r="Q39" s="37">
        <f t="shared" si="19"/>
        <v>3.4847999999999997E-4</v>
      </c>
      <c r="R39" s="7">
        <f t="shared" si="17"/>
        <v>2.8409090909090908</v>
      </c>
      <c r="S39" s="7">
        <f t="shared" si="20"/>
        <v>880</v>
      </c>
      <c r="T39" s="5">
        <v>50</v>
      </c>
      <c r="U39" s="7">
        <f t="shared" si="21"/>
        <v>8.8000000000000007</v>
      </c>
      <c r="V39" s="5">
        <v>2</v>
      </c>
      <c r="W39" s="197">
        <v>43682</v>
      </c>
      <c r="X39" s="197">
        <v>43683</v>
      </c>
      <c r="Y39" s="198">
        <v>156</v>
      </c>
      <c r="Z39" s="198"/>
      <c r="AA39" s="198">
        <f t="shared" si="6"/>
        <v>780</v>
      </c>
      <c r="AB39" s="198"/>
      <c r="AC39" s="198"/>
      <c r="AD39" s="197"/>
      <c r="AE39" s="198"/>
      <c r="AF39" s="197">
        <v>43804</v>
      </c>
      <c r="AG39" s="197"/>
      <c r="AH39" s="869">
        <v>14</v>
      </c>
      <c r="AI39" s="845">
        <v>2.12</v>
      </c>
      <c r="AJ39" s="1"/>
    </row>
    <row r="40" spans="1:36">
      <c r="A40" s="1" t="s">
        <v>74</v>
      </c>
      <c r="B40" s="1" t="s">
        <v>86</v>
      </c>
      <c r="C40" s="870">
        <v>329</v>
      </c>
      <c r="D40" s="1" t="s">
        <v>4</v>
      </c>
      <c r="E40" s="1" t="s">
        <v>7</v>
      </c>
      <c r="F40" s="1" t="s">
        <v>55</v>
      </c>
      <c r="G40" s="1" t="s">
        <v>11</v>
      </c>
      <c r="H40" s="35">
        <v>70</v>
      </c>
      <c r="I40" s="3">
        <v>43658</v>
      </c>
      <c r="J40" s="4">
        <v>7</v>
      </c>
      <c r="K40" s="3">
        <v>43662</v>
      </c>
      <c r="L40" s="4">
        <v>4</v>
      </c>
      <c r="M40" s="1">
        <f>150-1-50</f>
        <v>99</v>
      </c>
      <c r="N40" s="1">
        <v>150</v>
      </c>
      <c r="O40" s="5">
        <f t="shared" si="0"/>
        <v>14850</v>
      </c>
      <c r="P40" s="36">
        <f>O40/1000</f>
        <v>14.85</v>
      </c>
      <c r="Q40" s="37">
        <f>P40/1000/H40</f>
        <v>2.1214285714285714E-4</v>
      </c>
      <c r="R40" s="7">
        <f t="shared" si="17"/>
        <v>3.3333333333333335</v>
      </c>
      <c r="S40" s="7">
        <f>5*N40</f>
        <v>750</v>
      </c>
      <c r="T40" s="5">
        <v>50</v>
      </c>
      <c r="U40" s="7">
        <f>T40*N40/1000</f>
        <v>7.5</v>
      </c>
      <c r="V40" s="5">
        <v>5</v>
      </c>
      <c r="W40" s="197">
        <v>43683</v>
      </c>
      <c r="X40" s="197">
        <v>43683</v>
      </c>
      <c r="Y40" s="198">
        <v>162</v>
      </c>
      <c r="Z40" s="198"/>
      <c r="AA40" s="198">
        <f t="shared" si="6"/>
        <v>810</v>
      </c>
      <c r="AB40" s="198"/>
      <c r="AC40" s="198"/>
      <c r="AD40" s="197">
        <v>43692</v>
      </c>
      <c r="AE40" s="197">
        <v>43692</v>
      </c>
      <c r="AF40" s="197"/>
      <c r="AG40" s="197"/>
      <c r="AH40" s="849">
        <v>15</v>
      </c>
      <c r="AI40" s="871">
        <v>0.32600000000000001</v>
      </c>
      <c r="AJ40" s="1"/>
    </row>
    <row r="41" spans="1:36">
      <c r="A41" s="1"/>
      <c r="B41" s="1"/>
      <c r="C41" s="8"/>
      <c r="D41" s="1"/>
      <c r="E41" s="1"/>
      <c r="F41" s="1"/>
      <c r="G41" s="1"/>
      <c r="H41" s="2"/>
      <c r="I41" s="1"/>
      <c r="J41" s="4"/>
      <c r="K41" s="1"/>
      <c r="L41" s="4"/>
      <c r="M41" s="1"/>
      <c r="N41" s="1"/>
      <c r="O41" s="5"/>
      <c r="P41" s="5"/>
      <c r="Q41" s="5"/>
      <c r="R41" s="7"/>
      <c r="S41" s="7"/>
      <c r="T41" s="5"/>
      <c r="U41" s="7"/>
      <c r="V41" s="5"/>
      <c r="W41" s="7"/>
      <c r="X41" s="7"/>
      <c r="Y41" s="198"/>
      <c r="Z41" s="198"/>
      <c r="AA41" s="198">
        <f t="shared" si="6"/>
        <v>0</v>
      </c>
      <c r="AB41" s="198"/>
      <c r="AC41" s="198"/>
      <c r="AD41" s="197"/>
      <c r="AE41" s="198"/>
      <c r="AF41" s="197"/>
      <c r="AG41" s="197"/>
      <c r="AH41" s="849"/>
      <c r="AI41" s="845"/>
      <c r="AJ41" s="1"/>
    </row>
    <row r="42" spans="1:36" s="189" customFormat="1">
      <c r="A42" s="160" t="s">
        <v>75</v>
      </c>
      <c r="B42" s="160" t="s">
        <v>85</v>
      </c>
      <c r="C42" s="870">
        <v>331</v>
      </c>
      <c r="D42" s="160" t="s">
        <v>5</v>
      </c>
      <c r="E42" s="160" t="s">
        <v>7</v>
      </c>
      <c r="F42" s="160" t="s">
        <v>56</v>
      </c>
      <c r="G42" s="160" t="s">
        <v>11</v>
      </c>
      <c r="H42" s="162">
        <v>40</v>
      </c>
      <c r="I42" s="163">
        <v>43656</v>
      </c>
      <c r="J42" s="164">
        <v>2</v>
      </c>
      <c r="K42" s="163">
        <v>43658</v>
      </c>
      <c r="L42" s="164">
        <v>1</v>
      </c>
      <c r="M42" s="160">
        <f>50-5+100-1-50</f>
        <v>94</v>
      </c>
      <c r="N42" s="160">
        <v>56.4</v>
      </c>
      <c r="O42" s="5">
        <f t="shared" si="0"/>
        <v>5301.5999999999995</v>
      </c>
      <c r="P42" s="36">
        <f>O42/1000</f>
        <v>5.3015999999999996</v>
      </c>
      <c r="Q42" s="37">
        <f>(P42/1000)/H42</f>
        <v>1.3254E-4</v>
      </c>
      <c r="R42" s="7">
        <f t="shared" ref="R42:R50" si="22">500/N42</f>
        <v>8.8652482269503547</v>
      </c>
      <c r="S42" s="7">
        <f>5*N42</f>
        <v>282</v>
      </c>
      <c r="T42" s="5">
        <v>50</v>
      </c>
      <c r="U42" s="7">
        <f>T42*N42/1000</f>
        <v>2.82</v>
      </c>
      <c r="V42" s="5">
        <v>2</v>
      </c>
      <c r="W42" s="197">
        <v>43682</v>
      </c>
      <c r="X42" s="197">
        <v>43683</v>
      </c>
      <c r="Y42" s="198">
        <v>42.2</v>
      </c>
      <c r="Z42" s="198"/>
      <c r="AA42" s="198">
        <f t="shared" si="6"/>
        <v>211</v>
      </c>
      <c r="AB42" s="198"/>
      <c r="AC42" s="198"/>
      <c r="AD42" s="197"/>
      <c r="AE42" s="198"/>
      <c r="AF42" s="200">
        <v>43804</v>
      </c>
      <c r="AG42" s="197"/>
      <c r="AH42" s="849">
        <v>16</v>
      </c>
      <c r="AI42" s="871" t="s">
        <v>244</v>
      </c>
      <c r="AJ42" s="160"/>
    </row>
    <row r="43" spans="1:36">
      <c r="A43" s="1" t="s">
        <v>75</v>
      </c>
      <c r="B43" s="1" t="s">
        <v>85</v>
      </c>
      <c r="C43" s="870">
        <v>332</v>
      </c>
      <c r="D43" s="1" t="s">
        <v>5</v>
      </c>
      <c r="E43" s="1" t="s">
        <v>7</v>
      </c>
      <c r="F43" s="1" t="s">
        <v>57</v>
      </c>
      <c r="G43" s="1" t="s">
        <v>11</v>
      </c>
      <c r="H43" s="35">
        <v>10</v>
      </c>
      <c r="I43" s="3">
        <v>43656</v>
      </c>
      <c r="J43" s="4">
        <v>2</v>
      </c>
      <c r="K43" s="3">
        <v>43661</v>
      </c>
      <c r="L43" s="4">
        <v>2</v>
      </c>
      <c r="M43" s="1">
        <f>50-5+100-1-50</f>
        <v>94</v>
      </c>
      <c r="N43" s="1">
        <v>63.4</v>
      </c>
      <c r="O43" s="5">
        <f t="shared" si="0"/>
        <v>5959.5999999999995</v>
      </c>
      <c r="P43" s="36">
        <f t="shared" ref="P43:P49" si="23">O43/1000</f>
        <v>5.9595999999999991</v>
      </c>
      <c r="Q43" s="37">
        <f t="shared" ref="Q43:Q49" si="24">P43/1000/H43</f>
        <v>5.9595999999999987E-4</v>
      </c>
      <c r="R43" s="7">
        <f t="shared" si="22"/>
        <v>7.8864353312302837</v>
      </c>
      <c r="S43" s="7">
        <f t="shared" ref="S43:S49" si="25">5*N43</f>
        <v>317</v>
      </c>
      <c r="T43" s="5">
        <v>50</v>
      </c>
      <c r="U43" s="7">
        <f t="shared" ref="U43:U49" si="26">T43*N43/1000</f>
        <v>3.17</v>
      </c>
      <c r="V43" s="5">
        <v>2</v>
      </c>
      <c r="W43" s="197">
        <v>43682</v>
      </c>
      <c r="X43" s="197">
        <v>43683</v>
      </c>
      <c r="Y43" s="198">
        <v>65.8</v>
      </c>
      <c r="Z43" s="198"/>
      <c r="AA43" s="198">
        <f t="shared" si="6"/>
        <v>329</v>
      </c>
      <c r="AB43" s="198"/>
      <c r="AC43" s="198"/>
      <c r="AD43" s="197"/>
      <c r="AE43" s="198"/>
      <c r="AF43" s="197"/>
      <c r="AG43" s="197"/>
      <c r="AH43" s="849">
        <v>17</v>
      </c>
      <c r="AI43" s="871" t="s">
        <v>244</v>
      </c>
      <c r="AJ43" s="1"/>
    </row>
    <row r="44" spans="1:36">
      <c r="A44" s="1" t="s">
        <v>75</v>
      </c>
      <c r="B44" s="1" t="s">
        <v>85</v>
      </c>
      <c r="C44" s="8">
        <v>333</v>
      </c>
      <c r="D44" s="1" t="s">
        <v>5</v>
      </c>
      <c r="E44" s="1" t="s">
        <v>7</v>
      </c>
      <c r="F44" s="1" t="s">
        <v>58</v>
      </c>
      <c r="G44" s="1" t="s">
        <v>11</v>
      </c>
      <c r="H44" s="35">
        <v>40</v>
      </c>
      <c r="I44" s="3">
        <v>43656</v>
      </c>
      <c r="J44" s="4">
        <v>3</v>
      </c>
      <c r="K44" s="3">
        <v>43661</v>
      </c>
      <c r="L44" s="4">
        <v>2</v>
      </c>
      <c r="M44" s="1">
        <f>50-5+100-1-50</f>
        <v>94</v>
      </c>
      <c r="N44" s="1">
        <v>82.8</v>
      </c>
      <c r="O44" s="5">
        <f t="shared" si="0"/>
        <v>7783.2</v>
      </c>
      <c r="P44" s="36">
        <f t="shared" si="23"/>
        <v>7.7831999999999999</v>
      </c>
      <c r="Q44" s="37">
        <f t="shared" si="24"/>
        <v>1.9458E-4</v>
      </c>
      <c r="R44" s="7">
        <f t="shared" si="22"/>
        <v>6.0386473429951693</v>
      </c>
      <c r="S44" s="7">
        <f t="shared" si="25"/>
        <v>414</v>
      </c>
      <c r="T44" s="5">
        <v>50</v>
      </c>
      <c r="U44" s="7">
        <f t="shared" si="26"/>
        <v>4.1399999999999997</v>
      </c>
      <c r="V44" s="5">
        <v>2</v>
      </c>
      <c r="W44" s="197">
        <v>43682</v>
      </c>
      <c r="X44" s="197">
        <v>43683</v>
      </c>
      <c r="Y44" s="198">
        <v>78.599999999999994</v>
      </c>
      <c r="Z44" s="198"/>
      <c r="AA44" s="198">
        <f t="shared" si="6"/>
        <v>393</v>
      </c>
      <c r="AB44" s="198"/>
      <c r="AC44" s="198"/>
      <c r="AD44" s="197"/>
      <c r="AE44" s="198"/>
      <c r="AF44" s="200">
        <v>43804</v>
      </c>
      <c r="AG44" s="197"/>
      <c r="AH44" s="849">
        <v>15</v>
      </c>
      <c r="AI44" s="845">
        <v>2.98</v>
      </c>
      <c r="AJ44" s="1"/>
    </row>
    <row r="45" spans="1:36">
      <c r="A45" s="1" t="s">
        <v>75</v>
      </c>
      <c r="B45" s="1" t="s">
        <v>85</v>
      </c>
      <c r="C45" s="870">
        <v>334</v>
      </c>
      <c r="D45" s="1" t="s">
        <v>5</v>
      </c>
      <c r="E45" s="1" t="s">
        <v>7</v>
      </c>
      <c r="F45" s="1" t="s">
        <v>59</v>
      </c>
      <c r="G45" s="1" t="s">
        <v>11</v>
      </c>
      <c r="H45" s="35">
        <v>30</v>
      </c>
      <c r="I45" s="3">
        <v>43656</v>
      </c>
      <c r="J45" s="4">
        <v>3</v>
      </c>
      <c r="K45" s="3">
        <v>43661</v>
      </c>
      <c r="L45" s="4">
        <v>2</v>
      </c>
      <c r="M45" s="1">
        <f>150-1-50</f>
        <v>99</v>
      </c>
      <c r="N45" s="1">
        <v>66.2</v>
      </c>
      <c r="O45" s="5">
        <f t="shared" si="0"/>
        <v>6553.8</v>
      </c>
      <c r="P45" s="36">
        <f t="shared" si="23"/>
        <v>6.5537999999999998</v>
      </c>
      <c r="Q45" s="37">
        <f t="shared" si="24"/>
        <v>2.1846000000000002E-4</v>
      </c>
      <c r="R45" s="7">
        <f t="shared" si="22"/>
        <v>7.5528700906344408</v>
      </c>
      <c r="S45" s="7">
        <f t="shared" si="25"/>
        <v>331</v>
      </c>
      <c r="T45" s="5">
        <v>50</v>
      </c>
      <c r="U45" s="7">
        <f t="shared" si="26"/>
        <v>3.31</v>
      </c>
      <c r="V45" s="5">
        <v>4</v>
      </c>
      <c r="W45" s="197">
        <v>43682</v>
      </c>
      <c r="X45" s="197">
        <v>43683</v>
      </c>
      <c r="Y45" s="198">
        <v>64.8</v>
      </c>
      <c r="Z45" s="198"/>
      <c r="AA45" s="198">
        <f t="shared" si="6"/>
        <v>324</v>
      </c>
      <c r="AB45" s="198"/>
      <c r="AC45" s="198"/>
      <c r="AD45" s="197"/>
      <c r="AE45" s="197">
        <v>43692</v>
      </c>
      <c r="AF45" s="197"/>
      <c r="AG45" s="197"/>
      <c r="AH45" s="849">
        <v>17</v>
      </c>
      <c r="AI45" s="871" t="s">
        <v>244</v>
      </c>
      <c r="AJ45" s="1"/>
    </row>
    <row r="46" spans="1:36">
      <c r="A46" s="1" t="s">
        <v>75</v>
      </c>
      <c r="B46" s="1" t="s">
        <v>85</v>
      </c>
      <c r="C46" s="8">
        <v>335</v>
      </c>
      <c r="D46" s="1" t="s">
        <v>5</v>
      </c>
      <c r="E46" s="1" t="s">
        <v>7</v>
      </c>
      <c r="F46" s="1" t="s">
        <v>60</v>
      </c>
      <c r="G46" s="1" t="s">
        <v>11</v>
      </c>
      <c r="H46" s="35">
        <v>90</v>
      </c>
      <c r="I46" s="3">
        <v>43656</v>
      </c>
      <c r="J46" s="4">
        <v>4</v>
      </c>
      <c r="K46" s="3">
        <v>43661</v>
      </c>
      <c r="L46" s="4">
        <v>2</v>
      </c>
      <c r="M46" s="1">
        <f>150-1+50-50</f>
        <v>149</v>
      </c>
      <c r="N46" s="1" t="s">
        <v>81</v>
      </c>
      <c r="O46" s="6" t="s">
        <v>82</v>
      </c>
      <c r="P46" s="36" t="e">
        <f t="shared" si="23"/>
        <v>#VALUE!</v>
      </c>
      <c r="Q46" s="37" t="e">
        <f t="shared" si="24"/>
        <v>#VALUE!</v>
      </c>
      <c r="R46" s="7" t="e">
        <f t="shared" si="22"/>
        <v>#VALUE!</v>
      </c>
      <c r="S46" s="7" t="e">
        <f t="shared" si="25"/>
        <v>#VALUE!</v>
      </c>
      <c r="T46" s="5">
        <v>50</v>
      </c>
      <c r="U46" s="7" t="e">
        <f t="shared" si="26"/>
        <v>#VALUE!</v>
      </c>
      <c r="V46" s="5">
        <v>4</v>
      </c>
      <c r="W46" s="197">
        <v>43682</v>
      </c>
      <c r="X46" s="197">
        <v>43683</v>
      </c>
      <c r="Y46" s="198">
        <v>180</v>
      </c>
      <c r="Z46" s="198"/>
      <c r="AA46" s="198">
        <f t="shared" si="6"/>
        <v>900</v>
      </c>
      <c r="AB46" s="198"/>
      <c r="AC46" s="198"/>
      <c r="AD46" s="197"/>
      <c r="AE46" s="197">
        <v>43692</v>
      </c>
      <c r="AF46" s="200">
        <v>43804</v>
      </c>
      <c r="AG46" s="197"/>
      <c r="AH46" s="849">
        <v>15</v>
      </c>
      <c r="AI46" s="845">
        <v>2.58</v>
      </c>
      <c r="AJ46" s="1" t="s">
        <v>445</v>
      </c>
    </row>
    <row r="47" spans="1:36">
      <c r="A47" s="1" t="s">
        <v>75</v>
      </c>
      <c r="B47" s="1" t="s">
        <v>85</v>
      </c>
      <c r="C47" s="870">
        <v>336</v>
      </c>
      <c r="D47" s="1" t="s">
        <v>5</v>
      </c>
      <c r="E47" s="1" t="s">
        <v>7</v>
      </c>
      <c r="F47" s="1" t="s">
        <v>61</v>
      </c>
      <c r="G47" s="1" t="s">
        <v>11</v>
      </c>
      <c r="H47" s="35">
        <v>90</v>
      </c>
      <c r="I47" s="3">
        <v>43658</v>
      </c>
      <c r="J47" s="4">
        <v>4</v>
      </c>
      <c r="K47" s="3">
        <v>43662</v>
      </c>
      <c r="L47" s="4">
        <v>3</v>
      </c>
      <c r="M47" s="1">
        <f>150-1-50</f>
        <v>99</v>
      </c>
      <c r="N47" s="1">
        <v>130</v>
      </c>
      <c r="O47" s="5">
        <f t="shared" si="0"/>
        <v>12870</v>
      </c>
      <c r="P47" s="36">
        <f t="shared" si="23"/>
        <v>12.87</v>
      </c>
      <c r="Q47" s="37">
        <f t="shared" si="24"/>
        <v>1.4300000000000001E-4</v>
      </c>
      <c r="R47" s="7">
        <f t="shared" si="22"/>
        <v>3.8461538461538463</v>
      </c>
      <c r="S47" s="7">
        <f t="shared" si="25"/>
        <v>650</v>
      </c>
      <c r="T47" s="5">
        <v>50</v>
      </c>
      <c r="U47" s="7">
        <f t="shared" si="26"/>
        <v>6.5</v>
      </c>
      <c r="V47" s="5">
        <v>2</v>
      </c>
      <c r="W47" s="197">
        <v>43682</v>
      </c>
      <c r="X47" s="197">
        <v>43683</v>
      </c>
      <c r="Y47" s="198">
        <v>94.8</v>
      </c>
      <c r="Z47" s="198"/>
      <c r="AA47" s="198">
        <f t="shared" si="6"/>
        <v>474</v>
      </c>
      <c r="AB47" s="198"/>
      <c r="AC47" s="198"/>
      <c r="AD47" s="197"/>
      <c r="AE47" s="198"/>
      <c r="AF47" s="197"/>
      <c r="AG47" s="197"/>
      <c r="AH47" s="849">
        <v>20</v>
      </c>
      <c r="AI47" s="871" t="s">
        <v>244</v>
      </c>
      <c r="AJ47" s="1"/>
    </row>
    <row r="48" spans="1:36">
      <c r="A48" s="1" t="s">
        <v>75</v>
      </c>
      <c r="B48" s="1" t="s">
        <v>85</v>
      </c>
      <c r="C48" s="8">
        <v>337</v>
      </c>
      <c r="D48" s="1" t="s">
        <v>5</v>
      </c>
      <c r="E48" s="1" t="s">
        <v>7</v>
      </c>
      <c r="F48" s="1" t="s">
        <v>62</v>
      </c>
      <c r="G48" s="1" t="s">
        <v>11</v>
      </c>
      <c r="H48" s="35">
        <v>100</v>
      </c>
      <c r="I48" s="3">
        <v>43658</v>
      </c>
      <c r="J48" s="4">
        <v>6</v>
      </c>
      <c r="K48" s="3">
        <v>43662</v>
      </c>
      <c r="L48" s="4">
        <v>3</v>
      </c>
      <c r="M48" s="1">
        <f>150-1-50</f>
        <v>99</v>
      </c>
      <c r="N48" s="1">
        <v>198</v>
      </c>
      <c r="O48" s="5">
        <f t="shared" si="0"/>
        <v>19602</v>
      </c>
      <c r="P48" s="36">
        <f t="shared" si="23"/>
        <v>19.602</v>
      </c>
      <c r="Q48" s="37">
        <f t="shared" si="24"/>
        <v>1.9602000000000001E-4</v>
      </c>
      <c r="R48" s="7">
        <f t="shared" si="22"/>
        <v>2.5252525252525251</v>
      </c>
      <c r="S48" s="7">
        <f t="shared" si="25"/>
        <v>990</v>
      </c>
      <c r="T48" s="5">
        <v>50</v>
      </c>
      <c r="U48" s="7">
        <f t="shared" si="26"/>
        <v>9.9</v>
      </c>
      <c r="V48" s="5">
        <v>2</v>
      </c>
      <c r="W48" s="197">
        <v>43682</v>
      </c>
      <c r="X48" s="197">
        <v>43683</v>
      </c>
      <c r="Y48" s="198">
        <v>194</v>
      </c>
      <c r="Z48" s="198"/>
      <c r="AA48" s="198">
        <f t="shared" si="6"/>
        <v>970</v>
      </c>
      <c r="AB48" s="198"/>
      <c r="AC48" s="198"/>
      <c r="AD48" s="197">
        <v>43692</v>
      </c>
      <c r="AE48" s="198"/>
      <c r="AF48" s="197"/>
      <c r="AG48" s="197"/>
      <c r="AH48" s="849">
        <v>15</v>
      </c>
      <c r="AI48" s="845">
        <v>4.0199999999999996</v>
      </c>
      <c r="AJ48" s="1"/>
    </row>
    <row r="49" spans="1:36">
      <c r="A49" s="1" t="s">
        <v>75</v>
      </c>
      <c r="B49" s="1" t="s">
        <v>85</v>
      </c>
      <c r="C49" s="8">
        <v>338</v>
      </c>
      <c r="D49" s="1" t="s">
        <v>5</v>
      </c>
      <c r="E49" s="1" t="s">
        <v>7</v>
      </c>
      <c r="F49" s="1" t="s">
        <v>63</v>
      </c>
      <c r="G49" s="1" t="s">
        <v>11</v>
      </c>
      <c r="H49" s="35">
        <v>20</v>
      </c>
      <c r="I49" s="3">
        <v>43658</v>
      </c>
      <c r="J49" s="4">
        <v>6</v>
      </c>
      <c r="K49" s="3">
        <v>43662</v>
      </c>
      <c r="L49" s="4">
        <v>4</v>
      </c>
      <c r="M49" s="1">
        <f>150-1-50</f>
        <v>99</v>
      </c>
      <c r="N49" s="1">
        <v>83.8</v>
      </c>
      <c r="O49" s="5">
        <f t="shared" si="0"/>
        <v>8296.1999999999989</v>
      </c>
      <c r="P49" s="36">
        <f t="shared" si="23"/>
        <v>8.2961999999999989</v>
      </c>
      <c r="Q49" s="37">
        <f t="shared" si="24"/>
        <v>4.1480999999999994E-4</v>
      </c>
      <c r="R49" s="7">
        <f t="shared" si="22"/>
        <v>5.9665871121718377</v>
      </c>
      <c r="S49" s="7">
        <f t="shared" si="25"/>
        <v>419</v>
      </c>
      <c r="T49" s="5">
        <v>50</v>
      </c>
      <c r="U49" s="7">
        <f t="shared" si="26"/>
        <v>4.1900000000000004</v>
      </c>
      <c r="V49" s="5">
        <v>4</v>
      </c>
      <c r="W49" s="197">
        <v>43682</v>
      </c>
      <c r="X49" s="197">
        <v>43683</v>
      </c>
      <c r="Y49" s="198">
        <v>81.599999999999994</v>
      </c>
      <c r="Z49" s="198"/>
      <c r="AA49" s="198">
        <f t="shared" si="6"/>
        <v>408</v>
      </c>
      <c r="AB49" s="198"/>
      <c r="AC49" s="198"/>
      <c r="AD49" s="197"/>
      <c r="AE49" s="197">
        <v>43692</v>
      </c>
      <c r="AF49" s="197">
        <v>43804</v>
      </c>
      <c r="AG49" s="197"/>
      <c r="AH49" s="849">
        <v>16</v>
      </c>
      <c r="AI49" s="845">
        <v>2.74</v>
      </c>
      <c r="AJ49" s="1"/>
    </row>
    <row r="50" spans="1:36">
      <c r="A50" s="1" t="s">
        <v>75</v>
      </c>
      <c r="B50" s="1" t="s">
        <v>85</v>
      </c>
      <c r="C50" s="8">
        <v>339</v>
      </c>
      <c r="D50" s="1" t="s">
        <v>5</v>
      </c>
      <c r="E50" s="1" t="s">
        <v>7</v>
      </c>
      <c r="F50" s="1" t="s">
        <v>64</v>
      </c>
      <c r="G50" s="1" t="s">
        <v>11</v>
      </c>
      <c r="H50" s="35">
        <v>10</v>
      </c>
      <c r="I50" s="3">
        <v>43658</v>
      </c>
      <c r="J50" s="4">
        <v>7</v>
      </c>
      <c r="K50" s="3">
        <v>43662</v>
      </c>
      <c r="L50" s="4">
        <v>4</v>
      </c>
      <c r="M50" s="1">
        <f>150-1-50</f>
        <v>99</v>
      </c>
      <c r="N50" s="1">
        <v>78.599999999999994</v>
      </c>
      <c r="O50" s="5">
        <f t="shared" si="0"/>
        <v>7781.4</v>
      </c>
      <c r="P50" s="36">
        <f>O50/1000</f>
        <v>7.7813999999999997</v>
      </c>
      <c r="Q50" s="37">
        <f>P50/1000/H50</f>
        <v>7.7813999999999997E-4</v>
      </c>
      <c r="R50" s="7">
        <f t="shared" si="22"/>
        <v>6.3613231552162857</v>
      </c>
      <c r="S50" s="7">
        <f>5*N50</f>
        <v>393</v>
      </c>
      <c r="T50" s="5">
        <v>50</v>
      </c>
      <c r="U50" s="7">
        <f>T50*N50/1000</f>
        <v>3.9299999999999997</v>
      </c>
      <c r="V50" s="5">
        <v>5</v>
      </c>
      <c r="W50" s="197">
        <v>43683</v>
      </c>
      <c r="X50" s="197">
        <v>43683</v>
      </c>
      <c r="Y50" s="198">
        <v>77.2</v>
      </c>
      <c r="Z50" s="198"/>
      <c r="AA50" s="198">
        <f t="shared" si="6"/>
        <v>386</v>
      </c>
      <c r="AB50" s="198"/>
      <c r="AC50" s="198"/>
      <c r="AD50" s="197">
        <v>43692</v>
      </c>
      <c r="AE50" s="197">
        <v>43692</v>
      </c>
      <c r="AF50" s="197"/>
      <c r="AG50" s="197"/>
      <c r="AH50" s="849">
        <v>16</v>
      </c>
      <c r="AI50" s="845">
        <v>1.91</v>
      </c>
      <c r="AJ50" s="1"/>
    </row>
    <row r="51" spans="1:36">
      <c r="A51" s="1"/>
      <c r="B51" s="1"/>
      <c r="C51" s="8"/>
      <c r="D51" s="1"/>
      <c r="E51" s="1"/>
      <c r="F51" s="1"/>
      <c r="G51" s="1"/>
      <c r="H51" s="2"/>
      <c r="I51" s="1"/>
      <c r="J51" s="4"/>
      <c r="K51" s="1"/>
      <c r="L51" s="4"/>
      <c r="M51" s="1"/>
      <c r="N51" s="1"/>
      <c r="O51" s="5"/>
      <c r="P51" s="5"/>
      <c r="Q51" s="5"/>
      <c r="R51" s="7"/>
      <c r="S51" s="7"/>
      <c r="T51" s="5"/>
      <c r="U51" s="7"/>
      <c r="V51" s="5"/>
      <c r="W51" s="7"/>
      <c r="X51" s="7"/>
      <c r="Y51" s="198"/>
      <c r="Z51" s="198"/>
      <c r="AA51" s="198">
        <f t="shared" si="6"/>
        <v>0</v>
      </c>
      <c r="AB51" s="198"/>
      <c r="AC51" s="198"/>
      <c r="AD51" s="197"/>
      <c r="AE51" s="198"/>
      <c r="AF51" s="197"/>
      <c r="AG51" s="197"/>
      <c r="AH51" s="849"/>
      <c r="AI51" s="845"/>
      <c r="AJ51" s="1"/>
    </row>
    <row r="52" spans="1:36" s="189" customFormat="1">
      <c r="A52" s="160" t="s">
        <v>75</v>
      </c>
      <c r="B52" s="160" t="s">
        <v>86</v>
      </c>
      <c r="C52" s="161">
        <v>341</v>
      </c>
      <c r="D52" s="160" t="s">
        <v>6</v>
      </c>
      <c r="E52" s="160" t="s">
        <v>7</v>
      </c>
      <c r="F52" s="160" t="s">
        <v>65</v>
      </c>
      <c r="G52" s="160" t="s">
        <v>11</v>
      </c>
      <c r="H52" s="162">
        <v>20</v>
      </c>
      <c r="I52" s="163">
        <v>43656</v>
      </c>
      <c r="J52" s="164">
        <v>2</v>
      </c>
      <c r="K52" s="163">
        <v>43658</v>
      </c>
      <c r="L52" s="164">
        <v>1</v>
      </c>
      <c r="M52" s="160">
        <f>50-5+100-1-50</f>
        <v>94</v>
      </c>
      <c r="N52" s="160">
        <v>92.4</v>
      </c>
      <c r="O52" s="5">
        <f t="shared" si="0"/>
        <v>8685.6</v>
      </c>
      <c r="P52" s="36">
        <f>O52/1000</f>
        <v>8.6856000000000009</v>
      </c>
      <c r="Q52" s="37">
        <f>(P52/1000)/H52</f>
        <v>4.342800000000001E-4</v>
      </c>
      <c r="R52" s="7">
        <f t="shared" ref="R52:R60" si="27">500/N52</f>
        <v>5.4112554112554108</v>
      </c>
      <c r="S52" s="7">
        <f>5*N52</f>
        <v>462</v>
      </c>
      <c r="T52" s="5">
        <v>50</v>
      </c>
      <c r="U52" s="7">
        <f>T52*N52/1000</f>
        <v>4.62</v>
      </c>
      <c r="V52" s="5">
        <v>2</v>
      </c>
      <c r="W52" s="197">
        <v>43682</v>
      </c>
      <c r="X52" s="197">
        <v>43683</v>
      </c>
      <c r="Y52" s="198">
        <v>89.6</v>
      </c>
      <c r="Z52" s="198">
        <f>4584/1000*6</f>
        <v>27.503999999999998</v>
      </c>
      <c r="AA52" s="198">
        <f t="shared" si="6"/>
        <v>448</v>
      </c>
      <c r="AB52" s="36">
        <f>500/Y52</f>
        <v>5.5803571428571432</v>
      </c>
      <c r="AC52" s="36">
        <v>0</v>
      </c>
      <c r="AD52" s="197"/>
      <c r="AE52" s="198"/>
      <c r="AF52" s="197">
        <v>43697</v>
      </c>
      <c r="AG52" s="197">
        <v>43698</v>
      </c>
      <c r="AH52" s="869">
        <v>14</v>
      </c>
      <c r="AI52" s="845">
        <v>1.31</v>
      </c>
      <c r="AJ52" s="160"/>
    </row>
    <row r="53" spans="1:36">
      <c r="A53" s="1" t="s">
        <v>75</v>
      </c>
      <c r="B53" s="1" t="s">
        <v>86</v>
      </c>
      <c r="C53" s="8">
        <v>342</v>
      </c>
      <c r="D53" s="1" t="s">
        <v>6</v>
      </c>
      <c r="E53" s="1" t="s">
        <v>7</v>
      </c>
      <c r="F53" s="1" t="s">
        <v>66</v>
      </c>
      <c r="G53" s="1" t="s">
        <v>11</v>
      </c>
      <c r="H53" s="35">
        <v>80</v>
      </c>
      <c r="I53" s="3">
        <v>43656</v>
      </c>
      <c r="J53" s="4">
        <v>3</v>
      </c>
      <c r="K53" s="3">
        <v>43661</v>
      </c>
      <c r="L53" s="4">
        <v>2</v>
      </c>
      <c r="M53" s="1">
        <f>50-5+100-1-50</f>
        <v>94</v>
      </c>
      <c r="N53" s="1">
        <v>178</v>
      </c>
      <c r="O53" s="5">
        <f t="shared" si="0"/>
        <v>16732</v>
      </c>
      <c r="P53" s="36">
        <f t="shared" ref="P53:P59" si="28">O53/1000</f>
        <v>16.731999999999999</v>
      </c>
      <c r="Q53" s="37">
        <f t="shared" ref="Q53:Q59" si="29">P53/1000/H53</f>
        <v>2.0915000000000002E-4</v>
      </c>
      <c r="R53" s="7">
        <f t="shared" si="27"/>
        <v>2.808988764044944</v>
      </c>
      <c r="S53" s="7">
        <f t="shared" ref="S53:S59" si="30">5*N53</f>
        <v>890</v>
      </c>
      <c r="T53" s="5">
        <v>50</v>
      </c>
      <c r="U53" s="7">
        <f t="shared" ref="U53:U59" si="31">T53*N53/1000</f>
        <v>8.9</v>
      </c>
      <c r="V53" s="5">
        <v>2</v>
      </c>
      <c r="W53" s="197">
        <v>43682</v>
      </c>
      <c r="X53" s="197">
        <v>43683</v>
      </c>
      <c r="Y53" s="198">
        <v>162</v>
      </c>
      <c r="Z53" s="198"/>
      <c r="AA53" s="198">
        <f t="shared" si="6"/>
        <v>810</v>
      </c>
      <c r="AB53" s="198"/>
      <c r="AC53" s="198"/>
      <c r="AD53" s="197">
        <v>43692</v>
      </c>
      <c r="AE53" s="198"/>
      <c r="AF53" s="197">
        <v>43804</v>
      </c>
      <c r="AG53" s="197"/>
      <c r="AH53" s="849">
        <v>15</v>
      </c>
      <c r="AI53" s="845">
        <v>1.78</v>
      </c>
      <c r="AJ53" s="1"/>
    </row>
    <row r="54" spans="1:36">
      <c r="A54" s="1" t="s">
        <v>75</v>
      </c>
      <c r="B54" s="1" t="s">
        <v>86</v>
      </c>
      <c r="C54" s="8">
        <v>343</v>
      </c>
      <c r="D54" s="1" t="s">
        <v>6</v>
      </c>
      <c r="E54" s="1" t="s">
        <v>7</v>
      </c>
      <c r="F54" s="1" t="s">
        <v>67</v>
      </c>
      <c r="G54" s="1" t="s">
        <v>11</v>
      </c>
      <c r="H54" s="35">
        <v>50</v>
      </c>
      <c r="I54" s="3">
        <v>43656</v>
      </c>
      <c r="J54" s="4">
        <v>3</v>
      </c>
      <c r="K54" s="3">
        <v>43661</v>
      </c>
      <c r="L54" s="4">
        <v>2</v>
      </c>
      <c r="M54" s="1">
        <f>50-5+100-1-50</f>
        <v>94</v>
      </c>
      <c r="N54" s="1">
        <v>146</v>
      </c>
      <c r="O54" s="5">
        <f t="shared" si="0"/>
        <v>13724</v>
      </c>
      <c r="P54" s="36">
        <f t="shared" si="28"/>
        <v>13.724</v>
      </c>
      <c r="Q54" s="37">
        <f t="shared" si="29"/>
        <v>2.7448000000000001E-4</v>
      </c>
      <c r="R54" s="7">
        <f t="shared" si="27"/>
        <v>3.4246575342465753</v>
      </c>
      <c r="S54" s="7">
        <f t="shared" si="30"/>
        <v>730</v>
      </c>
      <c r="T54" s="5">
        <v>50</v>
      </c>
      <c r="U54" s="7">
        <f t="shared" si="31"/>
        <v>7.3</v>
      </c>
      <c r="V54" s="5">
        <v>2</v>
      </c>
      <c r="W54" s="197">
        <v>43682</v>
      </c>
      <c r="X54" s="197">
        <v>43683</v>
      </c>
      <c r="Y54" s="198">
        <v>114</v>
      </c>
      <c r="Z54" s="198"/>
      <c r="AA54" s="198">
        <f t="shared" si="6"/>
        <v>570</v>
      </c>
      <c r="AB54" s="198"/>
      <c r="AC54" s="198"/>
      <c r="AD54" s="197"/>
      <c r="AE54" s="198"/>
      <c r="AF54" s="197"/>
      <c r="AG54" s="197"/>
      <c r="AH54" s="869">
        <v>14</v>
      </c>
      <c r="AI54" s="845">
        <v>2.58</v>
      </c>
      <c r="AJ54" s="1"/>
    </row>
    <row r="55" spans="1:36">
      <c r="A55" s="1" t="s">
        <v>75</v>
      </c>
      <c r="B55" s="1" t="s">
        <v>86</v>
      </c>
      <c r="C55" s="8">
        <v>344</v>
      </c>
      <c r="D55" s="1" t="s">
        <v>6</v>
      </c>
      <c r="E55" s="1" t="s">
        <v>7</v>
      </c>
      <c r="F55" s="1" t="s">
        <v>68</v>
      </c>
      <c r="G55" s="1" t="s">
        <v>11</v>
      </c>
      <c r="H55" s="35">
        <v>40</v>
      </c>
      <c r="I55" s="3">
        <v>43656</v>
      </c>
      <c r="J55" s="4">
        <v>5</v>
      </c>
      <c r="K55" s="3">
        <v>43661</v>
      </c>
      <c r="L55" s="4">
        <v>2</v>
      </c>
      <c r="M55" s="1">
        <f>150-1-50</f>
        <v>99</v>
      </c>
      <c r="N55" s="1">
        <v>28.4</v>
      </c>
      <c r="O55" s="5">
        <f t="shared" si="0"/>
        <v>2811.6</v>
      </c>
      <c r="P55" s="36">
        <f t="shared" si="28"/>
        <v>2.8115999999999999</v>
      </c>
      <c r="Q55" s="37">
        <f t="shared" si="29"/>
        <v>7.0290000000000006E-5</v>
      </c>
      <c r="R55" s="7">
        <f t="shared" si="27"/>
        <v>17.605633802816904</v>
      </c>
      <c r="S55" s="7">
        <f t="shared" si="30"/>
        <v>142</v>
      </c>
      <c r="T55" s="5">
        <v>50</v>
      </c>
      <c r="U55" s="7">
        <f t="shared" si="31"/>
        <v>1.42</v>
      </c>
      <c r="V55" s="5">
        <v>4</v>
      </c>
      <c r="W55" s="197">
        <v>43682</v>
      </c>
      <c r="X55" s="197">
        <v>43683</v>
      </c>
      <c r="Y55" s="198">
        <v>25</v>
      </c>
      <c r="Z55" s="198"/>
      <c r="AA55" s="198">
        <f t="shared" si="6"/>
        <v>125</v>
      </c>
      <c r="AB55" s="198"/>
      <c r="AC55" s="198"/>
      <c r="AD55" s="197"/>
      <c r="AE55" s="197">
        <v>43692</v>
      </c>
      <c r="AF55" s="197">
        <v>43804</v>
      </c>
      <c r="AG55" s="197"/>
      <c r="AH55" s="849">
        <v>15</v>
      </c>
      <c r="AI55" s="845">
        <v>1.58</v>
      </c>
      <c r="AJ55" s="1"/>
    </row>
    <row r="56" spans="1:36">
      <c r="A56" s="1" t="s">
        <v>75</v>
      </c>
      <c r="B56" s="1" t="s">
        <v>86</v>
      </c>
      <c r="C56" s="8">
        <v>345</v>
      </c>
      <c r="D56" s="1" t="s">
        <v>6</v>
      </c>
      <c r="E56" s="1" t="s">
        <v>7</v>
      </c>
      <c r="F56" s="1" t="s">
        <v>69</v>
      </c>
      <c r="G56" s="1" t="s">
        <v>11</v>
      </c>
      <c r="H56" s="35">
        <v>70</v>
      </c>
      <c r="I56" s="3">
        <v>43656</v>
      </c>
      <c r="J56" s="4">
        <v>5</v>
      </c>
      <c r="K56" s="3">
        <v>43661</v>
      </c>
      <c r="L56" s="4">
        <v>2</v>
      </c>
      <c r="M56" s="1">
        <f>150-1+50-50</f>
        <v>149</v>
      </c>
      <c r="N56" s="1" t="s">
        <v>81</v>
      </c>
      <c r="O56" s="6" t="s">
        <v>82</v>
      </c>
      <c r="P56" s="36" t="e">
        <f t="shared" si="28"/>
        <v>#VALUE!</v>
      </c>
      <c r="Q56" s="37" t="e">
        <f t="shared" si="29"/>
        <v>#VALUE!</v>
      </c>
      <c r="R56" s="7" t="e">
        <f t="shared" si="27"/>
        <v>#VALUE!</v>
      </c>
      <c r="S56" s="7" t="e">
        <f t="shared" si="30"/>
        <v>#VALUE!</v>
      </c>
      <c r="T56" s="5">
        <v>50</v>
      </c>
      <c r="U56" s="7" t="e">
        <f t="shared" si="31"/>
        <v>#VALUE!</v>
      </c>
      <c r="V56" s="5">
        <v>4</v>
      </c>
      <c r="W56" s="197">
        <v>43682</v>
      </c>
      <c r="X56" s="197"/>
      <c r="Y56" s="198">
        <v>190</v>
      </c>
      <c r="Z56" s="198"/>
      <c r="AA56" s="198">
        <f t="shared" si="6"/>
        <v>950</v>
      </c>
      <c r="AB56" s="198"/>
      <c r="AC56" s="198"/>
      <c r="AD56" s="197">
        <v>43692</v>
      </c>
      <c r="AE56" s="197">
        <v>43692</v>
      </c>
      <c r="AF56" s="197"/>
      <c r="AG56" s="197"/>
      <c r="AH56" s="869">
        <v>14</v>
      </c>
      <c r="AI56" s="845">
        <v>3.5</v>
      </c>
      <c r="AJ56" s="1" t="s">
        <v>298</v>
      </c>
    </row>
    <row r="57" spans="1:36">
      <c r="A57" s="1" t="s">
        <v>75</v>
      </c>
      <c r="B57" s="1" t="s">
        <v>86</v>
      </c>
      <c r="C57" s="8">
        <v>346</v>
      </c>
      <c r="D57" s="1" t="s">
        <v>6</v>
      </c>
      <c r="E57" s="1" t="s">
        <v>7</v>
      </c>
      <c r="F57" s="1" t="s">
        <v>70</v>
      </c>
      <c r="G57" s="1" t="s">
        <v>11</v>
      </c>
      <c r="H57" s="35">
        <v>20</v>
      </c>
      <c r="I57" s="3">
        <v>43658</v>
      </c>
      <c r="J57" s="4">
        <v>5</v>
      </c>
      <c r="K57" s="3">
        <v>43662</v>
      </c>
      <c r="L57" s="4">
        <v>3</v>
      </c>
      <c r="M57" s="1">
        <f>150-1-50</f>
        <v>99</v>
      </c>
      <c r="N57" s="1">
        <v>74</v>
      </c>
      <c r="O57" s="5">
        <f t="shared" si="0"/>
        <v>7326</v>
      </c>
      <c r="P57" s="36">
        <f t="shared" si="28"/>
        <v>7.3259999999999996</v>
      </c>
      <c r="Q57" s="37">
        <f t="shared" si="29"/>
        <v>3.6630000000000001E-4</v>
      </c>
      <c r="R57" s="7">
        <f t="shared" si="27"/>
        <v>6.756756756756757</v>
      </c>
      <c r="S57" s="7">
        <f t="shared" si="30"/>
        <v>370</v>
      </c>
      <c r="T57" s="5">
        <v>50</v>
      </c>
      <c r="U57" s="7">
        <f t="shared" si="31"/>
        <v>3.7</v>
      </c>
      <c r="V57" s="5">
        <v>2</v>
      </c>
      <c r="W57" s="197">
        <v>43682</v>
      </c>
      <c r="X57" s="197">
        <v>43683</v>
      </c>
      <c r="Y57" s="198">
        <v>43.6</v>
      </c>
      <c r="Z57" s="198"/>
      <c r="AA57" s="198">
        <f t="shared" si="6"/>
        <v>218</v>
      </c>
      <c r="AB57" s="198"/>
      <c r="AC57" s="198"/>
      <c r="AD57" s="197"/>
      <c r="AE57" s="198"/>
      <c r="AF57" s="197"/>
      <c r="AG57" s="197"/>
      <c r="AH57" s="869">
        <v>14</v>
      </c>
      <c r="AI57" s="845">
        <v>1.36</v>
      </c>
      <c r="AJ57" s="1"/>
    </row>
    <row r="58" spans="1:36">
      <c r="A58" s="1" t="s">
        <v>75</v>
      </c>
      <c r="B58" s="1" t="s">
        <v>86</v>
      </c>
      <c r="C58" s="870">
        <v>347</v>
      </c>
      <c r="D58" s="1" t="s">
        <v>6</v>
      </c>
      <c r="E58" s="1" t="s">
        <v>7</v>
      </c>
      <c r="F58" s="1" t="s">
        <v>71</v>
      </c>
      <c r="G58" s="1" t="s">
        <v>11</v>
      </c>
      <c r="H58" s="35">
        <v>10</v>
      </c>
      <c r="I58" s="3">
        <v>43658</v>
      </c>
      <c r="J58" s="4">
        <v>6</v>
      </c>
      <c r="K58" s="3">
        <v>43662</v>
      </c>
      <c r="L58" s="4">
        <v>3</v>
      </c>
      <c r="M58" s="1">
        <f>150-1-50</f>
        <v>99</v>
      </c>
      <c r="N58" s="1">
        <v>89.8</v>
      </c>
      <c r="O58" s="5">
        <f t="shared" si="0"/>
        <v>8890.1999999999989</v>
      </c>
      <c r="P58" s="36">
        <f t="shared" si="28"/>
        <v>8.8901999999999983</v>
      </c>
      <c r="Q58" s="37">
        <f t="shared" si="29"/>
        <v>8.8901999999999991E-4</v>
      </c>
      <c r="R58" s="7">
        <f t="shared" si="27"/>
        <v>5.56792873051225</v>
      </c>
      <c r="S58" s="7">
        <f t="shared" si="30"/>
        <v>449</v>
      </c>
      <c r="T58" s="5">
        <v>50</v>
      </c>
      <c r="U58" s="7">
        <f t="shared" si="31"/>
        <v>4.49</v>
      </c>
      <c r="V58" s="5">
        <v>2</v>
      </c>
      <c r="W58" s="197">
        <v>43682</v>
      </c>
      <c r="X58" s="197">
        <v>43683</v>
      </c>
      <c r="Y58" s="198">
        <v>69</v>
      </c>
      <c r="Z58" s="198"/>
      <c r="AA58" s="198">
        <f t="shared" si="6"/>
        <v>345</v>
      </c>
      <c r="AB58" s="198"/>
      <c r="AC58" s="198"/>
      <c r="AD58" s="197"/>
      <c r="AE58" s="198"/>
      <c r="AF58" s="197">
        <v>43804</v>
      </c>
      <c r="AG58" s="197"/>
      <c r="AH58" s="849">
        <v>15</v>
      </c>
      <c r="AI58" s="871" t="s">
        <v>244</v>
      </c>
      <c r="AJ58" s="1"/>
    </row>
    <row r="59" spans="1:36">
      <c r="A59" s="1" t="s">
        <v>75</v>
      </c>
      <c r="B59" s="1" t="s">
        <v>86</v>
      </c>
      <c r="C59" s="8">
        <v>348</v>
      </c>
      <c r="D59" s="1" t="s">
        <v>6</v>
      </c>
      <c r="E59" s="1" t="s">
        <v>7</v>
      </c>
      <c r="F59" s="1" t="s">
        <v>72</v>
      </c>
      <c r="G59" s="1" t="s">
        <v>11</v>
      </c>
      <c r="H59" s="35">
        <v>50</v>
      </c>
      <c r="I59" s="3">
        <v>43658</v>
      </c>
      <c r="J59" s="4">
        <v>6</v>
      </c>
      <c r="K59" s="3">
        <v>43662</v>
      </c>
      <c r="L59" s="4">
        <v>4</v>
      </c>
      <c r="M59" s="1">
        <f>150-1-50</f>
        <v>99</v>
      </c>
      <c r="N59" s="1">
        <v>51.4</v>
      </c>
      <c r="O59" s="5">
        <f t="shared" si="0"/>
        <v>5088.5999999999995</v>
      </c>
      <c r="P59" s="36">
        <f t="shared" si="28"/>
        <v>5.0885999999999996</v>
      </c>
      <c r="Q59" s="37">
        <f t="shared" si="29"/>
        <v>1.0177199999999999E-4</v>
      </c>
      <c r="R59" s="7">
        <f t="shared" si="27"/>
        <v>9.7276264591439698</v>
      </c>
      <c r="S59" s="7">
        <f t="shared" si="30"/>
        <v>257</v>
      </c>
      <c r="T59" s="5">
        <v>50</v>
      </c>
      <c r="U59" s="7">
        <f t="shared" si="31"/>
        <v>2.57</v>
      </c>
      <c r="V59" s="5">
        <v>4</v>
      </c>
      <c r="W59" s="197">
        <v>43682</v>
      </c>
      <c r="X59" s="197">
        <v>43683</v>
      </c>
      <c r="Y59" s="198">
        <v>54.4</v>
      </c>
      <c r="Z59" s="198"/>
      <c r="AA59" s="198">
        <f t="shared" si="6"/>
        <v>272</v>
      </c>
      <c r="AB59" s="198"/>
      <c r="AC59" s="198"/>
      <c r="AD59" s="197">
        <v>43692</v>
      </c>
      <c r="AE59" s="197">
        <v>43692</v>
      </c>
      <c r="AF59" s="197">
        <v>43804</v>
      </c>
      <c r="AG59" s="197"/>
      <c r="AH59" s="849">
        <v>16</v>
      </c>
      <c r="AI59" s="845">
        <v>3.06</v>
      </c>
      <c r="AJ59" s="1"/>
    </row>
    <row r="60" spans="1:36">
      <c r="A60" s="1" t="s">
        <v>75</v>
      </c>
      <c r="B60" s="1" t="s">
        <v>86</v>
      </c>
      <c r="C60" s="8">
        <v>349</v>
      </c>
      <c r="D60" s="1" t="s">
        <v>6</v>
      </c>
      <c r="E60" s="1" t="s">
        <v>7</v>
      </c>
      <c r="F60" s="1" t="s">
        <v>73</v>
      </c>
      <c r="G60" s="1" t="s">
        <v>11</v>
      </c>
      <c r="H60" s="35">
        <v>10</v>
      </c>
      <c r="I60" s="3">
        <v>43658</v>
      </c>
      <c r="J60" s="4">
        <v>7</v>
      </c>
      <c r="K60" s="3">
        <v>43662</v>
      </c>
      <c r="L60" s="4">
        <v>4</v>
      </c>
      <c r="M60" s="1">
        <f>150-1-50</f>
        <v>99</v>
      </c>
      <c r="N60" s="1">
        <v>55.4</v>
      </c>
      <c r="O60" s="5">
        <f t="shared" si="0"/>
        <v>5484.5999999999995</v>
      </c>
      <c r="P60" s="36">
        <f>O60/1000</f>
        <v>5.4845999999999995</v>
      </c>
      <c r="Q60" s="37">
        <f>P60/1000/H60</f>
        <v>5.4845999999999996E-4</v>
      </c>
      <c r="R60" s="7">
        <f t="shared" si="27"/>
        <v>9.025270758122744</v>
      </c>
      <c r="S60" s="7">
        <f>5*N60</f>
        <v>277</v>
      </c>
      <c r="T60" s="5">
        <v>50</v>
      </c>
      <c r="U60" s="7">
        <f>T60*N60/1000</f>
        <v>2.77</v>
      </c>
      <c r="V60" s="5">
        <v>5</v>
      </c>
      <c r="W60" s="197">
        <v>43683</v>
      </c>
      <c r="X60" s="197">
        <v>43683</v>
      </c>
      <c r="Y60" s="198">
        <v>82</v>
      </c>
      <c r="Z60" s="198"/>
      <c r="AA60" s="198">
        <f t="shared" si="6"/>
        <v>410</v>
      </c>
      <c r="AB60" s="198"/>
      <c r="AC60" s="198"/>
      <c r="AD60" s="197">
        <v>43692</v>
      </c>
      <c r="AE60" s="197">
        <v>43692</v>
      </c>
      <c r="AF60" s="197"/>
      <c r="AG60" s="197"/>
      <c r="AH60" s="849">
        <v>15</v>
      </c>
      <c r="AI60" s="845">
        <v>1.9</v>
      </c>
      <c r="AJ60" s="1"/>
    </row>
    <row r="61" spans="1:36">
      <c r="O61" s="190"/>
      <c r="P61" s="190"/>
      <c r="Q61" s="190"/>
      <c r="AF61" s="187" t="s">
        <v>521</v>
      </c>
    </row>
    <row r="62" spans="1:36">
      <c r="Q62" s="192">
        <f>AVERAGE(Q2:Q7,Q9:Q10,Q12:Q14,Q16:Q20,Q22:Q23,Q29:Q30,Q32:Q40,Q42:Q45,Q47:Q55,Q57:Q60)</f>
        <v>3.2605479047619052E-4</v>
      </c>
      <c r="U62" s="9">
        <f>74+52</f>
        <v>126</v>
      </c>
      <c r="W62" s="9">
        <f>COUNTA(W2:W60)</f>
        <v>52</v>
      </c>
    </row>
  </sheetData>
  <conditionalFormatting sqref="AA2:AA10 AA12:AA20 AA22:AA30 AA32:AA40 AA42:AA50 AA52:AA60">
    <cfRule type="cellIs" dxfId="80" priority="1" operator="lessThan">
      <formula>200</formula>
    </cfRule>
  </conditionalFormatting>
  <pageMargins left="0.7" right="0.7" top="0.75" bottom="0.75" header="0.3" footer="0.3"/>
  <pageSetup scale="41" fitToHeight="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F03C-CA50-5F4A-B48C-4FE944D9A889}">
  <dimension ref="A1:P32"/>
  <sheetViews>
    <sheetView zoomScale="110" zoomScaleNormal="110" workbookViewId="0">
      <selection activeCell="I36" sqref="I36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(28*3)+2</f>
        <v>86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602</v>
      </c>
      <c r="D4" s="293">
        <f>C4*1.1</f>
        <v>662.2</v>
      </c>
    </row>
    <row r="5" spans="1:10">
      <c r="A5" s="292" t="s">
        <v>489</v>
      </c>
      <c r="B5" s="294">
        <v>5</v>
      </c>
      <c r="C5" s="8">
        <f>B5*$C$3</f>
        <v>430</v>
      </c>
      <c r="D5" s="293">
        <f>C5*1.1</f>
        <v>473.00000000000006</v>
      </c>
    </row>
    <row r="6" spans="1:10">
      <c r="A6" s="292" t="s">
        <v>475</v>
      </c>
      <c r="B6" s="294">
        <v>1</v>
      </c>
      <c r="C6" s="8">
        <f>B6*$C$3</f>
        <v>86</v>
      </c>
      <c r="D6" s="293">
        <f>C6*1.1</f>
        <v>94.600000000000009</v>
      </c>
    </row>
    <row r="7" spans="1:10" ht="34">
      <c r="A7" s="295" t="s">
        <v>476</v>
      </c>
      <c r="B7" s="294">
        <v>1.2</v>
      </c>
      <c r="C7" s="8">
        <f>B7*$C$3</f>
        <v>103.2</v>
      </c>
      <c r="D7" s="293">
        <f>C7*1.1</f>
        <v>113.52000000000001</v>
      </c>
    </row>
    <row r="8" spans="1:10">
      <c r="A8" s="292" t="s">
        <v>491</v>
      </c>
      <c r="B8" s="294">
        <v>14.1</v>
      </c>
      <c r="C8" s="8">
        <f>B8*$C$3</f>
        <v>1212.5999999999999</v>
      </c>
      <c r="D8" s="293">
        <f>C8*1.1</f>
        <v>1333.86</v>
      </c>
    </row>
    <row r="9" spans="1:10">
      <c r="A9" s="296" t="s">
        <v>480</v>
      </c>
      <c r="B9" s="297">
        <f>SUM(B4:B8)</f>
        <v>28.299999999999997</v>
      </c>
      <c r="C9" s="298">
        <f>SUM(C4:C8)</f>
        <v>2433.8000000000002</v>
      </c>
      <c r="D9" s="299">
        <f>SUM(D4:D8)</f>
        <v>2677.18</v>
      </c>
    </row>
    <row r="10" spans="1:10" s="291" customFormat="1">
      <c r="A10" s="300" t="s">
        <v>473</v>
      </c>
      <c r="B10" s="301">
        <v>1.7</v>
      </c>
      <c r="C10" s="161">
        <f>B10*$C$3</f>
        <v>146.19999999999999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120</v>
      </c>
    </row>
    <row r="17" spans="1:16">
      <c r="A17" s="305" t="s">
        <v>485</v>
      </c>
      <c r="B17" s="308">
        <f>(B15*B16)/B14</f>
        <v>3</v>
      </c>
      <c r="D17" s="245"/>
    </row>
    <row r="18" spans="1:16">
      <c r="A18" s="305" t="s">
        <v>486</v>
      </c>
      <c r="B18" s="308">
        <f>B16-B17</f>
        <v>117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606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317">
        <v>35</v>
      </c>
      <c r="D24" s="317">
        <v>533</v>
      </c>
      <c r="E24" s="317">
        <v>562</v>
      </c>
      <c r="F24" s="317">
        <v>527</v>
      </c>
      <c r="G24" s="317">
        <v>571</v>
      </c>
      <c r="H24" s="317">
        <v>490</v>
      </c>
      <c r="I24" s="317">
        <v>421</v>
      </c>
      <c r="J24" s="317">
        <v>43</v>
      </c>
      <c r="K24" s="317">
        <v>451</v>
      </c>
      <c r="L24" s="317">
        <v>403</v>
      </c>
      <c r="M24" s="317" t="s">
        <v>262</v>
      </c>
      <c r="N24" s="420">
        <v>401</v>
      </c>
      <c r="P24" s="130"/>
    </row>
    <row r="25" spans="1:16">
      <c r="B25" s="419" t="s">
        <v>545</v>
      </c>
      <c r="C25" s="317">
        <v>524</v>
      </c>
      <c r="D25" s="317">
        <v>522</v>
      </c>
      <c r="E25" s="317">
        <v>432</v>
      </c>
      <c r="F25" s="317">
        <v>492</v>
      </c>
      <c r="G25" s="317">
        <v>525</v>
      </c>
      <c r="H25" s="317">
        <v>523</v>
      </c>
      <c r="I25" s="317">
        <v>553</v>
      </c>
      <c r="J25" s="317">
        <v>506</v>
      </c>
      <c r="K25" s="317">
        <v>572</v>
      </c>
      <c r="L25" s="317" t="s">
        <v>260</v>
      </c>
      <c r="M25" s="317">
        <v>39</v>
      </c>
      <c r="N25" s="420">
        <v>513</v>
      </c>
      <c r="P25" s="130"/>
    </row>
    <row r="26" spans="1:16">
      <c r="B26" s="419" t="s">
        <v>546</v>
      </c>
      <c r="C26" s="317">
        <v>453</v>
      </c>
      <c r="D26" s="317">
        <v>474</v>
      </c>
      <c r="E26" s="317">
        <v>37</v>
      </c>
      <c r="F26" s="317">
        <v>475</v>
      </c>
      <c r="G26" s="317">
        <v>563</v>
      </c>
      <c r="H26" s="317">
        <v>473</v>
      </c>
      <c r="I26" s="317">
        <v>41</v>
      </c>
      <c r="J26" s="317">
        <v>482</v>
      </c>
      <c r="K26" s="317" t="s">
        <v>263</v>
      </c>
      <c r="L26" s="317" t="s">
        <v>255</v>
      </c>
      <c r="M26" s="317">
        <v>521</v>
      </c>
      <c r="N26" s="420">
        <v>441</v>
      </c>
      <c r="P26" s="130"/>
    </row>
    <row r="27" spans="1:16">
      <c r="B27" s="419" t="s">
        <v>547</v>
      </c>
      <c r="C27" s="317">
        <v>554</v>
      </c>
      <c r="D27" s="317" t="s">
        <v>259</v>
      </c>
      <c r="E27" s="317">
        <v>413</v>
      </c>
      <c r="F27" s="317">
        <v>541</v>
      </c>
      <c r="G27" s="317">
        <v>404</v>
      </c>
      <c r="H27" s="317">
        <v>485</v>
      </c>
      <c r="I27" s="317">
        <v>46</v>
      </c>
      <c r="J27" s="317">
        <v>412</v>
      </c>
      <c r="K27" s="317">
        <v>414</v>
      </c>
      <c r="L27" s="317">
        <v>564</v>
      </c>
      <c r="M27" s="317">
        <v>411</v>
      </c>
      <c r="N27" s="420">
        <v>444</v>
      </c>
      <c r="P27" s="130"/>
    </row>
    <row r="28" spans="1:16">
      <c r="B28" s="419" t="s">
        <v>548</v>
      </c>
      <c r="C28" s="317" t="s">
        <v>257</v>
      </c>
      <c r="D28" s="317">
        <v>443</v>
      </c>
      <c r="E28" s="317">
        <v>45</v>
      </c>
      <c r="F28" s="317">
        <v>565</v>
      </c>
      <c r="G28" s="317">
        <v>484</v>
      </c>
      <c r="H28" s="317">
        <v>402</v>
      </c>
      <c r="I28" s="317">
        <v>551</v>
      </c>
      <c r="J28" s="317">
        <v>488</v>
      </c>
      <c r="K28" s="317">
        <v>528</v>
      </c>
      <c r="L28" s="317">
        <v>532</v>
      </c>
      <c r="M28" s="317">
        <v>529</v>
      </c>
      <c r="N28" s="420">
        <v>44</v>
      </c>
      <c r="P28" s="130"/>
    </row>
    <row r="29" spans="1:16">
      <c r="B29" s="419" t="s">
        <v>549</v>
      </c>
      <c r="C29" s="317">
        <v>489</v>
      </c>
      <c r="D29" s="317">
        <v>477</v>
      </c>
      <c r="E29" s="317">
        <v>561</v>
      </c>
      <c r="F29" s="418" t="s">
        <v>571</v>
      </c>
      <c r="G29" s="204">
        <v>531</v>
      </c>
      <c r="H29" s="317">
        <v>487</v>
      </c>
      <c r="I29" s="317" t="s">
        <v>264</v>
      </c>
      <c r="J29" s="317">
        <v>47</v>
      </c>
      <c r="K29" s="317">
        <v>483</v>
      </c>
      <c r="L29" s="317">
        <v>481</v>
      </c>
      <c r="M29" s="317" t="s">
        <v>268</v>
      </c>
      <c r="N29" s="420" t="s">
        <v>573</v>
      </c>
      <c r="P29" s="130"/>
    </row>
    <row r="30" spans="1:16">
      <c r="B30" s="419" t="s">
        <v>550</v>
      </c>
      <c r="C30" s="317" t="s">
        <v>261</v>
      </c>
      <c r="D30" s="317">
        <v>526</v>
      </c>
      <c r="E30" s="317">
        <v>542</v>
      </c>
      <c r="F30" s="205" t="s">
        <v>572</v>
      </c>
      <c r="G30" s="204">
        <v>34</v>
      </c>
      <c r="H30" s="317">
        <v>476</v>
      </c>
      <c r="I30" s="317">
        <v>445</v>
      </c>
      <c r="J30" s="205" t="s">
        <v>570</v>
      </c>
      <c r="K30" s="317">
        <v>543</v>
      </c>
      <c r="L30" s="317">
        <v>491</v>
      </c>
      <c r="M30" s="317">
        <v>434</v>
      </c>
      <c r="N30" s="421" t="s">
        <v>574</v>
      </c>
      <c r="P30" s="130"/>
    </row>
    <row r="31" spans="1:16">
      <c r="B31" s="425" t="s">
        <v>551</v>
      </c>
      <c r="C31" s="286"/>
      <c r="D31" s="286"/>
      <c r="E31" s="286"/>
      <c r="F31" s="286"/>
      <c r="G31" s="286"/>
      <c r="H31" s="286"/>
      <c r="I31" s="286"/>
      <c r="J31" s="426"/>
      <c r="K31" s="426"/>
      <c r="L31" s="426"/>
      <c r="M31" s="426"/>
      <c r="N31" s="427"/>
      <c r="P31" s="130"/>
    </row>
    <row r="32" spans="1:16">
      <c r="P32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50-CD93-CE42-8102-18E1A629FF1C}">
  <sheetPr>
    <pageSetUpPr fitToPage="1"/>
  </sheetPr>
  <dimension ref="A1:AM300"/>
  <sheetViews>
    <sheetView workbookViewId="0">
      <selection activeCell="E178" sqref="E178"/>
    </sheetView>
  </sheetViews>
  <sheetFormatPr baseColWidth="10" defaultRowHeight="16"/>
  <cols>
    <col min="1" max="1" width="10.83203125" style="448"/>
    <col min="2" max="2" width="11.5" style="520" customWidth="1"/>
    <col min="3" max="3" width="14.5" style="448" customWidth="1"/>
    <col min="4" max="4" width="13.33203125" style="448" customWidth="1"/>
    <col min="5" max="8" width="10.83203125" style="448"/>
    <col min="9" max="9" width="14.5" style="448" customWidth="1"/>
    <col min="10" max="11" width="10.83203125" style="448"/>
    <col min="12" max="12" width="10.83203125" style="448" customWidth="1"/>
    <col min="13" max="13" width="10.83203125" style="448"/>
    <col min="14" max="14" width="9.1640625" style="448" customWidth="1"/>
    <col min="15" max="15" width="10.1640625" style="448" customWidth="1"/>
    <col min="16" max="16" width="13.6640625" style="448" customWidth="1"/>
    <col min="17" max="17" width="13.83203125" style="448" customWidth="1"/>
    <col min="18" max="21" width="10.83203125" style="448"/>
    <col min="22" max="22" width="7.1640625" style="448" customWidth="1"/>
    <col min="23" max="23" width="21.1640625" style="448" customWidth="1"/>
    <col min="24" max="16384" width="10.83203125" style="448"/>
  </cols>
  <sheetData>
    <row r="1" spans="1:17" ht="69" thickBot="1">
      <c r="A1" s="527" t="s">
        <v>531</v>
      </c>
      <c r="B1" s="528" t="s">
        <v>524</v>
      </c>
      <c r="C1" s="527" t="s">
        <v>526</v>
      </c>
      <c r="D1" s="527" t="s">
        <v>525</v>
      </c>
      <c r="E1" s="527" t="s">
        <v>527</v>
      </c>
      <c r="F1" s="527" t="s">
        <v>492</v>
      </c>
      <c r="G1" s="529" t="s">
        <v>496</v>
      </c>
      <c r="H1" s="529" t="s">
        <v>497</v>
      </c>
      <c r="I1" s="529" t="s">
        <v>501</v>
      </c>
      <c r="J1" s="529" t="s">
        <v>502</v>
      </c>
      <c r="K1" s="529" t="s">
        <v>612</v>
      </c>
      <c r="L1" s="529" t="s">
        <v>588</v>
      </c>
      <c r="M1" s="529" t="s">
        <v>226</v>
      </c>
      <c r="N1" s="445" t="s">
        <v>594</v>
      </c>
      <c r="O1" s="433" t="s">
        <v>593</v>
      </c>
      <c r="P1" s="253" t="s">
        <v>720</v>
      </c>
      <c r="Q1" s="445" t="s">
        <v>722</v>
      </c>
    </row>
    <row r="2" spans="1:17" s="453" customFormat="1">
      <c r="A2" s="593">
        <v>1</v>
      </c>
      <c r="B2" s="594">
        <v>328</v>
      </c>
      <c r="C2" s="595">
        <v>156</v>
      </c>
      <c r="D2" s="596">
        <f>350/C2</f>
        <v>2.2435897435897436</v>
      </c>
      <c r="E2" s="596">
        <f t="shared" ref="E2:E33" si="0">5-D2</f>
        <v>2.7564102564102564</v>
      </c>
      <c r="F2" s="590">
        <f t="shared" ref="F2:F33" si="1">D2*C2</f>
        <v>350</v>
      </c>
      <c r="G2" s="631">
        <v>3323</v>
      </c>
      <c r="H2" s="654">
        <f t="shared" ref="H2:H33" si="2">0.5*G2</f>
        <v>1661.5</v>
      </c>
      <c r="I2" s="631">
        <v>16.510000000000002</v>
      </c>
      <c r="J2" s="631">
        <f t="shared" ref="J2:J33" si="3">I2-3</f>
        <v>13.510000000000002</v>
      </c>
      <c r="K2" s="631">
        <v>14</v>
      </c>
      <c r="L2" s="592">
        <v>1</v>
      </c>
      <c r="M2" s="590" t="s">
        <v>589</v>
      </c>
      <c r="N2" s="590"/>
      <c r="O2" s="762"/>
      <c r="P2" s="449"/>
    </row>
    <row r="3" spans="1:17" s="453" customFormat="1">
      <c r="A3" s="530">
        <v>16</v>
      </c>
      <c r="B3" s="510">
        <v>325</v>
      </c>
      <c r="C3" s="450">
        <v>180</v>
      </c>
      <c r="D3" s="451">
        <f>350/C3</f>
        <v>1.9444444444444444</v>
      </c>
      <c r="E3" s="451">
        <f t="shared" si="0"/>
        <v>3.0555555555555554</v>
      </c>
      <c r="F3" s="449">
        <f t="shared" si="1"/>
        <v>350</v>
      </c>
      <c r="G3" s="449">
        <v>4057</v>
      </c>
      <c r="H3" s="655">
        <f t="shared" si="2"/>
        <v>2028.5</v>
      </c>
      <c r="I3" s="455">
        <v>17.64</v>
      </c>
      <c r="J3" s="455">
        <f t="shared" si="3"/>
        <v>14.64</v>
      </c>
      <c r="K3" s="455">
        <v>14</v>
      </c>
      <c r="L3" s="452">
        <v>1</v>
      </c>
      <c r="M3" s="449" t="s">
        <v>589</v>
      </c>
      <c r="N3" s="449"/>
      <c r="O3" s="763"/>
      <c r="P3" s="449"/>
    </row>
    <row r="4" spans="1:17" s="453" customFormat="1">
      <c r="A4" s="530">
        <v>1</v>
      </c>
      <c r="B4" s="510">
        <v>343</v>
      </c>
      <c r="C4" s="450">
        <v>114</v>
      </c>
      <c r="D4" s="451">
        <f>350/C4</f>
        <v>3.0701754385964914</v>
      </c>
      <c r="E4" s="451">
        <f t="shared" si="0"/>
        <v>1.9298245614035086</v>
      </c>
      <c r="F4" s="449">
        <f t="shared" si="1"/>
        <v>350</v>
      </c>
      <c r="G4" s="449">
        <v>3583</v>
      </c>
      <c r="H4" s="449">
        <f t="shared" si="2"/>
        <v>1791.5</v>
      </c>
      <c r="I4" s="449">
        <v>16.62</v>
      </c>
      <c r="J4" s="449">
        <f t="shared" si="3"/>
        <v>13.620000000000001</v>
      </c>
      <c r="K4" s="449">
        <v>14</v>
      </c>
      <c r="L4" s="452">
        <v>2</v>
      </c>
      <c r="M4" s="449" t="s">
        <v>589</v>
      </c>
      <c r="N4" s="449"/>
      <c r="O4" s="763"/>
      <c r="P4" s="449"/>
    </row>
    <row r="5" spans="1:17" s="453" customFormat="1">
      <c r="A5" s="530">
        <v>5</v>
      </c>
      <c r="B5" s="510">
        <v>302</v>
      </c>
      <c r="C5" s="450">
        <v>62.4</v>
      </c>
      <c r="D5" s="451">
        <v>5</v>
      </c>
      <c r="E5" s="451">
        <f t="shared" si="0"/>
        <v>0</v>
      </c>
      <c r="F5" s="449">
        <f t="shared" si="1"/>
        <v>312</v>
      </c>
      <c r="G5" s="449">
        <v>3153</v>
      </c>
      <c r="H5" s="454">
        <f t="shared" si="2"/>
        <v>1576.5</v>
      </c>
      <c r="I5" s="449">
        <v>16.809999999999999</v>
      </c>
      <c r="J5" s="449">
        <f t="shared" si="3"/>
        <v>13.809999999999999</v>
      </c>
      <c r="K5" s="449">
        <v>14</v>
      </c>
      <c r="L5" s="452">
        <v>2</v>
      </c>
      <c r="M5" s="449" t="s">
        <v>589</v>
      </c>
      <c r="N5" s="449"/>
      <c r="O5" s="763"/>
      <c r="P5" s="449"/>
    </row>
    <row r="6" spans="1:17" s="453" customFormat="1">
      <c r="A6" s="621">
        <v>2</v>
      </c>
      <c r="B6" s="622">
        <v>345</v>
      </c>
      <c r="C6" s="623">
        <v>190</v>
      </c>
      <c r="D6" s="624">
        <f>350/C6</f>
        <v>1.8421052631578947</v>
      </c>
      <c r="E6" s="624">
        <f t="shared" si="0"/>
        <v>3.1578947368421053</v>
      </c>
      <c r="F6" s="625">
        <f t="shared" si="1"/>
        <v>350</v>
      </c>
      <c r="G6" s="625">
        <v>4129</v>
      </c>
      <c r="H6" s="626">
        <f t="shared" si="2"/>
        <v>2064.5</v>
      </c>
      <c r="I6" s="625">
        <v>17.309999999999999</v>
      </c>
      <c r="J6" s="625">
        <f t="shared" si="3"/>
        <v>14.309999999999999</v>
      </c>
      <c r="K6" s="625">
        <v>14</v>
      </c>
      <c r="L6" s="627">
        <v>2</v>
      </c>
      <c r="M6" s="625" t="s">
        <v>589</v>
      </c>
      <c r="N6" s="625"/>
      <c r="O6" s="764"/>
      <c r="P6" s="449"/>
    </row>
    <row r="7" spans="1:17" s="453" customFormat="1">
      <c r="A7" s="530">
        <v>3</v>
      </c>
      <c r="B7" s="510">
        <v>303</v>
      </c>
      <c r="C7" s="450">
        <v>95.2</v>
      </c>
      <c r="D7" s="451">
        <f>350/C7</f>
        <v>3.6764705882352939</v>
      </c>
      <c r="E7" s="451">
        <f t="shared" si="0"/>
        <v>1.3235294117647061</v>
      </c>
      <c r="F7" s="449">
        <f t="shared" si="1"/>
        <v>350</v>
      </c>
      <c r="G7" s="449">
        <v>3543</v>
      </c>
      <c r="H7" s="454">
        <f t="shared" si="2"/>
        <v>1771.5</v>
      </c>
      <c r="I7" s="449">
        <v>17.28</v>
      </c>
      <c r="J7" s="449">
        <f t="shared" si="3"/>
        <v>14.280000000000001</v>
      </c>
      <c r="K7" s="449">
        <v>14</v>
      </c>
      <c r="L7" s="452">
        <v>2</v>
      </c>
      <c r="M7" s="449" t="s">
        <v>589</v>
      </c>
      <c r="N7" s="449"/>
      <c r="O7" s="763"/>
      <c r="P7" s="449"/>
    </row>
    <row r="8" spans="1:17" s="453" customFormat="1">
      <c r="A8" s="530">
        <v>4</v>
      </c>
      <c r="B8" s="510">
        <v>346</v>
      </c>
      <c r="C8" s="450">
        <v>43.6</v>
      </c>
      <c r="D8" s="451">
        <v>5</v>
      </c>
      <c r="E8" s="451">
        <f t="shared" si="0"/>
        <v>0</v>
      </c>
      <c r="F8" s="449">
        <f t="shared" si="1"/>
        <v>218</v>
      </c>
      <c r="G8" s="449">
        <v>2823</v>
      </c>
      <c r="H8" s="454">
        <f t="shared" si="2"/>
        <v>1411.5</v>
      </c>
      <c r="I8" s="449">
        <v>17.75</v>
      </c>
      <c r="J8" s="449">
        <f t="shared" si="3"/>
        <v>14.75</v>
      </c>
      <c r="K8" s="449">
        <v>14</v>
      </c>
      <c r="L8" s="452">
        <v>2</v>
      </c>
      <c r="M8" s="449" t="s">
        <v>589</v>
      </c>
      <c r="N8" s="449"/>
      <c r="O8" s="763"/>
      <c r="P8" s="449"/>
    </row>
    <row r="9" spans="1:17" s="453" customFormat="1">
      <c r="A9" s="530">
        <v>15</v>
      </c>
      <c r="B9" s="510">
        <v>341</v>
      </c>
      <c r="C9" s="450">
        <v>89.6</v>
      </c>
      <c r="D9" s="451">
        <f>350/C9</f>
        <v>3.9062500000000004</v>
      </c>
      <c r="E9" s="451">
        <f t="shared" si="0"/>
        <v>1.0937499999999996</v>
      </c>
      <c r="F9" s="449">
        <f t="shared" si="1"/>
        <v>350</v>
      </c>
      <c r="G9" s="449">
        <v>3152</v>
      </c>
      <c r="H9" s="454">
        <f t="shared" si="2"/>
        <v>1576</v>
      </c>
      <c r="I9" s="449">
        <v>17.61</v>
      </c>
      <c r="J9" s="449">
        <f t="shared" si="3"/>
        <v>14.61</v>
      </c>
      <c r="K9" s="449">
        <v>14</v>
      </c>
      <c r="L9" s="452">
        <v>2</v>
      </c>
      <c r="M9" s="449" t="s">
        <v>589</v>
      </c>
      <c r="N9" s="449"/>
      <c r="O9" s="763"/>
      <c r="P9" s="449"/>
    </row>
    <row r="10" spans="1:17" s="453" customFormat="1" ht="17" thickBot="1">
      <c r="A10" s="597">
        <v>17</v>
      </c>
      <c r="B10" s="598">
        <v>309</v>
      </c>
      <c r="C10" s="599">
        <v>170</v>
      </c>
      <c r="D10" s="600">
        <f>350/C10</f>
        <v>2.0588235294117645</v>
      </c>
      <c r="E10" s="600">
        <f t="shared" si="0"/>
        <v>2.9411764705882355</v>
      </c>
      <c r="F10" s="537">
        <f t="shared" si="1"/>
        <v>349.99999999999994</v>
      </c>
      <c r="G10" s="537">
        <v>2962</v>
      </c>
      <c r="H10" s="538">
        <f t="shared" si="2"/>
        <v>1481</v>
      </c>
      <c r="I10" s="537">
        <v>18.05</v>
      </c>
      <c r="J10" s="537">
        <f t="shared" si="3"/>
        <v>15.05</v>
      </c>
      <c r="K10" s="537">
        <v>14</v>
      </c>
      <c r="L10" s="539">
        <v>2</v>
      </c>
      <c r="M10" s="537" t="s">
        <v>589</v>
      </c>
      <c r="N10" s="537"/>
      <c r="O10" s="765"/>
      <c r="P10" s="449"/>
    </row>
    <row r="11" spans="1:17" s="628" customFormat="1">
      <c r="A11" s="585">
        <v>2</v>
      </c>
      <c r="B11" s="586">
        <v>524</v>
      </c>
      <c r="C11" s="587">
        <v>63</v>
      </c>
      <c r="D11" s="588">
        <v>5</v>
      </c>
      <c r="E11" s="588">
        <f t="shared" si="0"/>
        <v>0</v>
      </c>
      <c r="F11" s="589">
        <f t="shared" si="1"/>
        <v>315</v>
      </c>
      <c r="G11" s="590">
        <v>3144</v>
      </c>
      <c r="H11" s="591">
        <f t="shared" si="2"/>
        <v>1572</v>
      </c>
      <c r="I11" s="590">
        <v>17.510000000000002</v>
      </c>
      <c r="J11" s="590">
        <f t="shared" si="3"/>
        <v>14.510000000000002</v>
      </c>
      <c r="K11" s="590">
        <v>14</v>
      </c>
      <c r="L11" s="592">
        <v>3</v>
      </c>
      <c r="M11" s="590" t="s">
        <v>590</v>
      </c>
      <c r="N11" s="590"/>
      <c r="O11" s="762"/>
      <c r="P11" s="449"/>
    </row>
    <row r="12" spans="1:17" s="453" customFormat="1">
      <c r="A12" s="531">
        <v>3</v>
      </c>
      <c r="B12" s="511">
        <v>453</v>
      </c>
      <c r="C12" s="456">
        <v>196</v>
      </c>
      <c r="D12" s="457">
        <f>350/C12</f>
        <v>1.7857142857142858</v>
      </c>
      <c r="E12" s="457">
        <f t="shared" si="0"/>
        <v>3.2142857142857144</v>
      </c>
      <c r="F12" s="455">
        <f t="shared" si="1"/>
        <v>350</v>
      </c>
      <c r="G12" s="449">
        <v>3270</v>
      </c>
      <c r="H12" s="454">
        <f t="shared" si="2"/>
        <v>1635</v>
      </c>
      <c r="I12" s="449">
        <v>17.38</v>
      </c>
      <c r="J12" s="449">
        <f t="shared" si="3"/>
        <v>14.379999999999999</v>
      </c>
      <c r="K12" s="449">
        <v>14</v>
      </c>
      <c r="L12" s="452">
        <v>3</v>
      </c>
      <c r="M12" s="449" t="s">
        <v>590</v>
      </c>
      <c r="N12" s="449"/>
      <c r="O12" s="763"/>
      <c r="P12" s="449"/>
    </row>
    <row r="13" spans="1:17" s="453" customFormat="1">
      <c r="A13" s="531">
        <v>4</v>
      </c>
      <c r="B13" s="511">
        <v>554</v>
      </c>
      <c r="C13" s="456">
        <v>188</v>
      </c>
      <c r="D13" s="457">
        <f>350/C13</f>
        <v>1.8617021276595744</v>
      </c>
      <c r="E13" s="457">
        <f t="shared" si="0"/>
        <v>3.1382978723404253</v>
      </c>
      <c r="F13" s="455">
        <f t="shared" si="1"/>
        <v>350</v>
      </c>
      <c r="G13" s="449">
        <v>3198</v>
      </c>
      <c r="H13" s="454">
        <f t="shared" si="2"/>
        <v>1599</v>
      </c>
      <c r="I13" s="449">
        <v>17.600000000000001</v>
      </c>
      <c r="J13" s="449">
        <f t="shared" si="3"/>
        <v>14.600000000000001</v>
      </c>
      <c r="K13" s="449">
        <v>14</v>
      </c>
      <c r="L13" s="452">
        <v>3</v>
      </c>
      <c r="M13" s="449" t="s">
        <v>590</v>
      </c>
      <c r="N13" s="449"/>
      <c r="O13" s="763"/>
      <c r="P13" s="449"/>
    </row>
    <row r="14" spans="1:17" s="453" customFormat="1">
      <c r="A14" s="531">
        <v>10</v>
      </c>
      <c r="B14" s="511">
        <v>474</v>
      </c>
      <c r="C14" s="456">
        <v>77.2</v>
      </c>
      <c r="D14" s="457">
        <f>350/C14</f>
        <v>4.5336787564766841</v>
      </c>
      <c r="E14" s="457">
        <f t="shared" si="0"/>
        <v>0.46632124352331594</v>
      </c>
      <c r="F14" s="455">
        <f t="shared" si="1"/>
        <v>350</v>
      </c>
      <c r="G14" s="449">
        <v>3547</v>
      </c>
      <c r="H14" s="454">
        <f t="shared" si="2"/>
        <v>1773.5</v>
      </c>
      <c r="I14" s="449">
        <v>17.579999999999998</v>
      </c>
      <c r="J14" s="449">
        <f t="shared" si="3"/>
        <v>14.579999999999998</v>
      </c>
      <c r="K14" s="449">
        <v>14</v>
      </c>
      <c r="L14" s="452">
        <v>3</v>
      </c>
      <c r="M14" s="449" t="s">
        <v>590</v>
      </c>
      <c r="N14" s="449"/>
      <c r="O14" s="763"/>
      <c r="P14" s="449"/>
    </row>
    <row r="15" spans="1:17" s="453" customFormat="1">
      <c r="A15" s="531">
        <v>14</v>
      </c>
      <c r="B15" s="511">
        <v>526</v>
      </c>
      <c r="C15" s="456">
        <v>138</v>
      </c>
      <c r="D15" s="457">
        <f>350/C15</f>
        <v>2.5362318840579712</v>
      </c>
      <c r="E15" s="457">
        <f t="shared" si="0"/>
        <v>2.4637681159420288</v>
      </c>
      <c r="F15" s="455">
        <f t="shared" si="1"/>
        <v>350</v>
      </c>
      <c r="G15" s="449">
        <v>3023</v>
      </c>
      <c r="H15" s="454">
        <f t="shared" si="2"/>
        <v>1511.5</v>
      </c>
      <c r="I15" s="449">
        <v>17.68</v>
      </c>
      <c r="J15" s="449">
        <f t="shared" si="3"/>
        <v>14.68</v>
      </c>
      <c r="K15" s="449">
        <v>14</v>
      </c>
      <c r="L15" s="452">
        <v>3</v>
      </c>
      <c r="M15" s="449" t="s">
        <v>590</v>
      </c>
      <c r="N15" s="449"/>
      <c r="O15" s="763"/>
      <c r="P15" s="449"/>
    </row>
    <row r="16" spans="1:17" s="453" customFormat="1">
      <c r="A16" s="531">
        <v>24</v>
      </c>
      <c r="B16" s="511">
        <v>475</v>
      </c>
      <c r="C16" s="456">
        <v>27.4</v>
      </c>
      <c r="D16" s="457">
        <v>5</v>
      </c>
      <c r="E16" s="457">
        <f t="shared" si="0"/>
        <v>0</v>
      </c>
      <c r="F16" s="455">
        <f t="shared" si="1"/>
        <v>137</v>
      </c>
      <c r="G16" s="449">
        <v>1939</v>
      </c>
      <c r="H16" s="454">
        <f t="shared" si="2"/>
        <v>969.5</v>
      </c>
      <c r="I16" s="449">
        <v>17.649999999999999</v>
      </c>
      <c r="J16" s="449">
        <f t="shared" si="3"/>
        <v>14.649999999999999</v>
      </c>
      <c r="K16" s="449">
        <v>14</v>
      </c>
      <c r="L16" s="452">
        <v>3</v>
      </c>
      <c r="M16" s="449" t="s">
        <v>590</v>
      </c>
      <c r="N16" s="449"/>
      <c r="O16" s="763"/>
      <c r="P16" s="449"/>
    </row>
    <row r="17" spans="1:16" s="628" customFormat="1">
      <c r="A17" s="629">
        <v>14</v>
      </c>
      <c r="B17" s="630">
        <v>476</v>
      </c>
      <c r="C17" s="632">
        <v>39.200000000000003</v>
      </c>
      <c r="D17" s="633">
        <v>5</v>
      </c>
      <c r="E17" s="633">
        <f t="shared" si="0"/>
        <v>0</v>
      </c>
      <c r="F17" s="634">
        <f t="shared" si="1"/>
        <v>196</v>
      </c>
      <c r="G17" s="625">
        <v>2546</v>
      </c>
      <c r="H17" s="626">
        <f t="shared" si="2"/>
        <v>1273</v>
      </c>
      <c r="I17" s="625">
        <v>16.7</v>
      </c>
      <c r="J17" s="625">
        <f t="shared" si="3"/>
        <v>13.7</v>
      </c>
      <c r="K17" s="625">
        <v>14</v>
      </c>
      <c r="L17" s="627">
        <v>4</v>
      </c>
      <c r="M17" s="625" t="s">
        <v>590</v>
      </c>
      <c r="N17" s="625"/>
      <c r="O17" s="764"/>
      <c r="P17" s="449"/>
    </row>
    <row r="18" spans="1:16" s="453" customFormat="1">
      <c r="A18" s="531">
        <v>2</v>
      </c>
      <c r="B18" s="511">
        <v>525</v>
      </c>
      <c r="C18" s="458">
        <v>140</v>
      </c>
      <c r="D18" s="459">
        <f>350/C18</f>
        <v>2.5</v>
      </c>
      <c r="E18" s="459">
        <f t="shared" si="0"/>
        <v>2.5</v>
      </c>
      <c r="F18" s="460">
        <f t="shared" si="1"/>
        <v>350</v>
      </c>
      <c r="G18" s="449">
        <v>3283</v>
      </c>
      <c r="H18" s="454">
        <f t="shared" si="2"/>
        <v>1641.5</v>
      </c>
      <c r="I18" s="449">
        <v>17.05</v>
      </c>
      <c r="J18" s="449">
        <f t="shared" si="3"/>
        <v>14.05</v>
      </c>
      <c r="K18" s="449">
        <v>14</v>
      </c>
      <c r="L18" s="452">
        <v>4</v>
      </c>
      <c r="M18" s="449" t="s">
        <v>590</v>
      </c>
      <c r="N18" s="449"/>
      <c r="O18" s="763"/>
      <c r="P18" s="449"/>
    </row>
    <row r="19" spans="1:16" s="453" customFormat="1">
      <c r="A19" s="531">
        <v>8</v>
      </c>
      <c r="B19" s="511">
        <v>490</v>
      </c>
      <c r="C19" s="458">
        <v>186</v>
      </c>
      <c r="D19" s="459">
        <f>350/C19</f>
        <v>1.881720430107527</v>
      </c>
      <c r="E19" s="459">
        <f t="shared" si="0"/>
        <v>3.118279569892473</v>
      </c>
      <c r="F19" s="460">
        <f t="shared" si="1"/>
        <v>350</v>
      </c>
      <c r="G19" s="449">
        <v>2913</v>
      </c>
      <c r="H19" s="454">
        <f t="shared" si="2"/>
        <v>1456.5</v>
      </c>
      <c r="I19" s="449">
        <v>17.12</v>
      </c>
      <c r="J19" s="449">
        <f t="shared" si="3"/>
        <v>14.120000000000001</v>
      </c>
      <c r="K19" s="449">
        <v>14</v>
      </c>
      <c r="L19" s="452">
        <v>4</v>
      </c>
      <c r="M19" s="449" t="s">
        <v>590</v>
      </c>
      <c r="N19" s="449"/>
      <c r="O19" s="763"/>
      <c r="P19" s="449"/>
    </row>
    <row r="20" spans="1:16" s="453" customFormat="1">
      <c r="A20" s="531">
        <v>10</v>
      </c>
      <c r="B20" s="511">
        <v>473</v>
      </c>
      <c r="C20" s="458">
        <v>124</v>
      </c>
      <c r="D20" s="459">
        <f>350/C20</f>
        <v>2.8225806451612905</v>
      </c>
      <c r="E20" s="459">
        <f t="shared" si="0"/>
        <v>2.1774193548387095</v>
      </c>
      <c r="F20" s="460">
        <f t="shared" si="1"/>
        <v>350</v>
      </c>
      <c r="G20" s="449">
        <v>3055</v>
      </c>
      <c r="H20" s="454">
        <f t="shared" si="2"/>
        <v>1527.5</v>
      </c>
      <c r="I20" s="449">
        <v>17.63</v>
      </c>
      <c r="J20" s="449">
        <f t="shared" si="3"/>
        <v>14.629999999999999</v>
      </c>
      <c r="K20" s="449">
        <v>14</v>
      </c>
      <c r="L20" s="452">
        <v>4</v>
      </c>
      <c r="M20" s="449" t="s">
        <v>590</v>
      </c>
      <c r="N20" s="449"/>
      <c r="O20" s="763"/>
      <c r="P20" s="449"/>
    </row>
    <row r="21" spans="1:16" s="453" customFormat="1">
      <c r="A21" s="531">
        <v>11</v>
      </c>
      <c r="B21" s="511">
        <v>485</v>
      </c>
      <c r="C21" s="458">
        <v>19.100000000000001</v>
      </c>
      <c r="D21" s="459">
        <v>5</v>
      </c>
      <c r="E21" s="459">
        <f t="shared" si="0"/>
        <v>0</v>
      </c>
      <c r="F21" s="460">
        <f t="shared" si="1"/>
        <v>95.5</v>
      </c>
      <c r="G21" s="449">
        <v>3053</v>
      </c>
      <c r="H21" s="454">
        <f t="shared" si="2"/>
        <v>1526.5</v>
      </c>
      <c r="I21" s="449">
        <v>17.079999999999998</v>
      </c>
      <c r="J21" s="449">
        <f t="shared" si="3"/>
        <v>14.079999999999998</v>
      </c>
      <c r="K21" s="449">
        <v>14</v>
      </c>
      <c r="L21" s="452">
        <v>4</v>
      </c>
      <c r="M21" s="449" t="s">
        <v>590</v>
      </c>
      <c r="N21" s="449"/>
      <c r="O21" s="763"/>
      <c r="P21" s="449"/>
    </row>
    <row r="22" spans="1:16" s="453" customFormat="1">
      <c r="A22" s="531">
        <v>15</v>
      </c>
      <c r="B22" s="511">
        <v>421</v>
      </c>
      <c r="C22" s="458">
        <v>57.6</v>
      </c>
      <c r="D22" s="459">
        <v>5</v>
      </c>
      <c r="E22" s="459">
        <f t="shared" si="0"/>
        <v>0</v>
      </c>
      <c r="F22" s="460">
        <f t="shared" si="1"/>
        <v>288</v>
      </c>
      <c r="G22" s="449">
        <v>2504</v>
      </c>
      <c r="H22" s="454">
        <f t="shared" si="2"/>
        <v>1252</v>
      </c>
      <c r="I22" s="449">
        <v>17.3</v>
      </c>
      <c r="J22" s="449">
        <f t="shared" si="3"/>
        <v>14.3</v>
      </c>
      <c r="K22" s="449">
        <v>14</v>
      </c>
      <c r="L22" s="452">
        <v>4</v>
      </c>
      <c r="M22" s="449" t="s">
        <v>590</v>
      </c>
      <c r="N22" s="449"/>
      <c r="O22" s="763"/>
      <c r="P22" s="449"/>
    </row>
    <row r="23" spans="1:16" s="453" customFormat="1">
      <c r="A23" s="531">
        <v>16</v>
      </c>
      <c r="B23" s="511">
        <v>553</v>
      </c>
      <c r="C23" s="458">
        <v>186</v>
      </c>
      <c r="D23" s="459">
        <f>350/C23</f>
        <v>1.881720430107527</v>
      </c>
      <c r="E23" s="459">
        <f t="shared" si="0"/>
        <v>3.118279569892473</v>
      </c>
      <c r="F23" s="460">
        <f t="shared" si="1"/>
        <v>350</v>
      </c>
      <c r="G23" s="449">
        <v>2588</v>
      </c>
      <c r="H23" s="454">
        <f t="shared" si="2"/>
        <v>1294</v>
      </c>
      <c r="I23" s="449">
        <v>17.23</v>
      </c>
      <c r="J23" s="449">
        <f t="shared" si="3"/>
        <v>14.23</v>
      </c>
      <c r="K23" s="449">
        <v>14</v>
      </c>
      <c r="L23" s="452">
        <v>4</v>
      </c>
      <c r="M23" s="449" t="s">
        <v>590</v>
      </c>
      <c r="N23" s="449"/>
      <c r="O23" s="763"/>
      <c r="P23" s="449"/>
    </row>
    <row r="24" spans="1:16" s="453" customFormat="1">
      <c r="A24" s="531">
        <v>19</v>
      </c>
      <c r="B24" s="511">
        <v>551</v>
      </c>
      <c r="C24" s="458">
        <v>96.4</v>
      </c>
      <c r="D24" s="459">
        <f>350/C24</f>
        <v>3.6307053941908713</v>
      </c>
      <c r="E24" s="459">
        <f t="shared" si="0"/>
        <v>1.3692946058091287</v>
      </c>
      <c r="F24" s="460">
        <f t="shared" si="1"/>
        <v>350</v>
      </c>
      <c r="G24" s="449">
        <v>3222</v>
      </c>
      <c r="H24" s="454">
        <f t="shared" si="2"/>
        <v>1611</v>
      </c>
      <c r="I24" s="449">
        <v>17.45</v>
      </c>
      <c r="J24" s="449">
        <f t="shared" si="3"/>
        <v>14.45</v>
      </c>
      <c r="K24" s="449">
        <v>14</v>
      </c>
      <c r="L24" s="452">
        <v>4</v>
      </c>
      <c r="M24" s="449" t="s">
        <v>590</v>
      </c>
      <c r="N24" s="449"/>
      <c r="O24" s="763"/>
      <c r="P24" s="449"/>
    </row>
    <row r="25" spans="1:16" s="453" customFormat="1">
      <c r="A25" s="531">
        <v>24</v>
      </c>
      <c r="B25" s="511">
        <v>482</v>
      </c>
      <c r="C25" s="458">
        <v>22.2</v>
      </c>
      <c r="D25" s="459">
        <v>5</v>
      </c>
      <c r="E25" s="459">
        <f t="shared" si="0"/>
        <v>0</v>
      </c>
      <c r="F25" s="460">
        <f t="shared" si="1"/>
        <v>111</v>
      </c>
      <c r="G25" s="449">
        <v>2830</v>
      </c>
      <c r="H25" s="454">
        <f t="shared" si="2"/>
        <v>1415</v>
      </c>
      <c r="I25" s="449">
        <v>17.88</v>
      </c>
      <c r="J25" s="449">
        <f t="shared" si="3"/>
        <v>14.879999999999999</v>
      </c>
      <c r="K25" s="449">
        <v>14</v>
      </c>
      <c r="L25" s="452">
        <v>4</v>
      </c>
      <c r="M25" s="449" t="s">
        <v>590</v>
      </c>
      <c r="N25" s="449"/>
      <c r="O25" s="763"/>
      <c r="P25" s="449"/>
    </row>
    <row r="26" spans="1:16" s="453" customFormat="1">
      <c r="A26" s="531">
        <v>26</v>
      </c>
      <c r="B26" s="511">
        <v>488</v>
      </c>
      <c r="C26" s="458">
        <v>60</v>
      </c>
      <c r="D26" s="459">
        <v>5</v>
      </c>
      <c r="E26" s="459">
        <f t="shared" si="0"/>
        <v>0</v>
      </c>
      <c r="F26" s="460">
        <f t="shared" si="1"/>
        <v>300</v>
      </c>
      <c r="G26" s="449">
        <v>3447</v>
      </c>
      <c r="H26" s="454">
        <f t="shared" si="2"/>
        <v>1723.5</v>
      </c>
      <c r="I26" s="449">
        <v>17.850000000000001</v>
      </c>
      <c r="J26" s="449">
        <f t="shared" si="3"/>
        <v>14.850000000000001</v>
      </c>
      <c r="K26" s="449">
        <v>14</v>
      </c>
      <c r="L26" s="452">
        <v>4</v>
      </c>
      <c r="M26" s="449" t="s">
        <v>590</v>
      </c>
      <c r="N26" s="449"/>
      <c r="O26" s="763"/>
      <c r="P26" s="449"/>
    </row>
    <row r="27" spans="1:16" s="628" customFormat="1">
      <c r="A27" s="531">
        <v>5</v>
      </c>
      <c r="B27" s="511">
        <v>528</v>
      </c>
      <c r="C27" s="461">
        <v>87.6</v>
      </c>
      <c r="D27" s="457">
        <f t="shared" ref="D27:D35" si="4">350/C27</f>
        <v>3.9954337899543382</v>
      </c>
      <c r="E27" s="457">
        <f t="shared" si="0"/>
        <v>1.0045662100456618</v>
      </c>
      <c r="F27" s="455">
        <f t="shared" si="1"/>
        <v>350</v>
      </c>
      <c r="G27" s="449">
        <v>3299</v>
      </c>
      <c r="H27" s="454">
        <f t="shared" si="2"/>
        <v>1649.5</v>
      </c>
      <c r="I27" s="449">
        <v>16.23</v>
      </c>
      <c r="J27" s="449">
        <f t="shared" si="3"/>
        <v>13.23</v>
      </c>
      <c r="K27" s="449">
        <v>14</v>
      </c>
      <c r="L27" s="452">
        <v>5</v>
      </c>
      <c r="M27" s="449" t="s">
        <v>590</v>
      </c>
      <c r="N27" s="449"/>
      <c r="O27" s="763"/>
      <c r="P27" s="449"/>
    </row>
    <row r="28" spans="1:16" s="453" customFormat="1">
      <c r="A28" s="531">
        <v>1</v>
      </c>
      <c r="B28" s="511">
        <v>451</v>
      </c>
      <c r="C28" s="461">
        <v>68.400000000000006</v>
      </c>
      <c r="D28" s="457">
        <f t="shared" si="4"/>
        <v>5.1169590643274852</v>
      </c>
      <c r="E28" s="457">
        <f t="shared" si="0"/>
        <v>-0.11695906432748515</v>
      </c>
      <c r="F28" s="455">
        <f t="shared" si="1"/>
        <v>350</v>
      </c>
      <c r="G28" s="449">
        <v>2895</v>
      </c>
      <c r="H28" s="454">
        <f t="shared" si="2"/>
        <v>1447.5</v>
      </c>
      <c r="I28" s="449">
        <v>17.73</v>
      </c>
      <c r="J28" s="449">
        <f t="shared" si="3"/>
        <v>14.73</v>
      </c>
      <c r="K28" s="449">
        <v>14</v>
      </c>
      <c r="L28" s="452">
        <v>5</v>
      </c>
      <c r="M28" s="449" t="s">
        <v>590</v>
      </c>
      <c r="N28" s="449"/>
      <c r="O28" s="763"/>
      <c r="P28" s="449"/>
    </row>
    <row r="29" spans="1:16" s="453" customFormat="1">
      <c r="A29" s="531">
        <v>7</v>
      </c>
      <c r="B29" s="511">
        <v>543</v>
      </c>
      <c r="C29" s="461">
        <v>162</v>
      </c>
      <c r="D29" s="457">
        <f t="shared" si="4"/>
        <v>2.1604938271604937</v>
      </c>
      <c r="E29" s="457">
        <f t="shared" si="0"/>
        <v>2.8395061728395063</v>
      </c>
      <c r="F29" s="455">
        <f t="shared" si="1"/>
        <v>350</v>
      </c>
      <c r="G29" s="449">
        <v>3984</v>
      </c>
      <c r="H29" s="454">
        <f t="shared" si="2"/>
        <v>1992</v>
      </c>
      <c r="I29" s="449">
        <v>17.22</v>
      </c>
      <c r="J29" s="449">
        <f t="shared" si="3"/>
        <v>14.219999999999999</v>
      </c>
      <c r="K29" s="449">
        <v>14</v>
      </c>
      <c r="L29" s="452">
        <v>5</v>
      </c>
      <c r="M29" s="449" t="s">
        <v>590</v>
      </c>
      <c r="N29" s="449"/>
      <c r="O29" s="763"/>
      <c r="P29" s="449"/>
    </row>
    <row r="30" spans="1:16" s="453" customFormat="1">
      <c r="A30" s="531">
        <v>8</v>
      </c>
      <c r="B30" s="511">
        <v>403</v>
      </c>
      <c r="C30" s="461">
        <v>136</v>
      </c>
      <c r="D30" s="457">
        <f t="shared" si="4"/>
        <v>2.5735294117647061</v>
      </c>
      <c r="E30" s="457">
        <f t="shared" si="0"/>
        <v>2.4264705882352939</v>
      </c>
      <c r="F30" s="455">
        <f t="shared" si="1"/>
        <v>350</v>
      </c>
      <c r="G30" s="449">
        <v>3065</v>
      </c>
      <c r="H30" s="454">
        <f t="shared" si="2"/>
        <v>1532.5</v>
      </c>
      <c r="I30" s="449">
        <v>17.5</v>
      </c>
      <c r="J30" s="449">
        <f t="shared" si="3"/>
        <v>14.5</v>
      </c>
      <c r="K30" s="449">
        <v>14</v>
      </c>
      <c r="L30" s="452">
        <v>5</v>
      </c>
      <c r="M30" s="449" t="s">
        <v>590</v>
      </c>
      <c r="N30" s="449"/>
      <c r="O30" s="763"/>
      <c r="P30" s="449"/>
    </row>
    <row r="31" spans="1:16" s="453" customFormat="1">
      <c r="A31" s="531">
        <v>9</v>
      </c>
      <c r="B31" s="511" t="s">
        <v>260</v>
      </c>
      <c r="C31" s="461">
        <v>84</v>
      </c>
      <c r="D31" s="457">
        <f t="shared" si="4"/>
        <v>4.166666666666667</v>
      </c>
      <c r="E31" s="457">
        <f t="shared" si="0"/>
        <v>0.83333333333333304</v>
      </c>
      <c r="F31" s="455">
        <f t="shared" si="1"/>
        <v>350</v>
      </c>
      <c r="G31" s="449">
        <v>2122</v>
      </c>
      <c r="H31" s="454">
        <f t="shared" si="2"/>
        <v>1061</v>
      </c>
      <c r="I31" s="449">
        <v>17.57</v>
      </c>
      <c r="J31" s="449">
        <f t="shared" si="3"/>
        <v>14.57</v>
      </c>
      <c r="K31" s="449">
        <v>14</v>
      </c>
      <c r="L31" s="452">
        <v>5</v>
      </c>
      <c r="M31" s="449" t="s">
        <v>590</v>
      </c>
      <c r="N31" s="449"/>
      <c r="O31" s="763"/>
      <c r="P31" s="449"/>
    </row>
    <row r="32" spans="1:16" s="453" customFormat="1">
      <c r="A32" s="531">
        <v>11</v>
      </c>
      <c r="B32" s="511">
        <v>564</v>
      </c>
      <c r="C32" s="461">
        <v>152</v>
      </c>
      <c r="D32" s="457">
        <f t="shared" si="4"/>
        <v>2.3026315789473686</v>
      </c>
      <c r="E32" s="457">
        <f t="shared" si="0"/>
        <v>2.6973684210526314</v>
      </c>
      <c r="F32" s="455">
        <f t="shared" si="1"/>
        <v>350</v>
      </c>
      <c r="G32" s="449">
        <v>3101</v>
      </c>
      <c r="H32" s="454">
        <f t="shared" si="2"/>
        <v>1550.5</v>
      </c>
      <c r="I32" s="449">
        <v>17.55</v>
      </c>
      <c r="J32" s="449">
        <f t="shared" si="3"/>
        <v>14.55</v>
      </c>
      <c r="K32" s="449">
        <v>14</v>
      </c>
      <c r="L32" s="452">
        <v>5</v>
      </c>
      <c r="M32" s="449" t="s">
        <v>590</v>
      </c>
      <c r="N32" s="449"/>
      <c r="O32" s="763"/>
      <c r="P32" s="449"/>
    </row>
    <row r="33" spans="1:16" s="453" customFormat="1">
      <c r="A33" s="531">
        <v>12</v>
      </c>
      <c r="B33" s="511">
        <v>532</v>
      </c>
      <c r="C33" s="461">
        <v>93.6</v>
      </c>
      <c r="D33" s="457">
        <f t="shared" si="4"/>
        <v>3.7393162393162394</v>
      </c>
      <c r="E33" s="457">
        <f t="shared" si="0"/>
        <v>1.2606837606837606</v>
      </c>
      <c r="F33" s="455">
        <f t="shared" si="1"/>
        <v>350</v>
      </c>
      <c r="G33" s="449">
        <v>3494</v>
      </c>
      <c r="H33" s="454">
        <f t="shared" si="2"/>
        <v>1747</v>
      </c>
      <c r="I33" s="449">
        <v>17.47</v>
      </c>
      <c r="J33" s="449">
        <f t="shared" si="3"/>
        <v>14.469999999999999</v>
      </c>
      <c r="K33" s="449">
        <v>14</v>
      </c>
      <c r="L33" s="452">
        <v>5</v>
      </c>
      <c r="M33" s="449" t="s">
        <v>590</v>
      </c>
      <c r="N33" s="449"/>
      <c r="O33" s="763"/>
      <c r="P33" s="449"/>
    </row>
    <row r="34" spans="1:16" s="453" customFormat="1">
      <c r="A34" s="531">
        <v>13</v>
      </c>
      <c r="B34" s="511">
        <v>481</v>
      </c>
      <c r="C34" s="461">
        <v>89.2</v>
      </c>
      <c r="D34" s="457">
        <f t="shared" si="4"/>
        <v>3.9237668161434978</v>
      </c>
      <c r="E34" s="457">
        <f t="shared" ref="E34:E65" si="5">5-D34</f>
        <v>1.0762331838565022</v>
      </c>
      <c r="F34" s="455">
        <f t="shared" ref="F34:F65" si="6">D34*C34</f>
        <v>350</v>
      </c>
      <c r="G34" s="449">
        <v>1949</v>
      </c>
      <c r="H34" s="454">
        <f t="shared" ref="H34:H65" si="7">0.5*G34</f>
        <v>974.5</v>
      </c>
      <c r="I34" s="449">
        <v>17.760000000000002</v>
      </c>
      <c r="J34" s="449">
        <f t="shared" ref="J34:J65" si="8">I34-3</f>
        <v>14.760000000000002</v>
      </c>
      <c r="K34" s="449">
        <v>14</v>
      </c>
      <c r="L34" s="452">
        <v>5</v>
      </c>
      <c r="M34" s="449" t="s">
        <v>590</v>
      </c>
      <c r="N34" s="449"/>
      <c r="O34" s="763"/>
      <c r="P34" s="449"/>
    </row>
    <row r="35" spans="1:16" s="453" customFormat="1" ht="17" thickBot="1">
      <c r="A35" s="532">
        <v>25</v>
      </c>
      <c r="B35" s="533">
        <v>444</v>
      </c>
      <c r="C35" s="534">
        <v>70.599999999999994</v>
      </c>
      <c r="D35" s="535">
        <f t="shared" si="4"/>
        <v>4.9575070821529748</v>
      </c>
      <c r="E35" s="535">
        <f t="shared" si="5"/>
        <v>4.2492917847025247E-2</v>
      </c>
      <c r="F35" s="536">
        <f t="shared" si="6"/>
        <v>350</v>
      </c>
      <c r="G35" s="537">
        <v>2871</v>
      </c>
      <c r="H35" s="538">
        <f t="shared" si="7"/>
        <v>1435.5</v>
      </c>
      <c r="I35" s="537">
        <v>17.489999999999998</v>
      </c>
      <c r="J35" s="537">
        <f t="shared" si="8"/>
        <v>14.489999999999998</v>
      </c>
      <c r="K35" s="536">
        <v>14</v>
      </c>
      <c r="L35" s="539">
        <v>5</v>
      </c>
      <c r="M35" s="537" t="s">
        <v>590</v>
      </c>
      <c r="N35" s="537"/>
      <c r="O35" s="765"/>
      <c r="P35" s="449"/>
    </row>
    <row r="36" spans="1:16" s="467" customFormat="1">
      <c r="A36" s="542">
        <v>2</v>
      </c>
      <c r="B36" s="543">
        <v>299</v>
      </c>
      <c r="C36" s="544">
        <v>50.4</v>
      </c>
      <c r="D36" s="545">
        <v>5</v>
      </c>
      <c r="E36" s="545">
        <f t="shared" si="5"/>
        <v>0</v>
      </c>
      <c r="F36" s="546">
        <f t="shared" si="6"/>
        <v>252</v>
      </c>
      <c r="G36" s="546">
        <v>3205</v>
      </c>
      <c r="H36" s="547">
        <f t="shared" si="7"/>
        <v>1602.5</v>
      </c>
      <c r="I36" s="546">
        <v>18.54</v>
      </c>
      <c r="J36" s="548">
        <f t="shared" si="8"/>
        <v>15.54</v>
      </c>
      <c r="K36" s="546">
        <v>15</v>
      </c>
      <c r="L36" s="548">
        <v>1</v>
      </c>
      <c r="M36" s="546" t="s">
        <v>589</v>
      </c>
      <c r="N36" s="546"/>
      <c r="O36" s="766"/>
      <c r="P36" s="462"/>
    </row>
    <row r="37" spans="1:16" s="467" customFormat="1">
      <c r="A37" s="549">
        <v>3</v>
      </c>
      <c r="B37" s="512">
        <v>301</v>
      </c>
      <c r="C37" s="463">
        <v>75.8</v>
      </c>
      <c r="D37" s="464">
        <f>350/C37</f>
        <v>4.6174142480211087</v>
      </c>
      <c r="E37" s="464">
        <f t="shared" si="5"/>
        <v>0.38258575197889133</v>
      </c>
      <c r="F37" s="462">
        <f t="shared" si="6"/>
        <v>350</v>
      </c>
      <c r="G37" s="462">
        <v>3143</v>
      </c>
      <c r="H37" s="465">
        <f t="shared" si="7"/>
        <v>1571.5</v>
      </c>
      <c r="I37" s="462">
        <v>18.66</v>
      </c>
      <c r="J37" s="466">
        <f t="shared" si="8"/>
        <v>15.66</v>
      </c>
      <c r="K37" s="462">
        <v>15</v>
      </c>
      <c r="L37" s="466">
        <v>1</v>
      </c>
      <c r="M37" s="462" t="s">
        <v>589</v>
      </c>
      <c r="N37" s="462"/>
      <c r="O37" s="767"/>
      <c r="P37" s="462"/>
    </row>
    <row r="38" spans="1:16" s="467" customFormat="1">
      <c r="A38" s="549">
        <v>4</v>
      </c>
      <c r="B38" s="512">
        <v>342</v>
      </c>
      <c r="C38" s="463">
        <v>162</v>
      </c>
      <c r="D38" s="464">
        <f>350/C38</f>
        <v>2.1604938271604937</v>
      </c>
      <c r="E38" s="464">
        <f t="shared" si="5"/>
        <v>2.8395061728395063</v>
      </c>
      <c r="F38" s="462">
        <f t="shared" si="6"/>
        <v>350</v>
      </c>
      <c r="G38" s="462">
        <v>3346</v>
      </c>
      <c r="H38" s="465">
        <f t="shared" si="7"/>
        <v>1673</v>
      </c>
      <c r="I38" s="462">
        <v>18.850000000000001</v>
      </c>
      <c r="J38" s="466">
        <f t="shared" si="8"/>
        <v>15.850000000000001</v>
      </c>
      <c r="K38" s="462">
        <v>15</v>
      </c>
      <c r="L38" s="466">
        <v>1</v>
      </c>
      <c r="M38" s="462" t="s">
        <v>589</v>
      </c>
      <c r="N38" s="462"/>
      <c r="O38" s="767"/>
      <c r="P38" s="462"/>
    </row>
    <row r="39" spans="1:16" s="467" customFormat="1">
      <c r="A39" s="549">
        <v>8</v>
      </c>
      <c r="B39" s="512">
        <v>304</v>
      </c>
      <c r="C39" s="463">
        <v>200</v>
      </c>
      <c r="D39" s="464">
        <f>350/C39</f>
        <v>1.75</v>
      </c>
      <c r="E39" s="464">
        <f t="shared" si="5"/>
        <v>3.25</v>
      </c>
      <c r="F39" s="462">
        <f t="shared" si="6"/>
        <v>350</v>
      </c>
      <c r="G39" s="462">
        <v>2783</v>
      </c>
      <c r="H39" s="465">
        <f t="shared" si="7"/>
        <v>1391.5</v>
      </c>
      <c r="I39" s="462">
        <v>18.05</v>
      </c>
      <c r="J39" s="466">
        <f t="shared" si="8"/>
        <v>15.05</v>
      </c>
      <c r="K39" s="462">
        <v>15</v>
      </c>
      <c r="L39" s="466">
        <v>1</v>
      </c>
      <c r="M39" s="462" t="s">
        <v>589</v>
      </c>
      <c r="N39" s="462"/>
      <c r="O39" s="767"/>
      <c r="P39" s="462"/>
    </row>
    <row r="40" spans="1:16" s="467" customFormat="1">
      <c r="A40" s="549">
        <v>12</v>
      </c>
      <c r="B40" s="512">
        <v>298</v>
      </c>
      <c r="C40" s="463">
        <v>182</v>
      </c>
      <c r="D40" s="464">
        <f>350/C40</f>
        <v>1.9230769230769231</v>
      </c>
      <c r="E40" s="464">
        <f t="shared" si="5"/>
        <v>3.0769230769230766</v>
      </c>
      <c r="F40" s="462">
        <f t="shared" si="6"/>
        <v>350</v>
      </c>
      <c r="G40" s="462">
        <v>2873</v>
      </c>
      <c r="H40" s="465">
        <f t="shared" si="7"/>
        <v>1436.5</v>
      </c>
      <c r="I40" s="462">
        <v>18.27</v>
      </c>
      <c r="J40" s="462">
        <f t="shared" si="8"/>
        <v>15.27</v>
      </c>
      <c r="K40" s="462">
        <v>15</v>
      </c>
      <c r="L40" s="466">
        <v>1</v>
      </c>
      <c r="M40" s="462" t="s">
        <v>589</v>
      </c>
      <c r="N40" s="462"/>
      <c r="O40" s="767"/>
      <c r="P40" s="462"/>
    </row>
    <row r="41" spans="1:16" s="467" customFormat="1">
      <c r="A41" s="549">
        <v>14</v>
      </c>
      <c r="B41" s="512">
        <v>315</v>
      </c>
      <c r="C41" s="463">
        <v>148</v>
      </c>
      <c r="D41" s="464">
        <f>350/C41</f>
        <v>2.3648648648648649</v>
      </c>
      <c r="E41" s="464">
        <f t="shared" si="5"/>
        <v>2.6351351351351351</v>
      </c>
      <c r="F41" s="462">
        <f t="shared" si="6"/>
        <v>350</v>
      </c>
      <c r="G41" s="462">
        <v>2991</v>
      </c>
      <c r="H41" s="465">
        <f t="shared" si="7"/>
        <v>1495.5</v>
      </c>
      <c r="I41" s="462">
        <v>18.739999999999998</v>
      </c>
      <c r="J41" s="462">
        <f t="shared" si="8"/>
        <v>15.739999999999998</v>
      </c>
      <c r="K41" s="462">
        <v>15</v>
      </c>
      <c r="L41" s="466">
        <v>1</v>
      </c>
      <c r="M41" s="462" t="s">
        <v>589</v>
      </c>
      <c r="N41" s="462"/>
      <c r="O41" s="767"/>
      <c r="P41" s="462"/>
    </row>
    <row r="42" spans="1:16" s="467" customFormat="1">
      <c r="A42" s="549">
        <v>15</v>
      </c>
      <c r="B42" s="512">
        <v>344</v>
      </c>
      <c r="C42" s="463">
        <v>25</v>
      </c>
      <c r="D42" s="464">
        <v>5</v>
      </c>
      <c r="E42" s="464">
        <f t="shared" si="5"/>
        <v>0</v>
      </c>
      <c r="F42" s="462">
        <f t="shared" si="6"/>
        <v>125</v>
      </c>
      <c r="G42" s="462">
        <v>3090</v>
      </c>
      <c r="H42" s="465">
        <f t="shared" si="7"/>
        <v>1545</v>
      </c>
      <c r="I42" s="462">
        <v>18.190000000000001</v>
      </c>
      <c r="J42" s="462">
        <f t="shared" si="8"/>
        <v>15.190000000000001</v>
      </c>
      <c r="K42" s="462">
        <v>15</v>
      </c>
      <c r="L42" s="466">
        <v>1</v>
      </c>
      <c r="M42" s="462" t="s">
        <v>589</v>
      </c>
      <c r="N42" s="462"/>
      <c r="O42" s="767"/>
      <c r="P42" s="462"/>
    </row>
    <row r="43" spans="1:16" s="467" customFormat="1">
      <c r="A43" s="549">
        <v>18</v>
      </c>
      <c r="B43" s="512">
        <v>347</v>
      </c>
      <c r="C43" s="463">
        <v>69</v>
      </c>
      <c r="D43" s="464">
        <v>5</v>
      </c>
      <c r="E43" s="464">
        <f t="shared" si="5"/>
        <v>0</v>
      </c>
      <c r="F43" s="462">
        <f t="shared" si="6"/>
        <v>345</v>
      </c>
      <c r="G43" s="462">
        <v>3094</v>
      </c>
      <c r="H43" s="465">
        <f t="shared" si="7"/>
        <v>1547</v>
      </c>
      <c r="I43" s="462">
        <v>17.899999999999999</v>
      </c>
      <c r="J43" s="462">
        <f t="shared" si="8"/>
        <v>14.899999999999999</v>
      </c>
      <c r="K43" s="462">
        <v>15</v>
      </c>
      <c r="L43" s="466">
        <v>1</v>
      </c>
      <c r="M43" s="462" t="s">
        <v>589</v>
      </c>
      <c r="N43" s="462"/>
      <c r="O43" s="767"/>
      <c r="P43" s="462"/>
    </row>
    <row r="44" spans="1:16" s="467" customFormat="1">
      <c r="A44" s="549">
        <v>19</v>
      </c>
      <c r="B44" s="512">
        <v>312</v>
      </c>
      <c r="C44" s="463">
        <v>90.6</v>
      </c>
      <c r="D44" s="464">
        <f>350/C44</f>
        <v>3.8631346578366448</v>
      </c>
      <c r="E44" s="464">
        <f t="shared" si="5"/>
        <v>1.1368653421633552</v>
      </c>
      <c r="F44" s="462">
        <f t="shared" si="6"/>
        <v>350</v>
      </c>
      <c r="G44" s="462">
        <v>3020</v>
      </c>
      <c r="H44" s="465">
        <f t="shared" si="7"/>
        <v>1510</v>
      </c>
      <c r="I44" s="462">
        <v>18.77</v>
      </c>
      <c r="J44" s="462">
        <f t="shared" si="8"/>
        <v>15.77</v>
      </c>
      <c r="K44" s="462">
        <v>15</v>
      </c>
      <c r="L44" s="466">
        <v>1</v>
      </c>
      <c r="M44" s="462" t="s">
        <v>589</v>
      </c>
      <c r="N44" s="462"/>
      <c r="O44" s="767"/>
      <c r="P44" s="462"/>
    </row>
    <row r="45" spans="1:16" s="467" customFormat="1">
      <c r="A45" s="549">
        <v>20</v>
      </c>
      <c r="B45" s="512">
        <v>321</v>
      </c>
      <c r="C45" s="463">
        <v>148</v>
      </c>
      <c r="D45" s="464">
        <f>350/C45</f>
        <v>2.3648648648648649</v>
      </c>
      <c r="E45" s="464">
        <f t="shared" si="5"/>
        <v>2.6351351351351351</v>
      </c>
      <c r="F45" s="462">
        <f t="shared" si="6"/>
        <v>350</v>
      </c>
      <c r="G45" s="462">
        <v>3122</v>
      </c>
      <c r="H45" s="465">
        <f t="shared" si="7"/>
        <v>1561</v>
      </c>
      <c r="I45" s="462">
        <v>18.03</v>
      </c>
      <c r="J45" s="462">
        <f t="shared" si="8"/>
        <v>15.030000000000001</v>
      </c>
      <c r="K45" s="462">
        <v>15</v>
      </c>
      <c r="L45" s="466">
        <v>1</v>
      </c>
      <c r="M45" s="462" t="s">
        <v>589</v>
      </c>
      <c r="N45" s="462"/>
      <c r="O45" s="767"/>
      <c r="P45" s="462"/>
    </row>
    <row r="46" spans="1:16" s="467" customFormat="1">
      <c r="A46" s="549">
        <v>21</v>
      </c>
      <c r="B46" s="512">
        <v>333</v>
      </c>
      <c r="C46" s="463">
        <v>78.599999999999994</v>
      </c>
      <c r="D46" s="464">
        <f>350/C46</f>
        <v>4.4529262086513999</v>
      </c>
      <c r="E46" s="464">
        <f t="shared" si="5"/>
        <v>0.54707379134860012</v>
      </c>
      <c r="F46" s="462">
        <f t="shared" si="6"/>
        <v>350</v>
      </c>
      <c r="G46" s="462">
        <v>3301</v>
      </c>
      <c r="H46" s="465">
        <f t="shared" si="7"/>
        <v>1650.5</v>
      </c>
      <c r="I46" s="462">
        <v>18.07</v>
      </c>
      <c r="J46" s="462">
        <f t="shared" si="8"/>
        <v>15.07</v>
      </c>
      <c r="K46" s="462">
        <v>15</v>
      </c>
      <c r="L46" s="466">
        <v>1</v>
      </c>
      <c r="M46" s="462" t="s">
        <v>589</v>
      </c>
      <c r="N46" s="462"/>
      <c r="O46" s="767"/>
      <c r="P46" s="462"/>
    </row>
    <row r="47" spans="1:16" s="467" customFormat="1">
      <c r="A47" s="549">
        <v>22</v>
      </c>
      <c r="B47" s="512">
        <v>291</v>
      </c>
      <c r="C47" s="463">
        <v>158</v>
      </c>
      <c r="D47" s="464">
        <f>350/C47</f>
        <v>2.2151898734177213</v>
      </c>
      <c r="E47" s="464">
        <f t="shared" si="5"/>
        <v>2.7848101265822787</v>
      </c>
      <c r="F47" s="462">
        <f t="shared" si="6"/>
        <v>349.99999999999994</v>
      </c>
      <c r="G47" s="462">
        <v>2529</v>
      </c>
      <c r="H47" s="465">
        <f t="shared" si="7"/>
        <v>1264.5</v>
      </c>
      <c r="I47" s="462">
        <v>18.059999999999999</v>
      </c>
      <c r="J47" s="462">
        <f t="shared" si="8"/>
        <v>15.059999999999999</v>
      </c>
      <c r="K47" s="462">
        <v>15</v>
      </c>
      <c r="L47" s="466">
        <v>1</v>
      </c>
      <c r="M47" s="462" t="s">
        <v>589</v>
      </c>
      <c r="N47" s="462"/>
      <c r="O47" s="767"/>
      <c r="P47" s="462"/>
    </row>
    <row r="48" spans="1:16" s="467" customFormat="1">
      <c r="A48" s="549">
        <v>25</v>
      </c>
      <c r="B48" s="512">
        <v>335</v>
      </c>
      <c r="C48" s="463">
        <v>180</v>
      </c>
      <c r="D48" s="464">
        <f>350/C48</f>
        <v>1.9444444444444444</v>
      </c>
      <c r="E48" s="464">
        <f t="shared" si="5"/>
        <v>3.0555555555555554</v>
      </c>
      <c r="F48" s="462">
        <f t="shared" si="6"/>
        <v>350</v>
      </c>
      <c r="G48" s="462">
        <v>2898</v>
      </c>
      <c r="H48" s="465">
        <f t="shared" si="7"/>
        <v>1449</v>
      </c>
      <c r="I48" s="462">
        <v>18.86</v>
      </c>
      <c r="J48" s="462">
        <f t="shared" si="8"/>
        <v>15.86</v>
      </c>
      <c r="K48" s="462">
        <v>15</v>
      </c>
      <c r="L48" s="466">
        <v>1</v>
      </c>
      <c r="M48" s="462" t="s">
        <v>589</v>
      </c>
      <c r="N48" s="462"/>
      <c r="O48" s="767"/>
      <c r="P48" s="462"/>
    </row>
    <row r="49" spans="1:16" s="467" customFormat="1">
      <c r="A49" s="549">
        <v>7</v>
      </c>
      <c r="B49" s="512">
        <v>292</v>
      </c>
      <c r="C49" s="463">
        <v>29.6</v>
      </c>
      <c r="D49" s="464">
        <v>5</v>
      </c>
      <c r="E49" s="464">
        <f t="shared" si="5"/>
        <v>0</v>
      </c>
      <c r="F49" s="462">
        <f t="shared" si="6"/>
        <v>148</v>
      </c>
      <c r="G49" s="462">
        <v>3253</v>
      </c>
      <c r="H49" s="468">
        <f t="shared" si="7"/>
        <v>1626.5</v>
      </c>
      <c r="I49" s="462">
        <v>18.600000000000001</v>
      </c>
      <c r="J49" s="462">
        <f t="shared" si="8"/>
        <v>15.600000000000001</v>
      </c>
      <c r="K49" s="462">
        <v>15</v>
      </c>
      <c r="L49" s="466">
        <v>2</v>
      </c>
      <c r="M49" s="462" t="s">
        <v>589</v>
      </c>
      <c r="N49" s="462"/>
      <c r="O49" s="767"/>
      <c r="P49" s="462"/>
    </row>
    <row r="50" spans="1:16" s="467" customFormat="1">
      <c r="A50" s="549">
        <v>9</v>
      </c>
      <c r="B50" s="512">
        <v>317</v>
      </c>
      <c r="C50" s="463">
        <v>158</v>
      </c>
      <c r="D50" s="464">
        <f t="shared" ref="D50:D58" si="9">350/C50</f>
        <v>2.2151898734177213</v>
      </c>
      <c r="E50" s="464">
        <f t="shared" si="5"/>
        <v>2.7848101265822787</v>
      </c>
      <c r="F50" s="462">
        <f t="shared" si="6"/>
        <v>349.99999999999994</v>
      </c>
      <c r="G50" s="462">
        <v>3576</v>
      </c>
      <c r="H50" s="468">
        <f t="shared" si="7"/>
        <v>1788</v>
      </c>
      <c r="I50" s="462">
        <v>18.8</v>
      </c>
      <c r="J50" s="462">
        <f t="shared" si="8"/>
        <v>15.8</v>
      </c>
      <c r="K50" s="462">
        <v>15</v>
      </c>
      <c r="L50" s="466">
        <v>2</v>
      </c>
      <c r="M50" s="462" t="s">
        <v>589</v>
      </c>
      <c r="N50" s="462"/>
      <c r="O50" s="767"/>
      <c r="P50" s="462"/>
    </row>
    <row r="51" spans="1:16" s="467" customFormat="1">
      <c r="A51" s="549">
        <v>13</v>
      </c>
      <c r="B51" s="512">
        <v>349</v>
      </c>
      <c r="C51" s="463">
        <v>82</v>
      </c>
      <c r="D51" s="464">
        <f t="shared" si="9"/>
        <v>4.2682926829268295</v>
      </c>
      <c r="E51" s="464">
        <f t="shared" si="5"/>
        <v>0.73170731707317049</v>
      </c>
      <c r="F51" s="462">
        <f t="shared" si="6"/>
        <v>350</v>
      </c>
      <c r="G51" s="462">
        <v>2825</v>
      </c>
      <c r="H51" s="468">
        <f t="shared" si="7"/>
        <v>1412.5</v>
      </c>
      <c r="I51" s="462">
        <v>18.57</v>
      </c>
      <c r="J51" s="462">
        <f t="shared" si="8"/>
        <v>15.57</v>
      </c>
      <c r="K51" s="462">
        <v>15</v>
      </c>
      <c r="L51" s="466">
        <v>2</v>
      </c>
      <c r="M51" s="462" t="s">
        <v>589</v>
      </c>
      <c r="N51" s="462"/>
      <c r="O51" s="767"/>
      <c r="P51" s="462"/>
    </row>
    <row r="52" spans="1:16" s="467" customFormat="1">
      <c r="A52" s="549">
        <v>14</v>
      </c>
      <c r="B52" s="512">
        <v>337</v>
      </c>
      <c r="C52" s="463">
        <v>194</v>
      </c>
      <c r="D52" s="464">
        <f t="shared" si="9"/>
        <v>1.8041237113402062</v>
      </c>
      <c r="E52" s="464">
        <f t="shared" si="5"/>
        <v>3.195876288659794</v>
      </c>
      <c r="F52" s="462">
        <f t="shared" si="6"/>
        <v>350</v>
      </c>
      <c r="G52" s="462">
        <v>3325</v>
      </c>
      <c r="H52" s="468">
        <f t="shared" si="7"/>
        <v>1662.5</v>
      </c>
      <c r="I52" s="462">
        <v>18.649999999999999</v>
      </c>
      <c r="J52" s="462">
        <f t="shared" si="8"/>
        <v>15.649999999999999</v>
      </c>
      <c r="K52" s="462">
        <v>15</v>
      </c>
      <c r="L52" s="466">
        <v>2</v>
      </c>
      <c r="M52" s="462" t="s">
        <v>589</v>
      </c>
      <c r="N52" s="462"/>
      <c r="O52" s="767"/>
      <c r="P52" s="462"/>
    </row>
    <row r="53" spans="1:16" s="467" customFormat="1">
      <c r="A53" s="549">
        <v>16</v>
      </c>
      <c r="B53" s="512">
        <v>313</v>
      </c>
      <c r="C53" s="463">
        <v>72.400000000000006</v>
      </c>
      <c r="D53" s="464">
        <f t="shared" si="9"/>
        <v>4.8342541436464082</v>
      </c>
      <c r="E53" s="464">
        <f t="shared" si="5"/>
        <v>0.16574585635359185</v>
      </c>
      <c r="F53" s="462">
        <f t="shared" si="6"/>
        <v>350</v>
      </c>
      <c r="G53" s="462">
        <v>3184</v>
      </c>
      <c r="H53" s="468">
        <f t="shared" si="7"/>
        <v>1592</v>
      </c>
      <c r="I53" s="462">
        <v>18.47</v>
      </c>
      <c r="J53" s="462">
        <f t="shared" si="8"/>
        <v>15.469999999999999</v>
      </c>
      <c r="K53" s="462">
        <v>15</v>
      </c>
      <c r="L53" s="466">
        <v>2</v>
      </c>
      <c r="M53" s="462" t="s">
        <v>589</v>
      </c>
      <c r="N53" s="462"/>
      <c r="O53" s="767"/>
      <c r="P53" s="462"/>
    </row>
    <row r="54" spans="1:16" s="467" customFormat="1">
      <c r="A54" s="549">
        <v>18</v>
      </c>
      <c r="B54" s="512">
        <v>327</v>
      </c>
      <c r="C54" s="463">
        <v>85.2</v>
      </c>
      <c r="D54" s="464">
        <f t="shared" si="9"/>
        <v>4.107981220657277</v>
      </c>
      <c r="E54" s="464">
        <f t="shared" si="5"/>
        <v>0.892018779342723</v>
      </c>
      <c r="F54" s="462">
        <f t="shared" si="6"/>
        <v>350</v>
      </c>
      <c r="G54" s="462">
        <v>2973</v>
      </c>
      <c r="H54" s="468">
        <f t="shared" si="7"/>
        <v>1486.5</v>
      </c>
      <c r="I54" s="462">
        <v>18.89</v>
      </c>
      <c r="J54" s="462">
        <f t="shared" si="8"/>
        <v>15.89</v>
      </c>
      <c r="K54" s="462">
        <v>15</v>
      </c>
      <c r="L54" s="466">
        <v>2</v>
      </c>
      <c r="M54" s="462" t="s">
        <v>589</v>
      </c>
      <c r="N54" s="462"/>
      <c r="O54" s="767"/>
      <c r="P54" s="462"/>
    </row>
    <row r="55" spans="1:16" s="467" customFormat="1">
      <c r="A55" s="549">
        <v>20</v>
      </c>
      <c r="B55" s="512">
        <v>326</v>
      </c>
      <c r="C55" s="463">
        <v>130</v>
      </c>
      <c r="D55" s="464">
        <f t="shared" si="9"/>
        <v>2.6923076923076925</v>
      </c>
      <c r="E55" s="464">
        <f t="shared" si="5"/>
        <v>2.3076923076923075</v>
      </c>
      <c r="F55" s="462">
        <f t="shared" si="6"/>
        <v>350</v>
      </c>
      <c r="G55" s="462">
        <v>2810</v>
      </c>
      <c r="H55" s="468">
        <f t="shared" si="7"/>
        <v>1405</v>
      </c>
      <c r="I55" s="462">
        <v>18.12</v>
      </c>
      <c r="J55" s="462">
        <f t="shared" si="8"/>
        <v>15.120000000000001</v>
      </c>
      <c r="K55" s="462">
        <v>15</v>
      </c>
      <c r="L55" s="466">
        <v>2</v>
      </c>
      <c r="M55" s="462" t="s">
        <v>589</v>
      </c>
      <c r="N55" s="462"/>
      <c r="O55" s="767"/>
      <c r="P55" s="462"/>
    </row>
    <row r="56" spans="1:16" s="467" customFormat="1">
      <c r="A56" s="549">
        <v>22</v>
      </c>
      <c r="B56" s="512">
        <v>323</v>
      </c>
      <c r="C56" s="463">
        <v>102</v>
      </c>
      <c r="D56" s="464">
        <f t="shared" si="9"/>
        <v>3.4313725490196076</v>
      </c>
      <c r="E56" s="464">
        <f t="shared" si="5"/>
        <v>1.5686274509803924</v>
      </c>
      <c r="F56" s="462">
        <f t="shared" si="6"/>
        <v>350</v>
      </c>
      <c r="G56" s="462">
        <v>3537</v>
      </c>
      <c r="H56" s="468">
        <f t="shared" si="7"/>
        <v>1768.5</v>
      </c>
      <c r="I56" s="462">
        <v>18.47</v>
      </c>
      <c r="J56" s="462">
        <f t="shared" si="8"/>
        <v>15.469999999999999</v>
      </c>
      <c r="K56" s="462">
        <v>15</v>
      </c>
      <c r="L56" s="466">
        <v>2</v>
      </c>
      <c r="M56" s="462" t="s">
        <v>589</v>
      </c>
      <c r="N56" s="462"/>
      <c r="O56" s="767"/>
      <c r="P56" s="462"/>
    </row>
    <row r="57" spans="1:16" s="467" customFormat="1">
      <c r="A57" s="549">
        <v>27</v>
      </c>
      <c r="B57" s="512">
        <v>329</v>
      </c>
      <c r="C57" s="463">
        <v>162</v>
      </c>
      <c r="D57" s="464">
        <f t="shared" si="9"/>
        <v>2.1604938271604937</v>
      </c>
      <c r="E57" s="464">
        <f t="shared" si="5"/>
        <v>2.8395061728395063</v>
      </c>
      <c r="F57" s="462">
        <f t="shared" si="6"/>
        <v>350</v>
      </c>
      <c r="G57" s="462">
        <v>2164</v>
      </c>
      <c r="H57" s="468">
        <f t="shared" si="7"/>
        <v>1082</v>
      </c>
      <c r="I57" s="462">
        <v>18.72</v>
      </c>
      <c r="J57" s="462">
        <f t="shared" si="8"/>
        <v>15.719999999999999</v>
      </c>
      <c r="K57" s="462">
        <v>15</v>
      </c>
      <c r="L57" s="466">
        <v>2</v>
      </c>
      <c r="M57" s="462" t="s">
        <v>589</v>
      </c>
      <c r="N57" s="462"/>
      <c r="O57" s="767"/>
      <c r="P57" s="462"/>
    </row>
    <row r="58" spans="1:16" s="467" customFormat="1" ht="17" thickBot="1">
      <c r="A58" s="601">
        <v>28</v>
      </c>
      <c r="B58" s="602">
        <v>296</v>
      </c>
      <c r="C58" s="603">
        <v>180</v>
      </c>
      <c r="D58" s="604">
        <f t="shared" si="9"/>
        <v>1.9444444444444444</v>
      </c>
      <c r="E58" s="604">
        <f t="shared" si="5"/>
        <v>3.0555555555555554</v>
      </c>
      <c r="F58" s="556">
        <f t="shared" si="6"/>
        <v>350</v>
      </c>
      <c r="G58" s="556">
        <v>2182</v>
      </c>
      <c r="H58" s="557">
        <f t="shared" si="7"/>
        <v>1091</v>
      </c>
      <c r="I58" s="556">
        <v>18.100000000000001</v>
      </c>
      <c r="J58" s="556">
        <f t="shared" si="8"/>
        <v>15.100000000000001</v>
      </c>
      <c r="K58" s="556">
        <v>15</v>
      </c>
      <c r="L58" s="558">
        <v>2</v>
      </c>
      <c r="M58" s="556" t="s">
        <v>589</v>
      </c>
      <c r="N58" s="556"/>
      <c r="O58" s="768"/>
      <c r="P58" s="462"/>
    </row>
    <row r="59" spans="1:16" s="467" customFormat="1">
      <c r="A59" s="605">
        <v>6</v>
      </c>
      <c r="B59" s="606">
        <v>489</v>
      </c>
      <c r="C59" s="607">
        <v>68</v>
      </c>
      <c r="D59" s="608">
        <v>5</v>
      </c>
      <c r="E59" s="608">
        <f t="shared" si="5"/>
        <v>0</v>
      </c>
      <c r="F59" s="609">
        <f t="shared" si="6"/>
        <v>340</v>
      </c>
      <c r="G59" s="546">
        <v>3220</v>
      </c>
      <c r="H59" s="610">
        <f t="shared" si="7"/>
        <v>1610</v>
      </c>
      <c r="I59" s="546">
        <v>18.149999999999999</v>
      </c>
      <c r="J59" s="546">
        <f t="shared" si="8"/>
        <v>15.149999999999999</v>
      </c>
      <c r="K59" s="546">
        <v>15</v>
      </c>
      <c r="L59" s="548">
        <v>3</v>
      </c>
      <c r="M59" s="546" t="s">
        <v>590</v>
      </c>
      <c r="N59" s="546"/>
      <c r="O59" s="766"/>
      <c r="P59" s="462"/>
    </row>
    <row r="60" spans="1:16" s="467" customFormat="1">
      <c r="A60" s="550">
        <v>12</v>
      </c>
      <c r="B60" s="513">
        <v>443</v>
      </c>
      <c r="C60" s="470">
        <v>60.2</v>
      </c>
      <c r="D60" s="471">
        <v>5</v>
      </c>
      <c r="E60" s="471">
        <f t="shared" si="5"/>
        <v>0</v>
      </c>
      <c r="F60" s="469">
        <f t="shared" si="6"/>
        <v>301</v>
      </c>
      <c r="G60" s="462">
        <v>3799</v>
      </c>
      <c r="H60" s="468">
        <f t="shared" si="7"/>
        <v>1899.5</v>
      </c>
      <c r="I60" s="462">
        <v>18.579999999999998</v>
      </c>
      <c r="J60" s="462">
        <f t="shared" si="8"/>
        <v>15.579999999999998</v>
      </c>
      <c r="K60" s="462">
        <v>15</v>
      </c>
      <c r="L60" s="466">
        <v>3</v>
      </c>
      <c r="M60" s="462" t="s">
        <v>590</v>
      </c>
      <c r="N60" s="462"/>
      <c r="O60" s="767"/>
      <c r="P60" s="462"/>
    </row>
    <row r="61" spans="1:16" s="467" customFormat="1">
      <c r="A61" s="550">
        <v>13</v>
      </c>
      <c r="B61" s="513">
        <v>477</v>
      </c>
      <c r="C61" s="470">
        <v>164</v>
      </c>
      <c r="D61" s="471">
        <f>350/C61</f>
        <v>2.1341463414634148</v>
      </c>
      <c r="E61" s="471">
        <f t="shared" si="5"/>
        <v>2.8658536585365852</v>
      </c>
      <c r="F61" s="469">
        <f t="shared" si="6"/>
        <v>350</v>
      </c>
      <c r="G61" s="462">
        <v>2498</v>
      </c>
      <c r="H61" s="468">
        <f t="shared" si="7"/>
        <v>1249</v>
      </c>
      <c r="I61" s="462">
        <v>18</v>
      </c>
      <c r="J61" s="462">
        <f t="shared" si="8"/>
        <v>15</v>
      </c>
      <c r="K61" s="462">
        <v>15</v>
      </c>
      <c r="L61" s="466">
        <v>3</v>
      </c>
      <c r="M61" s="462" t="s">
        <v>590</v>
      </c>
      <c r="N61" s="462"/>
      <c r="O61" s="767"/>
      <c r="P61" s="462"/>
    </row>
    <row r="62" spans="1:16" s="467" customFormat="1">
      <c r="A62" s="550">
        <v>18</v>
      </c>
      <c r="B62" s="513">
        <v>413</v>
      </c>
      <c r="C62" s="470">
        <v>130</v>
      </c>
      <c r="D62" s="471">
        <f>350/C62</f>
        <v>2.6923076923076925</v>
      </c>
      <c r="E62" s="471">
        <f t="shared" si="5"/>
        <v>2.3076923076923075</v>
      </c>
      <c r="F62" s="469">
        <f t="shared" si="6"/>
        <v>350</v>
      </c>
      <c r="G62" s="462">
        <v>2715</v>
      </c>
      <c r="H62" s="468">
        <f t="shared" si="7"/>
        <v>1357.5</v>
      </c>
      <c r="I62" s="462">
        <v>18.07</v>
      </c>
      <c r="J62" s="462">
        <f t="shared" si="8"/>
        <v>15.07</v>
      </c>
      <c r="K62" s="462">
        <v>15</v>
      </c>
      <c r="L62" s="466">
        <v>3</v>
      </c>
      <c r="M62" s="462" t="s">
        <v>590</v>
      </c>
      <c r="N62" s="462"/>
      <c r="O62" s="767"/>
      <c r="P62" s="462"/>
    </row>
    <row r="63" spans="1:16" s="467" customFormat="1">
      <c r="A63" s="550">
        <v>22</v>
      </c>
      <c r="B63" s="513">
        <v>527</v>
      </c>
      <c r="C63" s="470">
        <v>124</v>
      </c>
      <c r="D63" s="471">
        <f>350/C63</f>
        <v>2.8225806451612905</v>
      </c>
      <c r="E63" s="471">
        <f t="shared" si="5"/>
        <v>2.1774193548387095</v>
      </c>
      <c r="F63" s="469">
        <f t="shared" si="6"/>
        <v>350</v>
      </c>
      <c r="G63" s="462">
        <v>3100</v>
      </c>
      <c r="H63" s="468">
        <f t="shared" si="7"/>
        <v>1550</v>
      </c>
      <c r="I63" s="462">
        <v>18.100000000000001</v>
      </c>
      <c r="J63" s="462">
        <f t="shared" si="8"/>
        <v>15.100000000000001</v>
      </c>
      <c r="K63" s="462">
        <v>15</v>
      </c>
      <c r="L63" s="466">
        <v>3</v>
      </c>
      <c r="M63" s="462" t="s">
        <v>590</v>
      </c>
      <c r="N63" s="462"/>
      <c r="O63" s="767"/>
      <c r="P63" s="462"/>
    </row>
    <row r="64" spans="1:16" s="467" customFormat="1">
      <c r="A64" s="550">
        <v>23</v>
      </c>
      <c r="B64" s="513">
        <v>492</v>
      </c>
      <c r="C64" s="470">
        <v>82.6</v>
      </c>
      <c r="D64" s="471">
        <f>350/C64</f>
        <v>4.2372881355932206</v>
      </c>
      <c r="E64" s="471">
        <f t="shared" si="5"/>
        <v>0.76271186440677941</v>
      </c>
      <c r="F64" s="469">
        <f t="shared" si="6"/>
        <v>350</v>
      </c>
      <c r="G64" s="462">
        <v>2747</v>
      </c>
      <c r="H64" s="468">
        <f t="shared" si="7"/>
        <v>1373.5</v>
      </c>
      <c r="I64" s="462">
        <v>18.420000000000002</v>
      </c>
      <c r="J64" s="462">
        <f t="shared" si="8"/>
        <v>15.420000000000002</v>
      </c>
      <c r="K64" s="462">
        <v>15</v>
      </c>
      <c r="L64" s="466">
        <v>3</v>
      </c>
      <c r="M64" s="462" t="s">
        <v>590</v>
      </c>
      <c r="N64" s="462"/>
      <c r="O64" s="767"/>
      <c r="P64" s="462"/>
    </row>
    <row r="65" spans="1:16" s="467" customFormat="1">
      <c r="A65" s="550">
        <v>25</v>
      </c>
      <c r="B65" s="513">
        <v>541</v>
      </c>
      <c r="C65" s="470">
        <v>44.4</v>
      </c>
      <c r="D65" s="471">
        <v>5</v>
      </c>
      <c r="E65" s="471">
        <f t="shared" si="5"/>
        <v>0</v>
      </c>
      <c r="F65" s="469">
        <f t="shared" si="6"/>
        <v>222</v>
      </c>
      <c r="G65" s="462">
        <v>2387</v>
      </c>
      <c r="H65" s="468">
        <f t="shared" si="7"/>
        <v>1193.5</v>
      </c>
      <c r="I65" s="462">
        <v>18.760000000000002</v>
      </c>
      <c r="J65" s="462">
        <f t="shared" si="8"/>
        <v>15.760000000000002</v>
      </c>
      <c r="K65" s="462">
        <v>15</v>
      </c>
      <c r="L65" s="466">
        <v>3</v>
      </c>
      <c r="M65" s="462" t="s">
        <v>590</v>
      </c>
      <c r="N65" s="462"/>
      <c r="O65" s="767"/>
      <c r="P65" s="462"/>
    </row>
    <row r="66" spans="1:16" s="467" customFormat="1">
      <c r="A66" s="550">
        <v>3</v>
      </c>
      <c r="B66" s="513">
        <v>563</v>
      </c>
      <c r="C66" s="472">
        <v>47</v>
      </c>
      <c r="D66" s="473">
        <v>5</v>
      </c>
      <c r="E66" s="473">
        <f t="shared" ref="E66:E97" si="10">5-D66</f>
        <v>0</v>
      </c>
      <c r="F66" s="474">
        <f t="shared" ref="F66:F97" si="11">D66*C66</f>
        <v>235</v>
      </c>
      <c r="G66" s="462">
        <v>3233</v>
      </c>
      <c r="H66" s="468">
        <f t="shared" ref="H66:H97" si="12">0.5*G66</f>
        <v>1616.5</v>
      </c>
      <c r="I66" s="462">
        <v>18.41</v>
      </c>
      <c r="J66" s="462">
        <f t="shared" ref="J66:J97" si="13">I66-3</f>
        <v>15.41</v>
      </c>
      <c r="K66" s="462">
        <v>15</v>
      </c>
      <c r="L66" s="466">
        <v>4</v>
      </c>
      <c r="M66" s="462" t="s">
        <v>590</v>
      </c>
      <c r="N66" s="462"/>
      <c r="O66" s="767"/>
      <c r="P66" s="462"/>
    </row>
    <row r="67" spans="1:16" s="467" customFormat="1">
      <c r="A67" s="550">
        <v>4</v>
      </c>
      <c r="B67" s="513">
        <v>404</v>
      </c>
      <c r="C67" s="472">
        <v>112</v>
      </c>
      <c r="D67" s="473">
        <f>350/C67</f>
        <v>3.125</v>
      </c>
      <c r="E67" s="473">
        <f t="shared" si="10"/>
        <v>1.875</v>
      </c>
      <c r="F67" s="474">
        <f t="shared" si="11"/>
        <v>350</v>
      </c>
      <c r="G67" s="462">
        <v>2712</v>
      </c>
      <c r="H67" s="468">
        <f t="shared" si="12"/>
        <v>1356</v>
      </c>
      <c r="I67" s="462">
        <v>18.16</v>
      </c>
      <c r="J67" s="462">
        <f t="shared" si="13"/>
        <v>15.16</v>
      </c>
      <c r="K67" s="462">
        <v>15</v>
      </c>
      <c r="L67" s="466">
        <v>4</v>
      </c>
      <c r="M67" s="462" t="s">
        <v>590</v>
      </c>
      <c r="N67" s="462"/>
      <c r="O67" s="767"/>
      <c r="P67" s="462"/>
    </row>
    <row r="68" spans="1:16" s="467" customFormat="1">
      <c r="A68" s="550">
        <v>5</v>
      </c>
      <c r="B68" s="513">
        <v>484</v>
      </c>
      <c r="C68" s="472">
        <v>58.4</v>
      </c>
      <c r="D68" s="473">
        <v>5</v>
      </c>
      <c r="E68" s="473">
        <f t="shared" si="10"/>
        <v>0</v>
      </c>
      <c r="F68" s="474">
        <f t="shared" si="11"/>
        <v>292</v>
      </c>
      <c r="G68" s="462">
        <v>2968</v>
      </c>
      <c r="H68" s="468">
        <f t="shared" si="12"/>
        <v>1484</v>
      </c>
      <c r="I68" s="462">
        <v>18.59</v>
      </c>
      <c r="J68" s="462">
        <f t="shared" si="13"/>
        <v>15.59</v>
      </c>
      <c r="K68" s="462">
        <v>15</v>
      </c>
      <c r="L68" s="466">
        <v>4</v>
      </c>
      <c r="M68" s="462" t="s">
        <v>590</v>
      </c>
      <c r="N68" s="462"/>
      <c r="O68" s="767"/>
      <c r="P68" s="462"/>
    </row>
    <row r="69" spans="1:16" s="467" customFormat="1">
      <c r="A69" s="550">
        <v>6</v>
      </c>
      <c r="B69" s="513">
        <v>531</v>
      </c>
      <c r="C69" s="472">
        <v>95.4</v>
      </c>
      <c r="D69" s="473">
        <f>350/C69</f>
        <v>3.6687631027253667</v>
      </c>
      <c r="E69" s="473">
        <f t="shared" si="10"/>
        <v>1.3312368972746333</v>
      </c>
      <c r="F69" s="474">
        <f t="shared" si="11"/>
        <v>350</v>
      </c>
      <c r="G69" s="462">
        <v>2434</v>
      </c>
      <c r="H69" s="468">
        <f t="shared" si="12"/>
        <v>1217</v>
      </c>
      <c r="I69" s="462">
        <v>18.239999999999998</v>
      </c>
      <c r="J69" s="462">
        <f t="shared" si="13"/>
        <v>15.239999999999998</v>
      </c>
      <c r="K69" s="462">
        <v>15</v>
      </c>
      <c r="L69" s="466">
        <v>4</v>
      </c>
      <c r="M69" s="462" t="s">
        <v>590</v>
      </c>
      <c r="N69" s="462"/>
      <c r="O69" s="767"/>
      <c r="P69" s="462"/>
    </row>
    <row r="70" spans="1:16" s="467" customFormat="1">
      <c r="A70" s="550">
        <v>21</v>
      </c>
      <c r="B70" s="513">
        <v>445</v>
      </c>
      <c r="C70" s="472">
        <v>160</v>
      </c>
      <c r="D70" s="473">
        <f>350/C70</f>
        <v>2.1875</v>
      </c>
      <c r="E70" s="473">
        <f t="shared" si="10"/>
        <v>2.8125</v>
      </c>
      <c r="F70" s="474">
        <f t="shared" si="11"/>
        <v>350</v>
      </c>
      <c r="G70" s="462">
        <v>3349</v>
      </c>
      <c r="H70" s="468">
        <f t="shared" si="12"/>
        <v>1674.5</v>
      </c>
      <c r="I70" s="462">
        <v>18.27</v>
      </c>
      <c r="J70" s="462">
        <f t="shared" si="13"/>
        <v>15.27</v>
      </c>
      <c r="K70" s="462">
        <v>15</v>
      </c>
      <c r="L70" s="466">
        <v>4</v>
      </c>
      <c r="M70" s="462" t="s">
        <v>590</v>
      </c>
      <c r="N70" s="462"/>
      <c r="O70" s="767"/>
      <c r="P70" s="462"/>
    </row>
    <row r="71" spans="1:16" s="467" customFormat="1">
      <c r="A71" s="550">
        <v>22</v>
      </c>
      <c r="B71" s="513">
        <v>43</v>
      </c>
      <c r="C71" s="472">
        <v>156</v>
      </c>
      <c r="D71" s="473">
        <f>350/C71</f>
        <v>2.2435897435897436</v>
      </c>
      <c r="E71" s="473">
        <f t="shared" si="10"/>
        <v>2.7564102564102564</v>
      </c>
      <c r="F71" s="474">
        <f t="shared" si="11"/>
        <v>350</v>
      </c>
      <c r="G71" s="462">
        <v>3271</v>
      </c>
      <c r="H71" s="468">
        <f t="shared" si="12"/>
        <v>1635.5</v>
      </c>
      <c r="I71" s="462">
        <v>17.920000000000002</v>
      </c>
      <c r="J71" s="462">
        <f t="shared" si="13"/>
        <v>14.920000000000002</v>
      </c>
      <c r="K71" s="462">
        <v>15</v>
      </c>
      <c r="L71" s="466">
        <v>4</v>
      </c>
      <c r="M71" s="462" t="s">
        <v>590</v>
      </c>
      <c r="N71" s="462"/>
      <c r="O71" s="767"/>
      <c r="P71" s="462"/>
    </row>
    <row r="72" spans="1:16" s="467" customFormat="1">
      <c r="A72" s="550">
        <v>23</v>
      </c>
      <c r="B72" s="513">
        <v>506</v>
      </c>
      <c r="C72" s="472">
        <v>29.2</v>
      </c>
      <c r="D72" s="473">
        <v>5</v>
      </c>
      <c r="E72" s="473">
        <f t="shared" si="10"/>
        <v>0</v>
      </c>
      <c r="F72" s="474">
        <f t="shared" si="11"/>
        <v>146</v>
      </c>
      <c r="G72" s="462">
        <v>2556</v>
      </c>
      <c r="H72" s="468">
        <f t="shared" si="12"/>
        <v>1278</v>
      </c>
      <c r="I72" s="462">
        <v>18.510000000000002</v>
      </c>
      <c r="J72" s="462">
        <f t="shared" si="13"/>
        <v>15.510000000000002</v>
      </c>
      <c r="K72" s="462">
        <v>15</v>
      </c>
      <c r="L72" s="466">
        <v>4</v>
      </c>
      <c r="M72" s="462" t="s">
        <v>590</v>
      </c>
      <c r="N72" s="462"/>
      <c r="O72" s="767"/>
      <c r="P72" s="462"/>
    </row>
    <row r="73" spans="1:16" s="467" customFormat="1">
      <c r="A73" s="550">
        <v>3</v>
      </c>
      <c r="B73" s="513" t="s">
        <v>263</v>
      </c>
      <c r="C73" s="475">
        <v>97</v>
      </c>
      <c r="D73" s="471">
        <f>350/C73</f>
        <v>3.6082474226804124</v>
      </c>
      <c r="E73" s="471">
        <f t="shared" si="10"/>
        <v>1.3917525773195876</v>
      </c>
      <c r="F73" s="469">
        <f t="shared" si="11"/>
        <v>350</v>
      </c>
      <c r="G73" s="462">
        <v>2718</v>
      </c>
      <c r="H73" s="468">
        <f t="shared" si="12"/>
        <v>1359</v>
      </c>
      <c r="I73" s="462">
        <v>18.059999999999999</v>
      </c>
      <c r="J73" s="462">
        <f t="shared" si="13"/>
        <v>15.059999999999999</v>
      </c>
      <c r="K73" s="462">
        <v>15</v>
      </c>
      <c r="L73" s="466">
        <v>5</v>
      </c>
      <c r="M73" s="462" t="s">
        <v>590</v>
      </c>
      <c r="N73" s="462"/>
      <c r="O73" s="767"/>
      <c r="P73" s="462"/>
    </row>
    <row r="74" spans="1:16" s="467" customFormat="1">
      <c r="A74" s="550">
        <v>4</v>
      </c>
      <c r="B74" s="513">
        <v>414</v>
      </c>
      <c r="C74" s="475">
        <v>168</v>
      </c>
      <c r="D74" s="471">
        <f>350/C74</f>
        <v>2.0833333333333335</v>
      </c>
      <c r="E74" s="471">
        <f t="shared" si="10"/>
        <v>2.9166666666666665</v>
      </c>
      <c r="F74" s="469">
        <f t="shared" si="11"/>
        <v>350</v>
      </c>
      <c r="G74" s="462">
        <v>2951</v>
      </c>
      <c r="H74" s="468">
        <f t="shared" si="12"/>
        <v>1475.5</v>
      </c>
      <c r="I74" s="462">
        <v>18.420000000000002</v>
      </c>
      <c r="J74" s="462">
        <f t="shared" si="13"/>
        <v>15.420000000000002</v>
      </c>
      <c r="K74" s="462">
        <v>15</v>
      </c>
      <c r="L74" s="466">
        <v>5</v>
      </c>
      <c r="M74" s="462" t="s">
        <v>590</v>
      </c>
      <c r="N74" s="462"/>
      <c r="O74" s="767"/>
      <c r="P74" s="462"/>
    </row>
    <row r="75" spans="1:16" s="467" customFormat="1">
      <c r="A75" s="550">
        <v>14</v>
      </c>
      <c r="B75" s="513">
        <v>491</v>
      </c>
      <c r="C75" s="475">
        <v>58.4</v>
      </c>
      <c r="D75" s="471">
        <v>5</v>
      </c>
      <c r="E75" s="471">
        <f t="shared" si="10"/>
        <v>0</v>
      </c>
      <c r="F75" s="469">
        <f t="shared" si="11"/>
        <v>292</v>
      </c>
      <c r="G75" s="462">
        <v>3545</v>
      </c>
      <c r="H75" s="468">
        <f t="shared" si="12"/>
        <v>1772.5</v>
      </c>
      <c r="I75" s="462">
        <v>18.23</v>
      </c>
      <c r="J75" s="462">
        <f t="shared" si="13"/>
        <v>15.23</v>
      </c>
      <c r="K75" s="462">
        <v>15</v>
      </c>
      <c r="L75" s="466">
        <v>5</v>
      </c>
      <c r="M75" s="462" t="s">
        <v>590</v>
      </c>
      <c r="N75" s="462"/>
      <c r="O75" s="767"/>
      <c r="P75" s="462"/>
    </row>
    <row r="76" spans="1:16" s="467" customFormat="1">
      <c r="A76" s="550">
        <v>15</v>
      </c>
      <c r="B76" s="513" t="s">
        <v>262</v>
      </c>
      <c r="C76" s="475">
        <v>108</v>
      </c>
      <c r="D76" s="471">
        <f>350/C76</f>
        <v>3.2407407407407409</v>
      </c>
      <c r="E76" s="471">
        <f t="shared" si="10"/>
        <v>1.7592592592592591</v>
      </c>
      <c r="F76" s="469">
        <f t="shared" si="11"/>
        <v>350</v>
      </c>
      <c r="G76" s="462">
        <v>2470</v>
      </c>
      <c r="H76" s="468">
        <f t="shared" si="12"/>
        <v>1235</v>
      </c>
      <c r="I76" s="462">
        <v>18.52</v>
      </c>
      <c r="J76" s="462">
        <f t="shared" si="13"/>
        <v>15.52</v>
      </c>
      <c r="K76" s="462">
        <v>15</v>
      </c>
      <c r="L76" s="466">
        <v>5</v>
      </c>
      <c r="M76" s="462" t="s">
        <v>590</v>
      </c>
      <c r="N76" s="462"/>
      <c r="O76" s="767"/>
      <c r="P76" s="462"/>
    </row>
    <row r="77" spans="1:16" s="467" customFormat="1">
      <c r="A77" s="550">
        <v>16</v>
      </c>
      <c r="B77" s="513">
        <v>39</v>
      </c>
      <c r="C77" s="475">
        <v>89.8</v>
      </c>
      <c r="D77" s="471">
        <f>350/C77</f>
        <v>3.8975501113585747</v>
      </c>
      <c r="E77" s="471">
        <f t="shared" si="10"/>
        <v>1.1024498886414253</v>
      </c>
      <c r="F77" s="469">
        <f t="shared" si="11"/>
        <v>350</v>
      </c>
      <c r="G77" s="462">
        <v>2458</v>
      </c>
      <c r="H77" s="468">
        <f t="shared" si="12"/>
        <v>1229</v>
      </c>
      <c r="I77" s="462">
        <v>18.27</v>
      </c>
      <c r="J77" s="462">
        <f t="shared" si="13"/>
        <v>15.27</v>
      </c>
      <c r="K77" s="462">
        <v>15</v>
      </c>
      <c r="L77" s="466">
        <v>5</v>
      </c>
      <c r="M77" s="462" t="s">
        <v>590</v>
      </c>
      <c r="N77" s="462"/>
      <c r="O77" s="767"/>
      <c r="P77" s="462"/>
    </row>
    <row r="78" spans="1:16" s="467" customFormat="1">
      <c r="A78" s="550">
        <v>19</v>
      </c>
      <c r="B78" s="513">
        <v>529</v>
      </c>
      <c r="C78" s="475">
        <v>56.8</v>
      </c>
      <c r="D78" s="471">
        <v>5</v>
      </c>
      <c r="E78" s="471">
        <f t="shared" si="10"/>
        <v>0</v>
      </c>
      <c r="F78" s="469">
        <f t="shared" si="11"/>
        <v>284</v>
      </c>
      <c r="G78" s="462">
        <v>4097</v>
      </c>
      <c r="H78" s="468">
        <f t="shared" si="12"/>
        <v>2048.5</v>
      </c>
      <c r="I78" s="462">
        <v>18.649999999999999</v>
      </c>
      <c r="J78" s="462">
        <f t="shared" si="13"/>
        <v>15.649999999999999</v>
      </c>
      <c r="K78" s="462">
        <v>15</v>
      </c>
      <c r="L78" s="466">
        <v>5</v>
      </c>
      <c r="M78" s="462" t="s">
        <v>590</v>
      </c>
      <c r="N78" s="462"/>
      <c r="O78" s="767"/>
      <c r="P78" s="462"/>
    </row>
    <row r="79" spans="1:16" s="467" customFormat="1">
      <c r="A79" s="550">
        <v>20</v>
      </c>
      <c r="B79" s="513" t="s">
        <v>268</v>
      </c>
      <c r="C79" s="475">
        <v>74.599999999999994</v>
      </c>
      <c r="D79" s="471">
        <f>350/C79</f>
        <v>4.6916890080428955</v>
      </c>
      <c r="E79" s="471">
        <f t="shared" si="10"/>
        <v>0.30831099195710454</v>
      </c>
      <c r="F79" s="469">
        <f t="shared" si="11"/>
        <v>350</v>
      </c>
      <c r="G79" s="462">
        <v>2970</v>
      </c>
      <c r="H79" s="468">
        <f t="shared" si="12"/>
        <v>1485</v>
      </c>
      <c r="I79" s="462">
        <v>18.79</v>
      </c>
      <c r="J79" s="462">
        <f t="shared" si="13"/>
        <v>15.79</v>
      </c>
      <c r="K79" s="462">
        <v>15</v>
      </c>
      <c r="L79" s="466">
        <v>5</v>
      </c>
      <c r="M79" s="462" t="s">
        <v>590</v>
      </c>
      <c r="N79" s="462"/>
      <c r="O79" s="767"/>
      <c r="P79" s="462"/>
    </row>
    <row r="80" spans="1:16" s="467" customFormat="1">
      <c r="A80" s="550">
        <v>21</v>
      </c>
      <c r="B80" s="513">
        <v>434</v>
      </c>
      <c r="C80" s="475">
        <v>162</v>
      </c>
      <c r="D80" s="471">
        <f>350/C80</f>
        <v>2.1604938271604937</v>
      </c>
      <c r="E80" s="471">
        <f t="shared" si="10"/>
        <v>2.8395061728395063</v>
      </c>
      <c r="F80" s="469">
        <f t="shared" si="11"/>
        <v>350</v>
      </c>
      <c r="G80" s="462">
        <v>3580</v>
      </c>
      <c r="H80" s="468">
        <f t="shared" si="12"/>
        <v>1790</v>
      </c>
      <c r="I80" s="462">
        <v>18.04</v>
      </c>
      <c r="J80" s="462">
        <f t="shared" si="13"/>
        <v>15.04</v>
      </c>
      <c r="K80" s="462">
        <v>15</v>
      </c>
      <c r="L80" s="466">
        <v>5</v>
      </c>
      <c r="M80" s="462" t="s">
        <v>590</v>
      </c>
      <c r="N80" s="462"/>
      <c r="O80" s="767"/>
      <c r="P80" s="462"/>
    </row>
    <row r="81" spans="1:16" s="467" customFormat="1">
      <c r="A81" s="550">
        <v>23</v>
      </c>
      <c r="B81" s="513">
        <v>513</v>
      </c>
      <c r="C81" s="475">
        <v>142</v>
      </c>
      <c r="D81" s="471">
        <f>350/C81</f>
        <v>2.464788732394366</v>
      </c>
      <c r="E81" s="471">
        <f t="shared" si="10"/>
        <v>2.535211267605634</v>
      </c>
      <c r="F81" s="469">
        <f t="shared" si="11"/>
        <v>350</v>
      </c>
      <c r="G81" s="462">
        <v>3093</v>
      </c>
      <c r="H81" s="468">
        <f t="shared" si="12"/>
        <v>1546.5</v>
      </c>
      <c r="I81" s="462">
        <v>18.38</v>
      </c>
      <c r="J81" s="462">
        <f t="shared" si="13"/>
        <v>15.379999999999999</v>
      </c>
      <c r="K81" s="462">
        <v>15</v>
      </c>
      <c r="L81" s="466">
        <v>5</v>
      </c>
      <c r="M81" s="462" t="s">
        <v>590</v>
      </c>
      <c r="N81" s="462"/>
      <c r="O81" s="767"/>
      <c r="P81" s="462"/>
    </row>
    <row r="82" spans="1:16" s="467" customFormat="1" ht="17" thickBot="1">
      <c r="A82" s="551">
        <v>24</v>
      </c>
      <c r="B82" s="552">
        <v>441</v>
      </c>
      <c r="C82" s="553">
        <v>16.2</v>
      </c>
      <c r="D82" s="554">
        <v>5</v>
      </c>
      <c r="E82" s="554">
        <f t="shared" si="10"/>
        <v>0</v>
      </c>
      <c r="F82" s="555">
        <f t="shared" si="11"/>
        <v>81</v>
      </c>
      <c r="G82" s="556">
        <v>3462</v>
      </c>
      <c r="H82" s="557">
        <f t="shared" si="12"/>
        <v>1731</v>
      </c>
      <c r="I82" s="556">
        <v>18.8</v>
      </c>
      <c r="J82" s="556">
        <f t="shared" si="13"/>
        <v>15.8</v>
      </c>
      <c r="K82" s="556">
        <v>15</v>
      </c>
      <c r="L82" s="558">
        <v>5</v>
      </c>
      <c r="M82" s="556" t="s">
        <v>590</v>
      </c>
      <c r="N82" s="556"/>
      <c r="O82" s="768"/>
      <c r="P82" s="462"/>
    </row>
    <row r="83" spans="1:16" s="481" customFormat="1">
      <c r="A83" s="559">
        <v>5</v>
      </c>
      <c r="B83" s="560">
        <v>331</v>
      </c>
      <c r="C83" s="561">
        <v>42.2</v>
      </c>
      <c r="D83" s="562">
        <v>5</v>
      </c>
      <c r="E83" s="562">
        <f t="shared" si="10"/>
        <v>0</v>
      </c>
      <c r="F83" s="563">
        <f t="shared" si="11"/>
        <v>211</v>
      </c>
      <c r="G83" s="563">
        <v>3143</v>
      </c>
      <c r="H83" s="564">
        <f t="shared" si="12"/>
        <v>1571.5</v>
      </c>
      <c r="I83" s="563">
        <v>18.940000000000001</v>
      </c>
      <c r="J83" s="565">
        <f t="shared" si="13"/>
        <v>15.940000000000001</v>
      </c>
      <c r="K83" s="563">
        <v>16</v>
      </c>
      <c r="L83" s="565">
        <v>1</v>
      </c>
      <c r="M83" s="563" t="s">
        <v>589</v>
      </c>
      <c r="N83" s="563">
        <v>1</v>
      </c>
      <c r="O83" s="769">
        <v>43829</v>
      </c>
      <c r="P83" s="476" t="s">
        <v>244</v>
      </c>
    </row>
    <row r="84" spans="1:16" s="481" customFormat="1">
      <c r="A84" s="566">
        <v>9</v>
      </c>
      <c r="B84" s="514">
        <v>305</v>
      </c>
      <c r="C84" s="477">
        <v>75.2</v>
      </c>
      <c r="D84" s="478">
        <f>350/C84</f>
        <v>4.6542553191489358</v>
      </c>
      <c r="E84" s="478">
        <f t="shared" si="10"/>
        <v>0.34574468085106425</v>
      </c>
      <c r="F84" s="476">
        <f t="shared" si="11"/>
        <v>350</v>
      </c>
      <c r="G84" s="476">
        <v>2668</v>
      </c>
      <c r="H84" s="479">
        <f t="shared" si="12"/>
        <v>1334</v>
      </c>
      <c r="I84" s="476">
        <v>19.41</v>
      </c>
      <c r="J84" s="480">
        <f t="shared" si="13"/>
        <v>16.41</v>
      </c>
      <c r="K84" s="476">
        <v>16</v>
      </c>
      <c r="L84" s="480">
        <v>1</v>
      </c>
      <c r="M84" s="476" t="s">
        <v>589</v>
      </c>
      <c r="N84" s="476">
        <v>1</v>
      </c>
      <c r="O84" s="770">
        <v>43829</v>
      </c>
      <c r="P84" s="476">
        <v>2.96</v>
      </c>
    </row>
    <row r="85" spans="1:16" s="481" customFormat="1">
      <c r="A85" s="566">
        <v>10</v>
      </c>
      <c r="B85" s="514">
        <v>311</v>
      </c>
      <c r="C85" s="477">
        <v>158</v>
      </c>
      <c r="D85" s="478">
        <f>350/C85</f>
        <v>2.2151898734177213</v>
      </c>
      <c r="E85" s="478">
        <f t="shared" si="10"/>
        <v>2.7848101265822787</v>
      </c>
      <c r="F85" s="476">
        <f t="shared" si="11"/>
        <v>349.99999999999994</v>
      </c>
      <c r="G85" s="476">
        <v>2897</v>
      </c>
      <c r="H85" s="479">
        <f t="shared" si="12"/>
        <v>1448.5</v>
      </c>
      <c r="I85" s="476">
        <v>19.09</v>
      </c>
      <c r="J85" s="480">
        <f t="shared" si="13"/>
        <v>16.09</v>
      </c>
      <c r="K85" s="476">
        <v>16</v>
      </c>
      <c r="L85" s="480">
        <v>1</v>
      </c>
      <c r="M85" s="476" t="s">
        <v>589</v>
      </c>
      <c r="N85" s="476">
        <v>1</v>
      </c>
      <c r="O85" s="770">
        <v>43829</v>
      </c>
      <c r="P85" s="476">
        <v>3.76</v>
      </c>
    </row>
    <row r="86" spans="1:16" s="481" customFormat="1">
      <c r="A86" s="566">
        <v>13</v>
      </c>
      <c r="B86" s="514">
        <v>348</v>
      </c>
      <c r="C86" s="477">
        <v>54.4</v>
      </c>
      <c r="D86" s="478">
        <v>5</v>
      </c>
      <c r="E86" s="478">
        <f t="shared" si="10"/>
        <v>0</v>
      </c>
      <c r="F86" s="476">
        <f t="shared" si="11"/>
        <v>272</v>
      </c>
      <c r="G86" s="476">
        <v>2788</v>
      </c>
      <c r="H86" s="479">
        <f t="shared" si="12"/>
        <v>1394</v>
      </c>
      <c r="I86" s="476">
        <v>19.329999999999998</v>
      </c>
      <c r="J86" s="476">
        <f t="shared" si="13"/>
        <v>16.329999999999998</v>
      </c>
      <c r="K86" s="476">
        <v>16</v>
      </c>
      <c r="L86" s="480">
        <v>1</v>
      </c>
      <c r="M86" s="476" t="s">
        <v>589</v>
      </c>
      <c r="N86" s="476">
        <v>1</v>
      </c>
      <c r="O86" s="770">
        <v>43829</v>
      </c>
      <c r="P86" s="476">
        <v>3.06</v>
      </c>
    </row>
    <row r="87" spans="1:16" s="481" customFormat="1">
      <c r="A87" s="566">
        <v>17</v>
      </c>
      <c r="B87" s="514">
        <v>338</v>
      </c>
      <c r="C87" s="477">
        <v>81.599999999999994</v>
      </c>
      <c r="D87" s="478">
        <f>350/C87</f>
        <v>4.2892156862745097</v>
      </c>
      <c r="E87" s="478">
        <f t="shared" si="10"/>
        <v>0.71078431372549034</v>
      </c>
      <c r="F87" s="476">
        <f t="shared" si="11"/>
        <v>349.99999999999994</v>
      </c>
      <c r="G87" s="476">
        <v>3144</v>
      </c>
      <c r="H87" s="479">
        <f t="shared" si="12"/>
        <v>1572</v>
      </c>
      <c r="I87" s="476">
        <v>19.309999999999999</v>
      </c>
      <c r="J87" s="476">
        <f t="shared" si="13"/>
        <v>16.309999999999999</v>
      </c>
      <c r="K87" s="476">
        <v>16</v>
      </c>
      <c r="L87" s="480">
        <v>1</v>
      </c>
      <c r="M87" s="476" t="s">
        <v>589</v>
      </c>
      <c r="N87" s="476">
        <v>1</v>
      </c>
      <c r="O87" s="770">
        <v>43829</v>
      </c>
      <c r="P87" s="476">
        <v>2.74</v>
      </c>
    </row>
    <row r="88" spans="1:16" s="481" customFormat="1">
      <c r="A88" s="566">
        <v>23</v>
      </c>
      <c r="B88" s="514">
        <v>308</v>
      </c>
      <c r="C88" s="477">
        <v>73.599999999999994</v>
      </c>
      <c r="D88" s="478">
        <f>350/C88</f>
        <v>4.7554347826086962</v>
      </c>
      <c r="E88" s="478">
        <f t="shared" si="10"/>
        <v>0.24456521739130377</v>
      </c>
      <c r="F88" s="476">
        <f t="shared" si="11"/>
        <v>350</v>
      </c>
      <c r="G88" s="476">
        <v>2593</v>
      </c>
      <c r="H88" s="479">
        <f t="shared" si="12"/>
        <v>1296.5</v>
      </c>
      <c r="I88" s="476">
        <v>19.100000000000001</v>
      </c>
      <c r="J88" s="476">
        <f t="shared" si="13"/>
        <v>16.100000000000001</v>
      </c>
      <c r="K88" s="476">
        <v>16</v>
      </c>
      <c r="L88" s="480">
        <v>1</v>
      </c>
      <c r="M88" s="476" t="s">
        <v>589</v>
      </c>
      <c r="N88" s="476">
        <v>1</v>
      </c>
      <c r="O88" s="770">
        <v>43829</v>
      </c>
      <c r="P88" s="476">
        <v>2.48</v>
      </c>
    </row>
    <row r="89" spans="1:16" s="481" customFormat="1">
      <c r="A89" s="566">
        <v>26</v>
      </c>
      <c r="B89" s="514">
        <v>318</v>
      </c>
      <c r="C89" s="477">
        <v>174</v>
      </c>
      <c r="D89" s="478">
        <f>350/C89</f>
        <v>2.0114942528735633</v>
      </c>
      <c r="E89" s="478">
        <f t="shared" si="10"/>
        <v>2.9885057471264367</v>
      </c>
      <c r="F89" s="476">
        <f t="shared" si="11"/>
        <v>350</v>
      </c>
      <c r="G89" s="476">
        <v>3172</v>
      </c>
      <c r="H89" s="479">
        <f t="shared" si="12"/>
        <v>1586</v>
      </c>
      <c r="I89" s="476">
        <v>19.010000000000002</v>
      </c>
      <c r="J89" s="476">
        <f t="shared" si="13"/>
        <v>16.010000000000002</v>
      </c>
      <c r="K89" s="476">
        <v>16</v>
      </c>
      <c r="L89" s="480">
        <v>1</v>
      </c>
      <c r="M89" s="476" t="s">
        <v>589</v>
      </c>
      <c r="N89" s="476">
        <v>1</v>
      </c>
      <c r="O89" s="770">
        <v>43829</v>
      </c>
      <c r="P89" s="476">
        <v>4.08</v>
      </c>
    </row>
    <row r="90" spans="1:16" s="481" customFormat="1">
      <c r="A90" s="566">
        <v>27</v>
      </c>
      <c r="B90" s="514">
        <v>294</v>
      </c>
      <c r="C90" s="477">
        <v>110</v>
      </c>
      <c r="D90" s="478">
        <f>350/C90</f>
        <v>3.1818181818181817</v>
      </c>
      <c r="E90" s="478">
        <f t="shared" si="10"/>
        <v>1.8181818181818183</v>
      </c>
      <c r="F90" s="476">
        <f t="shared" si="11"/>
        <v>350</v>
      </c>
      <c r="G90" s="476">
        <v>2887</v>
      </c>
      <c r="H90" s="479">
        <f t="shared" si="12"/>
        <v>1443.5</v>
      </c>
      <c r="I90" s="476">
        <v>19.3</v>
      </c>
      <c r="J90" s="476">
        <f t="shared" si="13"/>
        <v>16.3</v>
      </c>
      <c r="K90" s="476">
        <v>16</v>
      </c>
      <c r="L90" s="480">
        <v>1</v>
      </c>
      <c r="M90" s="476" t="s">
        <v>589</v>
      </c>
      <c r="N90" s="476">
        <v>1</v>
      </c>
      <c r="O90" s="770">
        <v>43829</v>
      </c>
      <c r="P90" s="476">
        <v>1.95</v>
      </c>
    </row>
    <row r="91" spans="1:16" s="481" customFormat="1">
      <c r="A91" s="566">
        <v>28</v>
      </c>
      <c r="B91" s="514">
        <v>324</v>
      </c>
      <c r="C91" s="477">
        <v>172</v>
      </c>
      <c r="D91" s="478">
        <f>350/C91</f>
        <v>2.0348837209302326</v>
      </c>
      <c r="E91" s="478">
        <f t="shared" si="10"/>
        <v>2.9651162790697674</v>
      </c>
      <c r="F91" s="476">
        <f t="shared" si="11"/>
        <v>350</v>
      </c>
      <c r="G91" s="476">
        <v>3296</v>
      </c>
      <c r="H91" s="479">
        <f t="shared" si="12"/>
        <v>1648</v>
      </c>
      <c r="I91" s="476">
        <v>19.34</v>
      </c>
      <c r="J91" s="476">
        <f t="shared" si="13"/>
        <v>16.34</v>
      </c>
      <c r="K91" s="476">
        <v>16</v>
      </c>
      <c r="L91" s="480">
        <v>1</v>
      </c>
      <c r="M91" s="476" t="s">
        <v>589</v>
      </c>
      <c r="N91" s="476">
        <v>1</v>
      </c>
      <c r="O91" s="770">
        <v>43829</v>
      </c>
      <c r="P91" s="476">
        <v>0.78</v>
      </c>
    </row>
    <row r="92" spans="1:16" s="481" customFormat="1">
      <c r="A92" s="566">
        <v>10</v>
      </c>
      <c r="B92" s="514">
        <v>322</v>
      </c>
      <c r="C92" s="477">
        <v>44.6</v>
      </c>
      <c r="D92" s="478">
        <v>5</v>
      </c>
      <c r="E92" s="478">
        <f t="shared" si="10"/>
        <v>0</v>
      </c>
      <c r="F92" s="476">
        <f t="shared" si="11"/>
        <v>223</v>
      </c>
      <c r="G92" s="476">
        <v>2540</v>
      </c>
      <c r="H92" s="482">
        <f t="shared" si="12"/>
        <v>1270</v>
      </c>
      <c r="I92" s="476">
        <v>19.309999999999999</v>
      </c>
      <c r="J92" s="476">
        <f t="shared" si="13"/>
        <v>16.309999999999999</v>
      </c>
      <c r="K92" s="476">
        <v>16</v>
      </c>
      <c r="L92" s="480">
        <v>2</v>
      </c>
      <c r="M92" s="476" t="s">
        <v>589</v>
      </c>
      <c r="N92" s="476">
        <v>1</v>
      </c>
      <c r="O92" s="770">
        <v>43829</v>
      </c>
      <c r="P92" s="476" t="s">
        <v>721</v>
      </c>
    </row>
    <row r="93" spans="1:16" s="481" customFormat="1">
      <c r="A93" s="566">
        <v>19</v>
      </c>
      <c r="B93" s="514">
        <v>319</v>
      </c>
      <c r="C93" s="483">
        <v>77.599999999999994</v>
      </c>
      <c r="D93" s="478">
        <f>350/C93</f>
        <v>4.5103092783505154</v>
      </c>
      <c r="E93" s="478">
        <f t="shared" si="10"/>
        <v>0.48969072164948457</v>
      </c>
      <c r="F93" s="476">
        <f t="shared" si="11"/>
        <v>349.99999999999994</v>
      </c>
      <c r="G93" s="476">
        <v>3037</v>
      </c>
      <c r="H93" s="482">
        <f t="shared" si="12"/>
        <v>1518.5</v>
      </c>
      <c r="I93" s="476">
        <v>20.88</v>
      </c>
      <c r="J93" s="476">
        <f t="shared" si="13"/>
        <v>17.88</v>
      </c>
      <c r="K93" s="476">
        <v>16</v>
      </c>
      <c r="L93" s="480">
        <v>2</v>
      </c>
      <c r="M93" s="476" t="s">
        <v>589</v>
      </c>
      <c r="N93" s="476">
        <v>1</v>
      </c>
      <c r="O93" s="770">
        <v>43829</v>
      </c>
      <c r="P93" s="476">
        <v>0.64400000000000002</v>
      </c>
    </row>
    <row r="94" spans="1:16" s="481" customFormat="1">
      <c r="A94" s="566">
        <v>24</v>
      </c>
      <c r="B94" s="514">
        <v>316</v>
      </c>
      <c r="C94" s="477">
        <v>146</v>
      </c>
      <c r="D94" s="478">
        <f>350/C94</f>
        <v>2.3972602739726026</v>
      </c>
      <c r="E94" s="478">
        <f t="shared" si="10"/>
        <v>2.6027397260273974</v>
      </c>
      <c r="F94" s="476">
        <f t="shared" si="11"/>
        <v>350</v>
      </c>
      <c r="G94" s="476">
        <v>2929</v>
      </c>
      <c r="H94" s="482">
        <f t="shared" si="12"/>
        <v>1464.5</v>
      </c>
      <c r="I94" s="476">
        <v>19.02</v>
      </c>
      <c r="J94" s="476">
        <f t="shared" si="13"/>
        <v>16.02</v>
      </c>
      <c r="K94" s="476">
        <v>16</v>
      </c>
      <c r="L94" s="480">
        <v>2</v>
      </c>
      <c r="M94" s="476" t="s">
        <v>589</v>
      </c>
      <c r="N94" s="476">
        <v>1</v>
      </c>
      <c r="O94" s="770">
        <v>43829</v>
      </c>
      <c r="P94" s="476">
        <v>3.74</v>
      </c>
    </row>
    <row r="95" spans="1:16" s="481" customFormat="1">
      <c r="A95" s="566">
        <v>25</v>
      </c>
      <c r="B95" s="514">
        <v>339</v>
      </c>
      <c r="C95" s="477">
        <v>77.2</v>
      </c>
      <c r="D95" s="478">
        <f>350/C95</f>
        <v>4.5336787564766841</v>
      </c>
      <c r="E95" s="478">
        <f t="shared" si="10"/>
        <v>0.46632124352331594</v>
      </c>
      <c r="F95" s="476">
        <f t="shared" si="11"/>
        <v>350</v>
      </c>
      <c r="G95" s="476">
        <v>2761</v>
      </c>
      <c r="H95" s="482">
        <f t="shared" si="12"/>
        <v>1380.5</v>
      </c>
      <c r="I95" s="476">
        <v>19.329999999999998</v>
      </c>
      <c r="J95" s="476">
        <f t="shared" si="13"/>
        <v>16.329999999999998</v>
      </c>
      <c r="K95" s="476">
        <v>16</v>
      </c>
      <c r="L95" s="480">
        <v>2</v>
      </c>
      <c r="M95" s="476" t="s">
        <v>589</v>
      </c>
      <c r="N95" s="476">
        <v>1</v>
      </c>
      <c r="O95" s="770">
        <v>43829</v>
      </c>
      <c r="P95" s="476">
        <v>1.91</v>
      </c>
    </row>
    <row r="96" spans="1:16" s="481" customFormat="1" ht="17" thickBot="1">
      <c r="A96" s="617">
        <v>26</v>
      </c>
      <c r="B96" s="618">
        <v>293</v>
      </c>
      <c r="C96" s="619">
        <v>39.6</v>
      </c>
      <c r="D96" s="620">
        <v>5</v>
      </c>
      <c r="E96" s="620">
        <f t="shared" si="10"/>
        <v>0</v>
      </c>
      <c r="F96" s="573">
        <f t="shared" si="11"/>
        <v>198</v>
      </c>
      <c r="G96" s="573">
        <v>2213</v>
      </c>
      <c r="H96" s="574">
        <f t="shared" si="12"/>
        <v>1106.5</v>
      </c>
      <c r="I96" s="573">
        <v>19.670000000000002</v>
      </c>
      <c r="J96" s="573">
        <f t="shared" si="13"/>
        <v>16.670000000000002</v>
      </c>
      <c r="K96" s="573">
        <v>16</v>
      </c>
      <c r="L96" s="575">
        <v>2</v>
      </c>
      <c r="M96" s="573" t="s">
        <v>589</v>
      </c>
      <c r="N96" s="573">
        <v>1</v>
      </c>
      <c r="O96" s="771">
        <v>43829</v>
      </c>
      <c r="P96" s="476">
        <v>1.03</v>
      </c>
    </row>
    <row r="97" spans="1:16" s="481" customFormat="1">
      <c r="A97" s="611">
        <v>7</v>
      </c>
      <c r="B97" s="612" t="s">
        <v>261</v>
      </c>
      <c r="C97" s="613">
        <v>106</v>
      </c>
      <c r="D97" s="614">
        <f>350/C97</f>
        <v>3.3018867924528301</v>
      </c>
      <c r="E97" s="614">
        <f t="shared" si="10"/>
        <v>1.6981132075471699</v>
      </c>
      <c r="F97" s="615">
        <f t="shared" si="11"/>
        <v>350</v>
      </c>
      <c r="G97" s="540">
        <v>3612</v>
      </c>
      <c r="H97" s="616">
        <f t="shared" si="12"/>
        <v>1806</v>
      </c>
      <c r="I97" s="540">
        <v>19.100000000000001</v>
      </c>
      <c r="J97" s="540">
        <f t="shared" si="13"/>
        <v>16.100000000000001</v>
      </c>
      <c r="K97" s="540">
        <v>16</v>
      </c>
      <c r="L97" s="541">
        <v>3</v>
      </c>
      <c r="M97" s="540" t="s">
        <v>590</v>
      </c>
      <c r="N97" s="540">
        <v>1</v>
      </c>
      <c r="O97" s="772">
        <v>43829</v>
      </c>
      <c r="P97" s="476">
        <v>0.21199999999999999</v>
      </c>
    </row>
    <row r="98" spans="1:16" s="481" customFormat="1">
      <c r="A98" s="567">
        <v>9</v>
      </c>
      <c r="B98" s="515">
        <v>522</v>
      </c>
      <c r="C98" s="485">
        <v>32.200000000000003</v>
      </c>
      <c r="D98" s="486">
        <v>5</v>
      </c>
      <c r="E98" s="486">
        <f t="shared" ref="E98:E129" si="14">5-D98</f>
        <v>0</v>
      </c>
      <c r="F98" s="484">
        <f t="shared" ref="F98:F123" si="15">D98*C98</f>
        <v>161</v>
      </c>
      <c r="G98" s="476">
        <v>2469</v>
      </c>
      <c r="H98" s="482">
        <f t="shared" ref="H98:H129" si="16">0.5*G98</f>
        <v>1234.5</v>
      </c>
      <c r="I98" s="476">
        <v>19.11</v>
      </c>
      <c r="J98" s="476">
        <f t="shared" ref="J98:J129" si="17">I98-3</f>
        <v>16.11</v>
      </c>
      <c r="K98" s="476">
        <v>16</v>
      </c>
      <c r="L98" s="480">
        <v>3</v>
      </c>
      <c r="M98" s="476" t="s">
        <v>590</v>
      </c>
      <c r="N98" s="476">
        <v>1</v>
      </c>
      <c r="O98" s="770">
        <v>43829</v>
      </c>
      <c r="P98" s="476">
        <v>2.42</v>
      </c>
    </row>
    <row r="99" spans="1:16" s="481" customFormat="1">
      <c r="A99" s="567">
        <v>11</v>
      </c>
      <c r="B99" s="515" t="s">
        <v>259</v>
      </c>
      <c r="C99" s="485">
        <v>97.2</v>
      </c>
      <c r="D99" s="486">
        <f>350/C99</f>
        <v>3.6008230452674894</v>
      </c>
      <c r="E99" s="486">
        <f t="shared" si="14"/>
        <v>1.3991769547325106</v>
      </c>
      <c r="F99" s="484">
        <f t="shared" si="15"/>
        <v>350</v>
      </c>
      <c r="G99" s="476">
        <v>2770</v>
      </c>
      <c r="H99" s="482">
        <f t="shared" si="16"/>
        <v>1385</v>
      </c>
      <c r="I99" s="476">
        <v>19.07</v>
      </c>
      <c r="J99" s="476">
        <f t="shared" si="17"/>
        <v>16.07</v>
      </c>
      <c r="K99" s="476">
        <v>16</v>
      </c>
      <c r="L99" s="480">
        <v>3</v>
      </c>
      <c r="M99" s="476" t="s">
        <v>590</v>
      </c>
      <c r="N99" s="476">
        <v>1</v>
      </c>
      <c r="O99" s="770">
        <v>43829</v>
      </c>
      <c r="P99" s="476">
        <v>2.68</v>
      </c>
    </row>
    <row r="100" spans="1:16" s="481" customFormat="1">
      <c r="A100" s="567">
        <v>21</v>
      </c>
      <c r="B100" s="515">
        <v>542</v>
      </c>
      <c r="C100" s="485">
        <v>32.799999999999997</v>
      </c>
      <c r="D100" s="486">
        <v>5</v>
      </c>
      <c r="E100" s="486">
        <f t="shared" si="14"/>
        <v>0</v>
      </c>
      <c r="F100" s="484">
        <f t="shared" si="15"/>
        <v>164</v>
      </c>
      <c r="G100" s="476">
        <v>2999</v>
      </c>
      <c r="H100" s="482">
        <f t="shared" si="16"/>
        <v>1499.5</v>
      </c>
      <c r="I100" s="476">
        <v>19.66</v>
      </c>
      <c r="J100" s="476">
        <f t="shared" si="17"/>
        <v>16.66</v>
      </c>
      <c r="K100" s="476">
        <v>16</v>
      </c>
      <c r="L100" s="480">
        <v>3</v>
      </c>
      <c r="M100" s="476" t="s">
        <v>590</v>
      </c>
      <c r="N100" s="476">
        <v>1</v>
      </c>
      <c r="O100" s="770">
        <v>43829</v>
      </c>
      <c r="P100" s="476">
        <v>2.2200000000000002</v>
      </c>
    </row>
    <row r="101" spans="1:16" s="481" customFormat="1">
      <c r="A101" s="567">
        <v>9</v>
      </c>
      <c r="B101" s="515">
        <v>523</v>
      </c>
      <c r="C101" s="487">
        <v>71.400000000000006</v>
      </c>
      <c r="D101" s="488">
        <f t="shared" ref="D101:D108" si="18">350/C101</f>
        <v>4.901960784313725</v>
      </c>
      <c r="E101" s="488">
        <f t="shared" si="14"/>
        <v>9.803921568627505E-2</v>
      </c>
      <c r="F101" s="489">
        <f t="shared" si="15"/>
        <v>350</v>
      </c>
      <c r="G101" s="476">
        <v>2733</v>
      </c>
      <c r="H101" s="482">
        <f t="shared" si="16"/>
        <v>1366.5</v>
      </c>
      <c r="I101" s="476">
        <v>19.79</v>
      </c>
      <c r="J101" s="476">
        <f t="shared" si="17"/>
        <v>16.79</v>
      </c>
      <c r="K101" s="476">
        <v>16</v>
      </c>
      <c r="L101" s="480">
        <v>4</v>
      </c>
      <c r="M101" s="476" t="s">
        <v>590</v>
      </c>
      <c r="N101" s="476">
        <v>1</v>
      </c>
      <c r="O101" s="770">
        <v>43829</v>
      </c>
      <c r="P101" s="476">
        <v>2.16</v>
      </c>
    </row>
    <row r="102" spans="1:16" s="481" customFormat="1">
      <c r="A102" s="567">
        <v>12</v>
      </c>
      <c r="B102" s="515">
        <v>402</v>
      </c>
      <c r="C102" s="487">
        <v>114</v>
      </c>
      <c r="D102" s="488">
        <f t="shared" si="18"/>
        <v>3.0701754385964914</v>
      </c>
      <c r="E102" s="488">
        <f t="shared" si="14"/>
        <v>1.9298245614035086</v>
      </c>
      <c r="F102" s="489">
        <f t="shared" si="15"/>
        <v>350</v>
      </c>
      <c r="G102" s="476">
        <v>3246</v>
      </c>
      <c r="H102" s="482">
        <f t="shared" si="16"/>
        <v>1623</v>
      </c>
      <c r="I102" s="476">
        <v>19.16</v>
      </c>
      <c r="J102" s="476">
        <f t="shared" si="17"/>
        <v>16.16</v>
      </c>
      <c r="K102" s="476">
        <v>16</v>
      </c>
      <c r="L102" s="480">
        <v>4</v>
      </c>
      <c r="M102" s="476" t="s">
        <v>590</v>
      </c>
      <c r="N102" s="476">
        <v>1</v>
      </c>
      <c r="O102" s="770">
        <v>43829</v>
      </c>
      <c r="P102" s="476">
        <v>2.76</v>
      </c>
    </row>
    <row r="103" spans="1:16" s="481" customFormat="1">
      <c r="A103" s="567">
        <v>13</v>
      </c>
      <c r="B103" s="515">
        <v>487</v>
      </c>
      <c r="C103" s="487">
        <v>118</v>
      </c>
      <c r="D103" s="488">
        <f t="shared" si="18"/>
        <v>2.9661016949152543</v>
      </c>
      <c r="E103" s="488">
        <f t="shared" si="14"/>
        <v>2.0338983050847457</v>
      </c>
      <c r="F103" s="489">
        <f t="shared" si="15"/>
        <v>350</v>
      </c>
      <c r="G103" s="476">
        <v>2730</v>
      </c>
      <c r="H103" s="482">
        <f t="shared" si="16"/>
        <v>1365</v>
      </c>
      <c r="I103" s="476">
        <v>19.84</v>
      </c>
      <c r="J103" s="476">
        <f t="shared" si="17"/>
        <v>16.84</v>
      </c>
      <c r="K103" s="476">
        <v>16</v>
      </c>
      <c r="L103" s="480">
        <v>4</v>
      </c>
      <c r="M103" s="476" t="s">
        <v>590</v>
      </c>
      <c r="N103" s="476">
        <v>1</v>
      </c>
      <c r="O103" s="770">
        <v>43829</v>
      </c>
      <c r="P103" s="476">
        <v>1.27</v>
      </c>
    </row>
    <row r="104" spans="1:16" s="481" customFormat="1">
      <c r="A104" s="567">
        <v>20</v>
      </c>
      <c r="B104" s="515" t="s">
        <v>264</v>
      </c>
      <c r="C104" s="487">
        <v>148</v>
      </c>
      <c r="D104" s="488">
        <f t="shared" si="18"/>
        <v>2.3648648648648649</v>
      </c>
      <c r="E104" s="488">
        <f t="shared" si="14"/>
        <v>2.6351351351351351</v>
      </c>
      <c r="F104" s="489">
        <f t="shared" si="15"/>
        <v>350</v>
      </c>
      <c r="G104" s="476">
        <v>3150</v>
      </c>
      <c r="H104" s="482">
        <f t="shared" si="16"/>
        <v>1575</v>
      </c>
      <c r="I104" s="476">
        <v>19.350000000000001</v>
      </c>
      <c r="J104" s="476">
        <f t="shared" si="17"/>
        <v>16.350000000000001</v>
      </c>
      <c r="K104" s="476">
        <v>16</v>
      </c>
      <c r="L104" s="480">
        <v>4</v>
      </c>
      <c r="M104" s="476" t="s">
        <v>590</v>
      </c>
      <c r="N104" s="476">
        <v>1</v>
      </c>
      <c r="O104" s="770">
        <v>43829</v>
      </c>
      <c r="P104" s="476" t="s">
        <v>244</v>
      </c>
    </row>
    <row r="105" spans="1:16" s="481" customFormat="1">
      <c r="A105" s="567">
        <v>6</v>
      </c>
      <c r="B105" s="515">
        <v>483</v>
      </c>
      <c r="C105" s="490">
        <v>99</v>
      </c>
      <c r="D105" s="486">
        <f t="shared" si="18"/>
        <v>3.5353535353535355</v>
      </c>
      <c r="E105" s="486">
        <f t="shared" si="14"/>
        <v>1.4646464646464645</v>
      </c>
      <c r="F105" s="484">
        <f t="shared" si="15"/>
        <v>350</v>
      </c>
      <c r="G105" s="476">
        <v>2845</v>
      </c>
      <c r="H105" s="482">
        <f t="shared" si="16"/>
        <v>1422.5</v>
      </c>
      <c r="I105" s="476">
        <v>19.190000000000001</v>
      </c>
      <c r="J105" s="476">
        <f t="shared" si="17"/>
        <v>16.190000000000001</v>
      </c>
      <c r="K105" s="476">
        <v>16</v>
      </c>
      <c r="L105" s="480">
        <v>5</v>
      </c>
      <c r="M105" s="476" t="s">
        <v>590</v>
      </c>
      <c r="N105" s="476">
        <v>1</v>
      </c>
      <c r="O105" s="770">
        <v>43829</v>
      </c>
      <c r="P105" s="476">
        <v>1.22</v>
      </c>
    </row>
    <row r="106" spans="1:16" s="481" customFormat="1">
      <c r="A106" s="567">
        <v>10</v>
      </c>
      <c r="B106" s="515" t="s">
        <v>255</v>
      </c>
      <c r="C106" s="490">
        <v>83</v>
      </c>
      <c r="D106" s="486">
        <f t="shared" si="18"/>
        <v>4.2168674698795181</v>
      </c>
      <c r="E106" s="486">
        <f t="shared" si="14"/>
        <v>0.7831325301204819</v>
      </c>
      <c r="F106" s="484">
        <f t="shared" si="15"/>
        <v>350</v>
      </c>
      <c r="G106" s="476">
        <v>3181</v>
      </c>
      <c r="H106" s="482">
        <f t="shared" si="16"/>
        <v>1590.5</v>
      </c>
      <c r="I106" s="476">
        <v>19.239999999999998</v>
      </c>
      <c r="J106" s="476">
        <f t="shared" si="17"/>
        <v>16.239999999999998</v>
      </c>
      <c r="K106" s="476">
        <v>16</v>
      </c>
      <c r="L106" s="480">
        <v>5</v>
      </c>
      <c r="M106" s="476" t="s">
        <v>590</v>
      </c>
      <c r="N106" s="476">
        <v>1</v>
      </c>
      <c r="O106" s="770">
        <v>43829</v>
      </c>
      <c r="P106" s="476">
        <v>3.36</v>
      </c>
    </row>
    <row r="107" spans="1:16" s="481" customFormat="1">
      <c r="A107" s="567">
        <v>18</v>
      </c>
      <c r="B107" s="515">
        <v>411</v>
      </c>
      <c r="C107" s="490">
        <v>72.599999999999994</v>
      </c>
      <c r="D107" s="486">
        <f t="shared" si="18"/>
        <v>4.8209366391184574</v>
      </c>
      <c r="E107" s="486">
        <f t="shared" si="14"/>
        <v>0.17906336088154262</v>
      </c>
      <c r="F107" s="484">
        <f t="shared" si="15"/>
        <v>350</v>
      </c>
      <c r="G107" s="476">
        <v>3563</v>
      </c>
      <c r="H107" s="482">
        <f t="shared" si="16"/>
        <v>1781.5</v>
      </c>
      <c r="I107" s="476">
        <v>19.5</v>
      </c>
      <c r="J107" s="476">
        <f t="shared" si="17"/>
        <v>16.5</v>
      </c>
      <c r="K107" s="476">
        <v>16</v>
      </c>
      <c r="L107" s="480">
        <v>5</v>
      </c>
      <c r="M107" s="476" t="s">
        <v>590</v>
      </c>
      <c r="N107" s="476">
        <v>1</v>
      </c>
      <c r="O107" s="770">
        <v>43829</v>
      </c>
      <c r="P107" s="476">
        <v>3.08</v>
      </c>
    </row>
    <row r="108" spans="1:16" s="481" customFormat="1" ht="17" thickBot="1">
      <c r="A108" s="568">
        <v>22</v>
      </c>
      <c r="B108" s="569">
        <v>401</v>
      </c>
      <c r="C108" s="570">
        <v>93.4</v>
      </c>
      <c r="D108" s="571">
        <f t="shared" si="18"/>
        <v>3.7473233404710919</v>
      </c>
      <c r="E108" s="571">
        <f t="shared" si="14"/>
        <v>1.2526766595289081</v>
      </c>
      <c r="F108" s="572">
        <f t="shared" si="15"/>
        <v>350</v>
      </c>
      <c r="G108" s="573">
        <v>394</v>
      </c>
      <c r="H108" s="574">
        <f t="shared" si="16"/>
        <v>197</v>
      </c>
      <c r="I108" s="573">
        <v>19.260000000000002</v>
      </c>
      <c r="J108" s="573">
        <f t="shared" si="17"/>
        <v>16.260000000000002</v>
      </c>
      <c r="K108" s="573">
        <v>16</v>
      </c>
      <c r="L108" s="575">
        <v>5</v>
      </c>
      <c r="M108" s="573" t="s">
        <v>590</v>
      </c>
      <c r="N108" s="573">
        <v>1</v>
      </c>
      <c r="O108" s="771">
        <v>43829</v>
      </c>
      <c r="P108" s="476">
        <v>1.24</v>
      </c>
    </row>
    <row r="109" spans="1:16" s="719" customFormat="1">
      <c r="A109" s="712">
        <v>11</v>
      </c>
      <c r="B109" s="713">
        <v>332</v>
      </c>
      <c r="C109" s="714">
        <v>65.8</v>
      </c>
      <c r="D109" s="715">
        <v>5</v>
      </c>
      <c r="E109" s="715">
        <f t="shared" si="14"/>
        <v>0</v>
      </c>
      <c r="F109" s="716">
        <f t="shared" si="15"/>
        <v>329</v>
      </c>
      <c r="G109" s="716">
        <v>2689</v>
      </c>
      <c r="H109" s="717">
        <f t="shared" si="16"/>
        <v>1344.5</v>
      </c>
      <c r="I109" s="716">
        <v>20.02</v>
      </c>
      <c r="J109" s="716">
        <f t="shared" si="17"/>
        <v>17.02</v>
      </c>
      <c r="K109" s="716">
        <v>17</v>
      </c>
      <c r="L109" s="718">
        <v>2</v>
      </c>
      <c r="M109" s="716" t="s">
        <v>589</v>
      </c>
      <c r="N109" s="716"/>
      <c r="O109" s="773"/>
      <c r="P109" s="716"/>
    </row>
    <row r="110" spans="1:16" s="719" customFormat="1">
      <c r="A110" s="712">
        <v>12</v>
      </c>
      <c r="B110" s="713">
        <v>334</v>
      </c>
      <c r="C110" s="714">
        <v>64.8</v>
      </c>
      <c r="D110" s="715">
        <v>5</v>
      </c>
      <c r="E110" s="715">
        <f t="shared" si="14"/>
        <v>0</v>
      </c>
      <c r="F110" s="716">
        <f t="shared" si="15"/>
        <v>324</v>
      </c>
      <c r="G110" s="716">
        <v>2851</v>
      </c>
      <c r="H110" s="717">
        <f t="shared" si="16"/>
        <v>1425.5</v>
      </c>
      <c r="I110" s="716">
        <v>20.78</v>
      </c>
      <c r="J110" s="716">
        <f t="shared" si="17"/>
        <v>17.78</v>
      </c>
      <c r="K110" s="716">
        <v>17</v>
      </c>
      <c r="L110" s="718">
        <v>2</v>
      </c>
      <c r="M110" s="716" t="s">
        <v>589</v>
      </c>
      <c r="N110" s="716"/>
      <c r="O110" s="773"/>
      <c r="P110" s="716"/>
    </row>
    <row r="111" spans="1:16" s="719" customFormat="1" ht="17" thickBot="1">
      <c r="A111" s="720">
        <v>23</v>
      </c>
      <c r="B111" s="721">
        <v>314</v>
      </c>
      <c r="C111" s="722">
        <v>42.2</v>
      </c>
      <c r="D111" s="723">
        <v>5</v>
      </c>
      <c r="E111" s="723">
        <f t="shared" si="14"/>
        <v>0</v>
      </c>
      <c r="F111" s="724">
        <f t="shared" si="15"/>
        <v>211</v>
      </c>
      <c r="G111" s="724">
        <v>2996</v>
      </c>
      <c r="H111" s="725">
        <f t="shared" si="16"/>
        <v>1498</v>
      </c>
      <c r="I111" s="724">
        <v>20.58</v>
      </c>
      <c r="J111" s="724">
        <f t="shared" si="17"/>
        <v>17.579999999999998</v>
      </c>
      <c r="K111" s="724">
        <v>17</v>
      </c>
      <c r="L111" s="726">
        <v>2</v>
      </c>
      <c r="M111" s="724" t="s">
        <v>589</v>
      </c>
      <c r="N111" s="724"/>
      <c r="O111" s="774"/>
      <c r="P111" s="716"/>
    </row>
    <row r="112" spans="1:16" s="719" customFormat="1">
      <c r="A112" s="727">
        <v>5</v>
      </c>
      <c r="B112" s="728" t="s">
        <v>257</v>
      </c>
      <c r="C112" s="729">
        <v>69.8</v>
      </c>
      <c r="D112" s="730">
        <v>5</v>
      </c>
      <c r="E112" s="730">
        <f t="shared" si="14"/>
        <v>0</v>
      </c>
      <c r="F112" s="731">
        <f t="shared" si="15"/>
        <v>349</v>
      </c>
      <c r="G112" s="732">
        <v>3162</v>
      </c>
      <c r="H112" s="733">
        <f t="shared" si="16"/>
        <v>1581</v>
      </c>
      <c r="I112" s="732">
        <v>20.39</v>
      </c>
      <c r="J112" s="732">
        <f t="shared" si="17"/>
        <v>17.39</v>
      </c>
      <c r="K112" s="731">
        <v>17</v>
      </c>
      <c r="L112" s="734">
        <v>3</v>
      </c>
      <c r="M112" s="732" t="s">
        <v>590</v>
      </c>
      <c r="N112" s="732"/>
      <c r="O112" s="775"/>
      <c r="P112" s="716"/>
    </row>
    <row r="113" spans="1:16" s="719" customFormat="1">
      <c r="A113" s="735">
        <v>8</v>
      </c>
      <c r="B113" s="736">
        <v>533</v>
      </c>
      <c r="C113" s="737">
        <v>6.52</v>
      </c>
      <c r="D113" s="738">
        <v>5</v>
      </c>
      <c r="E113" s="738">
        <f t="shared" si="14"/>
        <v>0</v>
      </c>
      <c r="F113" s="739">
        <f t="shared" si="15"/>
        <v>32.599999999999994</v>
      </c>
      <c r="G113" s="716">
        <v>2713</v>
      </c>
      <c r="H113" s="717">
        <f t="shared" si="16"/>
        <v>1356.5</v>
      </c>
      <c r="I113" s="716">
        <v>20.11</v>
      </c>
      <c r="J113" s="716">
        <f t="shared" si="17"/>
        <v>17.11</v>
      </c>
      <c r="K113" s="739">
        <v>17</v>
      </c>
      <c r="L113" s="718">
        <v>3</v>
      </c>
      <c r="M113" s="716" t="s">
        <v>590</v>
      </c>
      <c r="N113" s="716"/>
      <c r="O113" s="773"/>
      <c r="P113" s="716"/>
    </row>
    <row r="114" spans="1:16" s="719" customFormat="1">
      <c r="A114" s="735">
        <v>15</v>
      </c>
      <c r="B114" s="736">
        <v>562</v>
      </c>
      <c r="C114" s="737">
        <v>126</v>
      </c>
      <c r="D114" s="738">
        <f>350/C114</f>
        <v>2.7777777777777777</v>
      </c>
      <c r="E114" s="738">
        <f t="shared" si="14"/>
        <v>2.2222222222222223</v>
      </c>
      <c r="F114" s="739">
        <f t="shared" si="15"/>
        <v>350</v>
      </c>
      <c r="G114" s="716">
        <v>3063</v>
      </c>
      <c r="H114" s="717">
        <f t="shared" si="16"/>
        <v>1531.5</v>
      </c>
      <c r="I114" s="716">
        <v>20.09</v>
      </c>
      <c r="J114" s="716">
        <f t="shared" si="17"/>
        <v>17.09</v>
      </c>
      <c r="K114" s="739">
        <v>17</v>
      </c>
      <c r="L114" s="718">
        <v>3</v>
      </c>
      <c r="M114" s="716" t="s">
        <v>590</v>
      </c>
      <c r="N114" s="716"/>
      <c r="O114" s="773"/>
      <c r="P114" s="716"/>
    </row>
    <row r="115" spans="1:16" s="719" customFormat="1">
      <c r="A115" s="735">
        <v>16</v>
      </c>
      <c r="B115" s="736">
        <v>432</v>
      </c>
      <c r="C115" s="737">
        <v>74</v>
      </c>
      <c r="D115" s="738">
        <f>350/C115</f>
        <v>4.7297297297297298</v>
      </c>
      <c r="E115" s="738">
        <f t="shared" si="14"/>
        <v>0.27027027027027017</v>
      </c>
      <c r="F115" s="739">
        <f t="shared" si="15"/>
        <v>350</v>
      </c>
      <c r="G115" s="716">
        <v>2742</v>
      </c>
      <c r="H115" s="717">
        <f t="shared" si="16"/>
        <v>1371</v>
      </c>
      <c r="I115" s="716">
        <v>20.59</v>
      </c>
      <c r="J115" s="716">
        <f t="shared" si="17"/>
        <v>17.59</v>
      </c>
      <c r="K115" s="739">
        <v>17</v>
      </c>
      <c r="L115" s="718">
        <v>3</v>
      </c>
      <c r="M115" s="716" t="s">
        <v>590</v>
      </c>
      <c r="N115" s="716"/>
      <c r="O115" s="773"/>
      <c r="P115" s="716"/>
    </row>
    <row r="116" spans="1:16" s="719" customFormat="1">
      <c r="A116" s="735">
        <v>20</v>
      </c>
      <c r="B116" s="736">
        <v>561</v>
      </c>
      <c r="C116" s="737">
        <v>28</v>
      </c>
      <c r="D116" s="738">
        <v>5</v>
      </c>
      <c r="E116" s="738">
        <f t="shared" si="14"/>
        <v>0</v>
      </c>
      <c r="F116" s="739">
        <f t="shared" si="15"/>
        <v>140</v>
      </c>
      <c r="G116" s="716">
        <v>2520</v>
      </c>
      <c r="H116" s="717">
        <f t="shared" si="16"/>
        <v>1260</v>
      </c>
      <c r="I116" s="716">
        <v>19.95</v>
      </c>
      <c r="J116" s="716">
        <f t="shared" si="17"/>
        <v>16.95</v>
      </c>
      <c r="K116" s="739">
        <v>17</v>
      </c>
      <c r="L116" s="718">
        <v>3</v>
      </c>
      <c r="M116" s="716" t="s">
        <v>590</v>
      </c>
      <c r="N116" s="716"/>
      <c r="O116" s="773"/>
      <c r="P116" s="716"/>
    </row>
    <row r="117" spans="1:16" s="719" customFormat="1">
      <c r="A117" s="735">
        <v>26</v>
      </c>
      <c r="B117" s="736">
        <v>565</v>
      </c>
      <c r="C117" s="737">
        <v>31.2</v>
      </c>
      <c r="D117" s="738">
        <v>5</v>
      </c>
      <c r="E117" s="738">
        <f t="shared" si="14"/>
        <v>0</v>
      </c>
      <c r="F117" s="739">
        <f t="shared" si="15"/>
        <v>156</v>
      </c>
      <c r="G117" s="716">
        <v>2907</v>
      </c>
      <c r="H117" s="717">
        <f t="shared" si="16"/>
        <v>1453.5</v>
      </c>
      <c r="I117" s="716">
        <v>20.11</v>
      </c>
      <c r="J117" s="716">
        <f t="shared" si="17"/>
        <v>17.11</v>
      </c>
      <c r="K117" s="739">
        <v>17</v>
      </c>
      <c r="L117" s="718">
        <v>3</v>
      </c>
      <c r="M117" s="716" t="s">
        <v>590</v>
      </c>
      <c r="N117" s="716"/>
      <c r="O117" s="773"/>
      <c r="P117" s="716"/>
    </row>
    <row r="118" spans="1:16" s="719" customFormat="1">
      <c r="A118" s="735">
        <v>17</v>
      </c>
      <c r="B118" s="736">
        <v>41</v>
      </c>
      <c r="C118" s="740">
        <v>108</v>
      </c>
      <c r="D118" s="741">
        <f>350/C118</f>
        <v>3.2407407407407409</v>
      </c>
      <c r="E118" s="741">
        <f t="shared" si="14"/>
        <v>1.7592592592592591</v>
      </c>
      <c r="F118" s="742">
        <f t="shared" si="15"/>
        <v>350</v>
      </c>
      <c r="G118" s="716">
        <v>2820</v>
      </c>
      <c r="H118" s="717">
        <f t="shared" si="16"/>
        <v>1410</v>
      </c>
      <c r="I118" s="716">
        <v>20.61</v>
      </c>
      <c r="J118" s="716">
        <f t="shared" si="17"/>
        <v>17.61</v>
      </c>
      <c r="K118" s="716">
        <v>17</v>
      </c>
      <c r="L118" s="718">
        <v>4</v>
      </c>
      <c r="M118" s="716" t="s">
        <v>590</v>
      </c>
      <c r="N118" s="716"/>
      <c r="O118" s="773"/>
      <c r="P118" s="716"/>
    </row>
    <row r="119" spans="1:16" s="719" customFormat="1">
      <c r="A119" s="735">
        <v>25</v>
      </c>
      <c r="B119" s="736">
        <v>412</v>
      </c>
      <c r="C119" s="740">
        <v>31.2</v>
      </c>
      <c r="D119" s="741">
        <v>5</v>
      </c>
      <c r="E119" s="741">
        <f t="shared" si="14"/>
        <v>0</v>
      </c>
      <c r="F119" s="742">
        <f t="shared" si="15"/>
        <v>156</v>
      </c>
      <c r="G119" s="716">
        <v>3599</v>
      </c>
      <c r="H119" s="717">
        <f t="shared" si="16"/>
        <v>1799.5</v>
      </c>
      <c r="I119" s="716">
        <v>20.56</v>
      </c>
      <c r="J119" s="716">
        <f t="shared" si="17"/>
        <v>17.559999999999999</v>
      </c>
      <c r="K119" s="716">
        <v>17</v>
      </c>
      <c r="L119" s="718">
        <v>4</v>
      </c>
      <c r="M119" s="716" t="s">
        <v>590</v>
      </c>
      <c r="N119" s="716"/>
      <c r="O119" s="773"/>
      <c r="P119" s="716"/>
    </row>
    <row r="120" spans="1:16" s="719" customFormat="1">
      <c r="A120" s="735">
        <v>27</v>
      </c>
      <c r="B120" s="736">
        <v>47</v>
      </c>
      <c r="C120" s="740">
        <v>128</v>
      </c>
      <c r="D120" s="741">
        <f>350/C120</f>
        <v>2.734375</v>
      </c>
      <c r="E120" s="741">
        <f t="shared" si="14"/>
        <v>2.265625</v>
      </c>
      <c r="F120" s="742">
        <f t="shared" si="15"/>
        <v>350</v>
      </c>
      <c r="G120" s="716">
        <v>2863</v>
      </c>
      <c r="H120" s="717">
        <f t="shared" si="16"/>
        <v>1431.5</v>
      </c>
      <c r="I120" s="716">
        <v>20.010000000000002</v>
      </c>
      <c r="J120" s="716">
        <f t="shared" si="17"/>
        <v>17.010000000000002</v>
      </c>
      <c r="K120" s="716">
        <v>17</v>
      </c>
      <c r="L120" s="718">
        <v>4</v>
      </c>
      <c r="M120" s="716" t="s">
        <v>590</v>
      </c>
      <c r="N120" s="716"/>
      <c r="O120" s="773"/>
      <c r="P120" s="716"/>
    </row>
    <row r="121" spans="1:16" s="719" customFormat="1" ht="17" thickBot="1">
      <c r="A121" s="743">
        <v>17</v>
      </c>
      <c r="B121" s="744">
        <v>521</v>
      </c>
      <c r="C121" s="745">
        <v>66.599999999999994</v>
      </c>
      <c r="D121" s="746">
        <v>5</v>
      </c>
      <c r="E121" s="746">
        <f t="shared" si="14"/>
        <v>0</v>
      </c>
      <c r="F121" s="747">
        <f t="shared" si="15"/>
        <v>333</v>
      </c>
      <c r="G121" s="724">
        <v>4101</v>
      </c>
      <c r="H121" s="725">
        <f t="shared" si="16"/>
        <v>2050.5</v>
      </c>
      <c r="I121" s="724">
        <v>20.440000000000001</v>
      </c>
      <c r="J121" s="724">
        <f t="shared" si="17"/>
        <v>17.440000000000001</v>
      </c>
      <c r="K121" s="724">
        <v>17</v>
      </c>
      <c r="L121" s="726">
        <v>5</v>
      </c>
      <c r="M121" s="724" t="s">
        <v>590</v>
      </c>
      <c r="N121" s="724"/>
      <c r="O121" s="774"/>
      <c r="P121" s="716"/>
    </row>
    <row r="122" spans="1:16" s="505" customFormat="1">
      <c r="A122" s="576">
        <v>7</v>
      </c>
      <c r="B122" s="577">
        <v>295</v>
      </c>
      <c r="C122" s="578">
        <v>34.799999999999997</v>
      </c>
      <c r="D122" s="579">
        <v>5</v>
      </c>
      <c r="E122" s="579">
        <f t="shared" si="14"/>
        <v>0</v>
      </c>
      <c r="F122" s="576">
        <f t="shared" si="15"/>
        <v>174</v>
      </c>
      <c r="G122" s="576">
        <v>2996</v>
      </c>
      <c r="H122" s="580">
        <f t="shared" si="16"/>
        <v>1498</v>
      </c>
      <c r="I122" s="576">
        <v>21.86</v>
      </c>
      <c r="J122" s="822">
        <f t="shared" si="17"/>
        <v>18.86</v>
      </c>
      <c r="K122" s="576">
        <v>18</v>
      </c>
      <c r="L122" s="581">
        <v>1</v>
      </c>
      <c r="M122" s="576" t="s">
        <v>589</v>
      </c>
      <c r="N122" s="576"/>
      <c r="O122" s="776"/>
      <c r="P122" s="500"/>
    </row>
    <row r="123" spans="1:16" s="505" customFormat="1">
      <c r="A123" s="500">
        <v>21</v>
      </c>
      <c r="B123" s="516">
        <v>306</v>
      </c>
      <c r="C123" s="501">
        <v>136</v>
      </c>
      <c r="D123" s="502">
        <f>350/C123</f>
        <v>2.5735294117647061</v>
      </c>
      <c r="E123" s="502">
        <f t="shared" si="14"/>
        <v>2.4264705882352939</v>
      </c>
      <c r="F123" s="500">
        <f t="shared" si="15"/>
        <v>350</v>
      </c>
      <c r="G123" s="500">
        <v>3698</v>
      </c>
      <c r="H123" s="503">
        <f t="shared" si="16"/>
        <v>1849</v>
      </c>
      <c r="I123" s="500">
        <v>21.19</v>
      </c>
      <c r="J123" s="500">
        <f t="shared" si="17"/>
        <v>18.190000000000001</v>
      </c>
      <c r="K123" s="500">
        <v>18</v>
      </c>
      <c r="L123" s="504">
        <v>2</v>
      </c>
      <c r="M123" s="500" t="s">
        <v>589</v>
      </c>
      <c r="N123" s="500"/>
      <c r="O123" s="777"/>
      <c r="P123" s="500"/>
    </row>
    <row r="124" spans="1:16" s="505" customFormat="1">
      <c r="A124" s="506">
        <v>1</v>
      </c>
      <c r="B124" s="517">
        <v>571</v>
      </c>
      <c r="C124" s="507" t="s">
        <v>244</v>
      </c>
      <c r="D124" s="508">
        <v>5</v>
      </c>
      <c r="E124" s="508">
        <v>0</v>
      </c>
      <c r="F124" s="507" t="s">
        <v>236</v>
      </c>
      <c r="G124" s="500">
        <v>3035</v>
      </c>
      <c r="H124" s="503">
        <f t="shared" si="16"/>
        <v>1517.5</v>
      </c>
      <c r="I124" s="500">
        <v>21.65</v>
      </c>
      <c r="J124" s="500">
        <f t="shared" si="17"/>
        <v>18.649999999999999</v>
      </c>
      <c r="K124" s="500">
        <v>18</v>
      </c>
      <c r="L124" s="504">
        <v>4</v>
      </c>
      <c r="M124" s="500" t="s">
        <v>590</v>
      </c>
      <c r="N124" s="500"/>
      <c r="O124" s="777"/>
      <c r="P124" s="500"/>
    </row>
    <row r="125" spans="1:16" s="505" customFormat="1">
      <c r="A125" s="506">
        <v>7</v>
      </c>
      <c r="B125" s="517">
        <v>34</v>
      </c>
      <c r="C125" s="509">
        <v>104</v>
      </c>
      <c r="D125" s="508">
        <f>350/C125</f>
        <v>3.3653846153846154</v>
      </c>
      <c r="E125" s="508">
        <f t="shared" ref="E125:E141" si="19">5-D125</f>
        <v>1.6346153846153846</v>
      </c>
      <c r="F125" s="507">
        <f t="shared" ref="F125:F132" si="20">D125*C125</f>
        <v>350</v>
      </c>
      <c r="G125" s="500">
        <v>2831</v>
      </c>
      <c r="H125" s="503">
        <f t="shared" si="16"/>
        <v>1415.5</v>
      </c>
      <c r="I125" s="500">
        <v>21.25</v>
      </c>
      <c r="J125" s="500">
        <f t="shared" si="17"/>
        <v>18.25</v>
      </c>
      <c r="K125" s="500">
        <v>18</v>
      </c>
      <c r="L125" s="504">
        <v>4</v>
      </c>
      <c r="M125" s="500" t="s">
        <v>590</v>
      </c>
      <c r="N125" s="500"/>
      <c r="O125" s="777"/>
      <c r="P125" s="500"/>
    </row>
    <row r="126" spans="1:16" s="505" customFormat="1">
      <c r="A126" s="506">
        <v>18</v>
      </c>
      <c r="B126" s="517">
        <v>46</v>
      </c>
      <c r="C126" s="509">
        <v>98.6</v>
      </c>
      <c r="D126" s="508">
        <f>350/C126</f>
        <v>3.5496957403651117</v>
      </c>
      <c r="E126" s="508">
        <f t="shared" si="19"/>
        <v>1.4503042596348883</v>
      </c>
      <c r="F126" s="507">
        <f t="shared" si="20"/>
        <v>350</v>
      </c>
      <c r="G126" s="500">
        <v>2998</v>
      </c>
      <c r="H126" s="503">
        <f t="shared" si="16"/>
        <v>1499</v>
      </c>
      <c r="I126" s="500">
        <v>21.83</v>
      </c>
      <c r="J126" s="500">
        <f t="shared" si="17"/>
        <v>18.829999999999998</v>
      </c>
      <c r="K126" s="500">
        <v>18</v>
      </c>
      <c r="L126" s="504">
        <v>4</v>
      </c>
      <c r="M126" s="500" t="s">
        <v>590</v>
      </c>
      <c r="N126" s="500"/>
      <c r="O126" s="777"/>
      <c r="P126" s="500"/>
    </row>
    <row r="127" spans="1:16" s="788" customFormat="1">
      <c r="A127" s="781">
        <v>6</v>
      </c>
      <c r="B127" s="782">
        <v>336</v>
      </c>
      <c r="C127" s="783">
        <v>94.8</v>
      </c>
      <c r="D127" s="784">
        <f>350/C127</f>
        <v>3.6919831223628692</v>
      </c>
      <c r="E127" s="784">
        <f t="shared" si="19"/>
        <v>1.3080168776371308</v>
      </c>
      <c r="F127" s="781">
        <f t="shared" si="20"/>
        <v>350</v>
      </c>
      <c r="G127" s="781">
        <v>3300</v>
      </c>
      <c r="H127" s="785">
        <f t="shared" si="16"/>
        <v>1650</v>
      </c>
      <c r="I127" s="781">
        <v>22.82</v>
      </c>
      <c r="J127" s="781">
        <f t="shared" si="17"/>
        <v>19.82</v>
      </c>
      <c r="K127" s="781">
        <v>20</v>
      </c>
      <c r="L127" s="786">
        <v>2</v>
      </c>
      <c r="M127" s="781" t="s">
        <v>589</v>
      </c>
      <c r="N127" s="781"/>
      <c r="O127" s="787"/>
      <c r="P127" s="781"/>
    </row>
    <row r="128" spans="1:16" s="788" customFormat="1">
      <c r="A128" s="789">
        <v>1</v>
      </c>
      <c r="B128" s="790">
        <v>35</v>
      </c>
      <c r="C128" s="791">
        <v>94.4</v>
      </c>
      <c r="D128" s="792">
        <f>350/C128</f>
        <v>3.7076271186440675</v>
      </c>
      <c r="E128" s="792">
        <f t="shared" si="19"/>
        <v>1.2923728813559325</v>
      </c>
      <c r="F128" s="789">
        <f t="shared" si="20"/>
        <v>350</v>
      </c>
      <c r="G128" s="781">
        <v>3337</v>
      </c>
      <c r="H128" s="785">
        <f t="shared" si="16"/>
        <v>1668.5</v>
      </c>
      <c r="I128" s="781">
        <v>22.76</v>
      </c>
      <c r="J128" s="781">
        <f t="shared" si="17"/>
        <v>19.760000000000002</v>
      </c>
      <c r="K128" s="789">
        <v>20</v>
      </c>
      <c r="L128" s="786">
        <v>3</v>
      </c>
      <c r="M128" s="781" t="s">
        <v>590</v>
      </c>
      <c r="N128" s="781"/>
      <c r="O128" s="787"/>
      <c r="P128" s="781"/>
    </row>
    <row r="129" spans="1:16" s="788" customFormat="1">
      <c r="A129" s="789">
        <v>17</v>
      </c>
      <c r="B129" s="790">
        <v>37</v>
      </c>
      <c r="C129" s="791">
        <v>74.599999999999994</v>
      </c>
      <c r="D129" s="792">
        <f>350/C129</f>
        <v>4.6916890080428955</v>
      </c>
      <c r="E129" s="792">
        <f t="shared" si="19"/>
        <v>0.30831099195710454</v>
      </c>
      <c r="F129" s="789">
        <f t="shared" si="20"/>
        <v>350</v>
      </c>
      <c r="G129" s="781">
        <v>3451</v>
      </c>
      <c r="H129" s="785">
        <f t="shared" si="16"/>
        <v>1725.5</v>
      </c>
      <c r="I129" s="781">
        <v>23.6</v>
      </c>
      <c r="J129" s="781">
        <f t="shared" si="17"/>
        <v>20.6</v>
      </c>
      <c r="K129" s="789">
        <v>20</v>
      </c>
      <c r="L129" s="786">
        <v>3</v>
      </c>
      <c r="M129" s="781" t="s">
        <v>590</v>
      </c>
      <c r="N129" s="781"/>
      <c r="O129" s="787"/>
      <c r="P129" s="781"/>
    </row>
    <row r="130" spans="1:16" s="788" customFormat="1" ht="17" thickBot="1">
      <c r="A130" s="789">
        <v>19</v>
      </c>
      <c r="B130" s="790">
        <v>45</v>
      </c>
      <c r="C130" s="791">
        <v>25.1</v>
      </c>
      <c r="D130" s="792">
        <v>5</v>
      </c>
      <c r="E130" s="792">
        <f t="shared" si="19"/>
        <v>0</v>
      </c>
      <c r="F130" s="789">
        <f t="shared" si="20"/>
        <v>125.5</v>
      </c>
      <c r="G130" s="781">
        <v>3349</v>
      </c>
      <c r="H130" s="785">
        <f t="shared" ref="H130:H161" si="21">0.5*G130</f>
        <v>1674.5</v>
      </c>
      <c r="I130" s="781">
        <v>23.73</v>
      </c>
      <c r="J130" s="781">
        <f t="shared" ref="J130:J161" si="22">I130-3</f>
        <v>20.73</v>
      </c>
      <c r="K130" s="789">
        <v>20</v>
      </c>
      <c r="L130" s="786">
        <v>3</v>
      </c>
      <c r="M130" s="781" t="s">
        <v>590</v>
      </c>
      <c r="N130" s="781"/>
      <c r="O130" s="787"/>
      <c r="P130" s="781"/>
    </row>
    <row r="131" spans="1:16" s="496" customFormat="1">
      <c r="A131" s="705">
        <v>8</v>
      </c>
      <c r="B131" s="706" t="s">
        <v>723</v>
      </c>
      <c r="C131" s="707">
        <v>0</v>
      </c>
      <c r="D131" s="708">
        <v>0</v>
      </c>
      <c r="E131" s="708">
        <f t="shared" si="19"/>
        <v>5</v>
      </c>
      <c r="F131" s="709">
        <f t="shared" si="20"/>
        <v>0</v>
      </c>
      <c r="G131" s="709">
        <v>3079</v>
      </c>
      <c r="H131" s="710">
        <f t="shared" si="21"/>
        <v>1539.5</v>
      </c>
      <c r="I131" s="709">
        <v>20.67</v>
      </c>
      <c r="J131" s="709">
        <f t="shared" si="22"/>
        <v>17.670000000000002</v>
      </c>
      <c r="K131" s="709">
        <v>17</v>
      </c>
      <c r="L131" s="711">
        <v>2</v>
      </c>
      <c r="M131" s="709" t="s">
        <v>589</v>
      </c>
      <c r="N131" s="709"/>
      <c r="O131" s="778"/>
      <c r="P131" s="491"/>
    </row>
    <row r="132" spans="1:16" s="496" customFormat="1">
      <c r="A132" s="491">
        <v>24</v>
      </c>
      <c r="B132" s="518" t="s">
        <v>591</v>
      </c>
      <c r="C132" s="492">
        <v>0</v>
      </c>
      <c r="D132" s="493">
        <v>0</v>
      </c>
      <c r="E132" s="493">
        <f t="shared" si="19"/>
        <v>5</v>
      </c>
      <c r="F132" s="491">
        <f t="shared" si="20"/>
        <v>0</v>
      </c>
      <c r="G132" s="491">
        <v>3075</v>
      </c>
      <c r="H132" s="494">
        <f t="shared" si="21"/>
        <v>1537.5</v>
      </c>
      <c r="I132" s="491">
        <v>25.23</v>
      </c>
      <c r="J132" s="491">
        <f t="shared" si="22"/>
        <v>22.23</v>
      </c>
      <c r="K132" s="491">
        <v>22</v>
      </c>
      <c r="L132" s="495">
        <v>1</v>
      </c>
      <c r="M132" s="491" t="s">
        <v>589</v>
      </c>
      <c r="N132" s="491"/>
      <c r="O132" s="779"/>
      <c r="P132" s="491"/>
    </row>
    <row r="133" spans="1:16" s="496" customFormat="1">
      <c r="A133" s="491">
        <v>28</v>
      </c>
      <c r="B133" s="519" t="s">
        <v>570</v>
      </c>
      <c r="C133" s="492">
        <v>0</v>
      </c>
      <c r="D133" s="499">
        <v>0</v>
      </c>
      <c r="E133" s="499">
        <f t="shared" si="19"/>
        <v>5</v>
      </c>
      <c r="F133" s="497">
        <v>0</v>
      </c>
      <c r="G133" s="491">
        <v>3554</v>
      </c>
      <c r="H133" s="498">
        <f t="shared" si="21"/>
        <v>1777</v>
      </c>
      <c r="I133" s="491">
        <v>25.29</v>
      </c>
      <c r="J133" s="491">
        <f t="shared" si="22"/>
        <v>22.29</v>
      </c>
      <c r="K133" s="491">
        <v>22</v>
      </c>
      <c r="L133" s="495">
        <v>4</v>
      </c>
      <c r="M133" s="491" t="s">
        <v>590</v>
      </c>
      <c r="N133" s="491"/>
      <c r="O133" s="779"/>
      <c r="P133" s="491"/>
    </row>
    <row r="134" spans="1:16" s="496" customFormat="1">
      <c r="A134" s="491">
        <v>11</v>
      </c>
      <c r="B134" s="518" t="s">
        <v>592</v>
      </c>
      <c r="C134" s="492">
        <v>0</v>
      </c>
      <c r="D134" s="493">
        <v>0</v>
      </c>
      <c r="E134" s="493">
        <f t="shared" si="19"/>
        <v>5</v>
      </c>
      <c r="F134" s="491">
        <f>D134*C134</f>
        <v>0</v>
      </c>
      <c r="G134" s="491">
        <v>3041</v>
      </c>
      <c r="H134" s="494">
        <f t="shared" si="21"/>
        <v>1520.5</v>
      </c>
      <c r="I134" s="491">
        <v>25.92</v>
      </c>
      <c r="J134" s="495">
        <f t="shared" si="22"/>
        <v>22.92</v>
      </c>
      <c r="K134" s="491">
        <v>23</v>
      </c>
      <c r="L134" s="495">
        <v>1</v>
      </c>
      <c r="M134" s="491" t="s">
        <v>589</v>
      </c>
      <c r="N134" s="491"/>
      <c r="O134" s="779"/>
      <c r="P134" s="491"/>
    </row>
    <row r="135" spans="1:16" s="496" customFormat="1">
      <c r="A135" s="491">
        <v>27</v>
      </c>
      <c r="B135" s="518" t="s">
        <v>571</v>
      </c>
      <c r="C135" s="492">
        <v>0</v>
      </c>
      <c r="D135" s="493">
        <v>0</v>
      </c>
      <c r="E135" s="493">
        <f t="shared" si="19"/>
        <v>5</v>
      </c>
      <c r="F135" s="491">
        <v>0</v>
      </c>
      <c r="G135" s="491">
        <v>2959</v>
      </c>
      <c r="H135" s="498">
        <f t="shared" si="21"/>
        <v>1479.5</v>
      </c>
      <c r="I135" s="491">
        <v>26.88</v>
      </c>
      <c r="J135" s="491">
        <f t="shared" si="22"/>
        <v>23.88</v>
      </c>
      <c r="K135" s="491">
        <v>23</v>
      </c>
      <c r="L135" s="495">
        <v>3</v>
      </c>
      <c r="M135" s="491" t="s">
        <v>590</v>
      </c>
      <c r="N135" s="491"/>
      <c r="O135" s="779"/>
      <c r="P135" s="491"/>
    </row>
    <row r="136" spans="1:16" s="496" customFormat="1">
      <c r="A136" s="491">
        <v>28</v>
      </c>
      <c r="B136" s="519" t="s">
        <v>572</v>
      </c>
      <c r="C136" s="492">
        <v>0</v>
      </c>
      <c r="D136" s="493">
        <v>0</v>
      </c>
      <c r="E136" s="493">
        <f t="shared" si="19"/>
        <v>5</v>
      </c>
      <c r="F136" s="491">
        <v>0</v>
      </c>
      <c r="G136" s="491">
        <v>2933</v>
      </c>
      <c r="H136" s="498">
        <f t="shared" si="21"/>
        <v>1466.5</v>
      </c>
      <c r="I136" s="491">
        <v>26.73</v>
      </c>
      <c r="J136" s="491">
        <f t="shared" si="22"/>
        <v>23.73</v>
      </c>
      <c r="K136" s="491">
        <v>23</v>
      </c>
      <c r="L136" s="495">
        <v>3</v>
      </c>
      <c r="M136" s="491" t="s">
        <v>590</v>
      </c>
      <c r="N136" s="491"/>
      <c r="O136" s="779"/>
      <c r="P136" s="491"/>
    </row>
    <row r="137" spans="1:16" s="444" customFormat="1">
      <c r="A137" s="439">
        <v>2</v>
      </c>
      <c r="B137" s="447">
        <v>572</v>
      </c>
      <c r="C137" s="440" t="s">
        <v>244</v>
      </c>
      <c r="D137" s="441">
        <v>0</v>
      </c>
      <c r="E137" s="441">
        <f t="shared" si="19"/>
        <v>5</v>
      </c>
      <c r="F137" s="439" t="e">
        <f>D137*C137</f>
        <v>#VALUE!</v>
      </c>
      <c r="G137" s="434">
        <v>2734</v>
      </c>
      <c r="H137" s="442">
        <f t="shared" si="21"/>
        <v>1367</v>
      </c>
      <c r="I137" s="434">
        <v>26.54</v>
      </c>
      <c r="J137" s="434">
        <f t="shared" si="22"/>
        <v>23.54</v>
      </c>
      <c r="K137" s="434">
        <v>23</v>
      </c>
      <c r="L137" s="438">
        <v>5</v>
      </c>
      <c r="M137" s="434" t="s">
        <v>590</v>
      </c>
      <c r="N137" s="434"/>
      <c r="O137" s="780"/>
      <c r="P137" s="434"/>
    </row>
    <row r="138" spans="1:16" s="444" customFormat="1">
      <c r="A138" s="439">
        <v>26</v>
      </c>
      <c r="B138" s="447">
        <v>44</v>
      </c>
      <c r="C138" s="443">
        <v>41.4</v>
      </c>
      <c r="D138" s="441">
        <v>5</v>
      </c>
      <c r="E138" s="441">
        <f t="shared" si="19"/>
        <v>0</v>
      </c>
      <c r="F138" s="439">
        <f>D138*C138</f>
        <v>207</v>
      </c>
      <c r="G138" s="434">
        <v>3613</v>
      </c>
      <c r="H138" s="442">
        <f t="shared" si="21"/>
        <v>1806.5</v>
      </c>
      <c r="I138" s="434">
        <v>26.73</v>
      </c>
      <c r="J138" s="434">
        <f t="shared" si="22"/>
        <v>23.73</v>
      </c>
      <c r="K138" s="434">
        <v>23</v>
      </c>
      <c r="L138" s="438">
        <v>5</v>
      </c>
      <c r="M138" s="434" t="s">
        <v>590</v>
      </c>
      <c r="N138" s="434"/>
      <c r="O138" s="780"/>
      <c r="P138" s="434"/>
    </row>
    <row r="139" spans="1:16" s="496" customFormat="1">
      <c r="A139" s="491">
        <v>27</v>
      </c>
      <c r="B139" s="518" t="s">
        <v>573</v>
      </c>
      <c r="C139" s="492">
        <v>0</v>
      </c>
      <c r="D139" s="493">
        <v>0</v>
      </c>
      <c r="E139" s="493">
        <f t="shared" si="19"/>
        <v>5</v>
      </c>
      <c r="F139" s="491">
        <v>0</v>
      </c>
      <c r="G139" s="491">
        <v>3253</v>
      </c>
      <c r="H139" s="498">
        <f t="shared" si="21"/>
        <v>1626.5</v>
      </c>
      <c r="I139" s="491">
        <v>26.72</v>
      </c>
      <c r="J139" s="491">
        <f t="shared" si="22"/>
        <v>23.72</v>
      </c>
      <c r="K139" s="491">
        <v>23</v>
      </c>
      <c r="L139" s="495">
        <v>5</v>
      </c>
      <c r="M139" s="491" t="s">
        <v>590</v>
      </c>
      <c r="N139" s="491"/>
      <c r="O139" s="779"/>
      <c r="P139" s="491"/>
    </row>
    <row r="140" spans="1:16" s="496" customFormat="1">
      <c r="A140" s="491">
        <v>28</v>
      </c>
      <c r="B140" s="519" t="s">
        <v>574</v>
      </c>
      <c r="C140" s="492">
        <v>0</v>
      </c>
      <c r="D140" s="493">
        <v>0</v>
      </c>
      <c r="E140" s="493">
        <f t="shared" si="19"/>
        <v>5</v>
      </c>
      <c r="F140" s="491">
        <v>0</v>
      </c>
      <c r="G140" s="491">
        <v>783</v>
      </c>
      <c r="H140" s="498">
        <f t="shared" si="21"/>
        <v>391.5</v>
      </c>
      <c r="I140" s="491">
        <v>28.34</v>
      </c>
      <c r="J140" s="491">
        <f t="shared" si="22"/>
        <v>25.34</v>
      </c>
      <c r="K140" s="491">
        <v>23</v>
      </c>
      <c r="L140" s="495">
        <v>5</v>
      </c>
      <c r="M140" s="491" t="s">
        <v>590</v>
      </c>
      <c r="N140" s="491"/>
      <c r="O140" s="779"/>
      <c r="P140" s="491"/>
    </row>
    <row r="141" spans="1:16" s="444" customFormat="1">
      <c r="A141" s="434">
        <v>6</v>
      </c>
      <c r="B141" s="446">
        <v>307</v>
      </c>
      <c r="C141" s="435">
        <v>89.4</v>
      </c>
      <c r="D141" s="436">
        <f>350/C141</f>
        <v>3.914988814317673</v>
      </c>
      <c r="E141" s="436">
        <f t="shared" si="19"/>
        <v>1.085011185682327</v>
      </c>
      <c r="F141" s="434">
        <f>D141*C141</f>
        <v>350</v>
      </c>
      <c r="G141" s="434">
        <v>2002</v>
      </c>
      <c r="H141" s="437">
        <f t="shared" si="21"/>
        <v>1001</v>
      </c>
      <c r="I141" s="434">
        <v>28.77</v>
      </c>
      <c r="J141" s="438">
        <f t="shared" si="22"/>
        <v>25.77</v>
      </c>
      <c r="K141" s="434">
        <v>25</v>
      </c>
      <c r="L141" s="438">
        <v>1</v>
      </c>
      <c r="M141" s="434" t="s">
        <v>589</v>
      </c>
      <c r="N141" s="434"/>
      <c r="O141" s="780"/>
      <c r="P141" s="434"/>
    </row>
    <row r="142" spans="1:16" s="496" customFormat="1">
      <c r="A142" s="491"/>
      <c r="B142" s="519" t="s">
        <v>569</v>
      </c>
      <c r="C142" s="492">
        <v>0</v>
      </c>
      <c r="D142" s="493"/>
      <c r="E142" s="493"/>
      <c r="F142" s="491">
        <v>0</v>
      </c>
      <c r="G142" s="491">
        <v>2966</v>
      </c>
      <c r="H142" s="494">
        <f t="shared" si="21"/>
        <v>1483</v>
      </c>
      <c r="I142" s="491">
        <v>28.23</v>
      </c>
      <c r="J142" s="491">
        <f t="shared" si="22"/>
        <v>25.23</v>
      </c>
      <c r="K142" s="491">
        <v>25</v>
      </c>
      <c r="L142" s="495">
        <v>1</v>
      </c>
      <c r="M142" s="491" t="s">
        <v>589</v>
      </c>
      <c r="N142" s="491"/>
      <c r="O142" s="779"/>
      <c r="P142" s="491"/>
    </row>
    <row r="143" spans="1:16" s="496" customFormat="1">
      <c r="A143" s="491"/>
      <c r="B143" s="519" t="s">
        <v>569</v>
      </c>
      <c r="C143" s="492">
        <v>0</v>
      </c>
      <c r="D143" s="493"/>
      <c r="E143" s="493"/>
      <c r="F143" s="491">
        <v>0</v>
      </c>
      <c r="G143" s="491">
        <v>2703</v>
      </c>
      <c r="H143" s="494">
        <f t="shared" si="21"/>
        <v>1351.5</v>
      </c>
      <c r="I143" s="491">
        <v>29.1</v>
      </c>
      <c r="J143" s="495">
        <f t="shared" si="22"/>
        <v>26.1</v>
      </c>
      <c r="K143" s="491">
        <v>26</v>
      </c>
      <c r="L143" s="495">
        <v>1</v>
      </c>
      <c r="M143" s="491" t="s">
        <v>589</v>
      </c>
      <c r="N143" s="491"/>
      <c r="O143" s="779"/>
      <c r="P143" s="491"/>
    </row>
    <row r="145" spans="1:13">
      <c r="B145" s="448"/>
    </row>
    <row r="146" spans="1:13">
      <c r="A146" s="582" t="s">
        <v>596</v>
      </c>
      <c r="B146" s="582" t="s">
        <v>597</v>
      </c>
    </row>
    <row r="147" spans="1:13">
      <c r="A147" s="583">
        <v>13</v>
      </c>
      <c r="B147" s="583">
        <f t="shared" ref="B147:B153" si="23">COUNTIF(K:K,A147)</f>
        <v>0</v>
      </c>
      <c r="C147" s="940" t="s">
        <v>595</v>
      </c>
      <c r="D147" s="940"/>
      <c r="E147" s="584" t="s">
        <v>472</v>
      </c>
      <c r="F147" s="584" t="s">
        <v>598</v>
      </c>
      <c r="G147" s="584" t="s">
        <v>600</v>
      </c>
      <c r="H147" s="584" t="s">
        <v>601</v>
      </c>
      <c r="I147" s="584" t="s">
        <v>599</v>
      </c>
      <c r="J147" s="584" t="s">
        <v>727</v>
      </c>
      <c r="K147" s="584" t="s">
        <v>728</v>
      </c>
    </row>
    <row r="148" spans="1:13">
      <c r="A148" s="583">
        <v>14</v>
      </c>
      <c r="B148" s="583">
        <f t="shared" si="23"/>
        <v>34</v>
      </c>
      <c r="C148" s="939" t="s">
        <v>602</v>
      </c>
      <c r="D148" s="939"/>
      <c r="E148" s="266">
        <v>1</v>
      </c>
      <c r="F148" s="266">
        <f>B150+2</f>
        <v>28</v>
      </c>
      <c r="G148" s="266">
        <f>B148+2</f>
        <v>36</v>
      </c>
      <c r="H148" s="266">
        <f>B149+2</f>
        <v>49</v>
      </c>
      <c r="I148" s="266">
        <f>B151+2</f>
        <v>16</v>
      </c>
      <c r="J148" s="266">
        <f>B152</f>
        <v>5</v>
      </c>
      <c r="K148" s="266">
        <v>4</v>
      </c>
    </row>
    <row r="149" spans="1:13">
      <c r="A149" s="583">
        <v>15</v>
      </c>
      <c r="B149" s="583">
        <f t="shared" si="23"/>
        <v>47</v>
      </c>
      <c r="C149" s="940" t="s">
        <v>603</v>
      </c>
      <c r="D149" s="940"/>
      <c r="E149" s="264">
        <v>7</v>
      </c>
      <c r="F149" s="264">
        <f t="shared" ref="F149:K149" si="24">$E$149*F148*1.08</f>
        <v>211.68</v>
      </c>
      <c r="G149" s="264">
        <f t="shared" si="24"/>
        <v>272.16000000000003</v>
      </c>
      <c r="H149" s="264">
        <f t="shared" si="24"/>
        <v>370.44</v>
      </c>
      <c r="I149" s="264">
        <f t="shared" si="24"/>
        <v>120.96000000000001</v>
      </c>
      <c r="J149" s="264">
        <f t="shared" si="24"/>
        <v>37.800000000000004</v>
      </c>
      <c r="K149" s="264">
        <f t="shared" si="24"/>
        <v>30.240000000000002</v>
      </c>
    </row>
    <row r="150" spans="1:13">
      <c r="A150" s="583">
        <v>16</v>
      </c>
      <c r="B150" s="583">
        <f t="shared" si="23"/>
        <v>26</v>
      </c>
      <c r="C150" s="940" t="s">
        <v>604</v>
      </c>
      <c r="D150" s="940"/>
      <c r="E150" s="264">
        <v>1</v>
      </c>
      <c r="F150" s="264">
        <f t="shared" ref="F150:K150" si="25">$E$150*F148*1.08</f>
        <v>30.240000000000002</v>
      </c>
      <c r="G150" s="264">
        <f t="shared" si="25"/>
        <v>38.880000000000003</v>
      </c>
      <c r="H150" s="264">
        <f t="shared" si="25"/>
        <v>52.92</v>
      </c>
      <c r="I150" s="264">
        <f t="shared" si="25"/>
        <v>17.28</v>
      </c>
      <c r="J150" s="264">
        <f t="shared" si="25"/>
        <v>5.4</v>
      </c>
      <c r="K150" s="264">
        <f t="shared" si="25"/>
        <v>4.32</v>
      </c>
    </row>
    <row r="151" spans="1:13">
      <c r="A151" s="583">
        <v>17</v>
      </c>
      <c r="B151" s="583">
        <f t="shared" si="23"/>
        <v>14</v>
      </c>
      <c r="C151" s="939" t="s">
        <v>605</v>
      </c>
      <c r="D151" s="939"/>
      <c r="E151" s="266">
        <f t="shared" ref="E151:K151" si="26">SUM(E149:E150)</f>
        <v>8</v>
      </c>
      <c r="F151" s="266">
        <f t="shared" si="26"/>
        <v>241.92000000000002</v>
      </c>
      <c r="G151" s="266">
        <f t="shared" si="26"/>
        <v>311.04000000000002</v>
      </c>
      <c r="H151" s="266">
        <f t="shared" si="26"/>
        <v>423.36</v>
      </c>
      <c r="I151" s="266">
        <f t="shared" si="26"/>
        <v>138.24</v>
      </c>
      <c r="J151" s="266">
        <f t="shared" si="26"/>
        <v>43.2</v>
      </c>
      <c r="K151" s="266">
        <f t="shared" si="26"/>
        <v>34.56</v>
      </c>
    </row>
    <row r="152" spans="1:13">
      <c r="A152" s="583">
        <v>18</v>
      </c>
      <c r="B152" s="583">
        <f t="shared" si="23"/>
        <v>5</v>
      </c>
      <c r="C152" s="843"/>
      <c r="D152" s="843"/>
      <c r="E152" s="428"/>
      <c r="F152" s="428"/>
      <c r="G152" s="428"/>
      <c r="H152" s="428"/>
      <c r="I152" s="428"/>
      <c r="J152" s="428"/>
    </row>
    <row r="153" spans="1:13">
      <c r="A153" s="583">
        <v>20</v>
      </c>
      <c r="B153" s="583">
        <f t="shared" si="23"/>
        <v>4</v>
      </c>
      <c r="C153" s="843"/>
      <c r="D153" s="843"/>
      <c r="E153" s="428"/>
      <c r="F153" s="428"/>
      <c r="G153" s="428"/>
      <c r="H153" s="428"/>
      <c r="I153" s="428"/>
      <c r="J153" s="428"/>
    </row>
    <row r="154" spans="1:13">
      <c r="A154" s="583"/>
      <c r="B154" s="583"/>
    </row>
    <row r="155" spans="1:13">
      <c r="A155" s="645" t="s">
        <v>611</v>
      </c>
      <c r="B155" s="646"/>
      <c r="C155" s="647"/>
      <c r="D155" s="647"/>
      <c r="E155" s="647"/>
      <c r="F155" s="647"/>
      <c r="G155" s="647"/>
      <c r="H155" s="648"/>
      <c r="I155" s="648"/>
      <c r="J155" s="636"/>
      <c r="K155" s="636"/>
      <c r="L155" s="636"/>
      <c r="M155" s="636"/>
    </row>
    <row r="156" spans="1:13">
      <c r="A156" s="522"/>
      <c r="B156" s="522">
        <v>1</v>
      </c>
      <c r="C156" s="522">
        <v>2</v>
      </c>
      <c r="D156" s="522">
        <v>3</v>
      </c>
      <c r="E156" s="522">
        <v>4</v>
      </c>
      <c r="F156" s="522">
        <v>5</v>
      </c>
      <c r="G156" s="522">
        <v>6</v>
      </c>
      <c r="H156" s="522">
        <v>7</v>
      </c>
      <c r="I156" s="522">
        <v>8</v>
      </c>
      <c r="J156" s="522">
        <v>9</v>
      </c>
      <c r="K156" s="522">
        <v>10</v>
      </c>
      <c r="L156" s="522">
        <v>11</v>
      </c>
      <c r="M156" s="522">
        <v>12</v>
      </c>
    </row>
    <row r="157" spans="1:13">
      <c r="A157" s="52" t="s">
        <v>544</v>
      </c>
      <c r="B157" s="161">
        <v>328</v>
      </c>
      <c r="C157" s="161">
        <v>299</v>
      </c>
      <c r="D157" s="161">
        <v>301</v>
      </c>
      <c r="E157" s="161">
        <v>342</v>
      </c>
      <c r="F157" s="161">
        <v>331</v>
      </c>
      <c r="G157" s="161">
        <v>307</v>
      </c>
      <c r="H157" s="161">
        <v>295</v>
      </c>
      <c r="I157" s="314"/>
      <c r="J157" s="314"/>
      <c r="K157" s="314"/>
      <c r="L157" s="314"/>
      <c r="M157" s="314"/>
    </row>
    <row r="158" spans="1:13">
      <c r="A158" s="523" t="s">
        <v>545</v>
      </c>
      <c r="B158" s="524">
        <v>304</v>
      </c>
      <c r="C158" s="524">
        <v>305</v>
      </c>
      <c r="D158" s="524">
        <v>311</v>
      </c>
      <c r="E158" s="524" t="s">
        <v>529</v>
      </c>
      <c r="F158" s="524">
        <v>298</v>
      </c>
      <c r="G158" s="524">
        <v>348</v>
      </c>
      <c r="H158" s="524">
        <v>315</v>
      </c>
      <c r="I158" s="643"/>
      <c r="J158" s="643"/>
      <c r="K158" s="643"/>
      <c r="L158" s="643"/>
      <c r="M158" s="643"/>
    </row>
    <row r="159" spans="1:13">
      <c r="A159" s="52" t="s">
        <v>546</v>
      </c>
      <c r="B159" s="161">
        <v>344</v>
      </c>
      <c r="C159" s="161">
        <v>325</v>
      </c>
      <c r="D159" s="161">
        <v>338</v>
      </c>
      <c r="E159" s="161">
        <v>347</v>
      </c>
      <c r="F159" s="161">
        <v>312</v>
      </c>
      <c r="G159" s="161">
        <v>321</v>
      </c>
      <c r="H159" s="161">
        <v>333</v>
      </c>
      <c r="I159" s="314"/>
      <c r="J159" s="314"/>
      <c r="K159" s="314"/>
      <c r="L159" s="314"/>
      <c r="M159" s="314"/>
    </row>
    <row r="160" spans="1:13">
      <c r="A160" s="523" t="s">
        <v>547</v>
      </c>
      <c r="B160" s="524">
        <v>291</v>
      </c>
      <c r="C160" s="524">
        <v>308</v>
      </c>
      <c r="D160" s="524" t="s">
        <v>528</v>
      </c>
      <c r="E160" s="524">
        <v>335</v>
      </c>
      <c r="F160" s="524">
        <v>318</v>
      </c>
      <c r="G160" s="524">
        <v>294</v>
      </c>
      <c r="H160" s="524">
        <v>324</v>
      </c>
      <c r="I160" s="643"/>
      <c r="J160" s="643"/>
      <c r="K160" s="643"/>
      <c r="L160" s="643"/>
      <c r="M160" s="643"/>
    </row>
    <row r="161" spans="1:13">
      <c r="A161" s="52" t="s">
        <v>548</v>
      </c>
      <c r="B161" s="644">
        <v>343</v>
      </c>
      <c r="C161" s="161">
        <v>345</v>
      </c>
      <c r="D161" s="161">
        <v>303</v>
      </c>
      <c r="E161" s="161">
        <v>346</v>
      </c>
      <c r="F161" s="161">
        <v>302</v>
      </c>
      <c r="G161" s="161">
        <v>336</v>
      </c>
      <c r="H161" s="161">
        <v>292</v>
      </c>
      <c r="I161" s="314"/>
      <c r="J161" s="314"/>
      <c r="K161" s="314"/>
      <c r="L161" s="314"/>
      <c r="M161" s="314"/>
    </row>
    <row r="162" spans="1:13">
      <c r="A162" s="523" t="s">
        <v>549</v>
      </c>
      <c r="B162" s="524" t="s">
        <v>553</v>
      </c>
      <c r="C162" s="524">
        <v>317</v>
      </c>
      <c r="D162" s="524">
        <v>322</v>
      </c>
      <c r="E162" s="524">
        <v>332</v>
      </c>
      <c r="F162" s="524">
        <v>334</v>
      </c>
      <c r="G162" s="524">
        <v>349</v>
      </c>
      <c r="H162" s="524">
        <v>337</v>
      </c>
      <c r="I162" s="643"/>
      <c r="J162" s="643"/>
      <c r="K162" s="643"/>
      <c r="L162" s="643"/>
      <c r="M162" s="643"/>
    </row>
    <row r="163" spans="1:13">
      <c r="A163" s="52" t="s">
        <v>550</v>
      </c>
      <c r="B163" s="161">
        <v>341</v>
      </c>
      <c r="C163" s="161">
        <v>313</v>
      </c>
      <c r="D163" s="161">
        <v>309</v>
      </c>
      <c r="E163" s="161">
        <v>327</v>
      </c>
      <c r="F163" s="161">
        <v>319</v>
      </c>
      <c r="G163" s="161">
        <v>326</v>
      </c>
      <c r="H163" s="161">
        <v>306</v>
      </c>
      <c r="I163" s="314"/>
      <c r="J163" s="314"/>
      <c r="K163" s="314"/>
      <c r="L163" s="314"/>
      <c r="M163" s="314"/>
    </row>
    <row r="164" spans="1:13">
      <c r="A164" s="523" t="s">
        <v>551</v>
      </c>
      <c r="B164" s="524">
        <v>323</v>
      </c>
      <c r="C164" s="524">
        <v>314</v>
      </c>
      <c r="D164" s="524">
        <v>316</v>
      </c>
      <c r="E164" s="524">
        <v>339</v>
      </c>
      <c r="F164" s="524">
        <v>293</v>
      </c>
      <c r="G164" s="524">
        <v>329</v>
      </c>
      <c r="H164" s="524">
        <v>296</v>
      </c>
      <c r="I164" s="643"/>
      <c r="J164" s="643"/>
      <c r="K164" s="643"/>
      <c r="L164" s="643"/>
      <c r="M164" s="643"/>
    </row>
    <row r="165" spans="1:13">
      <c r="B165" s="448"/>
    </row>
    <row r="166" spans="1:13">
      <c r="A166" s="645" t="s">
        <v>610</v>
      </c>
      <c r="B166" s="646"/>
      <c r="C166" s="647"/>
      <c r="D166" s="647"/>
      <c r="E166" s="647"/>
      <c r="F166" s="647"/>
      <c r="G166" s="647"/>
      <c r="H166" s="648"/>
      <c r="I166" s="648"/>
      <c r="J166" s="636"/>
      <c r="K166" s="636"/>
      <c r="L166" s="636"/>
      <c r="M166" s="636"/>
    </row>
    <row r="167" spans="1:13">
      <c r="A167" s="522"/>
      <c r="B167" s="522">
        <v>1</v>
      </c>
      <c r="C167" s="522">
        <v>2</v>
      </c>
      <c r="D167" s="522">
        <v>3</v>
      </c>
      <c r="E167" s="522">
        <v>4</v>
      </c>
      <c r="F167" s="522">
        <v>5</v>
      </c>
      <c r="G167" s="522">
        <v>6</v>
      </c>
      <c r="H167" s="522">
        <v>7</v>
      </c>
      <c r="I167" s="522">
        <v>8</v>
      </c>
      <c r="J167" s="522">
        <v>9</v>
      </c>
      <c r="K167" s="522">
        <v>10</v>
      </c>
      <c r="L167" s="522">
        <v>11</v>
      </c>
      <c r="M167" s="522">
        <v>12</v>
      </c>
    </row>
    <row r="168" spans="1:13">
      <c r="A168" s="419" t="s">
        <v>544</v>
      </c>
      <c r="B168" s="431">
        <v>35</v>
      </c>
      <c r="C168" s="431">
        <v>533</v>
      </c>
      <c r="D168" s="431">
        <v>562</v>
      </c>
      <c r="E168" s="431">
        <v>527</v>
      </c>
      <c r="F168" s="431">
        <v>571</v>
      </c>
      <c r="G168" s="431">
        <v>490</v>
      </c>
      <c r="H168" s="431">
        <v>421</v>
      </c>
      <c r="I168" s="431">
        <v>43</v>
      </c>
      <c r="J168" s="431">
        <v>451</v>
      </c>
      <c r="K168" s="431">
        <v>403</v>
      </c>
      <c r="L168" s="431" t="s">
        <v>262</v>
      </c>
      <c r="M168" s="758">
        <v>401</v>
      </c>
    </row>
    <row r="169" spans="1:13">
      <c r="A169" s="525" t="s">
        <v>545</v>
      </c>
      <c r="B169" s="756">
        <v>524</v>
      </c>
      <c r="C169" s="756">
        <v>522</v>
      </c>
      <c r="D169" s="756">
        <v>432</v>
      </c>
      <c r="E169" s="756">
        <v>492</v>
      </c>
      <c r="F169" s="756">
        <v>525</v>
      </c>
      <c r="G169" s="756">
        <v>523</v>
      </c>
      <c r="H169" s="756">
        <v>553</v>
      </c>
      <c r="I169" s="756">
        <v>506</v>
      </c>
      <c r="J169" s="756">
        <v>572</v>
      </c>
      <c r="K169" s="756" t="s">
        <v>260</v>
      </c>
      <c r="L169" s="756">
        <v>39</v>
      </c>
      <c r="M169" s="759">
        <v>513</v>
      </c>
    </row>
    <row r="170" spans="1:13">
      <c r="A170" s="419" t="s">
        <v>546</v>
      </c>
      <c r="B170" s="431">
        <v>453</v>
      </c>
      <c r="C170" s="431">
        <v>474</v>
      </c>
      <c r="D170" s="431">
        <v>37</v>
      </c>
      <c r="E170" s="431">
        <v>475</v>
      </c>
      <c r="F170" s="431">
        <v>563</v>
      </c>
      <c r="G170" s="431">
        <v>473</v>
      </c>
      <c r="H170" s="431">
        <v>41</v>
      </c>
      <c r="I170" s="431">
        <v>482</v>
      </c>
      <c r="J170" s="431" t="s">
        <v>263</v>
      </c>
      <c r="K170" s="431" t="s">
        <v>255</v>
      </c>
      <c r="L170" s="431">
        <v>521</v>
      </c>
      <c r="M170" s="758">
        <v>441</v>
      </c>
    </row>
    <row r="171" spans="1:13">
      <c r="A171" s="525" t="s">
        <v>547</v>
      </c>
      <c r="B171" s="756">
        <v>554</v>
      </c>
      <c r="C171" s="756" t="s">
        <v>259</v>
      </c>
      <c r="D171" s="756">
        <v>413</v>
      </c>
      <c r="E171" s="756">
        <v>541</v>
      </c>
      <c r="F171" s="756">
        <v>404</v>
      </c>
      <c r="G171" s="756">
        <v>485</v>
      </c>
      <c r="H171" s="756">
        <v>46</v>
      </c>
      <c r="I171" s="756">
        <v>412</v>
      </c>
      <c r="J171" s="756">
        <v>414</v>
      </c>
      <c r="K171" s="756">
        <v>564</v>
      </c>
      <c r="L171" s="756">
        <v>411</v>
      </c>
      <c r="M171" s="759">
        <v>444</v>
      </c>
    </row>
    <row r="172" spans="1:13">
      <c r="A172" s="419" t="s">
        <v>548</v>
      </c>
      <c r="B172" s="431" t="s">
        <v>257</v>
      </c>
      <c r="C172" s="431">
        <v>443</v>
      </c>
      <c r="D172" s="431">
        <v>45</v>
      </c>
      <c r="E172" s="431">
        <v>565</v>
      </c>
      <c r="F172" s="431">
        <v>484</v>
      </c>
      <c r="G172" s="431">
        <v>402</v>
      </c>
      <c r="H172" s="431">
        <v>551</v>
      </c>
      <c r="I172" s="431">
        <v>488</v>
      </c>
      <c r="J172" s="431">
        <v>528</v>
      </c>
      <c r="K172" s="431">
        <v>532</v>
      </c>
      <c r="L172" s="431">
        <v>529</v>
      </c>
      <c r="M172" s="758">
        <v>44</v>
      </c>
    </row>
    <row r="173" spans="1:13">
      <c r="A173" s="525" t="s">
        <v>549</v>
      </c>
      <c r="B173" s="756">
        <v>489</v>
      </c>
      <c r="C173" s="756">
        <v>477</v>
      </c>
      <c r="D173" s="756">
        <v>561</v>
      </c>
      <c r="E173" s="756" t="s">
        <v>571</v>
      </c>
      <c r="F173" s="757">
        <v>531</v>
      </c>
      <c r="G173" s="756">
        <v>487</v>
      </c>
      <c r="H173" s="756" t="s">
        <v>264</v>
      </c>
      <c r="I173" s="756">
        <v>47</v>
      </c>
      <c r="J173" s="756">
        <v>483</v>
      </c>
      <c r="K173" s="756">
        <v>481</v>
      </c>
      <c r="L173" s="756" t="s">
        <v>268</v>
      </c>
      <c r="M173" s="759" t="s">
        <v>573</v>
      </c>
    </row>
    <row r="174" spans="1:13">
      <c r="A174" s="419" t="s">
        <v>550</v>
      </c>
      <c r="B174" s="431" t="s">
        <v>261</v>
      </c>
      <c r="C174" s="431">
        <v>526</v>
      </c>
      <c r="D174" s="431">
        <v>542</v>
      </c>
      <c r="E174" s="205" t="s">
        <v>572</v>
      </c>
      <c r="F174" s="205">
        <v>34</v>
      </c>
      <c r="G174" s="431">
        <v>476</v>
      </c>
      <c r="H174" s="431">
        <v>445</v>
      </c>
      <c r="I174" s="205" t="s">
        <v>570</v>
      </c>
      <c r="J174" s="431">
        <v>543</v>
      </c>
      <c r="K174" s="431">
        <v>491</v>
      </c>
      <c r="L174" s="431">
        <v>434</v>
      </c>
      <c r="M174" s="421" t="s">
        <v>574</v>
      </c>
    </row>
    <row r="175" spans="1:13">
      <c r="A175" s="526" t="s">
        <v>551</v>
      </c>
      <c r="B175" s="793"/>
      <c r="C175" s="793"/>
      <c r="D175" s="793"/>
      <c r="E175" s="793"/>
      <c r="F175" s="793"/>
      <c r="G175" s="793"/>
      <c r="H175" s="793"/>
      <c r="I175" s="794"/>
      <c r="J175" s="794"/>
      <c r="K175" s="794"/>
      <c r="L175" s="794"/>
      <c r="M175" s="795"/>
    </row>
    <row r="176" spans="1:13">
      <c r="B176" s="448"/>
    </row>
    <row r="178" spans="1:39" ht="20" thickBot="1">
      <c r="A178" s="635" t="s">
        <v>709</v>
      </c>
      <c r="B178" s="635"/>
      <c r="C178" s="635"/>
      <c r="D178" s="636"/>
      <c r="E178" s="636"/>
      <c r="F178" s="636"/>
      <c r="G178" s="636"/>
      <c r="H178" s="636"/>
      <c r="I178" s="636"/>
      <c r="J178" s="636"/>
      <c r="K178" s="636"/>
      <c r="L178" s="636"/>
      <c r="M178" s="636"/>
      <c r="N178" s="636"/>
      <c r="O178" s="636"/>
      <c r="P178" s="636"/>
      <c r="Q178" s="636"/>
      <c r="R178" s="636"/>
      <c r="S178" s="636"/>
      <c r="T178" s="636"/>
      <c r="U178" s="636"/>
      <c r="V178" s="636"/>
      <c r="W178" s="636"/>
      <c r="X178" s="636"/>
      <c r="Y178" s="636"/>
    </row>
    <row r="179" spans="1:39" ht="17" thickBot="1">
      <c r="A179" s="637"/>
      <c r="B179" s="924">
        <v>1</v>
      </c>
      <c r="C179" s="924"/>
      <c r="D179" s="924">
        <v>2</v>
      </c>
      <c r="E179" s="924"/>
      <c r="F179" s="924">
        <v>3</v>
      </c>
      <c r="G179" s="924"/>
      <c r="H179" s="924">
        <v>4</v>
      </c>
      <c r="I179" s="924"/>
      <c r="J179" s="924">
        <v>5</v>
      </c>
      <c r="K179" s="924"/>
      <c r="L179" s="924">
        <v>6</v>
      </c>
      <c r="M179" s="924"/>
      <c r="N179" s="924">
        <v>7</v>
      </c>
      <c r="O179" s="924"/>
      <c r="P179" s="924">
        <v>8</v>
      </c>
      <c r="Q179" s="924"/>
      <c r="R179" s="924">
        <v>9</v>
      </c>
      <c r="S179" s="924"/>
      <c r="T179" s="924">
        <v>10</v>
      </c>
      <c r="U179" s="924"/>
      <c r="V179" s="924">
        <v>11</v>
      </c>
      <c r="W179" s="924"/>
      <c r="X179" s="924">
        <v>12</v>
      </c>
      <c r="Y179" s="924"/>
    </row>
    <row r="180" spans="1:39" ht="17" thickBot="1">
      <c r="A180" s="637" t="s">
        <v>544</v>
      </c>
      <c r="B180" s="663">
        <v>7001</v>
      </c>
      <c r="C180" s="664" t="s">
        <v>613</v>
      </c>
      <c r="D180" s="663">
        <v>7009</v>
      </c>
      <c r="E180" s="664" t="s">
        <v>614</v>
      </c>
      <c r="F180" s="661">
        <v>7017</v>
      </c>
      <c r="G180" s="662" t="s">
        <v>615</v>
      </c>
      <c r="H180" s="672">
        <v>7025</v>
      </c>
      <c r="I180" s="673" t="s">
        <v>616</v>
      </c>
      <c r="J180" s="672">
        <v>7033</v>
      </c>
      <c r="K180" s="673" t="s">
        <v>617</v>
      </c>
      <c r="L180" s="672">
        <v>7041</v>
      </c>
      <c r="M180" s="673" t="s">
        <v>618</v>
      </c>
      <c r="N180" s="750">
        <v>7049</v>
      </c>
      <c r="O180" s="751" t="s">
        <v>619</v>
      </c>
      <c r="P180" s="638">
        <v>7057</v>
      </c>
      <c r="Q180" s="639" t="s">
        <v>620</v>
      </c>
      <c r="R180" s="638">
        <v>7065</v>
      </c>
      <c r="S180" s="639" t="s">
        <v>621</v>
      </c>
      <c r="T180" s="638">
        <v>7073</v>
      </c>
      <c r="U180" s="639" t="s">
        <v>622</v>
      </c>
      <c r="V180" s="638">
        <v>7081</v>
      </c>
      <c r="W180" s="639" t="s">
        <v>623</v>
      </c>
      <c r="X180" s="638">
        <v>7089</v>
      </c>
      <c r="Y180" s="639" t="s">
        <v>624</v>
      </c>
    </row>
    <row r="181" spans="1:39" ht="17" thickBot="1">
      <c r="A181" s="637" t="s">
        <v>545</v>
      </c>
      <c r="B181" s="663">
        <v>7002</v>
      </c>
      <c r="C181" s="664" t="s">
        <v>625</v>
      </c>
      <c r="D181" s="663">
        <v>7010</v>
      </c>
      <c r="E181" s="664" t="s">
        <v>626</v>
      </c>
      <c r="F181" s="661">
        <v>7018</v>
      </c>
      <c r="G181" s="662" t="s">
        <v>627</v>
      </c>
      <c r="H181" s="672">
        <v>7026</v>
      </c>
      <c r="I181" s="673" t="s">
        <v>628</v>
      </c>
      <c r="J181" s="672">
        <v>7034</v>
      </c>
      <c r="K181" s="673" t="s">
        <v>629</v>
      </c>
      <c r="L181" s="672">
        <v>7042</v>
      </c>
      <c r="M181" s="673" t="s">
        <v>630</v>
      </c>
      <c r="N181" s="833">
        <v>7050</v>
      </c>
      <c r="O181" s="834" t="s">
        <v>631</v>
      </c>
      <c r="P181" s="638">
        <v>7058</v>
      </c>
      <c r="Q181" s="639" t="s">
        <v>632</v>
      </c>
      <c r="R181" s="638">
        <v>7066</v>
      </c>
      <c r="S181" s="639" t="s">
        <v>633</v>
      </c>
      <c r="T181" s="638">
        <v>7074</v>
      </c>
      <c r="U181" s="639" t="s">
        <v>634</v>
      </c>
      <c r="V181" s="638">
        <v>7082</v>
      </c>
      <c r="W181" s="639" t="s">
        <v>635</v>
      </c>
      <c r="X181" s="638">
        <v>7090</v>
      </c>
      <c r="Y181" s="639" t="s">
        <v>636</v>
      </c>
    </row>
    <row r="182" spans="1:39" ht="17" thickBot="1">
      <c r="A182" s="637" t="s">
        <v>546</v>
      </c>
      <c r="B182" s="663">
        <v>7003</v>
      </c>
      <c r="C182" s="664" t="s">
        <v>637</v>
      </c>
      <c r="D182" s="663">
        <v>7011</v>
      </c>
      <c r="E182" s="664" t="s">
        <v>638</v>
      </c>
      <c r="F182" s="661">
        <v>7019</v>
      </c>
      <c r="G182" s="662" t="s">
        <v>639</v>
      </c>
      <c r="H182" s="672">
        <v>7027</v>
      </c>
      <c r="I182" s="673" t="s">
        <v>640</v>
      </c>
      <c r="J182" s="672">
        <v>7035</v>
      </c>
      <c r="K182" s="673" t="s">
        <v>641</v>
      </c>
      <c r="L182" s="672">
        <v>7043</v>
      </c>
      <c r="M182" s="673" t="s">
        <v>642</v>
      </c>
      <c r="N182" s="833">
        <v>7051</v>
      </c>
      <c r="O182" s="834" t="s">
        <v>643</v>
      </c>
      <c r="P182" s="638">
        <v>7059</v>
      </c>
      <c r="Q182" s="639" t="s">
        <v>644</v>
      </c>
      <c r="R182" s="638">
        <v>7067</v>
      </c>
      <c r="S182" s="639" t="s">
        <v>645</v>
      </c>
      <c r="T182" s="638">
        <v>7075</v>
      </c>
      <c r="U182" s="639" t="s">
        <v>646</v>
      </c>
      <c r="V182" s="638">
        <v>7083</v>
      </c>
      <c r="W182" s="639" t="s">
        <v>647</v>
      </c>
      <c r="X182" s="638">
        <v>7091</v>
      </c>
      <c r="Y182" s="639" t="s">
        <v>648</v>
      </c>
    </row>
    <row r="183" spans="1:39" ht="17" thickBot="1">
      <c r="A183" s="637" t="s">
        <v>547</v>
      </c>
      <c r="B183" s="663">
        <v>7004</v>
      </c>
      <c r="C183" s="664" t="s">
        <v>649</v>
      </c>
      <c r="D183" s="663">
        <v>7012</v>
      </c>
      <c r="E183" s="664" t="s">
        <v>650</v>
      </c>
      <c r="F183" s="661">
        <v>7020</v>
      </c>
      <c r="G183" s="662" t="s">
        <v>651</v>
      </c>
      <c r="H183" s="672">
        <v>7028</v>
      </c>
      <c r="I183" s="673" t="s">
        <v>652</v>
      </c>
      <c r="J183" s="672">
        <v>7036</v>
      </c>
      <c r="K183" s="673" t="s">
        <v>653</v>
      </c>
      <c r="L183" s="672">
        <v>7044</v>
      </c>
      <c r="M183" s="673" t="s">
        <v>654</v>
      </c>
      <c r="N183" s="638">
        <v>7052</v>
      </c>
      <c r="O183" s="639" t="s">
        <v>655</v>
      </c>
      <c r="P183" s="638">
        <v>7060</v>
      </c>
      <c r="Q183" s="639" t="s">
        <v>656</v>
      </c>
      <c r="R183" s="638">
        <v>7068</v>
      </c>
      <c r="S183" s="639" t="s">
        <v>657</v>
      </c>
      <c r="T183" s="638">
        <v>7076</v>
      </c>
      <c r="U183" s="639" t="s">
        <v>658</v>
      </c>
      <c r="V183" s="638">
        <v>7084</v>
      </c>
      <c r="W183" s="639" t="s">
        <v>659</v>
      </c>
      <c r="X183" s="638">
        <v>7092</v>
      </c>
      <c r="Y183" s="639" t="s">
        <v>660</v>
      </c>
    </row>
    <row r="184" spans="1:39" ht="17" thickBot="1">
      <c r="A184" s="637" t="s">
        <v>548</v>
      </c>
      <c r="B184" s="663">
        <v>7005</v>
      </c>
      <c r="C184" s="664" t="s">
        <v>661</v>
      </c>
      <c r="D184" s="663">
        <v>7013</v>
      </c>
      <c r="E184" s="664" t="s">
        <v>662</v>
      </c>
      <c r="F184" s="661">
        <v>7021</v>
      </c>
      <c r="G184" s="662" t="s">
        <v>663</v>
      </c>
      <c r="H184" s="672">
        <v>7029</v>
      </c>
      <c r="I184" s="673" t="s">
        <v>664</v>
      </c>
      <c r="J184" s="672">
        <v>7037</v>
      </c>
      <c r="K184" s="673" t="s">
        <v>665</v>
      </c>
      <c r="L184" s="672">
        <v>7045</v>
      </c>
      <c r="M184" s="673" t="s">
        <v>666</v>
      </c>
      <c r="N184" s="638">
        <v>7053</v>
      </c>
      <c r="O184" s="639" t="s">
        <v>667</v>
      </c>
      <c r="P184" s="638">
        <v>7061</v>
      </c>
      <c r="Q184" s="639" t="s">
        <v>668</v>
      </c>
      <c r="R184" s="638">
        <v>7069</v>
      </c>
      <c r="S184" s="639" t="s">
        <v>669</v>
      </c>
      <c r="T184" s="638">
        <v>7077</v>
      </c>
      <c r="U184" s="639" t="s">
        <v>670</v>
      </c>
      <c r="V184" s="638">
        <v>7085</v>
      </c>
      <c r="W184" s="639" t="s">
        <v>671</v>
      </c>
      <c r="X184" s="638">
        <v>7093</v>
      </c>
      <c r="Y184" s="639" t="s">
        <v>672</v>
      </c>
    </row>
    <row r="185" spans="1:39" ht="17" thickBot="1">
      <c r="A185" s="637" t="s">
        <v>549</v>
      </c>
      <c r="B185" s="663">
        <v>7006</v>
      </c>
      <c r="C185" s="664" t="s">
        <v>673</v>
      </c>
      <c r="D185" s="663">
        <v>7014</v>
      </c>
      <c r="E185" s="664" t="s">
        <v>674</v>
      </c>
      <c r="F185" s="661">
        <v>7022</v>
      </c>
      <c r="G185" s="662" t="s">
        <v>675</v>
      </c>
      <c r="H185" s="672">
        <v>7030</v>
      </c>
      <c r="I185" s="673" t="s">
        <v>676</v>
      </c>
      <c r="J185" s="672">
        <v>7038</v>
      </c>
      <c r="K185" s="673" t="s">
        <v>677</v>
      </c>
      <c r="L185" s="672">
        <v>7046</v>
      </c>
      <c r="M185" s="673" t="s">
        <v>678</v>
      </c>
      <c r="N185" s="638">
        <v>7054</v>
      </c>
      <c r="O185" s="639" t="s">
        <v>679</v>
      </c>
      <c r="P185" s="638">
        <v>7062</v>
      </c>
      <c r="Q185" s="639" t="s">
        <v>680</v>
      </c>
      <c r="R185" s="638">
        <v>7070</v>
      </c>
      <c r="S185" s="639" t="s">
        <v>681</v>
      </c>
      <c r="T185" s="638">
        <v>7078</v>
      </c>
      <c r="U185" s="639" t="s">
        <v>682</v>
      </c>
      <c r="V185" s="638">
        <v>7086</v>
      </c>
      <c r="W185" s="639" t="s">
        <v>683</v>
      </c>
      <c r="X185" s="638">
        <v>7094</v>
      </c>
      <c r="Y185" s="639" t="s">
        <v>684</v>
      </c>
    </row>
    <row r="186" spans="1:39" ht="17" thickBot="1">
      <c r="A186" s="637" t="s">
        <v>550</v>
      </c>
      <c r="B186" s="663">
        <v>7007</v>
      </c>
      <c r="C186" s="664" t="s">
        <v>685</v>
      </c>
      <c r="D186" s="661">
        <v>7015</v>
      </c>
      <c r="E186" s="662" t="s">
        <v>686</v>
      </c>
      <c r="F186" s="661">
        <v>7023</v>
      </c>
      <c r="G186" s="662" t="s">
        <v>687</v>
      </c>
      <c r="H186" s="672">
        <v>7031</v>
      </c>
      <c r="I186" s="673" t="s">
        <v>688</v>
      </c>
      <c r="J186" s="672">
        <v>7039</v>
      </c>
      <c r="K186" s="673" t="s">
        <v>689</v>
      </c>
      <c r="L186" s="750">
        <v>7047</v>
      </c>
      <c r="M186" s="751" t="s">
        <v>690</v>
      </c>
      <c r="N186" s="638">
        <v>7055</v>
      </c>
      <c r="O186" s="639" t="s">
        <v>691</v>
      </c>
      <c r="P186" s="638">
        <v>7063</v>
      </c>
      <c r="Q186" s="639" t="s">
        <v>692</v>
      </c>
      <c r="R186" s="638">
        <v>7071</v>
      </c>
      <c r="S186" s="639" t="s">
        <v>693</v>
      </c>
      <c r="T186" s="638">
        <v>7079</v>
      </c>
      <c r="U186" s="639" t="s">
        <v>694</v>
      </c>
      <c r="V186" s="638">
        <v>7087</v>
      </c>
      <c r="W186" s="639" t="s">
        <v>695</v>
      </c>
      <c r="X186" s="638">
        <v>7095</v>
      </c>
      <c r="Y186" s="639" t="s">
        <v>696</v>
      </c>
    </row>
    <row r="187" spans="1:39" ht="17" thickBot="1">
      <c r="A187" s="637" t="s">
        <v>551</v>
      </c>
      <c r="B187" s="663">
        <v>7008</v>
      </c>
      <c r="C187" s="664" t="s">
        <v>697</v>
      </c>
      <c r="D187" s="661">
        <v>7016</v>
      </c>
      <c r="E187" s="662" t="s">
        <v>698</v>
      </c>
      <c r="F187" s="672">
        <v>7024</v>
      </c>
      <c r="G187" s="673" t="s">
        <v>699</v>
      </c>
      <c r="H187" s="672">
        <v>7032</v>
      </c>
      <c r="I187" s="673" t="s">
        <v>700</v>
      </c>
      <c r="J187" s="672">
        <v>7040</v>
      </c>
      <c r="K187" s="673" t="s">
        <v>701</v>
      </c>
      <c r="L187" s="750">
        <v>7048</v>
      </c>
      <c r="M187" s="751" t="s">
        <v>702</v>
      </c>
      <c r="N187" s="638">
        <v>7056</v>
      </c>
      <c r="O187" s="639" t="s">
        <v>703</v>
      </c>
      <c r="P187" s="638">
        <v>7064</v>
      </c>
      <c r="Q187" s="639" t="s">
        <v>704</v>
      </c>
      <c r="R187" s="638">
        <v>7072</v>
      </c>
      <c r="S187" s="639" t="s">
        <v>705</v>
      </c>
      <c r="T187" s="638">
        <v>7080</v>
      </c>
      <c r="U187" s="639" t="s">
        <v>706</v>
      </c>
      <c r="V187" s="638">
        <v>7088</v>
      </c>
      <c r="W187" s="639" t="s">
        <v>707</v>
      </c>
      <c r="X187" s="638">
        <v>7096</v>
      </c>
      <c r="Y187" s="639" t="s">
        <v>708</v>
      </c>
    </row>
    <row r="188" spans="1:39">
      <c r="B188" s="448"/>
      <c r="Z188" s="641"/>
      <c r="AA188" s="642"/>
      <c r="AB188" s="641"/>
      <c r="AC188" s="642"/>
      <c r="AD188" s="641"/>
      <c r="AE188" s="642"/>
      <c r="AF188" s="641"/>
      <c r="AG188" s="642"/>
      <c r="AH188" s="641"/>
      <c r="AI188" s="642"/>
      <c r="AJ188" s="641"/>
      <c r="AK188" s="642"/>
      <c r="AL188" s="641"/>
      <c r="AM188" s="642"/>
    </row>
    <row r="189" spans="1:39" ht="20" thickBot="1">
      <c r="A189" s="635" t="s">
        <v>710</v>
      </c>
      <c r="B189" s="635"/>
      <c r="C189" s="635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6"/>
      <c r="P189" s="636"/>
      <c r="Q189" s="636"/>
      <c r="R189" s="636"/>
      <c r="S189" s="636"/>
      <c r="T189" s="636"/>
      <c r="U189" s="636"/>
      <c r="V189" s="636"/>
      <c r="W189" s="636"/>
      <c r="X189" s="636"/>
      <c r="Y189" s="636"/>
    </row>
    <row r="190" spans="1:39" ht="17" thickBot="1">
      <c r="A190" s="637"/>
      <c r="B190" s="924">
        <v>1</v>
      </c>
      <c r="C190" s="924"/>
      <c r="D190" s="924">
        <v>2</v>
      </c>
      <c r="E190" s="924"/>
      <c r="F190" s="924">
        <v>3</v>
      </c>
      <c r="G190" s="924"/>
      <c r="H190" s="924">
        <v>4</v>
      </c>
      <c r="I190" s="924"/>
      <c r="J190" s="924">
        <v>5</v>
      </c>
      <c r="K190" s="924"/>
      <c r="L190" s="924">
        <v>6</v>
      </c>
      <c r="M190" s="924"/>
      <c r="N190" s="924">
        <v>7</v>
      </c>
      <c r="O190" s="924"/>
      <c r="P190" s="924">
        <v>8</v>
      </c>
      <c r="Q190" s="924"/>
      <c r="R190" s="924">
        <v>9</v>
      </c>
      <c r="S190" s="924"/>
      <c r="T190" s="924">
        <v>10</v>
      </c>
      <c r="U190" s="924"/>
      <c r="V190" s="924">
        <v>11</v>
      </c>
      <c r="W190" s="924"/>
      <c r="X190" s="924">
        <v>12</v>
      </c>
      <c r="Y190" s="924"/>
    </row>
    <row r="191" spans="1:39" ht="17" thickBot="1">
      <c r="A191" s="637" t="s">
        <v>544</v>
      </c>
      <c r="B191" s="649">
        <v>7001</v>
      </c>
      <c r="C191" s="650" t="s">
        <v>613</v>
      </c>
      <c r="D191" s="649">
        <v>7009</v>
      </c>
      <c r="E191" s="650" t="s">
        <v>614</v>
      </c>
      <c r="F191" s="668">
        <v>7017</v>
      </c>
      <c r="G191" s="669" t="s">
        <v>615</v>
      </c>
      <c r="H191" s="668">
        <v>7025</v>
      </c>
      <c r="I191" s="669" t="s">
        <v>616</v>
      </c>
      <c r="J191" s="668">
        <v>7033</v>
      </c>
      <c r="K191" s="669" t="s">
        <v>617</v>
      </c>
      <c r="L191" s="674">
        <v>7041</v>
      </c>
      <c r="M191" s="675" t="s">
        <v>618</v>
      </c>
      <c r="N191" s="674">
        <v>7049</v>
      </c>
      <c r="O191" s="675" t="s">
        <v>619</v>
      </c>
      <c r="P191" s="674">
        <v>7057</v>
      </c>
      <c r="Q191" s="675" t="s">
        <v>620</v>
      </c>
      <c r="R191" s="752">
        <v>7065</v>
      </c>
      <c r="S191" s="753" t="s">
        <v>621</v>
      </c>
      <c r="T191" s="835">
        <v>7073</v>
      </c>
      <c r="U191" s="836" t="s">
        <v>622</v>
      </c>
      <c r="V191" s="638">
        <v>7081</v>
      </c>
      <c r="W191" s="639" t="s">
        <v>623</v>
      </c>
      <c r="X191" s="638">
        <v>7089</v>
      </c>
      <c r="Y191" s="639" t="s">
        <v>624</v>
      </c>
    </row>
    <row r="192" spans="1:39" ht="17" thickBot="1">
      <c r="A192" s="637" t="s">
        <v>545</v>
      </c>
      <c r="B192" s="649">
        <v>7002</v>
      </c>
      <c r="C192" s="650" t="s">
        <v>625</v>
      </c>
      <c r="D192" s="649">
        <v>7010</v>
      </c>
      <c r="E192" s="650" t="s">
        <v>626</v>
      </c>
      <c r="F192" s="668">
        <v>7018</v>
      </c>
      <c r="G192" s="669" t="s">
        <v>627</v>
      </c>
      <c r="H192" s="668">
        <v>7026</v>
      </c>
      <c r="I192" s="669" t="s">
        <v>628</v>
      </c>
      <c r="J192" s="668">
        <v>7034</v>
      </c>
      <c r="K192" s="669" t="s">
        <v>629</v>
      </c>
      <c r="L192" s="674">
        <v>7042</v>
      </c>
      <c r="M192" s="675" t="s">
        <v>630</v>
      </c>
      <c r="N192" s="674">
        <v>7050</v>
      </c>
      <c r="O192" s="675" t="s">
        <v>631</v>
      </c>
      <c r="P192" s="674">
        <v>7058</v>
      </c>
      <c r="Q192" s="675" t="s">
        <v>632</v>
      </c>
      <c r="R192" s="752">
        <v>7066</v>
      </c>
      <c r="S192" s="753" t="s">
        <v>633</v>
      </c>
      <c r="T192" s="835">
        <v>7074</v>
      </c>
      <c r="U192" s="836" t="s">
        <v>634</v>
      </c>
      <c r="V192" s="638">
        <v>7082</v>
      </c>
      <c r="W192" s="639" t="s">
        <v>635</v>
      </c>
      <c r="X192" s="638">
        <v>7090</v>
      </c>
      <c r="Y192" s="639" t="s">
        <v>636</v>
      </c>
    </row>
    <row r="193" spans="1:25" ht="17" thickBot="1">
      <c r="A193" s="637" t="s">
        <v>546</v>
      </c>
      <c r="B193" s="649">
        <v>7003</v>
      </c>
      <c r="C193" s="650" t="s">
        <v>637</v>
      </c>
      <c r="D193" s="649">
        <v>7011</v>
      </c>
      <c r="E193" s="650" t="s">
        <v>638</v>
      </c>
      <c r="F193" s="668">
        <v>7019</v>
      </c>
      <c r="G193" s="669" t="s">
        <v>639</v>
      </c>
      <c r="H193" s="668">
        <v>7027</v>
      </c>
      <c r="I193" s="669" t="s">
        <v>640</v>
      </c>
      <c r="J193" s="668">
        <v>7035</v>
      </c>
      <c r="K193" s="669" t="s">
        <v>641</v>
      </c>
      <c r="L193" s="674">
        <v>7043</v>
      </c>
      <c r="M193" s="675" t="s">
        <v>642</v>
      </c>
      <c r="N193" s="674">
        <v>7051</v>
      </c>
      <c r="O193" s="675" t="s">
        <v>643</v>
      </c>
      <c r="P193" s="674">
        <v>7059</v>
      </c>
      <c r="Q193" s="675" t="s">
        <v>644</v>
      </c>
      <c r="R193" s="752">
        <v>7067</v>
      </c>
      <c r="S193" s="753" t="s">
        <v>645</v>
      </c>
      <c r="T193" s="638">
        <v>7075</v>
      </c>
      <c r="U193" s="639" t="s">
        <v>646</v>
      </c>
      <c r="V193" s="638">
        <v>7083</v>
      </c>
      <c r="W193" s="639" t="s">
        <v>647</v>
      </c>
      <c r="X193" s="638">
        <v>7091</v>
      </c>
      <c r="Y193" s="639" t="s">
        <v>648</v>
      </c>
    </row>
    <row r="194" spans="1:25" ht="17" thickBot="1">
      <c r="A194" s="637" t="s">
        <v>547</v>
      </c>
      <c r="B194" s="649">
        <v>7004</v>
      </c>
      <c r="C194" s="650" t="s">
        <v>649</v>
      </c>
      <c r="D194" s="649">
        <v>7012</v>
      </c>
      <c r="E194" s="650" t="s">
        <v>650</v>
      </c>
      <c r="F194" s="668">
        <v>7020</v>
      </c>
      <c r="G194" s="669" t="s">
        <v>651</v>
      </c>
      <c r="H194" s="668">
        <v>7028</v>
      </c>
      <c r="I194" s="669" t="s">
        <v>652</v>
      </c>
      <c r="J194" s="668">
        <v>7036</v>
      </c>
      <c r="K194" s="669" t="s">
        <v>653</v>
      </c>
      <c r="L194" s="674">
        <v>7044</v>
      </c>
      <c r="M194" s="675" t="s">
        <v>654</v>
      </c>
      <c r="N194" s="674">
        <v>7052</v>
      </c>
      <c r="O194" s="675" t="s">
        <v>655</v>
      </c>
      <c r="P194" s="674">
        <v>7060</v>
      </c>
      <c r="Q194" s="675" t="s">
        <v>656</v>
      </c>
      <c r="R194" s="752">
        <v>7068</v>
      </c>
      <c r="S194" s="753" t="s">
        <v>657</v>
      </c>
      <c r="T194" s="638">
        <v>7076</v>
      </c>
      <c r="U194" s="639" t="s">
        <v>658</v>
      </c>
      <c r="V194" s="638">
        <v>7084</v>
      </c>
      <c r="W194" s="639" t="s">
        <v>659</v>
      </c>
      <c r="X194" s="638">
        <v>7092</v>
      </c>
      <c r="Y194" s="639" t="s">
        <v>660</v>
      </c>
    </row>
    <row r="195" spans="1:25" ht="17" thickBot="1">
      <c r="A195" s="637" t="s">
        <v>548</v>
      </c>
      <c r="B195" s="649">
        <v>7005</v>
      </c>
      <c r="C195" s="650" t="s">
        <v>661</v>
      </c>
      <c r="D195" s="668">
        <v>7013</v>
      </c>
      <c r="E195" s="669" t="s">
        <v>662</v>
      </c>
      <c r="F195" s="668">
        <v>7021</v>
      </c>
      <c r="G195" s="669" t="s">
        <v>663</v>
      </c>
      <c r="H195" s="668">
        <v>7029</v>
      </c>
      <c r="I195" s="669" t="s">
        <v>664</v>
      </c>
      <c r="J195" s="668">
        <v>7037</v>
      </c>
      <c r="K195" s="669" t="s">
        <v>665</v>
      </c>
      <c r="L195" s="674">
        <v>7045</v>
      </c>
      <c r="M195" s="675" t="s">
        <v>666</v>
      </c>
      <c r="N195" s="674">
        <v>7053</v>
      </c>
      <c r="O195" s="675" t="s">
        <v>667</v>
      </c>
      <c r="P195" s="674">
        <v>7061</v>
      </c>
      <c r="Q195" s="675" t="s">
        <v>668</v>
      </c>
      <c r="R195" s="752">
        <v>7069</v>
      </c>
      <c r="S195" s="753" t="s">
        <v>669</v>
      </c>
      <c r="T195" s="638">
        <v>7077</v>
      </c>
      <c r="U195" s="639" t="s">
        <v>670</v>
      </c>
      <c r="V195" s="638">
        <v>7085</v>
      </c>
      <c r="W195" s="639" t="s">
        <v>671</v>
      </c>
      <c r="X195" s="638">
        <v>7093</v>
      </c>
      <c r="Y195" s="639" t="s">
        <v>672</v>
      </c>
    </row>
    <row r="196" spans="1:25" ht="17" thickBot="1">
      <c r="A196" s="637" t="s">
        <v>549</v>
      </c>
      <c r="B196" s="649">
        <v>7006</v>
      </c>
      <c r="C196" s="650" t="s">
        <v>673</v>
      </c>
      <c r="D196" s="668">
        <v>7014</v>
      </c>
      <c r="E196" s="669" t="s">
        <v>674</v>
      </c>
      <c r="F196" s="668">
        <v>7022</v>
      </c>
      <c r="G196" s="669" t="s">
        <v>675</v>
      </c>
      <c r="H196" s="668">
        <v>7030</v>
      </c>
      <c r="I196" s="669" t="s">
        <v>676</v>
      </c>
      <c r="J196" s="674">
        <v>7038</v>
      </c>
      <c r="K196" s="675" t="s">
        <v>677</v>
      </c>
      <c r="L196" s="674">
        <v>7046</v>
      </c>
      <c r="M196" s="675" t="s">
        <v>678</v>
      </c>
      <c r="N196" s="674">
        <v>7054</v>
      </c>
      <c r="O196" s="675" t="s">
        <v>679</v>
      </c>
      <c r="P196" s="752">
        <v>7062</v>
      </c>
      <c r="Q196" s="753" t="s">
        <v>680</v>
      </c>
      <c r="R196" s="752">
        <v>7070</v>
      </c>
      <c r="S196" s="753" t="s">
        <v>681</v>
      </c>
      <c r="T196" s="638">
        <v>7078</v>
      </c>
      <c r="U196" s="639" t="s">
        <v>682</v>
      </c>
      <c r="V196" s="638">
        <v>7086</v>
      </c>
      <c r="W196" s="639" t="s">
        <v>683</v>
      </c>
      <c r="X196" s="638">
        <v>7094</v>
      </c>
      <c r="Y196" s="639" t="s">
        <v>684</v>
      </c>
    </row>
    <row r="197" spans="1:25" ht="17" thickBot="1">
      <c r="A197" s="637" t="s">
        <v>550</v>
      </c>
      <c r="B197" s="649">
        <v>7007</v>
      </c>
      <c r="C197" s="650" t="s">
        <v>685</v>
      </c>
      <c r="D197" s="668">
        <v>7015</v>
      </c>
      <c r="E197" s="669" t="s">
        <v>686</v>
      </c>
      <c r="F197" s="668">
        <v>7023</v>
      </c>
      <c r="G197" s="669" t="s">
        <v>687</v>
      </c>
      <c r="H197" s="668">
        <v>7031</v>
      </c>
      <c r="I197" s="669" t="s">
        <v>688</v>
      </c>
      <c r="J197" s="674">
        <v>7039</v>
      </c>
      <c r="K197" s="675" t="s">
        <v>689</v>
      </c>
      <c r="L197" s="674">
        <v>7047</v>
      </c>
      <c r="M197" s="675" t="s">
        <v>690</v>
      </c>
      <c r="N197" s="674">
        <v>7055</v>
      </c>
      <c r="O197" s="675" t="s">
        <v>691</v>
      </c>
      <c r="P197" s="752">
        <v>7063</v>
      </c>
      <c r="Q197" s="753" t="s">
        <v>692</v>
      </c>
      <c r="R197" s="752">
        <v>7071</v>
      </c>
      <c r="S197" s="753" t="s">
        <v>693</v>
      </c>
      <c r="T197" s="638">
        <v>7079</v>
      </c>
      <c r="U197" s="639" t="s">
        <v>694</v>
      </c>
      <c r="V197" s="638">
        <v>7087</v>
      </c>
      <c r="W197" s="639" t="s">
        <v>695</v>
      </c>
      <c r="X197" s="638">
        <v>7095</v>
      </c>
      <c r="Y197" s="639" t="s">
        <v>696</v>
      </c>
    </row>
    <row r="198" spans="1:25" ht="17" thickBot="1">
      <c r="A198" s="637" t="s">
        <v>551</v>
      </c>
      <c r="B198" s="649">
        <v>7008</v>
      </c>
      <c r="C198" s="650" t="s">
        <v>697</v>
      </c>
      <c r="D198" s="668">
        <v>7016</v>
      </c>
      <c r="E198" s="669" t="s">
        <v>698</v>
      </c>
      <c r="F198" s="668">
        <v>7024</v>
      </c>
      <c r="G198" s="669" t="s">
        <v>699</v>
      </c>
      <c r="H198" s="668">
        <v>7032</v>
      </c>
      <c r="I198" s="669" t="s">
        <v>700</v>
      </c>
      <c r="J198" s="674">
        <v>7040</v>
      </c>
      <c r="K198" s="675" t="s">
        <v>701</v>
      </c>
      <c r="L198" s="674">
        <v>7048</v>
      </c>
      <c r="M198" s="675" t="s">
        <v>702</v>
      </c>
      <c r="N198" s="674">
        <v>7056</v>
      </c>
      <c r="O198" s="675" t="s">
        <v>703</v>
      </c>
      <c r="P198" s="752">
        <v>7064</v>
      </c>
      <c r="Q198" s="753" t="s">
        <v>704</v>
      </c>
      <c r="R198" s="835">
        <v>7072</v>
      </c>
      <c r="S198" s="836" t="s">
        <v>705</v>
      </c>
      <c r="T198" s="638">
        <v>7080</v>
      </c>
      <c r="U198" s="639" t="s">
        <v>706</v>
      </c>
      <c r="V198" s="638">
        <v>7088</v>
      </c>
      <c r="W198" s="639" t="s">
        <v>707</v>
      </c>
      <c r="X198" s="638">
        <v>7096</v>
      </c>
      <c r="Y198" s="639" t="s">
        <v>708</v>
      </c>
    </row>
    <row r="199" spans="1:25">
      <c r="B199" s="448"/>
    </row>
    <row r="200" spans="1:25" ht="22" thickBot="1">
      <c r="A200" s="653" t="s">
        <v>711</v>
      </c>
      <c r="B200" s="448"/>
    </row>
    <row r="201" spans="1:25">
      <c r="B201" s="931" t="s">
        <v>714</v>
      </c>
      <c r="C201" s="932"/>
      <c r="D201" s="933" t="s">
        <v>713</v>
      </c>
      <c r="E201" s="934"/>
      <c r="F201" s="188"/>
      <c r="G201" s="188"/>
      <c r="H201" s="935" t="s">
        <v>714</v>
      </c>
      <c r="I201" s="936"/>
      <c r="J201" s="937" t="s">
        <v>713</v>
      </c>
      <c r="K201" s="938"/>
      <c r="L201"/>
      <c r="M201"/>
    </row>
    <row r="202" spans="1:25">
      <c r="A202" s="687"/>
      <c r="B202" s="679">
        <v>1</v>
      </c>
      <c r="C202" s="522">
        <v>2</v>
      </c>
      <c r="D202" s="665">
        <v>2</v>
      </c>
      <c r="E202" s="680">
        <v>3</v>
      </c>
      <c r="F202" s="693">
        <v>5</v>
      </c>
      <c r="G202" s="687">
        <v>6</v>
      </c>
      <c r="H202" s="679">
        <v>7</v>
      </c>
      <c r="I202" s="522">
        <v>8</v>
      </c>
      <c r="J202" s="665">
        <v>7</v>
      </c>
      <c r="K202" s="680">
        <v>8</v>
      </c>
      <c r="L202" s="693">
        <v>11</v>
      </c>
      <c r="M202" s="522">
        <v>12</v>
      </c>
    </row>
    <row r="203" spans="1:25">
      <c r="A203" s="521" t="s">
        <v>544</v>
      </c>
      <c r="B203" s="681">
        <v>331</v>
      </c>
      <c r="C203" s="278">
        <v>324</v>
      </c>
      <c r="D203" s="298">
        <v>7001</v>
      </c>
      <c r="E203" s="689">
        <v>7009</v>
      </c>
      <c r="F203" s="694"/>
      <c r="G203" s="432"/>
      <c r="H203" s="681" t="s">
        <v>261</v>
      </c>
      <c r="I203" s="278">
        <v>483</v>
      </c>
      <c r="J203" s="659">
        <v>7001</v>
      </c>
      <c r="K203" s="699">
        <v>7009</v>
      </c>
      <c r="L203" s="697"/>
      <c r="M203" s="657"/>
    </row>
    <row r="204" spans="1:25">
      <c r="A204" s="688" t="s">
        <v>545</v>
      </c>
      <c r="B204" s="683">
        <v>305</v>
      </c>
      <c r="C204" s="640">
        <v>322</v>
      </c>
      <c r="D204" s="651">
        <v>7002</v>
      </c>
      <c r="E204" s="690">
        <v>7010</v>
      </c>
      <c r="F204" s="695"/>
      <c r="G204" s="696"/>
      <c r="H204" s="683">
        <v>522</v>
      </c>
      <c r="I204" s="640" t="s">
        <v>255</v>
      </c>
      <c r="J204" s="660">
        <v>7002</v>
      </c>
      <c r="K204" s="700">
        <v>7010</v>
      </c>
      <c r="L204" s="698"/>
      <c r="M204" s="658"/>
    </row>
    <row r="205" spans="1:25">
      <c r="A205" s="521" t="s">
        <v>546</v>
      </c>
      <c r="B205" s="681">
        <v>311</v>
      </c>
      <c r="C205" s="278">
        <v>319</v>
      </c>
      <c r="D205" s="298">
        <v>7003</v>
      </c>
      <c r="E205" s="689">
        <v>7011</v>
      </c>
      <c r="F205" s="694"/>
      <c r="G205" s="432"/>
      <c r="H205" s="681" t="s">
        <v>259</v>
      </c>
      <c r="I205" s="278">
        <v>411</v>
      </c>
      <c r="J205" s="659">
        <v>7003</v>
      </c>
      <c r="K205" s="699">
        <v>7011</v>
      </c>
      <c r="L205" s="697"/>
      <c r="M205" s="657"/>
    </row>
    <row r="206" spans="1:25">
      <c r="A206" s="688" t="s">
        <v>547</v>
      </c>
      <c r="B206" s="683">
        <v>348</v>
      </c>
      <c r="C206" s="640">
        <v>316</v>
      </c>
      <c r="D206" s="651">
        <v>7004</v>
      </c>
      <c r="E206" s="690">
        <v>7012</v>
      </c>
      <c r="F206" s="695"/>
      <c r="G206" s="696"/>
      <c r="H206" s="683">
        <v>542</v>
      </c>
      <c r="I206" s="640">
        <v>401</v>
      </c>
      <c r="J206" s="660">
        <v>7004</v>
      </c>
      <c r="K206" s="700">
        <v>7012</v>
      </c>
      <c r="L206" s="698"/>
      <c r="M206" s="658"/>
    </row>
    <row r="207" spans="1:25">
      <c r="A207" s="521" t="s">
        <v>548</v>
      </c>
      <c r="B207" s="691">
        <v>338</v>
      </c>
      <c r="C207" s="278">
        <v>339</v>
      </c>
      <c r="D207" s="298">
        <v>7005</v>
      </c>
      <c r="E207" s="689">
        <v>7013</v>
      </c>
      <c r="F207" s="694"/>
      <c r="G207" s="432"/>
      <c r="H207" s="681">
        <v>523</v>
      </c>
      <c r="I207" s="278"/>
      <c r="J207" s="659">
        <v>7005</v>
      </c>
      <c r="K207" s="699"/>
      <c r="L207" s="697"/>
      <c r="M207" s="657"/>
    </row>
    <row r="208" spans="1:25">
      <c r="A208" s="688" t="s">
        <v>549</v>
      </c>
      <c r="B208" s="683">
        <v>308</v>
      </c>
      <c r="C208" s="640">
        <v>293</v>
      </c>
      <c r="D208" s="651">
        <v>7006</v>
      </c>
      <c r="E208" s="690">
        <v>7014</v>
      </c>
      <c r="F208" s="695"/>
      <c r="G208" s="696"/>
      <c r="H208" s="683">
        <v>402</v>
      </c>
      <c r="I208" s="640"/>
      <c r="J208" s="660">
        <v>7006</v>
      </c>
      <c r="K208" s="700"/>
      <c r="L208" s="698"/>
      <c r="M208" s="658"/>
    </row>
    <row r="209" spans="1:13">
      <c r="A209" s="521" t="s">
        <v>550</v>
      </c>
      <c r="B209" s="681">
        <v>318</v>
      </c>
      <c r="C209" s="278"/>
      <c r="D209" s="298">
        <v>7007</v>
      </c>
      <c r="E209" s="689"/>
      <c r="F209" s="694"/>
      <c r="G209" s="432"/>
      <c r="H209" s="681">
        <v>487</v>
      </c>
      <c r="I209" s="278"/>
      <c r="J209" s="659">
        <v>7007</v>
      </c>
      <c r="K209" s="699"/>
      <c r="L209" s="697"/>
      <c r="M209" s="657"/>
    </row>
    <row r="210" spans="1:13">
      <c r="A210" s="688" t="s">
        <v>551</v>
      </c>
      <c r="B210" s="683">
        <v>294</v>
      </c>
      <c r="C210" s="640"/>
      <c r="D210" s="651">
        <v>7008</v>
      </c>
      <c r="E210" s="690"/>
      <c r="F210" s="695"/>
      <c r="G210" s="696"/>
      <c r="H210" s="683" t="s">
        <v>264</v>
      </c>
      <c r="I210" s="640"/>
      <c r="J210" s="660">
        <v>7008</v>
      </c>
      <c r="K210" s="700"/>
      <c r="L210" s="698"/>
      <c r="M210" s="658"/>
    </row>
    <row r="211" spans="1:13" ht="17" thickBot="1">
      <c r="B211" s="925" t="s">
        <v>7</v>
      </c>
      <c r="C211" s="926"/>
      <c r="D211" s="926"/>
      <c r="E211" s="927"/>
      <c r="H211" s="928" t="s">
        <v>712</v>
      </c>
      <c r="I211" s="929"/>
      <c r="J211" s="929"/>
      <c r="K211" s="930"/>
    </row>
    <row r="214" spans="1:13" ht="22" thickBot="1">
      <c r="A214" s="653" t="s">
        <v>716</v>
      </c>
      <c r="B214" s="448"/>
    </row>
    <row r="215" spans="1:13">
      <c r="B215" s="910" t="s">
        <v>714</v>
      </c>
      <c r="C215" s="911"/>
      <c r="D215" s="912" t="s">
        <v>713</v>
      </c>
      <c r="E215" s="913"/>
      <c r="F215" s="917" t="s">
        <v>714</v>
      </c>
      <c r="G215" s="918"/>
      <c r="H215" s="918"/>
      <c r="I215" s="918"/>
      <c r="J215" s="919" t="s">
        <v>713</v>
      </c>
      <c r="K215" s="919"/>
      <c r="L215" s="919"/>
      <c r="M215" s="920"/>
    </row>
    <row r="216" spans="1:13">
      <c r="A216" s="687"/>
      <c r="B216" s="679">
        <v>1</v>
      </c>
      <c r="C216" s="522">
        <v>2</v>
      </c>
      <c r="D216" s="665">
        <v>1</v>
      </c>
      <c r="E216" s="680">
        <v>2</v>
      </c>
      <c r="F216" s="679">
        <v>5</v>
      </c>
      <c r="G216" s="522">
        <v>6</v>
      </c>
      <c r="H216" s="522">
        <v>7</v>
      </c>
      <c r="I216" s="522">
        <v>8</v>
      </c>
      <c r="J216" s="665">
        <v>5</v>
      </c>
      <c r="K216" s="665">
        <v>6</v>
      </c>
      <c r="L216" s="665">
        <v>7</v>
      </c>
      <c r="M216" s="680">
        <v>8</v>
      </c>
    </row>
    <row r="217" spans="1:13">
      <c r="A217" s="521" t="s">
        <v>544</v>
      </c>
      <c r="B217" s="681">
        <v>328</v>
      </c>
      <c r="C217" s="278">
        <v>303</v>
      </c>
      <c r="D217" s="298">
        <v>7015</v>
      </c>
      <c r="E217" s="689">
        <v>7020</v>
      </c>
      <c r="F217" s="681">
        <v>524</v>
      </c>
      <c r="G217" s="278">
        <v>476</v>
      </c>
      <c r="H217" s="278">
        <v>553</v>
      </c>
      <c r="I217" s="670">
        <v>543</v>
      </c>
      <c r="J217" s="666">
        <v>7013</v>
      </c>
      <c r="K217" s="125">
        <v>7019</v>
      </c>
      <c r="L217" s="125">
        <v>7025</v>
      </c>
      <c r="M217" s="682">
        <v>7031</v>
      </c>
    </row>
    <row r="218" spans="1:13">
      <c r="A218" s="688" t="s">
        <v>545</v>
      </c>
      <c r="B218" s="683">
        <v>325</v>
      </c>
      <c r="C218" s="640">
        <v>346</v>
      </c>
      <c r="D218" s="651">
        <v>7016</v>
      </c>
      <c r="E218" s="690">
        <v>7021</v>
      </c>
      <c r="F218" s="683">
        <v>453</v>
      </c>
      <c r="G218" s="640">
        <v>525</v>
      </c>
      <c r="H218" s="640">
        <v>551</v>
      </c>
      <c r="I218" s="671">
        <v>403</v>
      </c>
      <c r="J218" s="667">
        <v>7014</v>
      </c>
      <c r="K218" s="652">
        <v>7020</v>
      </c>
      <c r="L218" s="652">
        <v>7026</v>
      </c>
      <c r="M218" s="684">
        <v>7032</v>
      </c>
    </row>
    <row r="219" spans="1:13">
      <c r="A219" s="521" t="s">
        <v>546</v>
      </c>
      <c r="B219" s="681">
        <v>343</v>
      </c>
      <c r="C219" s="278">
        <v>341</v>
      </c>
      <c r="D219" s="298">
        <v>7017</v>
      </c>
      <c r="E219" s="689">
        <v>7022</v>
      </c>
      <c r="F219" s="681">
        <v>554</v>
      </c>
      <c r="G219" s="278">
        <v>490</v>
      </c>
      <c r="H219" s="278">
        <v>482</v>
      </c>
      <c r="I219" s="670" t="s">
        <v>260</v>
      </c>
      <c r="J219" s="666">
        <v>7015</v>
      </c>
      <c r="K219" s="125">
        <v>7021</v>
      </c>
      <c r="L219" s="125">
        <v>7027</v>
      </c>
      <c r="M219" s="682">
        <v>7033</v>
      </c>
    </row>
    <row r="220" spans="1:13">
      <c r="A220" s="688" t="s">
        <v>547</v>
      </c>
      <c r="B220" s="683">
        <v>302</v>
      </c>
      <c r="C220" s="640">
        <v>309</v>
      </c>
      <c r="D220" s="651">
        <v>7018</v>
      </c>
      <c r="E220" s="690">
        <v>7023</v>
      </c>
      <c r="F220" s="683">
        <v>474</v>
      </c>
      <c r="G220" s="640">
        <v>473</v>
      </c>
      <c r="H220" s="640">
        <v>488</v>
      </c>
      <c r="I220" s="671">
        <v>564</v>
      </c>
      <c r="J220" s="667">
        <v>7016</v>
      </c>
      <c r="K220" s="652">
        <v>7022</v>
      </c>
      <c r="L220" s="652">
        <v>7028</v>
      </c>
      <c r="M220" s="684">
        <v>7034</v>
      </c>
    </row>
    <row r="221" spans="1:13">
      <c r="A221" s="521" t="s">
        <v>548</v>
      </c>
      <c r="B221" s="691">
        <v>345</v>
      </c>
      <c r="C221" s="278"/>
      <c r="D221" s="298">
        <v>7019</v>
      </c>
      <c r="E221" s="689"/>
      <c r="F221" s="681">
        <v>526</v>
      </c>
      <c r="G221" s="278">
        <v>485</v>
      </c>
      <c r="H221" s="670">
        <v>528</v>
      </c>
      <c r="I221" s="670">
        <v>532</v>
      </c>
      <c r="J221" s="666">
        <v>7017</v>
      </c>
      <c r="K221" s="125">
        <v>7023</v>
      </c>
      <c r="L221" s="125">
        <v>7029</v>
      </c>
      <c r="M221" s="682">
        <v>7035</v>
      </c>
    </row>
    <row r="222" spans="1:13">
      <c r="A222" s="688" t="s">
        <v>549</v>
      </c>
      <c r="B222" s="685"/>
      <c r="C222" s="524"/>
      <c r="D222" s="651"/>
      <c r="E222" s="690"/>
      <c r="F222" s="683">
        <v>475</v>
      </c>
      <c r="G222" s="640">
        <v>421</v>
      </c>
      <c r="H222" s="671">
        <v>451</v>
      </c>
      <c r="I222" s="671">
        <v>481</v>
      </c>
      <c r="J222" s="667">
        <v>7018</v>
      </c>
      <c r="K222" s="652">
        <v>7024</v>
      </c>
      <c r="L222" s="652">
        <v>7030</v>
      </c>
      <c r="M222" s="684">
        <v>7036</v>
      </c>
    </row>
    <row r="223" spans="1:13">
      <c r="A223" s="521" t="s">
        <v>550</v>
      </c>
      <c r="B223" s="692"/>
      <c r="C223" s="161"/>
      <c r="D223" s="298"/>
      <c r="E223" s="689"/>
      <c r="F223" s="681"/>
      <c r="G223" s="278"/>
      <c r="H223" s="278"/>
      <c r="I223" s="670">
        <v>444</v>
      </c>
      <c r="J223" s="666"/>
      <c r="K223" s="125"/>
      <c r="L223" s="125"/>
      <c r="M223" s="682">
        <v>7037</v>
      </c>
    </row>
    <row r="224" spans="1:13">
      <c r="A224" s="688" t="s">
        <v>551</v>
      </c>
      <c r="B224" s="685"/>
      <c r="C224" s="524"/>
      <c r="D224" s="651"/>
      <c r="E224" s="690"/>
      <c r="F224" s="685"/>
      <c r="G224" s="524"/>
      <c r="H224" s="524"/>
      <c r="I224" s="524"/>
      <c r="J224" s="656"/>
      <c r="K224" s="643"/>
      <c r="L224" s="643"/>
      <c r="M224" s="686"/>
    </row>
    <row r="225" spans="1:13" ht="17" thickBot="1">
      <c r="B225" s="914" t="s">
        <v>7</v>
      </c>
      <c r="C225" s="915"/>
      <c r="D225" s="915"/>
      <c r="E225" s="916"/>
      <c r="F225" s="921" t="s">
        <v>712</v>
      </c>
      <c r="G225" s="922"/>
      <c r="H225" s="922"/>
      <c r="I225" s="922"/>
      <c r="J225" s="922"/>
      <c r="K225" s="922"/>
      <c r="L225" s="922"/>
      <c r="M225" s="923"/>
    </row>
    <row r="228" spans="1:13" ht="22" thickBot="1">
      <c r="A228" s="653" t="s">
        <v>715</v>
      </c>
      <c r="B228" s="448"/>
    </row>
    <row r="229" spans="1:13">
      <c r="B229" s="901" t="s">
        <v>714</v>
      </c>
      <c r="C229" s="902"/>
      <c r="D229" s="902"/>
      <c r="E229" s="903" t="s">
        <v>713</v>
      </c>
      <c r="F229" s="903"/>
      <c r="G229" s="904"/>
      <c r="H229" s="908" t="s">
        <v>714</v>
      </c>
      <c r="I229" s="909"/>
      <c r="J229" s="909"/>
      <c r="K229" s="896" t="s">
        <v>713</v>
      </c>
      <c r="L229" s="896"/>
      <c r="M229" s="897"/>
    </row>
    <row r="230" spans="1:13">
      <c r="A230" s="687"/>
      <c r="B230" s="679">
        <v>1</v>
      </c>
      <c r="C230" s="522">
        <v>2</v>
      </c>
      <c r="D230" s="522">
        <v>3</v>
      </c>
      <c r="E230" s="522">
        <v>4</v>
      </c>
      <c r="F230" s="522">
        <v>5</v>
      </c>
      <c r="G230" s="703">
        <v>6</v>
      </c>
      <c r="H230" s="679">
        <v>7</v>
      </c>
      <c r="I230" s="522">
        <v>8</v>
      </c>
      <c r="J230" s="522">
        <v>9</v>
      </c>
      <c r="K230" s="522">
        <v>10</v>
      </c>
      <c r="L230" s="522">
        <v>11</v>
      </c>
      <c r="M230" s="703">
        <v>12</v>
      </c>
    </row>
    <row r="231" spans="1:13">
      <c r="A231" s="521" t="s">
        <v>544</v>
      </c>
      <c r="B231" s="681">
        <v>299</v>
      </c>
      <c r="C231" s="278">
        <v>312</v>
      </c>
      <c r="D231" s="278">
        <v>337</v>
      </c>
      <c r="E231" s="298">
        <v>7024</v>
      </c>
      <c r="F231" s="298">
        <v>7032</v>
      </c>
      <c r="G231" s="689">
        <v>7040</v>
      </c>
      <c r="H231" s="681">
        <v>489</v>
      </c>
      <c r="I231" s="278">
        <v>404</v>
      </c>
      <c r="J231" s="670">
        <v>491</v>
      </c>
      <c r="K231" s="125">
        <v>7038</v>
      </c>
      <c r="L231" s="314">
        <v>7046</v>
      </c>
      <c r="M231" s="704">
        <v>7054</v>
      </c>
    </row>
    <row r="232" spans="1:13">
      <c r="A232" s="688" t="s">
        <v>545</v>
      </c>
      <c r="B232" s="683">
        <v>301</v>
      </c>
      <c r="C232" s="640">
        <v>321</v>
      </c>
      <c r="D232" s="640">
        <v>313</v>
      </c>
      <c r="E232" s="651">
        <v>7025</v>
      </c>
      <c r="F232" s="651">
        <v>7033</v>
      </c>
      <c r="G232" s="690">
        <v>7041</v>
      </c>
      <c r="H232" s="683">
        <v>443</v>
      </c>
      <c r="I232" s="640">
        <v>484</v>
      </c>
      <c r="J232" s="671" t="s">
        <v>262</v>
      </c>
      <c r="K232" s="652">
        <v>7039</v>
      </c>
      <c r="L232" s="643">
        <v>7047</v>
      </c>
      <c r="M232" s="686">
        <v>7055</v>
      </c>
    </row>
    <row r="233" spans="1:13">
      <c r="A233" s="521" t="s">
        <v>546</v>
      </c>
      <c r="B233" s="681">
        <v>342</v>
      </c>
      <c r="C233" s="278">
        <v>333</v>
      </c>
      <c r="D233" s="278">
        <v>327</v>
      </c>
      <c r="E233" s="298">
        <v>7026</v>
      </c>
      <c r="F233" s="298">
        <v>7034</v>
      </c>
      <c r="G233" s="689">
        <v>7042</v>
      </c>
      <c r="H233" s="681">
        <v>477</v>
      </c>
      <c r="I233" s="278">
        <v>531</v>
      </c>
      <c r="J233" s="670">
        <v>39</v>
      </c>
      <c r="K233" s="125">
        <v>7040</v>
      </c>
      <c r="L233" s="314">
        <v>7048</v>
      </c>
      <c r="M233" s="704">
        <v>7056</v>
      </c>
    </row>
    <row r="234" spans="1:13">
      <c r="A234" s="688" t="s">
        <v>547</v>
      </c>
      <c r="B234" s="683">
        <v>304</v>
      </c>
      <c r="C234" s="640">
        <v>291</v>
      </c>
      <c r="D234" s="640">
        <v>326</v>
      </c>
      <c r="E234" s="651">
        <v>7027</v>
      </c>
      <c r="F234" s="651">
        <v>7035</v>
      </c>
      <c r="G234" s="690">
        <v>7043</v>
      </c>
      <c r="H234" s="683">
        <v>413</v>
      </c>
      <c r="I234" s="640">
        <v>445</v>
      </c>
      <c r="J234" s="671">
        <v>529</v>
      </c>
      <c r="K234" s="652">
        <v>7041</v>
      </c>
      <c r="L234" s="643">
        <v>7049</v>
      </c>
      <c r="M234" s="686">
        <v>7057</v>
      </c>
    </row>
    <row r="235" spans="1:13">
      <c r="A235" s="521" t="s">
        <v>548</v>
      </c>
      <c r="B235" s="691">
        <v>298</v>
      </c>
      <c r="C235" s="278">
        <v>335</v>
      </c>
      <c r="D235" s="278">
        <v>323</v>
      </c>
      <c r="E235" s="298">
        <v>7028</v>
      </c>
      <c r="F235" s="298">
        <v>7036</v>
      </c>
      <c r="G235" s="689">
        <v>7044</v>
      </c>
      <c r="H235" s="681">
        <v>527</v>
      </c>
      <c r="I235" s="278">
        <v>43</v>
      </c>
      <c r="J235" s="670" t="s">
        <v>268</v>
      </c>
      <c r="K235" s="125">
        <v>7042</v>
      </c>
      <c r="L235" s="314">
        <v>7050</v>
      </c>
      <c r="M235" s="704">
        <v>7058</v>
      </c>
    </row>
    <row r="236" spans="1:13">
      <c r="A236" s="688" t="s">
        <v>549</v>
      </c>
      <c r="B236" s="683">
        <v>315</v>
      </c>
      <c r="C236" s="640">
        <v>292</v>
      </c>
      <c r="D236" s="640">
        <v>329</v>
      </c>
      <c r="E236" s="651">
        <v>7029</v>
      </c>
      <c r="F236" s="651">
        <v>7037</v>
      </c>
      <c r="G236" s="690">
        <v>7045</v>
      </c>
      <c r="H236" s="683">
        <v>492</v>
      </c>
      <c r="I236" s="640">
        <v>506</v>
      </c>
      <c r="J236" s="671">
        <v>434</v>
      </c>
      <c r="K236" s="652">
        <v>7043</v>
      </c>
      <c r="L236" s="643">
        <v>7051</v>
      </c>
      <c r="M236" s="686">
        <v>7059</v>
      </c>
    </row>
    <row r="237" spans="1:13">
      <c r="A237" s="521" t="s">
        <v>550</v>
      </c>
      <c r="B237" s="681">
        <v>344</v>
      </c>
      <c r="C237" s="278">
        <v>317</v>
      </c>
      <c r="D237" s="278">
        <v>296</v>
      </c>
      <c r="E237" s="298">
        <v>7030</v>
      </c>
      <c r="F237" s="298">
        <v>7038</v>
      </c>
      <c r="G237" s="689">
        <v>7046</v>
      </c>
      <c r="H237" s="681">
        <v>541</v>
      </c>
      <c r="I237" s="278" t="s">
        <v>263</v>
      </c>
      <c r="J237" s="670">
        <v>513</v>
      </c>
      <c r="K237" s="125">
        <v>7044</v>
      </c>
      <c r="L237" s="314">
        <v>7052</v>
      </c>
      <c r="M237" s="704">
        <v>7060</v>
      </c>
    </row>
    <row r="238" spans="1:13">
      <c r="A238" s="688" t="s">
        <v>551</v>
      </c>
      <c r="B238" s="683">
        <v>347</v>
      </c>
      <c r="C238" s="640">
        <v>349</v>
      </c>
      <c r="D238" s="640" t="s">
        <v>411</v>
      </c>
      <c r="E238" s="651">
        <v>7031</v>
      </c>
      <c r="F238" s="651">
        <v>7039</v>
      </c>
      <c r="G238" s="690"/>
      <c r="H238" s="683">
        <v>563</v>
      </c>
      <c r="I238" s="640">
        <v>414</v>
      </c>
      <c r="J238" s="671">
        <v>441</v>
      </c>
      <c r="K238" s="652">
        <v>7045</v>
      </c>
      <c r="L238" s="643">
        <v>7053</v>
      </c>
      <c r="M238" s="686">
        <v>7061</v>
      </c>
    </row>
    <row r="239" spans="1:13" ht="17" thickBot="1">
      <c r="B239" s="905" t="s">
        <v>7</v>
      </c>
      <c r="C239" s="906"/>
      <c r="D239" s="906"/>
      <c r="E239" s="906"/>
      <c r="F239" s="906"/>
      <c r="G239" s="907"/>
      <c r="H239" s="898" t="s">
        <v>712</v>
      </c>
      <c r="I239" s="899"/>
      <c r="J239" s="899"/>
      <c r="K239" s="899"/>
      <c r="L239" s="899"/>
      <c r="M239" s="900"/>
    </row>
    <row r="240" spans="1:13">
      <c r="B240" s="448"/>
    </row>
    <row r="241" spans="1:13" ht="22" thickBot="1">
      <c r="A241" s="653" t="s">
        <v>717</v>
      </c>
      <c r="B241" s="448"/>
    </row>
    <row r="242" spans="1:13">
      <c r="B242" s="818" t="s">
        <v>724</v>
      </c>
      <c r="C242" s="819" t="s">
        <v>713</v>
      </c>
      <c r="D242" s="748"/>
      <c r="E242" s="748"/>
      <c r="F242" s="891" t="s">
        <v>724</v>
      </c>
      <c r="G242" s="892"/>
      <c r="H242" s="887" t="s">
        <v>713</v>
      </c>
      <c r="I242" s="888"/>
      <c r="L242"/>
      <c r="M242"/>
    </row>
    <row r="243" spans="1:13">
      <c r="A243" s="687"/>
      <c r="B243" s="522">
        <v>1</v>
      </c>
      <c r="C243" s="522">
        <v>2</v>
      </c>
      <c r="D243" s="665">
        <v>1</v>
      </c>
      <c r="E243" s="676">
        <v>2</v>
      </c>
      <c r="F243" s="522">
        <v>5</v>
      </c>
      <c r="G243" s="522">
        <v>6</v>
      </c>
      <c r="H243" s="665">
        <v>5</v>
      </c>
      <c r="I243" s="665">
        <v>6</v>
      </c>
      <c r="J243" s="665">
        <v>7</v>
      </c>
      <c r="K243" s="665">
        <v>8</v>
      </c>
      <c r="L243" s="522">
        <v>11</v>
      </c>
      <c r="M243" s="522">
        <v>12</v>
      </c>
    </row>
    <row r="244" spans="1:13">
      <c r="A244" s="521" t="s">
        <v>544</v>
      </c>
      <c r="B244" s="278">
        <v>332</v>
      </c>
      <c r="C244" s="298">
        <v>7047</v>
      </c>
      <c r="D244" s="298"/>
      <c r="E244" s="677"/>
      <c r="F244" s="278" t="s">
        <v>257</v>
      </c>
      <c r="G244" s="278">
        <v>565</v>
      </c>
      <c r="H244" s="298">
        <v>7062</v>
      </c>
      <c r="I244" s="298">
        <v>7067</v>
      </c>
      <c r="J244" s="659"/>
      <c r="K244" s="659"/>
      <c r="L244" s="657"/>
      <c r="M244" s="657"/>
    </row>
    <row r="245" spans="1:13">
      <c r="A245" s="688" t="s">
        <v>545</v>
      </c>
      <c r="B245" s="640">
        <v>334</v>
      </c>
      <c r="C245" s="651">
        <v>7048</v>
      </c>
      <c r="D245" s="651"/>
      <c r="E245" s="678"/>
      <c r="F245" s="640">
        <v>533</v>
      </c>
      <c r="G245" s="640">
        <v>41</v>
      </c>
      <c r="H245" s="651">
        <v>7063</v>
      </c>
      <c r="I245" s="651">
        <v>7068</v>
      </c>
      <c r="J245" s="660"/>
      <c r="K245" s="660"/>
      <c r="L245" s="658"/>
      <c r="M245" s="658"/>
    </row>
    <row r="246" spans="1:13">
      <c r="A246" s="521" t="s">
        <v>546</v>
      </c>
      <c r="B246" s="278">
        <v>314</v>
      </c>
      <c r="C246" s="298">
        <v>7049</v>
      </c>
      <c r="D246" s="298"/>
      <c r="E246" s="677"/>
      <c r="F246" s="278">
        <v>562</v>
      </c>
      <c r="G246" s="278">
        <v>412</v>
      </c>
      <c r="H246" s="298">
        <v>7064</v>
      </c>
      <c r="I246" s="298">
        <v>7069</v>
      </c>
      <c r="J246" s="659"/>
      <c r="K246" s="659"/>
      <c r="L246" s="657"/>
      <c r="M246" s="657"/>
    </row>
    <row r="247" spans="1:13">
      <c r="A247" s="688" t="s">
        <v>547</v>
      </c>
      <c r="B247" s="640"/>
      <c r="C247" s="640"/>
      <c r="D247" s="651"/>
      <c r="E247" s="678"/>
      <c r="F247" s="640">
        <v>432</v>
      </c>
      <c r="G247" s="640">
        <v>47</v>
      </c>
      <c r="H247" s="651">
        <v>7065</v>
      </c>
      <c r="I247" s="651">
        <v>7070</v>
      </c>
      <c r="J247" s="660"/>
      <c r="K247" s="660"/>
      <c r="L247" s="658"/>
      <c r="M247" s="658"/>
    </row>
    <row r="248" spans="1:13">
      <c r="A248" s="521" t="s">
        <v>548</v>
      </c>
      <c r="B248" s="278"/>
      <c r="C248" s="278"/>
      <c r="D248" s="298"/>
      <c r="E248" s="677"/>
      <c r="F248" s="278">
        <v>561</v>
      </c>
      <c r="G248" s="278">
        <v>521</v>
      </c>
      <c r="H248" s="298">
        <v>7066</v>
      </c>
      <c r="I248" s="298">
        <v>7071</v>
      </c>
      <c r="J248" s="659"/>
      <c r="K248" s="659"/>
      <c r="L248" s="657"/>
      <c r="M248" s="657"/>
    </row>
    <row r="249" spans="1:13">
      <c r="A249" s="688" t="s">
        <v>549</v>
      </c>
      <c r="B249" s="640"/>
      <c r="C249" s="640"/>
      <c r="D249" s="651"/>
      <c r="E249" s="678"/>
      <c r="F249" s="524"/>
      <c r="G249" s="524"/>
      <c r="H249" s="640"/>
      <c r="I249" s="640"/>
      <c r="J249" s="660"/>
      <c r="K249" s="660"/>
      <c r="L249" s="658"/>
      <c r="M249" s="658"/>
    </row>
    <row r="250" spans="1:13">
      <c r="A250" s="521" t="s">
        <v>550</v>
      </c>
      <c r="B250" s="278"/>
      <c r="C250" s="278"/>
      <c r="D250" s="298"/>
      <c r="E250" s="677"/>
      <c r="F250" s="161"/>
      <c r="G250" s="161"/>
      <c r="H250" s="278"/>
      <c r="I250" s="278"/>
      <c r="J250" s="659"/>
      <c r="K250" s="659"/>
      <c r="L250" s="657"/>
      <c r="M250" s="657"/>
    </row>
    <row r="251" spans="1:13">
      <c r="A251" s="688" t="s">
        <v>551</v>
      </c>
      <c r="B251" s="640"/>
      <c r="C251" s="640"/>
      <c r="D251" s="651"/>
      <c r="E251" s="678"/>
      <c r="F251" s="524"/>
      <c r="G251" s="524"/>
      <c r="H251" s="640"/>
      <c r="I251" s="640"/>
      <c r="J251" s="660"/>
      <c r="K251" s="660"/>
      <c r="L251" s="658"/>
      <c r="M251" s="658"/>
    </row>
    <row r="252" spans="1:13" ht="17" thickBot="1">
      <c r="B252" s="889" t="s">
        <v>7</v>
      </c>
      <c r="C252" s="890"/>
      <c r="D252" s="749"/>
      <c r="E252" s="749"/>
      <c r="F252" s="893" t="s">
        <v>712</v>
      </c>
      <c r="G252" s="894"/>
      <c r="H252" s="894"/>
      <c r="I252" s="895"/>
    </row>
    <row r="254" spans="1:13" ht="22" thickBot="1">
      <c r="A254" s="653" t="s">
        <v>725</v>
      </c>
      <c r="B254" s="448"/>
    </row>
    <row r="255" spans="1:13">
      <c r="B255" s="820" t="s">
        <v>724</v>
      </c>
      <c r="C255" s="821" t="s">
        <v>713</v>
      </c>
      <c r="D255" s="748"/>
      <c r="E255" s="748"/>
      <c r="F255" s="827" t="s">
        <v>724</v>
      </c>
      <c r="G255" s="828" t="s">
        <v>713</v>
      </c>
      <c r="H255" s="826"/>
      <c r="I255" s="826"/>
      <c r="L255"/>
      <c r="M255"/>
    </row>
    <row r="256" spans="1:13">
      <c r="A256" s="687"/>
      <c r="B256" s="679">
        <v>1</v>
      </c>
      <c r="C256" s="703">
        <v>2</v>
      </c>
      <c r="D256" s="823">
        <v>1</v>
      </c>
      <c r="E256" s="676">
        <v>2</v>
      </c>
      <c r="F256" s="679">
        <v>5</v>
      </c>
      <c r="G256" s="703">
        <v>6</v>
      </c>
      <c r="H256" s="823">
        <v>5</v>
      </c>
      <c r="I256" s="665">
        <v>6</v>
      </c>
      <c r="J256" s="823">
        <v>7</v>
      </c>
      <c r="K256" s="665">
        <v>8</v>
      </c>
      <c r="L256" s="522">
        <v>11</v>
      </c>
      <c r="M256" s="522">
        <v>12</v>
      </c>
    </row>
    <row r="257" spans="1:13">
      <c r="A257" s="521" t="s">
        <v>544</v>
      </c>
      <c r="B257" s="681">
        <v>295</v>
      </c>
      <c r="C257" s="689">
        <v>7050</v>
      </c>
      <c r="D257" s="829"/>
      <c r="E257" s="677"/>
      <c r="F257" s="681">
        <v>571</v>
      </c>
      <c r="G257" s="689">
        <v>7072</v>
      </c>
      <c r="H257" s="829"/>
      <c r="I257" s="298"/>
      <c r="J257" s="824"/>
      <c r="K257" s="659"/>
      <c r="L257" s="657"/>
      <c r="M257" s="657"/>
    </row>
    <row r="258" spans="1:13">
      <c r="A258" s="688" t="s">
        <v>545</v>
      </c>
      <c r="B258" s="683">
        <v>306</v>
      </c>
      <c r="C258" s="690">
        <v>7051</v>
      </c>
      <c r="D258" s="830"/>
      <c r="E258" s="678"/>
      <c r="F258" s="683">
        <v>34</v>
      </c>
      <c r="G258" s="690">
        <v>7073</v>
      </c>
      <c r="H258" s="830"/>
      <c r="I258" s="651"/>
      <c r="J258" s="825"/>
      <c r="K258" s="660"/>
      <c r="L258" s="658"/>
      <c r="M258" s="658"/>
    </row>
    <row r="259" spans="1:13">
      <c r="A259" s="521" t="s">
        <v>546</v>
      </c>
      <c r="B259" s="681"/>
      <c r="C259" s="689"/>
      <c r="D259" s="829"/>
      <c r="E259" s="677"/>
      <c r="F259" s="681">
        <v>46</v>
      </c>
      <c r="G259" s="689">
        <v>7074</v>
      </c>
      <c r="H259" s="829"/>
      <c r="I259" s="298"/>
      <c r="J259" s="824"/>
      <c r="K259" s="659"/>
      <c r="L259" s="657"/>
      <c r="M259" s="657"/>
    </row>
    <row r="260" spans="1:13">
      <c r="A260" s="688" t="s">
        <v>547</v>
      </c>
      <c r="B260" s="683"/>
      <c r="C260" s="799"/>
      <c r="D260" s="830"/>
      <c r="E260" s="678"/>
      <c r="F260" s="683"/>
      <c r="G260" s="799"/>
      <c r="H260" s="830"/>
      <c r="I260" s="651"/>
      <c r="J260" s="825"/>
      <c r="K260" s="660"/>
      <c r="L260" s="658"/>
      <c r="M260" s="658"/>
    </row>
    <row r="261" spans="1:13">
      <c r="A261" s="521" t="s">
        <v>548</v>
      </c>
      <c r="B261" s="681"/>
      <c r="C261" s="805"/>
      <c r="D261" s="829"/>
      <c r="E261" s="677"/>
      <c r="F261" s="681"/>
      <c r="G261" s="805"/>
      <c r="H261" s="829"/>
      <c r="I261" s="298"/>
      <c r="J261" s="824"/>
      <c r="K261" s="659"/>
      <c r="L261" s="657"/>
      <c r="M261" s="657"/>
    </row>
    <row r="262" spans="1:13">
      <c r="A262" s="688" t="s">
        <v>549</v>
      </c>
      <c r="B262" s="683"/>
      <c r="C262" s="799"/>
      <c r="D262" s="830"/>
      <c r="E262" s="678"/>
      <c r="F262" s="685"/>
      <c r="G262" s="831"/>
      <c r="H262" s="702"/>
      <c r="I262" s="640"/>
      <c r="J262" s="825"/>
      <c r="K262" s="660"/>
      <c r="L262" s="658"/>
      <c r="M262" s="658"/>
    </row>
    <row r="263" spans="1:13">
      <c r="A263" s="521" t="s">
        <v>550</v>
      </c>
      <c r="B263" s="681"/>
      <c r="C263" s="805"/>
      <c r="D263" s="829"/>
      <c r="E263" s="677"/>
      <c r="F263" s="692"/>
      <c r="G263" s="832"/>
      <c r="H263" s="701"/>
      <c r="I263" s="278"/>
      <c r="J263" s="824"/>
      <c r="K263" s="659"/>
      <c r="L263" s="657"/>
      <c r="M263" s="657"/>
    </row>
    <row r="264" spans="1:13">
      <c r="A264" s="688" t="s">
        <v>551</v>
      </c>
      <c r="B264" s="683"/>
      <c r="C264" s="799"/>
      <c r="D264" s="830"/>
      <c r="E264" s="678"/>
      <c r="F264" s="685"/>
      <c r="G264" s="831"/>
      <c r="H264" s="702"/>
      <c r="I264" s="640"/>
      <c r="J264" s="825"/>
      <c r="K264" s="660"/>
      <c r="L264" s="658"/>
      <c r="M264" s="658"/>
    </row>
    <row r="265" spans="1:13" ht="17" thickBot="1">
      <c r="B265" s="879" t="s">
        <v>7</v>
      </c>
      <c r="C265" s="880"/>
      <c r="D265" s="749"/>
      <c r="E265" s="749"/>
      <c r="F265" s="881" t="s">
        <v>712</v>
      </c>
      <c r="G265" s="882"/>
      <c r="H265" s="749"/>
      <c r="I265" s="749"/>
    </row>
    <row r="266" spans="1:13">
      <c r="B266" s="837"/>
      <c r="C266" s="837"/>
      <c r="D266" s="749"/>
      <c r="E266" s="749"/>
      <c r="F266" s="840"/>
      <c r="G266" s="840"/>
      <c r="H266" s="749"/>
      <c r="I266" s="749"/>
    </row>
    <row r="267" spans="1:13" ht="22" thickBot="1">
      <c r="A267" s="653" t="s">
        <v>726</v>
      </c>
      <c r="B267" s="448"/>
    </row>
    <row r="268" spans="1:13">
      <c r="B268" s="838" t="s">
        <v>724</v>
      </c>
      <c r="C268" s="839" t="s">
        <v>713</v>
      </c>
      <c r="D268" s="748"/>
      <c r="E268" s="748"/>
      <c r="F268" s="841" t="s">
        <v>724</v>
      </c>
      <c r="G268" s="842" t="s">
        <v>713</v>
      </c>
      <c r="H268" s="826"/>
      <c r="I268" s="826"/>
      <c r="L268"/>
      <c r="M268"/>
    </row>
    <row r="269" spans="1:13">
      <c r="A269" s="687"/>
      <c r="B269" s="679">
        <v>1</v>
      </c>
      <c r="C269" s="703">
        <v>2</v>
      </c>
      <c r="D269" s="823">
        <v>1</v>
      </c>
      <c r="E269" s="676">
        <v>2</v>
      </c>
      <c r="F269" s="679">
        <v>5</v>
      </c>
      <c r="G269" s="703">
        <v>6</v>
      </c>
      <c r="H269" s="823">
        <v>5</v>
      </c>
      <c r="I269" s="665">
        <v>6</v>
      </c>
      <c r="J269" s="823">
        <v>7</v>
      </c>
      <c r="K269" s="665">
        <v>8</v>
      </c>
      <c r="L269" s="522">
        <v>11</v>
      </c>
      <c r="M269" s="522">
        <v>12</v>
      </c>
    </row>
    <row r="270" spans="1:13">
      <c r="A270" s="521" t="s">
        <v>544</v>
      </c>
      <c r="B270" s="681">
        <v>336</v>
      </c>
      <c r="C270" s="689">
        <v>7052</v>
      </c>
      <c r="D270" s="829"/>
      <c r="E270" s="677"/>
      <c r="F270" s="681">
        <v>35</v>
      </c>
      <c r="G270" s="689">
        <v>7075</v>
      </c>
      <c r="H270" s="829"/>
      <c r="I270" s="298"/>
      <c r="J270" s="824"/>
      <c r="K270" s="659"/>
      <c r="L270" s="657"/>
      <c r="M270" s="657"/>
    </row>
    <row r="271" spans="1:13">
      <c r="A271" s="688" t="s">
        <v>545</v>
      </c>
      <c r="B271" s="683"/>
      <c r="C271" s="690"/>
      <c r="D271" s="830"/>
      <c r="E271" s="678"/>
      <c r="F271" s="683">
        <v>37</v>
      </c>
      <c r="G271" s="690">
        <v>7076</v>
      </c>
      <c r="H271" s="830"/>
      <c r="I271" s="651"/>
      <c r="J271" s="825"/>
      <c r="K271" s="660"/>
      <c r="L271" s="658"/>
      <c r="M271" s="658"/>
    </row>
    <row r="272" spans="1:13">
      <c r="A272" s="521" t="s">
        <v>546</v>
      </c>
      <c r="B272" s="681"/>
      <c r="C272" s="689"/>
      <c r="D272" s="829"/>
      <c r="E272" s="677"/>
      <c r="F272" s="681">
        <v>45</v>
      </c>
      <c r="G272" s="689">
        <v>7077</v>
      </c>
      <c r="H272" s="829"/>
      <c r="I272" s="298"/>
      <c r="J272" s="824"/>
      <c r="K272" s="659"/>
      <c r="L272" s="657"/>
      <c r="M272" s="657"/>
    </row>
    <row r="273" spans="1:14">
      <c r="A273" s="688" t="s">
        <v>547</v>
      </c>
      <c r="B273" s="683"/>
      <c r="C273" s="799"/>
      <c r="D273" s="830"/>
      <c r="E273" s="678"/>
      <c r="F273" s="683"/>
      <c r="G273" s="799"/>
      <c r="H273" s="830"/>
      <c r="I273" s="651"/>
      <c r="J273" s="825"/>
      <c r="K273" s="660"/>
      <c r="L273" s="658"/>
      <c r="M273" s="658"/>
    </row>
    <row r="274" spans="1:14">
      <c r="A274" s="521" t="s">
        <v>548</v>
      </c>
      <c r="B274" s="681"/>
      <c r="C274" s="805"/>
      <c r="D274" s="829"/>
      <c r="E274" s="677"/>
      <c r="F274" s="681"/>
      <c r="G274" s="805"/>
      <c r="H274" s="829"/>
      <c r="I274" s="298"/>
      <c r="J274" s="824"/>
      <c r="K274" s="659"/>
      <c r="L274" s="657"/>
      <c r="M274" s="657"/>
    </row>
    <row r="275" spans="1:14">
      <c r="A275" s="688" t="s">
        <v>549</v>
      </c>
      <c r="B275" s="683"/>
      <c r="C275" s="799"/>
      <c r="D275" s="830"/>
      <c r="E275" s="678"/>
      <c r="F275" s="685"/>
      <c r="G275" s="831"/>
      <c r="H275" s="702"/>
      <c r="I275" s="640"/>
      <c r="J275" s="825"/>
      <c r="K275" s="660"/>
      <c r="L275" s="658"/>
      <c r="M275" s="658"/>
    </row>
    <row r="276" spans="1:14">
      <c r="A276" s="521" t="s">
        <v>550</v>
      </c>
      <c r="B276" s="681"/>
      <c r="C276" s="805"/>
      <c r="D276" s="829"/>
      <c r="E276" s="677"/>
      <c r="F276" s="692"/>
      <c r="G276" s="832"/>
      <c r="H276" s="701"/>
      <c r="I276" s="278"/>
      <c r="J276" s="824"/>
      <c r="K276" s="659"/>
      <c r="L276" s="657"/>
      <c r="M276" s="657"/>
    </row>
    <row r="277" spans="1:14">
      <c r="A277" s="688" t="s">
        <v>551</v>
      </c>
      <c r="B277" s="683"/>
      <c r="C277" s="799"/>
      <c r="D277" s="830"/>
      <c r="E277" s="678"/>
      <c r="F277" s="685"/>
      <c r="G277" s="831"/>
      <c r="H277" s="702"/>
      <c r="I277" s="640"/>
      <c r="J277" s="825"/>
      <c r="K277" s="660"/>
      <c r="L277" s="658"/>
      <c r="M277" s="658"/>
    </row>
    <row r="278" spans="1:14" ht="17" thickBot="1">
      <c r="B278" s="883" t="s">
        <v>7</v>
      </c>
      <c r="C278" s="884"/>
      <c r="D278" s="749"/>
      <c r="E278" s="749"/>
      <c r="F278" s="885" t="s">
        <v>712</v>
      </c>
      <c r="G278" s="886"/>
      <c r="H278" s="749"/>
      <c r="I278" s="749"/>
    </row>
    <row r="279" spans="1:14" ht="21">
      <c r="A279" s="754"/>
      <c r="B279" s="156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</row>
    <row r="280" spans="1:14" ht="21">
      <c r="A280" s="755" t="s">
        <v>718</v>
      </c>
      <c r="B280" s="646"/>
      <c r="C280" s="647"/>
      <c r="D280" s="647"/>
      <c r="E280" s="647"/>
      <c r="F280" s="647"/>
      <c r="G280" s="647"/>
      <c r="H280" s="648"/>
      <c r="I280" s="648"/>
      <c r="J280" s="761"/>
      <c r="K280" s="761"/>
      <c r="L280" s="761"/>
      <c r="M280" s="761"/>
    </row>
    <row r="281" spans="1:14" ht="17" thickBot="1">
      <c r="A281" s="522"/>
      <c r="B281" s="796">
        <v>1</v>
      </c>
      <c r="C281" s="796">
        <v>2</v>
      </c>
      <c r="D281" s="796">
        <v>3</v>
      </c>
      <c r="E281" s="796">
        <v>4</v>
      </c>
      <c r="F281" s="796">
        <v>5</v>
      </c>
      <c r="G281" s="796">
        <v>6</v>
      </c>
      <c r="H281" s="796">
        <v>7</v>
      </c>
      <c r="I281" s="796">
        <v>8</v>
      </c>
      <c r="J281" s="522">
        <v>9</v>
      </c>
      <c r="K281" s="522">
        <v>10</v>
      </c>
      <c r="L281" s="522">
        <v>11</v>
      </c>
      <c r="M281" s="522">
        <v>12</v>
      </c>
    </row>
    <row r="282" spans="1:14">
      <c r="A282" s="521" t="s">
        <v>544</v>
      </c>
      <c r="B282" s="797">
        <v>331</v>
      </c>
      <c r="C282" s="798">
        <v>324</v>
      </c>
      <c r="D282" s="803">
        <v>328</v>
      </c>
      <c r="E282" s="804">
        <v>303</v>
      </c>
      <c r="F282" s="803">
        <v>299</v>
      </c>
      <c r="G282" s="806">
        <v>312</v>
      </c>
      <c r="H282" s="804">
        <v>337</v>
      </c>
      <c r="I282" s="942">
        <v>332</v>
      </c>
      <c r="J282" s="812"/>
      <c r="K282" s="101"/>
      <c r="L282" s="101"/>
      <c r="M282" s="101"/>
    </row>
    <row r="283" spans="1:14">
      <c r="A283" s="688" t="s">
        <v>545</v>
      </c>
      <c r="B283" s="683">
        <v>305</v>
      </c>
      <c r="C283" s="799">
        <v>322</v>
      </c>
      <c r="D283" s="683">
        <v>325</v>
      </c>
      <c r="E283" s="799">
        <v>346</v>
      </c>
      <c r="F283" s="683">
        <v>301</v>
      </c>
      <c r="G283" s="640">
        <v>321</v>
      </c>
      <c r="H283" s="799">
        <v>313</v>
      </c>
      <c r="I283" s="943">
        <v>334</v>
      </c>
      <c r="J283" s="813"/>
      <c r="K283" s="643"/>
      <c r="L283" s="643"/>
      <c r="M283" s="643"/>
    </row>
    <row r="284" spans="1:14">
      <c r="A284" s="521" t="s">
        <v>546</v>
      </c>
      <c r="B284" s="760">
        <v>311</v>
      </c>
      <c r="C284" s="800">
        <v>319</v>
      </c>
      <c r="D284" s="681">
        <v>343</v>
      </c>
      <c r="E284" s="805">
        <v>341</v>
      </c>
      <c r="F284" s="681">
        <v>342</v>
      </c>
      <c r="G284" s="278">
        <v>333</v>
      </c>
      <c r="H284" s="805">
        <v>327</v>
      </c>
      <c r="I284" s="944">
        <v>314</v>
      </c>
      <c r="J284" s="814"/>
      <c r="K284" s="314"/>
      <c r="L284" s="314"/>
      <c r="M284" s="314"/>
    </row>
    <row r="285" spans="1:14">
      <c r="A285" s="688" t="s">
        <v>547</v>
      </c>
      <c r="B285" s="683">
        <v>348</v>
      </c>
      <c r="C285" s="799">
        <v>316</v>
      </c>
      <c r="D285" s="683">
        <v>302</v>
      </c>
      <c r="E285" s="799">
        <v>309</v>
      </c>
      <c r="F285" s="683">
        <v>304</v>
      </c>
      <c r="G285" s="640">
        <v>291</v>
      </c>
      <c r="H285" s="799">
        <v>326</v>
      </c>
      <c r="I285" s="943">
        <v>295</v>
      </c>
      <c r="J285" s="813"/>
      <c r="K285" s="643"/>
      <c r="L285" s="643"/>
      <c r="M285" s="643"/>
    </row>
    <row r="286" spans="1:14">
      <c r="A286" s="521" t="s">
        <v>548</v>
      </c>
      <c r="B286" s="760">
        <v>338</v>
      </c>
      <c r="C286" s="800">
        <v>339</v>
      </c>
      <c r="D286" s="691">
        <v>345</v>
      </c>
      <c r="E286" s="805" t="s">
        <v>411</v>
      </c>
      <c r="F286" s="691">
        <v>298</v>
      </c>
      <c r="G286" s="278">
        <v>335</v>
      </c>
      <c r="H286" s="805">
        <v>323</v>
      </c>
      <c r="I286" s="944">
        <v>306</v>
      </c>
      <c r="J286" s="814"/>
      <c r="K286" s="314"/>
      <c r="L286" s="314"/>
      <c r="M286" s="314"/>
    </row>
    <row r="287" spans="1:14">
      <c r="A287" s="688" t="s">
        <v>549</v>
      </c>
      <c r="B287" s="683">
        <v>308</v>
      </c>
      <c r="C287" s="799">
        <v>293</v>
      </c>
      <c r="D287" s="683"/>
      <c r="E287" s="799"/>
      <c r="F287" s="683">
        <v>315</v>
      </c>
      <c r="G287" s="640">
        <v>292</v>
      </c>
      <c r="H287" s="799">
        <v>329</v>
      </c>
      <c r="I287" s="943">
        <v>336</v>
      </c>
      <c r="J287" s="813"/>
      <c r="K287" s="643"/>
      <c r="L287" s="643"/>
      <c r="M287" s="643"/>
    </row>
    <row r="288" spans="1:14">
      <c r="A288" s="521" t="s">
        <v>550</v>
      </c>
      <c r="B288" s="760">
        <v>318</v>
      </c>
      <c r="C288" s="800" t="s">
        <v>411</v>
      </c>
      <c r="D288" s="760"/>
      <c r="E288" s="800"/>
      <c r="F288" s="681">
        <v>344</v>
      </c>
      <c r="G288" s="278">
        <v>317</v>
      </c>
      <c r="H288" s="805">
        <v>296</v>
      </c>
      <c r="I288" s="944" t="s">
        <v>411</v>
      </c>
      <c r="J288" s="814"/>
      <c r="K288" s="314"/>
      <c r="L288" s="314"/>
      <c r="M288" s="314"/>
    </row>
    <row r="289" spans="1:13" ht="17" thickBot="1">
      <c r="A289" s="688" t="s">
        <v>551</v>
      </c>
      <c r="B289" s="801">
        <v>294</v>
      </c>
      <c r="C289" s="802"/>
      <c r="D289" s="801"/>
      <c r="E289" s="802"/>
      <c r="F289" s="801">
        <v>347</v>
      </c>
      <c r="G289" s="811">
        <v>349</v>
      </c>
      <c r="H289" s="802" t="s">
        <v>411</v>
      </c>
      <c r="I289" s="945"/>
      <c r="J289" s="813"/>
      <c r="K289" s="643"/>
      <c r="L289" s="643"/>
      <c r="M289" s="643"/>
    </row>
    <row r="290" spans="1:13">
      <c r="B290" s="448"/>
    </row>
    <row r="291" spans="1:13" ht="21">
      <c r="A291" s="755" t="s">
        <v>719</v>
      </c>
      <c r="B291" s="646"/>
      <c r="C291" s="647"/>
      <c r="D291" s="647"/>
      <c r="E291" s="647"/>
      <c r="F291" s="647"/>
      <c r="G291" s="647"/>
      <c r="H291" s="648"/>
      <c r="I291" s="648"/>
      <c r="J291" s="761"/>
      <c r="K291" s="761"/>
      <c r="L291" s="761"/>
      <c r="M291" s="761"/>
    </row>
    <row r="292" spans="1:13" ht="17" thickBot="1">
      <c r="A292" s="522"/>
      <c r="B292" s="796">
        <v>1</v>
      </c>
      <c r="C292" s="796">
        <v>2</v>
      </c>
      <c r="D292" s="796">
        <v>3</v>
      </c>
      <c r="E292" s="796">
        <v>4</v>
      </c>
      <c r="F292" s="796">
        <v>5</v>
      </c>
      <c r="G292" s="796">
        <v>6</v>
      </c>
      <c r="H292" s="796">
        <v>7</v>
      </c>
      <c r="I292" s="796">
        <v>8</v>
      </c>
      <c r="J292" s="796">
        <v>9</v>
      </c>
      <c r="K292" s="796">
        <v>10</v>
      </c>
      <c r="L292" s="796">
        <v>11</v>
      </c>
      <c r="M292" s="522">
        <v>12</v>
      </c>
    </row>
    <row r="293" spans="1:13">
      <c r="A293" s="521" t="s">
        <v>544</v>
      </c>
      <c r="B293" s="797" t="s">
        <v>261</v>
      </c>
      <c r="C293" s="798">
        <v>483</v>
      </c>
      <c r="D293" s="803">
        <v>524</v>
      </c>
      <c r="E293" s="806">
        <v>476</v>
      </c>
      <c r="F293" s="806">
        <v>553</v>
      </c>
      <c r="G293" s="807">
        <v>543</v>
      </c>
      <c r="H293" s="803">
        <v>489</v>
      </c>
      <c r="I293" s="806">
        <v>404</v>
      </c>
      <c r="J293" s="807">
        <v>491</v>
      </c>
      <c r="K293" s="947" t="s">
        <v>257</v>
      </c>
      <c r="L293" s="807">
        <v>47</v>
      </c>
      <c r="M293" s="815"/>
    </row>
    <row r="294" spans="1:13">
      <c r="A294" s="688" t="s">
        <v>545</v>
      </c>
      <c r="B294" s="683">
        <v>522</v>
      </c>
      <c r="C294" s="799" t="s">
        <v>255</v>
      </c>
      <c r="D294" s="683">
        <v>453</v>
      </c>
      <c r="E294" s="640">
        <v>525</v>
      </c>
      <c r="F294" s="640">
        <v>551</v>
      </c>
      <c r="G294" s="808">
        <v>403</v>
      </c>
      <c r="H294" s="683">
        <v>443</v>
      </c>
      <c r="I294" s="640">
        <v>484</v>
      </c>
      <c r="J294" s="808" t="s">
        <v>262</v>
      </c>
      <c r="K294" s="948">
        <v>533</v>
      </c>
      <c r="L294" s="808">
        <v>521</v>
      </c>
      <c r="M294" s="816"/>
    </row>
    <row r="295" spans="1:13">
      <c r="A295" s="521" t="s">
        <v>546</v>
      </c>
      <c r="B295" s="681" t="s">
        <v>259</v>
      </c>
      <c r="C295" s="805">
        <v>411</v>
      </c>
      <c r="D295" s="681">
        <v>554</v>
      </c>
      <c r="E295" s="278">
        <v>490</v>
      </c>
      <c r="F295" s="278">
        <v>482</v>
      </c>
      <c r="G295" s="809" t="s">
        <v>260</v>
      </c>
      <c r="H295" s="681">
        <v>477</v>
      </c>
      <c r="I295" s="278">
        <v>531</v>
      </c>
      <c r="J295" s="809">
        <v>39</v>
      </c>
      <c r="K295" s="949">
        <v>562</v>
      </c>
      <c r="L295" s="809">
        <v>571</v>
      </c>
      <c r="M295" s="815"/>
    </row>
    <row r="296" spans="1:13">
      <c r="A296" s="688" t="s">
        <v>547</v>
      </c>
      <c r="B296" s="683">
        <v>542</v>
      </c>
      <c r="C296" s="799">
        <v>401</v>
      </c>
      <c r="D296" s="683">
        <v>474</v>
      </c>
      <c r="E296" s="640">
        <v>473</v>
      </c>
      <c r="F296" s="640">
        <v>488</v>
      </c>
      <c r="G296" s="808">
        <v>564</v>
      </c>
      <c r="H296" s="683">
        <v>413</v>
      </c>
      <c r="I296" s="640">
        <v>445</v>
      </c>
      <c r="J296" s="808">
        <v>529</v>
      </c>
      <c r="K296" s="948">
        <v>432</v>
      </c>
      <c r="L296" s="808">
        <v>34</v>
      </c>
      <c r="M296" s="816"/>
    </row>
    <row r="297" spans="1:13">
      <c r="A297" s="521" t="s">
        <v>548</v>
      </c>
      <c r="B297" s="681">
        <v>523</v>
      </c>
      <c r="C297" s="805" t="s">
        <v>411</v>
      </c>
      <c r="D297" s="681">
        <v>526</v>
      </c>
      <c r="E297" s="278">
        <v>485</v>
      </c>
      <c r="F297" s="670">
        <v>528</v>
      </c>
      <c r="G297" s="809">
        <v>532</v>
      </c>
      <c r="H297" s="681">
        <v>527</v>
      </c>
      <c r="I297" s="278">
        <v>43</v>
      </c>
      <c r="J297" s="809" t="s">
        <v>268</v>
      </c>
      <c r="K297" s="949">
        <v>561</v>
      </c>
      <c r="L297" s="809">
        <v>46</v>
      </c>
      <c r="M297" s="815"/>
    </row>
    <row r="298" spans="1:13">
      <c r="A298" s="688" t="s">
        <v>549</v>
      </c>
      <c r="B298" s="683">
        <v>402</v>
      </c>
      <c r="C298" s="799"/>
      <c r="D298" s="683">
        <v>475</v>
      </c>
      <c r="E298" s="640">
        <v>421</v>
      </c>
      <c r="F298" s="671">
        <v>451</v>
      </c>
      <c r="G298" s="808">
        <v>481</v>
      </c>
      <c r="H298" s="683">
        <v>492</v>
      </c>
      <c r="I298" s="640">
        <v>506</v>
      </c>
      <c r="J298" s="808">
        <v>434</v>
      </c>
      <c r="K298" s="948">
        <v>565</v>
      </c>
      <c r="L298" s="808">
        <v>35</v>
      </c>
      <c r="M298" s="816"/>
    </row>
    <row r="299" spans="1:13">
      <c r="A299" s="521" t="s">
        <v>550</v>
      </c>
      <c r="B299" s="681">
        <v>487</v>
      </c>
      <c r="C299" s="805"/>
      <c r="D299" s="681"/>
      <c r="E299" s="278"/>
      <c r="F299" s="278"/>
      <c r="G299" s="809">
        <v>444</v>
      </c>
      <c r="H299" s="681">
        <v>541</v>
      </c>
      <c r="I299" s="278" t="s">
        <v>263</v>
      </c>
      <c r="J299" s="809">
        <v>513</v>
      </c>
      <c r="K299" s="949">
        <v>41</v>
      </c>
      <c r="L299" s="809">
        <v>37</v>
      </c>
      <c r="M299" s="946"/>
    </row>
    <row r="300" spans="1:13" ht="17" thickBot="1">
      <c r="A300" s="688" t="s">
        <v>551</v>
      </c>
      <c r="B300" s="801" t="s">
        <v>264</v>
      </c>
      <c r="C300" s="802"/>
      <c r="D300" s="801"/>
      <c r="E300" s="810"/>
      <c r="F300" s="811"/>
      <c r="G300" s="802"/>
      <c r="H300" s="801">
        <v>563</v>
      </c>
      <c r="I300" s="811">
        <v>414</v>
      </c>
      <c r="J300" s="817">
        <v>441</v>
      </c>
      <c r="K300" s="950">
        <v>412</v>
      </c>
      <c r="L300" s="817">
        <v>45</v>
      </c>
      <c r="M300" s="525"/>
    </row>
  </sheetData>
  <sortState xmlns:xlrd2="http://schemas.microsoft.com/office/spreadsheetml/2017/richdata2" ref="A2:M149">
    <sortCondition ref="K2:K149"/>
  </sortState>
  <mergeCells count="55">
    <mergeCell ref="C147:D147"/>
    <mergeCell ref="B179:C179"/>
    <mergeCell ref="L179:M179"/>
    <mergeCell ref="N179:O179"/>
    <mergeCell ref="C148:D148"/>
    <mergeCell ref="C149:D149"/>
    <mergeCell ref="C150:D150"/>
    <mergeCell ref="C151:D151"/>
    <mergeCell ref="H190:I190"/>
    <mergeCell ref="J190:K190"/>
    <mergeCell ref="D179:E179"/>
    <mergeCell ref="F179:G179"/>
    <mergeCell ref="H179:I179"/>
    <mergeCell ref="J179:K179"/>
    <mergeCell ref="P179:Q179"/>
    <mergeCell ref="R179:S179"/>
    <mergeCell ref="T179:U179"/>
    <mergeCell ref="V179:W179"/>
    <mergeCell ref="X179:Y179"/>
    <mergeCell ref="X190:Y190"/>
    <mergeCell ref="B211:E211"/>
    <mergeCell ref="H211:K211"/>
    <mergeCell ref="B201:C201"/>
    <mergeCell ref="D201:E201"/>
    <mergeCell ref="H201:I201"/>
    <mergeCell ref="J201:K201"/>
    <mergeCell ref="L190:M190"/>
    <mergeCell ref="N190:O190"/>
    <mergeCell ref="P190:Q190"/>
    <mergeCell ref="R190:S190"/>
    <mergeCell ref="T190:U190"/>
    <mergeCell ref="V190:W190"/>
    <mergeCell ref="B190:C190"/>
    <mergeCell ref="D190:E190"/>
    <mergeCell ref="F190:G190"/>
    <mergeCell ref="B215:C215"/>
    <mergeCell ref="D215:E215"/>
    <mergeCell ref="B225:E225"/>
    <mergeCell ref="F215:I215"/>
    <mergeCell ref="J215:M215"/>
    <mergeCell ref="F225:M225"/>
    <mergeCell ref="K229:M229"/>
    <mergeCell ref="H239:M239"/>
    <mergeCell ref="B229:D229"/>
    <mergeCell ref="E229:G229"/>
    <mergeCell ref="B239:G239"/>
    <mergeCell ref="H229:J229"/>
    <mergeCell ref="B265:C265"/>
    <mergeCell ref="F265:G265"/>
    <mergeCell ref="B278:C278"/>
    <mergeCell ref="F278:G278"/>
    <mergeCell ref="H242:I242"/>
    <mergeCell ref="B252:C252"/>
    <mergeCell ref="F242:G242"/>
    <mergeCell ref="F252:I252"/>
  </mergeCells>
  <pageMargins left="0.25" right="0.25" top="0.75" bottom="0.75" header="0.3" footer="0.3"/>
  <pageSetup scale="59" orientation="portrait" horizontalDpi="0" verticalDpi="0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F407-8683-9E40-8AC4-E169CD2B7D2C}">
  <dimension ref="A1:R41"/>
  <sheetViews>
    <sheetView topLeftCell="C1" zoomScale="110" zoomScaleNormal="110" workbookViewId="0">
      <selection activeCell="Q18" sqref="Q18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6" style="185" customWidth="1"/>
    <col min="4" max="4" width="11.1640625" style="188" customWidth="1"/>
    <col min="5" max="5" width="12.5" style="188" hidden="1" customWidth="1"/>
    <col min="6" max="6" width="11.1640625" style="188" hidden="1" customWidth="1"/>
    <col min="7" max="8" width="12.5" style="188" hidden="1" customWidth="1"/>
    <col min="9" max="10" width="12.5" style="187" hidden="1" customWidth="1"/>
    <col min="11" max="11" width="11" hidden="1" customWidth="1"/>
    <col min="12" max="12" width="11.1640625" hidden="1" customWidth="1"/>
    <col min="13" max="13" width="0" hidden="1" customWidth="1"/>
    <col min="16" max="16" width="10.6640625" customWidth="1"/>
  </cols>
  <sheetData>
    <row r="1" spans="1:18" ht="68">
      <c r="A1" s="255" t="s">
        <v>18</v>
      </c>
      <c r="B1" s="255" t="s">
        <v>90</v>
      </c>
      <c r="C1" s="255" t="s">
        <v>446</v>
      </c>
      <c r="D1" s="256" t="s">
        <v>500</v>
      </c>
      <c r="E1" s="257" t="s">
        <v>315</v>
      </c>
      <c r="F1" s="257" t="s">
        <v>499</v>
      </c>
      <c r="G1" s="257" t="s">
        <v>493</v>
      </c>
      <c r="H1" s="257" t="s">
        <v>463</v>
      </c>
      <c r="I1" s="257" t="s">
        <v>492</v>
      </c>
      <c r="J1" s="258" t="s">
        <v>467</v>
      </c>
      <c r="K1" s="258" t="s">
        <v>466</v>
      </c>
      <c r="L1" s="259" t="s">
        <v>494</v>
      </c>
      <c r="M1" s="260" t="s">
        <v>495</v>
      </c>
      <c r="N1" s="252" t="s">
        <v>496</v>
      </c>
      <c r="O1" s="252" t="s">
        <v>497</v>
      </c>
      <c r="P1" s="252" t="s">
        <v>501</v>
      </c>
      <c r="Q1" s="252" t="s">
        <v>502</v>
      </c>
      <c r="R1" s="253" t="s">
        <v>498</v>
      </c>
    </row>
    <row r="2" spans="1:18">
      <c r="A2" s="204" t="s">
        <v>37</v>
      </c>
      <c r="B2" s="204" t="s">
        <v>469</v>
      </c>
      <c r="C2" s="204" t="s">
        <v>447</v>
      </c>
      <c r="D2" s="8">
        <v>296</v>
      </c>
      <c r="E2" s="198">
        <v>180</v>
      </c>
      <c r="F2" s="198">
        <v>900</v>
      </c>
      <c r="G2" s="36">
        <v>2.7777777777777777</v>
      </c>
      <c r="H2" s="36">
        <v>2.2222222222222223</v>
      </c>
      <c r="I2" s="36">
        <f t="shared" ref="I2:I9" si="0">G2*E2</f>
        <v>500</v>
      </c>
      <c r="J2" s="197">
        <v>43697</v>
      </c>
      <c r="K2" s="197">
        <v>43698</v>
      </c>
      <c r="L2" s="154">
        <v>43711</v>
      </c>
      <c r="M2" s="126">
        <v>42983</v>
      </c>
      <c r="N2" s="52">
        <v>3530</v>
      </c>
      <c r="O2" s="127">
        <f>0.5*N2</f>
        <v>1765</v>
      </c>
      <c r="P2" s="151">
        <v>16.97</v>
      </c>
      <c r="Q2" s="151">
        <f>P2-3</f>
        <v>13.969999999999999</v>
      </c>
      <c r="R2" s="52">
        <v>14</v>
      </c>
    </row>
    <row r="3" spans="1:18" ht="17">
      <c r="A3" s="204" t="s">
        <v>74</v>
      </c>
      <c r="B3" s="206" t="s">
        <v>103</v>
      </c>
      <c r="C3" s="204" t="s">
        <v>447</v>
      </c>
      <c r="D3" s="8">
        <v>323</v>
      </c>
      <c r="E3" s="198">
        <v>102</v>
      </c>
      <c r="F3" s="198">
        <v>510</v>
      </c>
      <c r="G3" s="36">
        <v>4.9019607843137258</v>
      </c>
      <c r="H3" s="36">
        <v>9.8039215686274161E-2</v>
      </c>
      <c r="I3" s="36">
        <f t="shared" si="0"/>
        <v>500.00000000000006</v>
      </c>
      <c r="J3" s="197">
        <v>43697</v>
      </c>
      <c r="K3" s="197">
        <v>43698</v>
      </c>
      <c r="L3" s="154">
        <v>43711</v>
      </c>
      <c r="M3" s="126">
        <v>42983</v>
      </c>
      <c r="N3" s="52">
        <v>3829</v>
      </c>
      <c r="O3" s="127">
        <f t="shared" ref="O3:O10" si="1">0.5*N3</f>
        <v>1914.5</v>
      </c>
      <c r="P3" s="151">
        <v>17.52</v>
      </c>
      <c r="Q3" s="151">
        <f t="shared" ref="Q3:Q10" si="2">P3-3</f>
        <v>14.52</v>
      </c>
      <c r="R3" s="52">
        <v>14</v>
      </c>
    </row>
    <row r="4" spans="1:18" ht="17">
      <c r="A4" s="205" t="s">
        <v>75</v>
      </c>
      <c r="B4" s="206" t="s">
        <v>103</v>
      </c>
      <c r="C4" s="204" t="s">
        <v>447</v>
      </c>
      <c r="D4" s="161">
        <v>341</v>
      </c>
      <c r="E4" s="198">
        <v>89.6</v>
      </c>
      <c r="F4" s="198">
        <v>448</v>
      </c>
      <c r="G4" s="36">
        <v>5.5803571428571432</v>
      </c>
      <c r="H4" s="36">
        <v>0</v>
      </c>
      <c r="I4" s="36">
        <f t="shared" si="0"/>
        <v>500</v>
      </c>
      <c r="J4" s="197">
        <v>43697</v>
      </c>
      <c r="K4" s="197">
        <v>43698</v>
      </c>
      <c r="L4" s="154">
        <v>43711</v>
      </c>
      <c r="M4" s="126">
        <v>42983</v>
      </c>
      <c r="N4" s="52">
        <v>3848</v>
      </c>
      <c r="O4" s="127">
        <f t="shared" si="1"/>
        <v>1924</v>
      </c>
      <c r="P4" s="151">
        <v>17.59</v>
      </c>
      <c r="Q4" s="151">
        <f t="shared" si="2"/>
        <v>14.59</v>
      </c>
      <c r="R4" s="52">
        <v>14</v>
      </c>
    </row>
    <row r="5" spans="1:18" ht="17">
      <c r="A5" s="206" t="s">
        <v>37</v>
      </c>
      <c r="B5" s="206" t="s">
        <v>96</v>
      </c>
      <c r="C5" s="206" t="s">
        <v>448</v>
      </c>
      <c r="D5" s="21">
        <v>403</v>
      </c>
      <c r="E5" s="44">
        <v>136</v>
      </c>
      <c r="F5" s="48">
        <v>680</v>
      </c>
      <c r="G5" s="41">
        <v>3.6764705882352939</v>
      </c>
      <c r="H5" s="41">
        <v>1.3235294117647061</v>
      </c>
      <c r="I5" s="36">
        <f t="shared" si="0"/>
        <v>500</v>
      </c>
      <c r="J5" s="142">
        <v>43697</v>
      </c>
      <c r="K5" s="142">
        <v>43698</v>
      </c>
      <c r="L5" s="154">
        <v>43711</v>
      </c>
      <c r="M5" s="126">
        <v>42983</v>
      </c>
      <c r="N5" s="52">
        <v>3850</v>
      </c>
      <c r="O5" s="127">
        <f t="shared" si="1"/>
        <v>1925</v>
      </c>
      <c r="P5" s="151">
        <v>18.38</v>
      </c>
      <c r="Q5" s="151">
        <f t="shared" si="2"/>
        <v>15.379999999999999</v>
      </c>
      <c r="R5" s="52">
        <v>15</v>
      </c>
    </row>
    <row r="6" spans="1:18" ht="17">
      <c r="A6" s="206" t="s">
        <v>75</v>
      </c>
      <c r="B6" s="206" t="s">
        <v>93</v>
      </c>
      <c r="C6" s="206" t="s">
        <v>448</v>
      </c>
      <c r="D6" s="21" t="s">
        <v>263</v>
      </c>
      <c r="E6" s="44">
        <v>97</v>
      </c>
      <c r="F6" s="48">
        <v>485</v>
      </c>
      <c r="G6" s="41">
        <v>5.1546391752577323</v>
      </c>
      <c r="H6" s="41">
        <v>0</v>
      </c>
      <c r="I6" s="36">
        <f t="shared" si="0"/>
        <v>500.00000000000006</v>
      </c>
      <c r="J6" s="142">
        <v>43697</v>
      </c>
      <c r="K6" s="142">
        <v>43698</v>
      </c>
      <c r="L6" s="154">
        <v>43711</v>
      </c>
      <c r="M6" s="126">
        <v>42983</v>
      </c>
      <c r="N6" s="52">
        <v>3118</v>
      </c>
      <c r="O6" s="127">
        <f t="shared" si="1"/>
        <v>1559</v>
      </c>
      <c r="P6" s="151">
        <v>17.27</v>
      </c>
      <c r="Q6" s="151">
        <f t="shared" si="2"/>
        <v>14.27</v>
      </c>
      <c r="R6" s="52">
        <v>14</v>
      </c>
    </row>
    <row r="7" spans="1:18" ht="17">
      <c r="A7" s="206" t="s">
        <v>92</v>
      </c>
      <c r="B7" s="206" t="s">
        <v>96</v>
      </c>
      <c r="C7" s="206" t="s">
        <v>448</v>
      </c>
      <c r="D7" s="21">
        <v>490</v>
      </c>
      <c r="E7" s="44">
        <v>186</v>
      </c>
      <c r="F7" s="48">
        <v>930</v>
      </c>
      <c r="G7" s="41">
        <v>2.6881720430107525</v>
      </c>
      <c r="H7" s="231">
        <v>2.3118279569892475</v>
      </c>
      <c r="I7" s="36">
        <f t="shared" si="0"/>
        <v>499.99999999999994</v>
      </c>
      <c r="J7" s="142">
        <v>43697</v>
      </c>
      <c r="K7" s="142">
        <v>43698</v>
      </c>
      <c r="L7" s="154">
        <v>43711</v>
      </c>
      <c r="M7" s="126">
        <v>42983</v>
      </c>
      <c r="N7" s="52">
        <v>3253</v>
      </c>
      <c r="O7" s="127">
        <f t="shared" si="1"/>
        <v>1626.5</v>
      </c>
      <c r="P7" s="151">
        <v>18.809999999999999</v>
      </c>
      <c r="Q7" s="151">
        <f t="shared" si="2"/>
        <v>15.809999999999999</v>
      </c>
      <c r="R7" s="52">
        <v>15</v>
      </c>
    </row>
    <row r="8" spans="1:18" ht="17">
      <c r="A8" s="206" t="s">
        <v>92</v>
      </c>
      <c r="B8" s="206" t="s">
        <v>103</v>
      </c>
      <c r="C8" s="206" t="s">
        <v>448</v>
      </c>
      <c r="D8" s="21">
        <v>513</v>
      </c>
      <c r="E8" s="44">
        <v>142</v>
      </c>
      <c r="F8" s="48">
        <v>710</v>
      </c>
      <c r="G8" s="41">
        <v>3.5211267605633805</v>
      </c>
      <c r="H8" s="41">
        <v>1.4788732394366195</v>
      </c>
      <c r="I8" s="36">
        <f t="shared" si="0"/>
        <v>500</v>
      </c>
      <c r="J8" s="232">
        <v>43697</v>
      </c>
      <c r="K8" s="142">
        <v>43698</v>
      </c>
      <c r="L8" s="154">
        <v>43711</v>
      </c>
      <c r="M8" s="126">
        <v>42983</v>
      </c>
      <c r="N8" s="52">
        <v>3735</v>
      </c>
      <c r="O8" s="127">
        <f t="shared" si="1"/>
        <v>1867.5</v>
      </c>
      <c r="P8" s="151">
        <v>29.17</v>
      </c>
      <c r="Q8" s="151">
        <f t="shared" si="2"/>
        <v>26.17</v>
      </c>
      <c r="R8" s="254" t="s">
        <v>236</v>
      </c>
    </row>
    <row r="9" spans="1:18" ht="17">
      <c r="A9" s="206" t="s">
        <v>99</v>
      </c>
      <c r="B9" s="206" t="s">
        <v>96</v>
      </c>
      <c r="C9" s="206" t="s">
        <v>448</v>
      </c>
      <c r="D9" s="21">
        <v>531</v>
      </c>
      <c r="E9" s="44">
        <v>95.4</v>
      </c>
      <c r="F9" s="48">
        <v>477</v>
      </c>
      <c r="G9" s="41">
        <v>5.2410901467505235</v>
      </c>
      <c r="H9" s="41">
        <v>0</v>
      </c>
      <c r="I9" s="36">
        <f t="shared" si="0"/>
        <v>500</v>
      </c>
      <c r="J9" s="142">
        <v>43697</v>
      </c>
      <c r="K9" s="142">
        <v>43698</v>
      </c>
      <c r="L9" s="154">
        <v>43711</v>
      </c>
      <c r="M9" s="126">
        <v>42983</v>
      </c>
      <c r="N9" s="52">
        <v>3784</v>
      </c>
      <c r="O9" s="127">
        <f t="shared" si="1"/>
        <v>1892</v>
      </c>
      <c r="P9" s="151">
        <v>16.68</v>
      </c>
      <c r="Q9" s="151">
        <f t="shared" si="2"/>
        <v>13.68</v>
      </c>
      <c r="R9" s="52">
        <v>13</v>
      </c>
    </row>
    <row r="10" spans="1:18" ht="17">
      <c r="A10" s="206"/>
      <c r="B10" s="206"/>
      <c r="C10" s="206"/>
      <c r="D10" s="21" t="s">
        <v>411</v>
      </c>
      <c r="E10" s="44"/>
      <c r="F10" s="48"/>
      <c r="G10" s="41"/>
      <c r="H10" s="41"/>
      <c r="I10" s="41"/>
      <c r="J10" s="142"/>
      <c r="K10" s="142"/>
      <c r="L10" s="52"/>
      <c r="M10" s="52"/>
      <c r="N10" s="52">
        <v>3840</v>
      </c>
      <c r="O10" s="127">
        <f t="shared" si="1"/>
        <v>1920</v>
      </c>
      <c r="P10" s="151">
        <v>28.2</v>
      </c>
      <c r="Q10" s="151">
        <f t="shared" si="2"/>
        <v>25.2</v>
      </c>
      <c r="R10" s="254" t="s">
        <v>236</v>
      </c>
    </row>
    <row r="11" spans="1:18">
      <c r="A11" s="236" t="s">
        <v>470</v>
      </c>
      <c r="C11" s="234"/>
      <c r="D11" s="186"/>
    </row>
    <row r="12" spans="1:18">
      <c r="A12" s="233" t="s">
        <v>471</v>
      </c>
      <c r="B12" s="233" t="s">
        <v>474</v>
      </c>
      <c r="C12" s="235" t="s">
        <v>479</v>
      </c>
      <c r="D12" s="188" t="s">
        <v>478</v>
      </c>
    </row>
    <row r="13" spans="1:18">
      <c r="A13" s="233" t="s">
        <v>477</v>
      </c>
      <c r="B13" s="235">
        <v>1</v>
      </c>
      <c r="C13" s="235">
        <v>9</v>
      </c>
      <c r="D13" s="238"/>
    </row>
    <row r="14" spans="1:18">
      <c r="A14" s="209" t="s">
        <v>473</v>
      </c>
      <c r="B14" s="185">
        <v>1.7</v>
      </c>
      <c r="C14" s="185">
        <f t="shared" ref="C14:C19" si="3">B14*$C$13</f>
        <v>15.299999999999999</v>
      </c>
      <c r="D14" s="238"/>
    </row>
    <row r="15" spans="1:18">
      <c r="A15" s="209" t="s">
        <v>490</v>
      </c>
      <c r="B15" s="185">
        <v>7</v>
      </c>
      <c r="C15" s="185">
        <f t="shared" si="3"/>
        <v>63</v>
      </c>
      <c r="D15" s="238">
        <f>C15*1.1</f>
        <v>69.300000000000011</v>
      </c>
    </row>
    <row r="16" spans="1:18">
      <c r="A16" s="209" t="s">
        <v>489</v>
      </c>
      <c r="B16" s="185">
        <v>5</v>
      </c>
      <c r="C16" s="185">
        <f t="shared" si="3"/>
        <v>45</v>
      </c>
      <c r="D16" s="238">
        <f>C16*1.1</f>
        <v>49.500000000000007</v>
      </c>
    </row>
    <row r="17" spans="1:13">
      <c r="A17" s="209" t="s">
        <v>475</v>
      </c>
      <c r="B17" s="185">
        <v>1</v>
      </c>
      <c r="C17" s="185">
        <f t="shared" si="3"/>
        <v>9</v>
      </c>
      <c r="D17" s="238">
        <f>C17*1.1</f>
        <v>9.9</v>
      </c>
    </row>
    <row r="18" spans="1:13" ht="34">
      <c r="A18" s="237" t="s">
        <v>476</v>
      </c>
      <c r="B18" s="185">
        <v>1.2</v>
      </c>
      <c r="C18" s="185">
        <f t="shared" si="3"/>
        <v>10.799999999999999</v>
      </c>
      <c r="D18" s="238">
        <f>C18*1.1</f>
        <v>11.879999999999999</v>
      </c>
    </row>
    <row r="19" spans="1:13">
      <c r="A19" s="209" t="s">
        <v>491</v>
      </c>
      <c r="B19" s="185">
        <v>14.1</v>
      </c>
      <c r="C19" s="185">
        <f t="shared" si="3"/>
        <v>126.89999999999999</v>
      </c>
      <c r="D19" s="238">
        <f>C19*1.1</f>
        <v>139.59</v>
      </c>
    </row>
    <row r="20" spans="1:13">
      <c r="A20" s="239" t="s">
        <v>480</v>
      </c>
      <c r="B20" s="240">
        <f>SUM(B15:B19)</f>
        <v>28.299999999999997</v>
      </c>
      <c r="C20" s="240">
        <f>SUM(C15:C19)</f>
        <v>254.7</v>
      </c>
      <c r="D20" s="241">
        <f>SUM(D15:D19)</f>
        <v>280.17</v>
      </c>
    </row>
    <row r="23" spans="1:13" ht="17">
      <c r="A23" s="243" t="s">
        <v>481</v>
      </c>
      <c r="B23" s="243"/>
    </row>
    <row r="24" spans="1:13" ht="17">
      <c r="A24" s="242" t="s">
        <v>482</v>
      </c>
      <c r="B24" s="29">
        <v>100</v>
      </c>
    </row>
    <row r="25" spans="1:13" ht="17">
      <c r="A25" s="242" t="s">
        <v>483</v>
      </c>
      <c r="B25" s="29">
        <v>2.5</v>
      </c>
    </row>
    <row r="26" spans="1:13">
      <c r="A26" s="209" t="s">
        <v>484</v>
      </c>
      <c r="B26" s="244">
        <v>20</v>
      </c>
    </row>
    <row r="27" spans="1:13">
      <c r="A27" s="209" t="s">
        <v>485</v>
      </c>
      <c r="B27" s="247">
        <f>(B25*B26)/B24</f>
        <v>0.5</v>
      </c>
      <c r="D27" s="245"/>
    </row>
    <row r="28" spans="1:13">
      <c r="A28" s="209" t="s">
        <v>486</v>
      </c>
      <c r="B28" s="248">
        <f>B26-B27</f>
        <v>19.5</v>
      </c>
    </row>
    <row r="29" spans="1:13">
      <c r="A29" s="239" t="s">
        <v>488</v>
      </c>
      <c r="B29" s="246">
        <f>B27/B26</f>
        <v>2.5000000000000001E-2</v>
      </c>
    </row>
    <row r="30" spans="1:13">
      <c r="A30" s="239" t="s">
        <v>487</v>
      </c>
      <c r="B30" s="246">
        <f>(B27*B24)/B26</f>
        <v>2.5</v>
      </c>
    </row>
    <row r="32" spans="1:13">
      <c r="A32" s="209" t="s">
        <v>503</v>
      </c>
      <c r="B32" s="185" t="s">
        <v>472</v>
      </c>
      <c r="C32" s="185" t="s">
        <v>507</v>
      </c>
      <c r="D32" s="249" t="s">
        <v>508</v>
      </c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15">
      <c r="A33" s="209" t="s">
        <v>506</v>
      </c>
      <c r="B33" s="185">
        <v>1</v>
      </c>
      <c r="C33" s="185">
        <v>4</v>
      </c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spans="1:15">
      <c r="A34" s="209" t="s">
        <v>504</v>
      </c>
      <c r="B34" s="261">
        <v>7</v>
      </c>
      <c r="C34" s="249">
        <f>($C$33+1)*B34</f>
        <v>35</v>
      </c>
      <c r="D34" s="262">
        <f>C34*1.1</f>
        <v>38.5</v>
      </c>
      <c r="E34" s="250"/>
      <c r="F34" s="209"/>
      <c r="G34" s="209"/>
      <c r="H34" s="209"/>
      <c r="I34" s="209"/>
      <c r="J34" s="209"/>
      <c r="K34" s="209"/>
      <c r="L34" s="209"/>
      <c r="M34" s="209"/>
      <c r="O34" s="123"/>
    </row>
    <row r="35" spans="1:15">
      <c r="A35" s="209" t="s">
        <v>505</v>
      </c>
      <c r="B35" s="261">
        <v>1</v>
      </c>
      <c r="C35" s="249">
        <f>($C$33+1)*B35</f>
        <v>5</v>
      </c>
      <c r="D35" s="262">
        <f>C35*1.1</f>
        <v>5.5</v>
      </c>
      <c r="E35" s="250"/>
      <c r="F35" s="251"/>
      <c r="G35" s="209"/>
      <c r="H35" s="209"/>
      <c r="I35" s="209"/>
      <c r="J35" s="209"/>
      <c r="K35" s="209"/>
      <c r="L35" s="209"/>
      <c r="M35" s="209"/>
    </row>
    <row r="36" spans="1:15"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</row>
    <row r="37" spans="1:15"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</row>
    <row r="38" spans="1:15"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  <row r="39" spans="1:15"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</row>
    <row r="40" spans="1:15"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</row>
    <row r="41" spans="1:15"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2B5-5179-0F4D-8022-E3D2A9273370}">
  <dimension ref="A2:J31"/>
  <sheetViews>
    <sheetView workbookViewId="0">
      <selection activeCell="C12" sqref="C12"/>
    </sheetView>
  </sheetViews>
  <sheetFormatPr baseColWidth="10" defaultRowHeight="16"/>
  <cols>
    <col min="1" max="1" width="30.1640625" customWidth="1"/>
    <col min="2" max="4" width="10.83203125" customWidth="1"/>
    <col min="5" max="5" width="14.5" customWidth="1"/>
    <col min="6" max="6" width="12.83203125" customWidth="1"/>
    <col min="7" max="7" width="27.5" customWidth="1"/>
  </cols>
  <sheetData>
    <row r="2" spans="1:10">
      <c r="A2" s="124" t="s">
        <v>288</v>
      </c>
      <c r="B2" s="125" t="s">
        <v>292</v>
      </c>
      <c r="C2" s="154" t="s">
        <v>309</v>
      </c>
      <c r="D2" s="126">
        <v>43677</v>
      </c>
      <c r="E2" s="157" t="s">
        <v>308</v>
      </c>
      <c r="F2" t="s">
        <v>310</v>
      </c>
      <c r="G2" s="165" t="s">
        <v>440</v>
      </c>
      <c r="H2" s="165" t="s">
        <v>441</v>
      </c>
    </row>
    <row r="3" spans="1:10">
      <c r="A3" s="124" t="s">
        <v>287</v>
      </c>
      <c r="B3" s="127">
        <v>1</v>
      </c>
      <c r="C3" s="52">
        <v>46</v>
      </c>
      <c r="D3" s="52">
        <v>30</v>
      </c>
      <c r="E3" s="52">
        <v>32</v>
      </c>
      <c r="F3" s="128">
        <f t="shared" ref="F3:F10" si="0">E3*3</f>
        <v>96</v>
      </c>
      <c r="G3" s="170">
        <v>3</v>
      </c>
      <c r="H3" s="52">
        <v>46</v>
      </c>
    </row>
    <row r="4" spans="1:10">
      <c r="A4" s="124" t="s">
        <v>283</v>
      </c>
      <c r="B4" s="128">
        <f>B3</f>
        <v>1</v>
      </c>
      <c r="C4" s="52">
        <f>(C3+2)*2</f>
        <v>96</v>
      </c>
      <c r="D4" s="52">
        <f>(D3+1)*2</f>
        <v>62</v>
      </c>
      <c r="E4" s="52">
        <f>(E3+2)*2</f>
        <v>68</v>
      </c>
      <c r="F4" s="128">
        <f t="shared" si="0"/>
        <v>204</v>
      </c>
      <c r="G4">
        <v>6</v>
      </c>
      <c r="H4" s="52">
        <f>(H3+2)*2</f>
        <v>96</v>
      </c>
    </row>
    <row r="5" spans="1:10">
      <c r="A5" s="124" t="s">
        <v>284</v>
      </c>
      <c r="B5" s="128">
        <v>1</v>
      </c>
      <c r="C5" s="128">
        <f>C4*$B$5</f>
        <v>96</v>
      </c>
      <c r="D5" s="128">
        <f>D4*$B$5</f>
        <v>62</v>
      </c>
      <c r="E5" s="128">
        <f>E4*$B$5</f>
        <v>68</v>
      </c>
      <c r="F5" s="128">
        <f t="shared" si="0"/>
        <v>204</v>
      </c>
      <c r="G5" s="128">
        <f>G4*$B$5</f>
        <v>6</v>
      </c>
      <c r="H5" s="128">
        <f>H4*$B$5</f>
        <v>96</v>
      </c>
    </row>
    <row r="6" spans="1:10">
      <c r="A6" s="124" t="s">
        <v>285</v>
      </c>
      <c r="B6" s="128">
        <v>10</v>
      </c>
      <c r="C6" s="128">
        <f>($B$6*C4)*1.1</f>
        <v>1056</v>
      </c>
      <c r="D6" s="128">
        <f>($B$6*D4)*1.1</f>
        <v>682</v>
      </c>
      <c r="E6" s="128">
        <f>($B$6*E4)*1.1</f>
        <v>748.00000000000011</v>
      </c>
      <c r="F6" s="128">
        <f t="shared" si="0"/>
        <v>2244.0000000000005</v>
      </c>
      <c r="G6" s="128">
        <f>($B$6*G4)*1.1</f>
        <v>66</v>
      </c>
      <c r="H6" s="128">
        <f>($B$6*H4)*1.1</f>
        <v>1056</v>
      </c>
    </row>
    <row r="7" spans="1:10">
      <c r="A7" s="124" t="s">
        <v>290</v>
      </c>
      <c r="B7" s="128">
        <v>0.5</v>
      </c>
      <c r="C7" s="128">
        <f>($B$7*C4)*1.1</f>
        <v>52.800000000000004</v>
      </c>
      <c r="D7" s="128">
        <f>($B$7*D4)*1.1</f>
        <v>34.1</v>
      </c>
      <c r="E7" s="128">
        <f>($B$7*E4)*1.1</f>
        <v>37.400000000000006</v>
      </c>
      <c r="F7" s="128">
        <f t="shared" si="0"/>
        <v>112.20000000000002</v>
      </c>
      <c r="G7" s="128">
        <f>($B$7*G4)*1.1</f>
        <v>3.3000000000000003</v>
      </c>
      <c r="H7" s="128">
        <f>($B$7*H4)*1.1</f>
        <v>52.800000000000004</v>
      </c>
    </row>
    <row r="8" spans="1:10">
      <c r="A8" s="124" t="s">
        <v>291</v>
      </c>
      <c r="B8" s="128">
        <v>0.5</v>
      </c>
      <c r="C8" s="128">
        <f>($B$8*C4)*1.1</f>
        <v>52.800000000000004</v>
      </c>
      <c r="D8" s="128">
        <f>($B$8*D4)*1.1</f>
        <v>34.1</v>
      </c>
      <c r="E8" s="128">
        <f>($B$8*E4)*1.1</f>
        <v>37.400000000000006</v>
      </c>
      <c r="F8" s="128">
        <f t="shared" si="0"/>
        <v>112.20000000000002</v>
      </c>
      <c r="G8" s="128">
        <f>($B$8*G4)*1.1</f>
        <v>3.3000000000000003</v>
      </c>
      <c r="H8" s="128">
        <f>($B$8*H4)*1.1</f>
        <v>52.800000000000004</v>
      </c>
    </row>
    <row r="9" spans="1:10">
      <c r="A9" s="124" t="s">
        <v>286</v>
      </c>
      <c r="B9" s="128">
        <v>8</v>
      </c>
      <c r="C9" s="128">
        <f>($B$9*C4)*1.1</f>
        <v>844.80000000000007</v>
      </c>
      <c r="D9" s="128">
        <f>($B$9*D4)*1.1</f>
        <v>545.6</v>
      </c>
      <c r="E9" s="128">
        <f>($B$9*E4)*1.1</f>
        <v>598.40000000000009</v>
      </c>
      <c r="F9" s="128">
        <f t="shared" si="0"/>
        <v>1795.2000000000003</v>
      </c>
      <c r="G9" s="128">
        <f>($B$9*G4)*1.1</f>
        <v>52.800000000000004</v>
      </c>
      <c r="H9" s="128">
        <f>($B$9*H4)*1.1</f>
        <v>844.80000000000007</v>
      </c>
      <c r="I9" s="130"/>
      <c r="J9" s="130"/>
    </row>
    <row r="10" spans="1:10">
      <c r="A10" s="124" t="s">
        <v>289</v>
      </c>
      <c r="B10" s="129">
        <f>SUM(B5:B9)</f>
        <v>20</v>
      </c>
      <c r="C10" s="129">
        <f>SUM(C6:C9)</f>
        <v>2006.4</v>
      </c>
      <c r="D10" s="129">
        <f>SUM(D6:D9)</f>
        <v>1295.8000000000002</v>
      </c>
      <c r="E10" s="129">
        <f>SUM(E6:E9)</f>
        <v>1421.2000000000003</v>
      </c>
      <c r="F10" s="128">
        <f t="shared" si="0"/>
        <v>4263.6000000000004</v>
      </c>
      <c r="G10" s="129">
        <f>SUM(G6:G9)</f>
        <v>125.4</v>
      </c>
      <c r="H10" s="129">
        <f>SUM(H6:H9)</f>
        <v>2006.4</v>
      </c>
      <c r="I10" s="171"/>
      <c r="J10" s="130"/>
    </row>
    <row r="11" spans="1:10">
      <c r="A11" s="153"/>
      <c r="C11" s="123"/>
      <c r="D11" s="123"/>
      <c r="F11" s="130"/>
      <c r="G11" s="131"/>
      <c r="H11" s="132"/>
      <c r="I11" s="133"/>
      <c r="J11" s="130"/>
    </row>
    <row r="12" spans="1:10">
      <c r="A12" s="152" t="s">
        <v>301</v>
      </c>
      <c r="B12" s="155">
        <v>100</v>
      </c>
      <c r="C12" s="123"/>
      <c r="F12" s="130"/>
      <c r="G12" s="131"/>
      <c r="H12" s="134"/>
      <c r="I12" s="135"/>
      <c r="J12" s="130"/>
    </row>
    <row r="13" spans="1:10">
      <c r="A13" s="152" t="s">
        <v>302</v>
      </c>
      <c r="B13" s="155">
        <v>10</v>
      </c>
      <c r="F13" s="130"/>
      <c r="G13" s="131"/>
      <c r="H13" s="136"/>
      <c r="I13" s="135"/>
      <c r="J13" s="130"/>
    </row>
    <row r="14" spans="1:10">
      <c r="A14" s="152" t="s">
        <v>303</v>
      </c>
      <c r="B14" s="155">
        <f>F7</f>
        <v>112.20000000000002</v>
      </c>
      <c r="F14" s="130"/>
      <c r="G14" s="131"/>
      <c r="H14" s="136"/>
      <c r="I14" s="136"/>
      <c r="J14" s="88"/>
    </row>
    <row r="15" spans="1:10">
      <c r="A15" s="152" t="s">
        <v>311</v>
      </c>
      <c r="B15">
        <v>12</v>
      </c>
      <c r="F15" s="130"/>
      <c r="G15" s="131"/>
      <c r="H15" s="136"/>
      <c r="I15" s="136"/>
      <c r="J15" s="88"/>
    </row>
    <row r="16" spans="1:10">
      <c r="A16" s="156" t="s">
        <v>312</v>
      </c>
      <c r="B16">
        <f>(B15*10)-B15</f>
        <v>108</v>
      </c>
      <c r="F16" s="130"/>
      <c r="G16" s="131"/>
      <c r="H16" s="136"/>
      <c r="I16" s="136"/>
      <c r="J16" s="88"/>
    </row>
    <row r="17" spans="1:10">
      <c r="A17" s="158" t="s">
        <v>313</v>
      </c>
      <c r="B17" s="159">
        <f>B15*B12/(B15+B16)</f>
        <v>10</v>
      </c>
      <c r="F17" s="130"/>
      <c r="G17" s="131"/>
      <c r="H17" s="136"/>
      <c r="I17" s="136"/>
      <c r="J17" s="88"/>
    </row>
    <row r="18" spans="1:10">
      <c r="F18" s="130"/>
      <c r="G18" s="131"/>
      <c r="H18" s="136"/>
      <c r="I18" s="136"/>
      <c r="J18" s="88"/>
    </row>
    <row r="19" spans="1:10">
      <c r="A19" s="156" t="s">
        <v>304</v>
      </c>
      <c r="B19">
        <f>74+52</f>
        <v>126</v>
      </c>
      <c r="F19" s="130"/>
      <c r="G19" s="131"/>
      <c r="H19" s="136"/>
      <c r="I19" s="136"/>
      <c r="J19" s="130"/>
    </row>
    <row r="20" spans="1:10">
      <c r="A20" s="156" t="s">
        <v>305</v>
      </c>
      <c r="B20">
        <f>B19-D3</f>
        <v>96</v>
      </c>
      <c r="F20" s="130"/>
      <c r="G20" s="131"/>
      <c r="H20" s="136"/>
      <c r="I20" s="136"/>
      <c r="J20" s="130"/>
    </row>
    <row r="21" spans="1:10">
      <c r="A21" s="156" t="s">
        <v>306</v>
      </c>
      <c r="B21">
        <f>B20/3</f>
        <v>32</v>
      </c>
      <c r="F21" s="130"/>
      <c r="G21" s="131"/>
      <c r="H21" s="137"/>
      <c r="I21" s="137"/>
      <c r="J21" s="130"/>
    </row>
    <row r="22" spans="1:10">
      <c r="A22" s="156" t="s">
        <v>307</v>
      </c>
      <c r="B22">
        <v>3</v>
      </c>
      <c r="F22" s="130"/>
      <c r="G22" s="130"/>
      <c r="H22" s="130"/>
      <c r="I22" s="130"/>
      <c r="J22" s="130"/>
    </row>
    <row r="23" spans="1:10">
      <c r="F23" s="130"/>
      <c r="G23" s="130"/>
      <c r="H23" s="130"/>
      <c r="I23" s="130"/>
      <c r="J23" s="130"/>
    </row>
    <row r="24" spans="1:10">
      <c r="F24" s="130"/>
      <c r="G24" s="130"/>
      <c r="H24" s="130"/>
      <c r="I24" s="130"/>
      <c r="J24" s="130"/>
    </row>
    <row r="25" spans="1:10">
      <c r="A25" s="941" t="s">
        <v>435</v>
      </c>
      <c r="B25" s="941"/>
      <c r="F25" s="130"/>
      <c r="G25" s="130"/>
      <c r="H25" s="130"/>
      <c r="I25" s="130"/>
      <c r="J25" s="130"/>
    </row>
    <row r="26" spans="1:10">
      <c r="A26" s="166" t="s">
        <v>301</v>
      </c>
      <c r="B26" s="167">
        <v>100</v>
      </c>
    </row>
    <row r="27" spans="1:10">
      <c r="A27" s="166" t="s">
        <v>302</v>
      </c>
      <c r="B27" s="167">
        <v>10</v>
      </c>
    </row>
    <row r="28" spans="1:10">
      <c r="A28" s="166" t="s">
        <v>303</v>
      </c>
      <c r="B28" s="167">
        <v>10</v>
      </c>
    </row>
    <row r="29" spans="1:10">
      <c r="A29" s="166" t="s">
        <v>311</v>
      </c>
      <c r="B29" s="52">
        <v>5.5</v>
      </c>
      <c r="C29">
        <f>B29+B30</f>
        <v>55</v>
      </c>
    </row>
    <row r="30" spans="1:10">
      <c r="A30" s="166" t="s">
        <v>312</v>
      </c>
      <c r="B30" s="52">
        <f>(B29*10)-B29</f>
        <v>49.5</v>
      </c>
    </row>
    <row r="31" spans="1:10">
      <c r="A31" s="168" t="s">
        <v>313</v>
      </c>
      <c r="B31" s="169">
        <f>B29*B26/(B29+B30)</f>
        <v>10</v>
      </c>
    </row>
  </sheetData>
  <mergeCells count="1">
    <mergeCell ref="A25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CA4-82CE-1D4C-BCE0-F34524DFC50E}">
  <dimension ref="A1:I64"/>
  <sheetViews>
    <sheetView workbookViewId="0">
      <selection activeCell="S31" sqref="S31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C2" t="s">
        <v>417</v>
      </c>
      <c r="D2" t="s">
        <v>328</v>
      </c>
      <c r="E2" s="122">
        <v>401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C3" t="s">
        <v>417</v>
      </c>
      <c r="D3" t="s">
        <v>328</v>
      </c>
      <c r="E3" s="122">
        <v>401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C4" t="s">
        <v>417</v>
      </c>
      <c r="D4" t="s">
        <v>328</v>
      </c>
      <c r="E4" s="122">
        <v>402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C5" t="s">
        <v>417</v>
      </c>
      <c r="D5" t="s">
        <v>328</v>
      </c>
      <c r="E5" s="122">
        <v>402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C6" t="s">
        <v>417</v>
      </c>
      <c r="D6" t="s">
        <v>328</v>
      </c>
      <c r="E6" s="122">
        <v>411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C7" t="s">
        <v>417</v>
      </c>
      <c r="D7" t="s">
        <v>328</v>
      </c>
      <c r="E7" s="122">
        <v>411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C8" t="s">
        <v>417</v>
      </c>
      <c r="D8" t="s">
        <v>328</v>
      </c>
      <c r="E8" s="122">
        <v>412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C9" t="s">
        <v>417</v>
      </c>
      <c r="D9" t="s">
        <v>328</v>
      </c>
      <c r="E9" s="122">
        <v>412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C10" t="s">
        <v>417</v>
      </c>
      <c r="D10" t="s">
        <v>328</v>
      </c>
      <c r="E10" s="122">
        <v>421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C11" t="s">
        <v>417</v>
      </c>
      <c r="D11" t="s">
        <v>328</v>
      </c>
      <c r="E11" s="122">
        <v>421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C12" t="s">
        <v>417</v>
      </c>
      <c r="D12" t="s">
        <v>328</v>
      </c>
      <c r="E12" s="122" t="s">
        <v>255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C13" t="s">
        <v>417</v>
      </c>
      <c r="D13" t="s">
        <v>328</v>
      </c>
      <c r="E13" s="122" t="s">
        <v>255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C14" t="s">
        <v>417</v>
      </c>
      <c r="D14" t="s">
        <v>328</v>
      </c>
      <c r="E14" s="122">
        <v>432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C15" t="s">
        <v>417</v>
      </c>
      <c r="D15" t="s">
        <v>328</v>
      </c>
      <c r="E15" s="122">
        <v>432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C16" t="s">
        <v>417</v>
      </c>
      <c r="D16" t="s">
        <v>328</v>
      </c>
      <c r="E16" s="122">
        <v>441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C17" t="s">
        <v>417</v>
      </c>
      <c r="D17" t="s">
        <v>328</v>
      </c>
      <c r="E17" s="122">
        <v>441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C18" t="s">
        <v>417</v>
      </c>
      <c r="D18" t="s">
        <v>328</v>
      </c>
      <c r="E18" s="122" t="s">
        <v>257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C19" t="s">
        <v>417</v>
      </c>
      <c r="D19" t="s">
        <v>328</v>
      </c>
      <c r="E19" s="122" t="s">
        <v>257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C20" t="s">
        <v>417</v>
      </c>
      <c r="D20" t="s">
        <v>328</v>
      </c>
      <c r="E20" s="122">
        <v>451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C21" t="s">
        <v>417</v>
      </c>
      <c r="D21" t="s">
        <v>328</v>
      </c>
      <c r="E21" s="122">
        <v>451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C22" t="s">
        <v>417</v>
      </c>
      <c r="D22" t="s">
        <v>328</v>
      </c>
      <c r="E22" s="122" t="s">
        <v>259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C23" t="s">
        <v>417</v>
      </c>
      <c r="D23" t="s">
        <v>328</v>
      </c>
      <c r="E23" s="122" t="s">
        <v>259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C24" t="s">
        <v>417</v>
      </c>
      <c r="D24" t="s">
        <v>328</v>
      </c>
      <c r="E24" s="122" t="s">
        <v>260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C25" t="s">
        <v>417</v>
      </c>
      <c r="D25" t="s">
        <v>328</v>
      </c>
      <c r="E25" s="122" t="s">
        <v>260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C26" t="s">
        <v>417</v>
      </c>
      <c r="D26" t="s">
        <v>328</v>
      </c>
      <c r="E26" s="122" t="s">
        <v>261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C27" t="s">
        <v>417</v>
      </c>
      <c r="D27" t="s">
        <v>328</v>
      </c>
      <c r="E27" s="122" t="s">
        <v>261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C28" t="s">
        <v>417</v>
      </c>
      <c r="D28" t="s">
        <v>328</v>
      </c>
      <c r="E28" s="122" t="s">
        <v>262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C29" t="s">
        <v>417</v>
      </c>
      <c r="D29" t="s">
        <v>328</v>
      </c>
      <c r="E29" s="122" t="s">
        <v>262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C30" t="s">
        <v>417</v>
      </c>
      <c r="D30" t="s">
        <v>328</v>
      </c>
      <c r="E30" s="122" t="s">
        <v>263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C31" t="s">
        <v>417</v>
      </c>
      <c r="D31" t="s">
        <v>328</v>
      </c>
      <c r="E31" s="122" t="s">
        <v>263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C32" t="s">
        <v>417</v>
      </c>
      <c r="D32" t="s">
        <v>328</v>
      </c>
      <c r="E32" s="122">
        <v>481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C33" t="s">
        <v>417</v>
      </c>
      <c r="D33" t="s">
        <v>328</v>
      </c>
      <c r="E33" s="122">
        <v>481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C34" t="s">
        <v>417</v>
      </c>
      <c r="D34" t="s">
        <v>328</v>
      </c>
      <c r="E34" s="122">
        <v>482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C35" t="s">
        <v>417</v>
      </c>
      <c r="D35" t="s">
        <v>328</v>
      </c>
      <c r="E35" s="122">
        <v>482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C36" t="s">
        <v>417</v>
      </c>
      <c r="D36" t="s">
        <v>328</v>
      </c>
      <c r="E36" s="122">
        <v>484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C37" t="s">
        <v>417</v>
      </c>
      <c r="D37" t="s">
        <v>328</v>
      </c>
      <c r="E37" s="122">
        <v>484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C38" t="s">
        <v>417</v>
      </c>
      <c r="D38" t="s">
        <v>328</v>
      </c>
      <c r="E38" s="122">
        <v>491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C39" t="s">
        <v>417</v>
      </c>
      <c r="D39" t="s">
        <v>328</v>
      </c>
      <c r="E39" s="122">
        <v>491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C40" t="s">
        <v>417</v>
      </c>
      <c r="D40" t="s">
        <v>328</v>
      </c>
      <c r="E40" s="122">
        <v>506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C41" t="s">
        <v>417</v>
      </c>
      <c r="D41" t="s">
        <v>328</v>
      </c>
      <c r="E41" s="122">
        <v>506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C42" t="s">
        <v>417</v>
      </c>
      <c r="D42" t="s">
        <v>328</v>
      </c>
      <c r="E42" s="122">
        <v>513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C43" t="s">
        <v>417</v>
      </c>
      <c r="D43" t="s">
        <v>328</v>
      </c>
      <c r="E43" s="122">
        <v>513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C44" t="s">
        <v>417</v>
      </c>
      <c r="D44" t="s">
        <v>328</v>
      </c>
      <c r="E44" s="122">
        <v>521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C45" t="s">
        <v>417</v>
      </c>
      <c r="D45" t="s">
        <v>328</v>
      </c>
      <c r="E45" s="122">
        <v>521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C46" t="s">
        <v>417</v>
      </c>
      <c r="D46" t="s">
        <v>328</v>
      </c>
      <c r="E46" s="122">
        <v>522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C47" t="s">
        <v>417</v>
      </c>
      <c r="D47" t="s">
        <v>328</v>
      </c>
      <c r="E47" s="122">
        <v>522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C48" t="s">
        <v>417</v>
      </c>
      <c r="D48" t="s">
        <v>328</v>
      </c>
      <c r="E48" s="122">
        <v>528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C49" t="s">
        <v>417</v>
      </c>
      <c r="D49" t="s">
        <v>328</v>
      </c>
      <c r="E49" s="122">
        <v>528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C50" t="s">
        <v>417</v>
      </c>
      <c r="D50" t="s">
        <v>328</v>
      </c>
      <c r="E50" s="122">
        <v>531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C51" t="s">
        <v>417</v>
      </c>
      <c r="D51" t="s">
        <v>328</v>
      </c>
      <c r="E51" s="122">
        <v>531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C52" t="s">
        <v>417</v>
      </c>
      <c r="D52" t="s">
        <v>328</v>
      </c>
      <c r="E52" s="122">
        <v>541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C53" t="s">
        <v>417</v>
      </c>
      <c r="D53" t="s">
        <v>328</v>
      </c>
      <c r="E53" s="122">
        <v>541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C54" t="s">
        <v>417</v>
      </c>
      <c r="D54" t="s">
        <v>328</v>
      </c>
      <c r="E54" s="122">
        <v>542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C55" t="s">
        <v>417</v>
      </c>
      <c r="D55" t="s">
        <v>328</v>
      </c>
      <c r="E55" s="122">
        <v>542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C56" t="s">
        <v>417</v>
      </c>
      <c r="D56" t="s">
        <v>328</v>
      </c>
      <c r="E56" s="122" t="s">
        <v>268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C57" t="s">
        <v>417</v>
      </c>
      <c r="D57" t="s">
        <v>328</v>
      </c>
      <c r="E57" s="122" t="s">
        <v>268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C58" t="s">
        <v>417</v>
      </c>
      <c r="D58" t="s">
        <v>328</v>
      </c>
      <c r="E58" s="122">
        <v>561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C59" t="s">
        <v>417</v>
      </c>
      <c r="D59" t="s">
        <v>328</v>
      </c>
      <c r="E59" s="122">
        <v>561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C60" t="s">
        <v>417</v>
      </c>
      <c r="D60" t="s">
        <v>328</v>
      </c>
      <c r="E60" s="122">
        <v>571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C61" t="s">
        <v>417</v>
      </c>
      <c r="D61" t="s">
        <v>328</v>
      </c>
      <c r="E61" s="122">
        <v>571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C62" t="s">
        <v>417</v>
      </c>
      <c r="D62" t="s">
        <v>414</v>
      </c>
      <c r="E62" s="122" t="s">
        <v>418</v>
      </c>
      <c r="F62">
        <v>77.400000000000006</v>
      </c>
      <c r="G62">
        <v>483.01</v>
      </c>
      <c r="H62">
        <v>76</v>
      </c>
      <c r="I62">
        <v>88.8</v>
      </c>
    </row>
    <row r="63" spans="1:9">
      <c r="A63" t="s">
        <v>390</v>
      </c>
      <c r="B63" t="s">
        <v>327</v>
      </c>
      <c r="C63" t="s">
        <v>417</v>
      </c>
      <c r="D63" t="s">
        <v>414</v>
      </c>
      <c r="E63" s="122" t="s">
        <v>418</v>
      </c>
      <c r="F63">
        <v>78.2</v>
      </c>
      <c r="G63">
        <v>566.47</v>
      </c>
      <c r="H63">
        <v>76</v>
      </c>
      <c r="I63">
        <v>88.6</v>
      </c>
    </row>
    <row r="64" spans="1:9">
      <c r="A64" t="s">
        <v>391</v>
      </c>
      <c r="B64" t="s">
        <v>327</v>
      </c>
      <c r="C64" t="s">
        <v>417</v>
      </c>
      <c r="D64" t="s">
        <v>411</v>
      </c>
      <c r="E64" s="122" t="s">
        <v>411</v>
      </c>
      <c r="F64" t="s">
        <v>329</v>
      </c>
      <c r="G64" t="s">
        <v>329</v>
      </c>
      <c r="H64" t="s">
        <v>329</v>
      </c>
      <c r="I64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5ED-8161-1C45-B46B-0307AFE3E236}">
  <dimension ref="A1:I85"/>
  <sheetViews>
    <sheetView workbookViewId="0">
      <selection activeCell="L34" sqref="L34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>
        <v>292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>
        <v>292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>
        <v>293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>
        <v>293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>
        <v>295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>
        <v>295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>
        <v>296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>
        <v>296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>
        <v>298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>
        <v>298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>
        <v>301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>
        <v>301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>
        <v>303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>
        <v>303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>
        <v>305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>
        <v>305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>
        <v>307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>
        <v>307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>
        <v>308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D21" t="s">
        <v>328</v>
      </c>
      <c r="E21">
        <v>308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>
        <v>311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>
        <v>311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>
        <v>312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>
        <v>312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>
        <v>313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>
        <v>313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>
        <v>314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>
        <v>314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>
        <v>318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>
        <v>318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>
        <v>322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>
        <v>322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>
        <v>323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>
        <v>323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>
        <v>326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>
        <v>326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>
        <v>327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>
        <v>327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>
        <v>328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>
        <v>328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>
        <v>331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>
        <v>331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>
        <v>332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>
        <v>332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D46" t="s">
        <v>328</v>
      </c>
      <c r="E46">
        <v>333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>
        <v>333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>
        <v>336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>
        <v>336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>
        <v>337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>
        <v>337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>
        <v>341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>
        <v>341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>
        <v>342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>
        <v>342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>
        <v>343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>
        <v>343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>
        <v>346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>
        <v>346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>
        <v>347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>
        <v>347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>
        <v>403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>
        <v>403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>
        <v>404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>
        <v>404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>
        <v>297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>
        <v>297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>
        <v>302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>
        <v>302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>
        <v>319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>
        <v>319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>
        <v>329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>
        <v>329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>
        <v>339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>
        <v>339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>
        <v>348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>
        <v>348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>
        <v>349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>
        <v>349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t="s">
        <v>408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t="s">
        <v>408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411</v>
      </c>
      <c r="E82" t="s">
        <v>411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411</v>
      </c>
      <c r="E83" t="s">
        <v>411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414</v>
      </c>
      <c r="E84" t="s">
        <v>415</v>
      </c>
      <c r="F84">
        <v>77.599999999999994</v>
      </c>
      <c r="G84">
        <v>447.94</v>
      </c>
      <c r="H84">
        <v>76</v>
      </c>
      <c r="I84">
        <v>93.2</v>
      </c>
    </row>
    <row r="85" spans="1:9">
      <c r="A85" t="s">
        <v>416</v>
      </c>
      <c r="B85" t="s">
        <v>327</v>
      </c>
      <c r="D85" t="s">
        <v>414</v>
      </c>
      <c r="E85" t="s">
        <v>415</v>
      </c>
      <c r="F85">
        <v>76</v>
      </c>
      <c r="G85">
        <v>454.08</v>
      </c>
      <c r="H85">
        <v>75.8</v>
      </c>
      <c r="I85">
        <v>88.8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2B-66F3-FA4F-B705-2BD628123ABB}">
  <dimension ref="A1:I97"/>
  <sheetViews>
    <sheetView workbookViewId="0">
      <selection activeCell="M19" sqref="M19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 s="122">
        <v>413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 s="122">
        <v>413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 s="122">
        <v>414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 s="122">
        <v>414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 s="122">
        <v>434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 s="122">
        <v>434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 s="122">
        <v>443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 s="122">
        <v>443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 s="122">
        <v>444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 s="122">
        <v>444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 s="122">
        <v>445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 s="122">
        <v>445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 s="122">
        <v>453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 s="122">
        <v>453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 s="122">
        <v>473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 s="122">
        <v>473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 s="122">
        <v>474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 s="122">
        <v>474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 s="122">
        <v>475</v>
      </c>
      <c r="F20">
        <v>76</v>
      </c>
      <c r="G20">
        <v>453.23</v>
      </c>
      <c r="H20">
        <v>75.8</v>
      </c>
      <c r="I20">
        <v>91.8</v>
      </c>
    </row>
    <row r="21" spans="1:9">
      <c r="A21" t="s">
        <v>348</v>
      </c>
      <c r="B21" t="s">
        <v>327</v>
      </c>
      <c r="D21" t="s">
        <v>328</v>
      </c>
      <c r="E21" s="122">
        <v>475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 s="122">
        <v>487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 s="122">
        <v>487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 s="122">
        <v>483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 s="122">
        <v>483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 s="122">
        <v>485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 s="122">
        <v>485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 s="122" t="s">
        <v>264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 s="122" t="s">
        <v>264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 s="122">
        <v>492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 s="122">
        <v>492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 s="122">
        <v>523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 s="122">
        <v>523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 s="122">
        <v>524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 s="122">
        <v>524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 s="122">
        <v>525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 s="122">
        <v>525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 s="122">
        <v>526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 s="122">
        <v>526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 s="122">
        <v>532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 s="122">
        <v>532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 s="122">
        <v>533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 s="122">
        <v>533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 s="122">
        <v>543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 s="122">
        <v>543</v>
      </c>
      <c r="F45">
        <v>76.8</v>
      </c>
      <c r="G45">
        <v>546</v>
      </c>
      <c r="H45">
        <v>76</v>
      </c>
      <c r="I45">
        <v>92.8</v>
      </c>
    </row>
    <row r="46" spans="1:9">
      <c r="A46" t="s">
        <v>373</v>
      </c>
      <c r="B46" t="s">
        <v>327</v>
      </c>
      <c r="D46" t="s">
        <v>328</v>
      </c>
      <c r="E46" s="122">
        <v>553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 s="122">
        <v>553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 s="122">
        <v>551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 s="122">
        <v>551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 s="122">
        <v>554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 s="122">
        <v>554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 s="122">
        <v>562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 s="122">
        <v>562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 s="122">
        <v>563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 s="122">
        <v>563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 s="122" t="s">
        <v>419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 s="122" t="s">
        <v>419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 s="122">
        <v>43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 s="122">
        <v>43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 s="122">
        <v>291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 s="122">
        <v>291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 s="122">
        <v>294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 s="122">
        <v>294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 s="122">
        <v>299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 s="122">
        <v>299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 s="122">
        <v>304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 s="122">
        <v>304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 s="122">
        <v>306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 s="122">
        <v>306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 s="122">
        <v>309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 s="122">
        <v>309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 s="122">
        <v>315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 s="122">
        <v>315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 s="122">
        <v>316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 s="122">
        <v>316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 s="122">
        <v>317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 s="122">
        <v>317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 s="122">
        <v>321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 s="122">
        <v>321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s="122">
        <v>324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s="122">
        <v>324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328</v>
      </c>
      <c r="E82" s="122">
        <v>325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328</v>
      </c>
      <c r="E83" s="122">
        <v>325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328</v>
      </c>
      <c r="E84" s="122">
        <v>46</v>
      </c>
      <c r="F84" t="s">
        <v>329</v>
      </c>
      <c r="G84" t="s">
        <v>329</v>
      </c>
      <c r="H84" t="s">
        <v>329</v>
      </c>
      <c r="I84" t="s">
        <v>329</v>
      </c>
    </row>
    <row r="85" spans="1:9">
      <c r="A85" t="s">
        <v>416</v>
      </c>
      <c r="B85" t="s">
        <v>327</v>
      </c>
      <c r="D85" t="s">
        <v>328</v>
      </c>
      <c r="E85" s="122">
        <v>46</v>
      </c>
      <c r="F85" t="s">
        <v>329</v>
      </c>
      <c r="G85" t="s">
        <v>329</v>
      </c>
      <c r="H85" t="s">
        <v>329</v>
      </c>
      <c r="I85" t="s">
        <v>329</v>
      </c>
    </row>
    <row r="86" spans="1:9">
      <c r="A86" t="s">
        <v>420</v>
      </c>
      <c r="B86" t="s">
        <v>327</v>
      </c>
      <c r="D86" t="s">
        <v>328</v>
      </c>
      <c r="E86" s="122">
        <v>334</v>
      </c>
      <c r="F86" t="s">
        <v>329</v>
      </c>
      <c r="G86" t="s">
        <v>329</v>
      </c>
      <c r="H86" t="s">
        <v>329</v>
      </c>
      <c r="I86" t="s">
        <v>329</v>
      </c>
    </row>
    <row r="87" spans="1:9">
      <c r="A87" t="s">
        <v>421</v>
      </c>
      <c r="B87" t="s">
        <v>327</v>
      </c>
      <c r="D87" t="s">
        <v>328</v>
      </c>
      <c r="E87" s="122">
        <v>334</v>
      </c>
      <c r="F87" t="s">
        <v>329</v>
      </c>
      <c r="G87" t="s">
        <v>329</v>
      </c>
      <c r="H87" t="s">
        <v>329</v>
      </c>
      <c r="I87" t="s">
        <v>329</v>
      </c>
    </row>
    <row r="88" spans="1:9">
      <c r="A88" t="s">
        <v>422</v>
      </c>
      <c r="B88" t="s">
        <v>327</v>
      </c>
      <c r="D88" t="s">
        <v>328</v>
      </c>
      <c r="E88" s="122">
        <v>335</v>
      </c>
      <c r="F88" t="s">
        <v>329</v>
      </c>
      <c r="G88" t="s">
        <v>329</v>
      </c>
      <c r="H88" t="s">
        <v>329</v>
      </c>
      <c r="I88" t="s">
        <v>329</v>
      </c>
    </row>
    <row r="89" spans="1:9">
      <c r="A89" t="s">
        <v>423</v>
      </c>
      <c r="B89" t="s">
        <v>327</v>
      </c>
      <c r="D89" t="s">
        <v>328</v>
      </c>
      <c r="E89" s="122">
        <v>335</v>
      </c>
      <c r="F89" t="s">
        <v>329</v>
      </c>
      <c r="G89" t="s">
        <v>329</v>
      </c>
      <c r="H89" t="s">
        <v>329</v>
      </c>
      <c r="I89" t="s">
        <v>329</v>
      </c>
    </row>
    <row r="90" spans="1:9">
      <c r="A90" t="s">
        <v>424</v>
      </c>
      <c r="B90" t="s">
        <v>327</v>
      </c>
      <c r="D90" t="s">
        <v>328</v>
      </c>
      <c r="E90" s="122">
        <v>338</v>
      </c>
      <c r="F90" t="s">
        <v>329</v>
      </c>
      <c r="G90" t="s">
        <v>329</v>
      </c>
      <c r="H90" t="s">
        <v>329</v>
      </c>
      <c r="I90" t="s">
        <v>329</v>
      </c>
    </row>
    <row r="91" spans="1:9">
      <c r="A91" t="s">
        <v>425</v>
      </c>
      <c r="B91" t="s">
        <v>327</v>
      </c>
      <c r="D91" t="s">
        <v>328</v>
      </c>
      <c r="E91" s="122">
        <v>338</v>
      </c>
      <c r="F91" t="s">
        <v>329</v>
      </c>
      <c r="G91" t="s">
        <v>329</v>
      </c>
      <c r="H91" t="s">
        <v>329</v>
      </c>
      <c r="I91" t="s">
        <v>329</v>
      </c>
    </row>
    <row r="92" spans="1:9">
      <c r="A92" t="s">
        <v>426</v>
      </c>
      <c r="B92" t="s">
        <v>327</v>
      </c>
      <c r="D92" t="s">
        <v>328</v>
      </c>
      <c r="E92" s="122">
        <v>344</v>
      </c>
      <c r="F92" t="s">
        <v>329</v>
      </c>
      <c r="G92" t="s">
        <v>329</v>
      </c>
      <c r="H92" t="s">
        <v>329</v>
      </c>
      <c r="I92" t="s">
        <v>329</v>
      </c>
    </row>
    <row r="93" spans="1:9">
      <c r="A93" t="s">
        <v>427</v>
      </c>
      <c r="B93" t="s">
        <v>327</v>
      </c>
      <c r="D93" t="s">
        <v>328</v>
      </c>
      <c r="E93" s="122">
        <v>344</v>
      </c>
      <c r="F93" t="s">
        <v>329</v>
      </c>
      <c r="G93" t="s">
        <v>329</v>
      </c>
      <c r="H93" t="s">
        <v>329</v>
      </c>
      <c r="I93" t="s">
        <v>329</v>
      </c>
    </row>
    <row r="94" spans="1:9">
      <c r="A94" t="s">
        <v>428</v>
      </c>
      <c r="B94" t="s">
        <v>327</v>
      </c>
      <c r="D94" t="s">
        <v>414</v>
      </c>
      <c r="E94" s="122" t="s">
        <v>429</v>
      </c>
      <c r="F94">
        <v>76</v>
      </c>
      <c r="G94">
        <v>551.94000000000005</v>
      </c>
      <c r="H94">
        <v>75.599999999999994</v>
      </c>
      <c r="I94">
        <v>90.4</v>
      </c>
    </row>
    <row r="95" spans="1:9">
      <c r="A95" t="s">
        <v>430</v>
      </c>
      <c r="B95" t="s">
        <v>327</v>
      </c>
      <c r="D95" t="s">
        <v>414</v>
      </c>
      <c r="E95" s="122" t="s">
        <v>429</v>
      </c>
      <c r="F95">
        <v>76</v>
      </c>
      <c r="G95">
        <v>548.91999999999996</v>
      </c>
      <c r="H95">
        <v>75.599999999999994</v>
      </c>
      <c r="I95">
        <v>91.4</v>
      </c>
    </row>
    <row r="96" spans="1:9">
      <c r="A96" t="s">
        <v>431</v>
      </c>
      <c r="B96" t="s">
        <v>327</v>
      </c>
      <c r="D96" t="s">
        <v>411</v>
      </c>
      <c r="E96" s="122" t="s">
        <v>411</v>
      </c>
      <c r="F96" t="s">
        <v>329</v>
      </c>
      <c r="G96" t="s">
        <v>329</v>
      </c>
      <c r="H96" t="s">
        <v>329</v>
      </c>
      <c r="I96" t="s">
        <v>329</v>
      </c>
    </row>
    <row r="97" spans="1:9">
      <c r="A97" t="s">
        <v>432</v>
      </c>
      <c r="B97" t="s">
        <v>327</v>
      </c>
      <c r="D97" t="s">
        <v>411</v>
      </c>
      <c r="E97" s="122" t="s">
        <v>411</v>
      </c>
      <c r="F97" t="s">
        <v>329</v>
      </c>
      <c r="G97" t="s">
        <v>329</v>
      </c>
      <c r="H97" t="s">
        <v>329</v>
      </c>
      <c r="I97" t="s">
        <v>329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142-F4A8-B14B-97B7-93FE04364FA1}">
  <dimension ref="A1:I29"/>
  <sheetViews>
    <sheetView workbookViewId="0">
      <selection activeCell="P35" sqref="P35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336</v>
      </c>
      <c r="B2" t="s">
        <v>327</v>
      </c>
      <c r="D2" t="s">
        <v>328</v>
      </c>
      <c r="E2">
        <v>345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337</v>
      </c>
      <c r="B3" t="s">
        <v>327</v>
      </c>
      <c r="D3" t="s">
        <v>328</v>
      </c>
      <c r="E3">
        <v>345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338</v>
      </c>
      <c r="B4" t="s">
        <v>327</v>
      </c>
      <c r="D4" t="s">
        <v>328</v>
      </c>
      <c r="E4">
        <v>476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339</v>
      </c>
      <c r="B5" t="s">
        <v>327</v>
      </c>
      <c r="D5" t="s">
        <v>328</v>
      </c>
      <c r="E5">
        <v>476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348</v>
      </c>
      <c r="B6" t="s">
        <v>327</v>
      </c>
      <c r="D6" t="s">
        <v>328</v>
      </c>
      <c r="E6">
        <v>477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349</v>
      </c>
      <c r="B7" t="s">
        <v>327</v>
      </c>
      <c r="D7" t="s">
        <v>328</v>
      </c>
      <c r="E7">
        <v>477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350</v>
      </c>
      <c r="B8" t="s">
        <v>327</v>
      </c>
      <c r="D8" t="s">
        <v>328</v>
      </c>
      <c r="E8">
        <v>488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351</v>
      </c>
      <c r="B9" t="s">
        <v>327</v>
      </c>
      <c r="D9" t="s">
        <v>328</v>
      </c>
      <c r="E9">
        <v>488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360</v>
      </c>
      <c r="B10" t="s">
        <v>327</v>
      </c>
      <c r="D10" t="s">
        <v>328</v>
      </c>
      <c r="E10">
        <v>489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361</v>
      </c>
      <c r="B11" t="s">
        <v>327</v>
      </c>
      <c r="D11" t="s">
        <v>328</v>
      </c>
      <c r="E11">
        <v>489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362</v>
      </c>
      <c r="B12" t="s">
        <v>327</v>
      </c>
      <c r="D12" t="s">
        <v>328</v>
      </c>
      <c r="E12">
        <v>490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363</v>
      </c>
      <c r="B13" t="s">
        <v>327</v>
      </c>
      <c r="D13" t="s">
        <v>328</v>
      </c>
      <c r="E13">
        <v>490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372</v>
      </c>
      <c r="B14" t="s">
        <v>327</v>
      </c>
      <c r="D14" t="s">
        <v>328</v>
      </c>
      <c r="E14">
        <v>527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373</v>
      </c>
      <c r="B15" t="s">
        <v>327</v>
      </c>
      <c r="D15" t="s">
        <v>328</v>
      </c>
      <c r="E15">
        <v>527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374</v>
      </c>
      <c r="B16" t="s">
        <v>327</v>
      </c>
      <c r="D16" t="s">
        <v>328</v>
      </c>
      <c r="E16">
        <v>529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375</v>
      </c>
      <c r="B17" t="s">
        <v>327</v>
      </c>
      <c r="D17" t="s">
        <v>328</v>
      </c>
      <c r="E17">
        <v>529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384</v>
      </c>
      <c r="B18" t="s">
        <v>327</v>
      </c>
      <c r="D18" t="s">
        <v>328</v>
      </c>
      <c r="E18">
        <v>564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385</v>
      </c>
      <c r="B19" t="s">
        <v>327</v>
      </c>
      <c r="D19" t="s">
        <v>328</v>
      </c>
      <c r="E19">
        <v>564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386</v>
      </c>
      <c r="B20" t="s">
        <v>327</v>
      </c>
      <c r="D20" t="s">
        <v>328</v>
      </c>
      <c r="E20">
        <v>565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387</v>
      </c>
      <c r="B21" t="s">
        <v>327</v>
      </c>
      <c r="D21" t="s">
        <v>328</v>
      </c>
      <c r="E21">
        <v>565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396</v>
      </c>
      <c r="B22" t="s">
        <v>327</v>
      </c>
      <c r="D22" t="s">
        <v>328</v>
      </c>
      <c r="E22" t="s">
        <v>433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397</v>
      </c>
      <c r="B23" t="s">
        <v>327</v>
      </c>
      <c r="D23" t="s">
        <v>328</v>
      </c>
      <c r="E23" t="s">
        <v>433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398</v>
      </c>
      <c r="B24" t="s">
        <v>327</v>
      </c>
      <c r="D24" t="s">
        <v>328</v>
      </c>
      <c r="E24" t="s">
        <v>434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399</v>
      </c>
      <c r="B25" t="s">
        <v>327</v>
      </c>
      <c r="D25" t="s">
        <v>328</v>
      </c>
      <c r="E25" t="s">
        <v>434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409</v>
      </c>
      <c r="B26" t="s">
        <v>327</v>
      </c>
      <c r="D26" t="s">
        <v>411</v>
      </c>
      <c r="E26" t="s">
        <v>411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410</v>
      </c>
      <c r="B27" t="s">
        <v>327</v>
      </c>
      <c r="D27" t="s">
        <v>411</v>
      </c>
      <c r="E27" t="s">
        <v>411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412</v>
      </c>
      <c r="B28" t="s">
        <v>327</v>
      </c>
      <c r="D28" t="s">
        <v>414</v>
      </c>
      <c r="E28" t="s">
        <v>429</v>
      </c>
      <c r="F28">
        <v>76.400000000000006</v>
      </c>
      <c r="G28">
        <v>365.34</v>
      </c>
      <c r="H28">
        <v>76</v>
      </c>
      <c r="I28">
        <v>88.6</v>
      </c>
    </row>
    <row r="29" spans="1:9">
      <c r="A29" t="s">
        <v>413</v>
      </c>
      <c r="B29" t="s">
        <v>327</v>
      </c>
      <c r="D29" t="s">
        <v>414</v>
      </c>
      <c r="E29" t="s">
        <v>429</v>
      </c>
      <c r="F29">
        <v>76.599999999999994</v>
      </c>
      <c r="G29">
        <v>382.45</v>
      </c>
      <c r="H29">
        <v>76</v>
      </c>
      <c r="I29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CC12-266C-E048-A399-29541240FC23}">
  <dimension ref="A1:AT31"/>
  <sheetViews>
    <sheetView workbookViewId="0">
      <selection activeCell="AA15" sqref="AA15"/>
    </sheetView>
  </sheetViews>
  <sheetFormatPr baseColWidth="10" defaultRowHeight="16"/>
  <cols>
    <col min="2" max="2" width="0" hidden="1" customWidth="1"/>
    <col min="3" max="3" width="16" customWidth="1"/>
    <col min="4" max="4" width="15.6640625" customWidth="1"/>
    <col min="6" max="9" width="0" hidden="1" customWidth="1"/>
    <col min="13" max="18" width="0" hidden="1" customWidth="1"/>
    <col min="20" max="22" width="0" hidden="1" customWidth="1"/>
  </cols>
  <sheetData>
    <row r="1" spans="1:46" ht="108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8</v>
      </c>
      <c r="F1" s="13" t="s">
        <v>198</v>
      </c>
      <c r="G1" s="12" t="s">
        <v>199</v>
      </c>
      <c r="H1" s="12" t="s">
        <v>200</v>
      </c>
      <c r="I1" s="12" t="s">
        <v>269</v>
      </c>
      <c r="J1" s="12" t="s">
        <v>254</v>
      </c>
      <c r="K1" s="12" t="s">
        <v>241</v>
      </c>
      <c r="L1" s="12" t="s">
        <v>10</v>
      </c>
      <c r="M1" s="112" t="s">
        <v>230</v>
      </c>
      <c r="N1" s="12" t="s">
        <v>231</v>
      </c>
      <c r="O1" s="12" t="s">
        <v>229</v>
      </c>
      <c r="P1" s="12" t="s">
        <v>228</v>
      </c>
      <c r="Q1" s="12" t="s">
        <v>246</v>
      </c>
      <c r="R1" s="12" t="s">
        <v>245</v>
      </c>
      <c r="S1" s="12" t="s">
        <v>17</v>
      </c>
      <c r="T1" s="12" t="s">
        <v>88</v>
      </c>
      <c r="U1" s="12" t="s">
        <v>83</v>
      </c>
      <c r="V1" s="115" t="s">
        <v>250</v>
      </c>
      <c r="W1" s="67" t="s">
        <v>252</v>
      </c>
      <c r="X1" s="59" t="s">
        <v>277</v>
      </c>
      <c r="Y1" s="59" t="s">
        <v>278</v>
      </c>
      <c r="Z1" s="60" t="s">
        <v>282</v>
      </c>
    </row>
    <row r="2" spans="1:46" ht="17">
      <c r="A2" s="89">
        <v>42879</v>
      </c>
      <c r="B2" s="19" t="s">
        <v>105</v>
      </c>
      <c r="C2" s="19" t="s">
        <v>37</v>
      </c>
      <c r="D2" s="19" t="s">
        <v>96</v>
      </c>
      <c r="E2" s="21" t="s">
        <v>130</v>
      </c>
      <c r="F2" s="19"/>
      <c r="G2" s="21"/>
      <c r="H2" s="21"/>
      <c r="I2" s="32">
        <v>43665</v>
      </c>
      <c r="J2" s="21">
        <v>401</v>
      </c>
      <c r="K2" s="21">
        <v>1</v>
      </c>
      <c r="L2" s="20">
        <v>100</v>
      </c>
      <c r="M2" s="113">
        <v>43665</v>
      </c>
      <c r="N2" s="20">
        <v>1</v>
      </c>
      <c r="O2" s="32">
        <v>43670</v>
      </c>
      <c r="P2" s="20">
        <v>1</v>
      </c>
      <c r="Q2" s="20">
        <f>1000-500</f>
        <v>500</v>
      </c>
      <c r="R2" s="20">
        <f>100-1</f>
        <v>99</v>
      </c>
      <c r="S2" s="44">
        <v>52</v>
      </c>
      <c r="T2" s="48">
        <f>S2*R2</f>
        <v>5148</v>
      </c>
      <c r="U2" s="41">
        <f>500/S2</f>
        <v>9.615384615384615</v>
      </c>
      <c r="V2" s="117">
        <f>S2*5</f>
        <v>260</v>
      </c>
      <c r="W2" s="48">
        <v>50</v>
      </c>
      <c r="X2" s="38">
        <f t="shared" ref="X2:X9" si="0">W2*S2/1000</f>
        <v>2.6</v>
      </c>
      <c r="Y2" s="142">
        <v>43677</v>
      </c>
      <c r="Z2" s="44">
        <v>93.4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46" ht="17">
      <c r="A3" s="89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19"/>
      <c r="G3" s="21"/>
      <c r="H3" s="21"/>
      <c r="I3" s="20"/>
      <c r="J3" s="21">
        <v>402</v>
      </c>
      <c r="K3" s="21">
        <v>1</v>
      </c>
      <c r="L3" s="20">
        <v>10</v>
      </c>
      <c r="M3" s="113">
        <v>43666</v>
      </c>
      <c r="N3" s="20">
        <v>3</v>
      </c>
      <c r="O3" s="32">
        <v>43672</v>
      </c>
      <c r="P3" s="20">
        <v>2</v>
      </c>
      <c r="Q3" s="20">
        <f>1000-500</f>
        <v>500</v>
      </c>
      <c r="R3" s="20">
        <f>75-1</f>
        <v>74</v>
      </c>
      <c r="S3" s="44">
        <v>140</v>
      </c>
      <c r="T3" s="48">
        <f>S3*R3</f>
        <v>10360</v>
      </c>
      <c r="U3" s="41">
        <f>500/S3</f>
        <v>3.5714285714285716</v>
      </c>
      <c r="V3" s="117">
        <f>S3*5</f>
        <v>700</v>
      </c>
      <c r="W3" s="48">
        <v>50</v>
      </c>
      <c r="X3" s="38">
        <f t="shared" si="0"/>
        <v>7</v>
      </c>
      <c r="Y3" s="142">
        <v>43677</v>
      </c>
      <c r="Z3" s="44">
        <v>114</v>
      </c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46" ht="17">
      <c r="A4" s="89">
        <v>42881</v>
      </c>
      <c r="B4" s="19" t="s">
        <v>112</v>
      </c>
      <c r="C4" s="19" t="s">
        <v>37</v>
      </c>
      <c r="D4" s="19" t="s">
        <v>101</v>
      </c>
      <c r="E4" s="21" t="s">
        <v>139</v>
      </c>
      <c r="F4" s="19"/>
      <c r="G4" s="21"/>
      <c r="H4" s="21"/>
      <c r="I4" s="32">
        <v>43665</v>
      </c>
      <c r="J4" s="21">
        <v>411</v>
      </c>
      <c r="K4" s="21">
        <v>1</v>
      </c>
      <c r="L4" s="20">
        <v>10</v>
      </c>
      <c r="M4" s="113">
        <v>43665</v>
      </c>
      <c r="N4" s="20">
        <v>1</v>
      </c>
      <c r="O4" s="32">
        <v>43670</v>
      </c>
      <c r="P4" s="20">
        <v>1</v>
      </c>
      <c r="Q4" s="20">
        <f>1000-500</f>
        <v>500</v>
      </c>
      <c r="R4" s="20">
        <f>100-1</f>
        <v>99</v>
      </c>
      <c r="S4" s="44">
        <v>57.2</v>
      </c>
      <c r="T4" s="48">
        <f>S4*R4</f>
        <v>5662.8</v>
      </c>
      <c r="U4" s="41">
        <f>500/S4</f>
        <v>8.7412587412587417</v>
      </c>
      <c r="V4" s="117">
        <f>S4*5</f>
        <v>286</v>
      </c>
      <c r="W4" s="48">
        <v>50</v>
      </c>
      <c r="X4" s="38">
        <f t="shared" si="0"/>
        <v>2.86</v>
      </c>
      <c r="Y4" s="142">
        <v>43677</v>
      </c>
      <c r="Z4" s="44">
        <v>72.599999999999994</v>
      </c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</row>
    <row r="5" spans="1:46" ht="17">
      <c r="A5" s="89">
        <v>42882</v>
      </c>
      <c r="B5" s="19" t="s">
        <v>112</v>
      </c>
      <c r="C5" s="19" t="s">
        <v>37</v>
      </c>
      <c r="D5" s="19" t="s">
        <v>101</v>
      </c>
      <c r="E5" s="21" t="s">
        <v>143</v>
      </c>
      <c r="F5" s="19" t="s">
        <v>211</v>
      </c>
      <c r="G5" s="21"/>
      <c r="H5" s="21"/>
      <c r="I5" s="20"/>
      <c r="J5" s="21">
        <v>412</v>
      </c>
      <c r="K5" s="21">
        <v>1</v>
      </c>
      <c r="L5" s="20">
        <v>10</v>
      </c>
      <c r="M5" s="113">
        <v>43666</v>
      </c>
      <c r="N5" s="20">
        <v>3</v>
      </c>
      <c r="O5" s="32">
        <v>43672</v>
      </c>
      <c r="P5" s="20">
        <v>2</v>
      </c>
      <c r="Q5" s="20">
        <f>1000-500</f>
        <v>500</v>
      </c>
      <c r="R5" s="20">
        <f>75-1</f>
        <v>74</v>
      </c>
      <c r="S5" s="44">
        <v>60.8</v>
      </c>
      <c r="T5" s="48">
        <f>S5*R5</f>
        <v>4499.2</v>
      </c>
      <c r="U5" s="41">
        <f>500/S5</f>
        <v>8.2236842105263168</v>
      </c>
      <c r="V5" s="117">
        <f>S5*5</f>
        <v>304</v>
      </c>
      <c r="W5" s="48">
        <v>50</v>
      </c>
      <c r="X5" s="38">
        <f t="shared" si="0"/>
        <v>3.04</v>
      </c>
      <c r="Y5" s="142">
        <v>43677</v>
      </c>
      <c r="Z5" s="44">
        <v>31.2</v>
      </c>
      <c r="AA5" s="130"/>
      <c r="AD5" s="130"/>
      <c r="AE5" s="114"/>
      <c r="AF5" s="30"/>
      <c r="AG5" s="33"/>
      <c r="AH5" s="30"/>
      <c r="AI5" s="30"/>
      <c r="AJ5" s="30"/>
      <c r="AK5" s="45"/>
      <c r="AL5" s="49"/>
      <c r="AM5" s="42"/>
      <c r="AN5" s="116"/>
      <c r="AO5" s="49"/>
      <c r="AP5" s="39"/>
      <c r="AQ5" s="138"/>
      <c r="AR5" s="45"/>
      <c r="AS5" s="130"/>
      <c r="AT5" s="130"/>
    </row>
    <row r="6" spans="1:46" ht="17">
      <c r="A6" s="89">
        <v>42898</v>
      </c>
      <c r="B6" s="19"/>
      <c r="C6" s="19" t="s">
        <v>37</v>
      </c>
      <c r="D6" s="19" t="s">
        <v>103</v>
      </c>
      <c r="E6" s="21" t="s">
        <v>175</v>
      </c>
      <c r="F6" s="19"/>
      <c r="G6" s="21"/>
      <c r="H6" s="21"/>
      <c r="I6" s="20"/>
      <c r="J6" s="21">
        <v>421</v>
      </c>
      <c r="K6" s="21">
        <v>1</v>
      </c>
      <c r="L6" s="20">
        <v>10</v>
      </c>
      <c r="M6" s="113"/>
      <c r="N6" s="20"/>
      <c r="O6" s="32"/>
      <c r="P6" s="20"/>
      <c r="Q6" s="20"/>
      <c r="R6" s="20"/>
      <c r="S6" s="44">
        <v>43</v>
      </c>
      <c r="T6" s="48"/>
      <c r="U6" s="41"/>
      <c r="V6" s="117"/>
      <c r="W6" s="48">
        <v>50</v>
      </c>
      <c r="X6" s="38">
        <f t="shared" si="0"/>
        <v>2.15</v>
      </c>
      <c r="Y6" s="142">
        <v>43677</v>
      </c>
      <c r="Z6" s="44">
        <v>57.6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</row>
    <row r="7" spans="1:46" ht="17">
      <c r="A7" s="89">
        <v>42893</v>
      </c>
      <c r="B7" s="19" t="s">
        <v>117</v>
      </c>
      <c r="C7" s="19" t="s">
        <v>37</v>
      </c>
      <c r="D7" s="19" t="s">
        <v>93</v>
      </c>
      <c r="E7" s="21" t="s">
        <v>167</v>
      </c>
      <c r="F7" s="19"/>
      <c r="G7" s="21"/>
      <c r="H7" s="21"/>
      <c r="I7" s="32">
        <v>43666</v>
      </c>
      <c r="J7" s="21" t="s">
        <v>255</v>
      </c>
      <c r="K7" s="21">
        <v>1</v>
      </c>
      <c r="L7" s="20">
        <v>20</v>
      </c>
      <c r="M7" s="113">
        <v>43666</v>
      </c>
      <c r="N7" s="20">
        <v>2</v>
      </c>
      <c r="O7" s="32">
        <v>43675</v>
      </c>
      <c r="P7" s="20">
        <v>7</v>
      </c>
      <c r="Q7" s="20">
        <f>1000-500-250</f>
        <v>250</v>
      </c>
      <c r="R7" s="20">
        <f>60-1</f>
        <v>59</v>
      </c>
      <c r="S7" s="44">
        <v>61.2</v>
      </c>
      <c r="T7" s="48">
        <f>S7*R7</f>
        <v>3610.8</v>
      </c>
      <c r="U7" s="41">
        <f>500/S7</f>
        <v>8.1699346405228752</v>
      </c>
      <c r="V7" s="117">
        <f>S7*5</f>
        <v>306</v>
      </c>
      <c r="W7" s="48">
        <v>50</v>
      </c>
      <c r="X7" s="38">
        <f t="shared" si="0"/>
        <v>3.06</v>
      </c>
      <c r="Y7" s="142">
        <v>43677</v>
      </c>
      <c r="Z7" s="44">
        <v>83</v>
      </c>
      <c r="AA7" s="130"/>
      <c r="AB7" s="130"/>
      <c r="AC7" s="130"/>
      <c r="AD7" s="130"/>
      <c r="AE7" s="130"/>
    </row>
    <row r="8" spans="1:46" ht="17">
      <c r="A8" s="89">
        <v>42903</v>
      </c>
      <c r="B8" s="19" t="s">
        <v>117</v>
      </c>
      <c r="C8" s="19" t="s">
        <v>37</v>
      </c>
      <c r="D8" s="19" t="s">
        <v>93</v>
      </c>
      <c r="E8" s="21" t="s">
        <v>188</v>
      </c>
      <c r="F8" s="19"/>
      <c r="G8" s="21"/>
      <c r="H8" s="21"/>
      <c r="I8" s="20"/>
      <c r="J8" s="21">
        <v>432</v>
      </c>
      <c r="K8" s="21">
        <v>1</v>
      </c>
      <c r="L8" s="20">
        <v>50</v>
      </c>
      <c r="M8" s="113">
        <v>43668</v>
      </c>
      <c r="N8" s="20">
        <v>4</v>
      </c>
      <c r="O8" s="32">
        <v>43672</v>
      </c>
      <c r="P8" s="20">
        <v>2</v>
      </c>
      <c r="Q8" s="20">
        <f>1000-500-250</f>
        <v>250</v>
      </c>
      <c r="R8" s="20">
        <f>75-1</f>
        <v>74</v>
      </c>
      <c r="S8" s="44">
        <v>47.6</v>
      </c>
      <c r="T8" s="48">
        <f>S8*R8</f>
        <v>3522.4</v>
      </c>
      <c r="U8" s="41">
        <f>500/S8</f>
        <v>10.504201680672269</v>
      </c>
      <c r="V8" s="117">
        <f>S8*5</f>
        <v>238</v>
      </c>
      <c r="W8" s="48">
        <v>50</v>
      </c>
      <c r="X8" s="38">
        <f t="shared" si="0"/>
        <v>2.38</v>
      </c>
      <c r="Y8" s="142">
        <v>43677</v>
      </c>
      <c r="Z8" s="44">
        <v>74</v>
      </c>
    </row>
    <row r="9" spans="1:46" ht="17">
      <c r="A9" s="89">
        <v>42880</v>
      </c>
      <c r="B9" s="19" t="s">
        <v>110</v>
      </c>
      <c r="C9" s="19" t="s">
        <v>75</v>
      </c>
      <c r="D9" s="19" t="s">
        <v>96</v>
      </c>
      <c r="E9" s="21" t="s">
        <v>136</v>
      </c>
      <c r="F9" s="19"/>
      <c r="G9" s="21"/>
      <c r="H9" s="21"/>
      <c r="I9" s="32">
        <v>43665</v>
      </c>
      <c r="J9" s="21">
        <v>441</v>
      </c>
      <c r="K9" s="21">
        <v>1</v>
      </c>
      <c r="L9" s="20">
        <v>70</v>
      </c>
      <c r="M9" s="113">
        <v>43665</v>
      </c>
      <c r="N9" s="20">
        <v>1</v>
      </c>
      <c r="O9" s="32">
        <v>43670</v>
      </c>
      <c r="P9" s="20">
        <v>1</v>
      </c>
      <c r="Q9" s="20">
        <f>1000-500</f>
        <v>500</v>
      </c>
      <c r="R9" s="20">
        <f>100-1</f>
        <v>99</v>
      </c>
      <c r="S9" s="44">
        <v>46</v>
      </c>
      <c r="T9" s="48">
        <f>S9*R9</f>
        <v>4554</v>
      </c>
      <c r="U9" s="41">
        <f>500/S9</f>
        <v>10.869565217391305</v>
      </c>
      <c r="V9" s="117">
        <f>S9*5</f>
        <v>230</v>
      </c>
      <c r="W9" s="48">
        <v>50</v>
      </c>
      <c r="X9" s="38">
        <f t="shared" si="0"/>
        <v>2.2999999999999998</v>
      </c>
      <c r="Y9" s="142">
        <v>43677</v>
      </c>
      <c r="Z9" s="44">
        <v>16.2</v>
      </c>
    </row>
    <row r="10" spans="1:46" ht="17">
      <c r="A10" s="89">
        <v>42889</v>
      </c>
      <c r="B10" s="19" t="s">
        <v>110</v>
      </c>
      <c r="C10" s="19" t="s">
        <v>75</v>
      </c>
      <c r="D10" s="19" t="s">
        <v>96</v>
      </c>
      <c r="E10" s="21" t="s">
        <v>154</v>
      </c>
      <c r="F10" s="19"/>
      <c r="G10" s="21"/>
      <c r="H10" s="21"/>
      <c r="I10" s="20"/>
      <c r="J10" s="21" t="s">
        <v>257</v>
      </c>
      <c r="K10" s="21">
        <v>1</v>
      </c>
      <c r="L10" s="20">
        <v>80</v>
      </c>
      <c r="M10" s="113">
        <v>43666</v>
      </c>
      <c r="N10" s="20">
        <v>3</v>
      </c>
      <c r="O10" s="32">
        <v>43675</v>
      </c>
      <c r="P10" s="20">
        <v>7</v>
      </c>
      <c r="Q10" s="20">
        <f>1000-500-250</f>
        <v>250</v>
      </c>
      <c r="R10" s="20">
        <f>60-1</f>
        <v>59</v>
      </c>
      <c r="S10" s="44">
        <v>56.2</v>
      </c>
      <c r="T10" s="48">
        <f>S10*R10</f>
        <v>3315.8</v>
      </c>
      <c r="U10" s="41">
        <f>500/S10</f>
        <v>8.8967971530249113</v>
      </c>
      <c r="V10" s="117">
        <f t="shared" ref="V10:V16" si="1">S10*5</f>
        <v>281</v>
      </c>
      <c r="W10" s="48">
        <v>50</v>
      </c>
      <c r="X10" s="38">
        <f t="shared" ref="X10:X16" si="2">W10*S10/1000</f>
        <v>2.81</v>
      </c>
      <c r="Y10" s="142">
        <v>43677</v>
      </c>
      <c r="Z10" s="44">
        <v>69.8</v>
      </c>
    </row>
    <row r="11" spans="1:46" ht="17">
      <c r="A11" s="89">
        <v>42879</v>
      </c>
      <c r="B11" s="19" t="s">
        <v>106</v>
      </c>
      <c r="C11" s="19" t="s">
        <v>75</v>
      </c>
      <c r="D11" s="19" t="s">
        <v>101</v>
      </c>
      <c r="E11" s="21" t="s">
        <v>132</v>
      </c>
      <c r="F11" s="19"/>
      <c r="G11" s="21"/>
      <c r="H11" s="21"/>
      <c r="I11" s="32">
        <v>43665</v>
      </c>
      <c r="J11" s="21">
        <v>451</v>
      </c>
      <c r="K11" s="21">
        <v>1</v>
      </c>
      <c r="L11" s="20">
        <v>70</v>
      </c>
      <c r="M11" s="113">
        <v>43665</v>
      </c>
      <c r="N11" s="20">
        <v>1</v>
      </c>
      <c r="O11" s="55">
        <v>43670</v>
      </c>
      <c r="P11" s="20">
        <v>1</v>
      </c>
      <c r="Q11" s="20">
        <f>1000-500</f>
        <v>500</v>
      </c>
      <c r="R11" s="20">
        <f>100-1</f>
        <v>99</v>
      </c>
      <c r="S11" s="44">
        <v>68.400000000000006</v>
      </c>
      <c r="T11" s="48">
        <f t="shared" ref="T11:T17" si="3">S11*R11</f>
        <v>6771.6</v>
      </c>
      <c r="U11" s="41">
        <f t="shared" ref="U11:U17" si="4">500/S11</f>
        <v>7.3099415204678353</v>
      </c>
      <c r="V11" s="117">
        <f t="shared" si="1"/>
        <v>342</v>
      </c>
      <c r="W11" s="48">
        <v>50</v>
      </c>
      <c r="X11" s="38">
        <f t="shared" si="2"/>
        <v>3.4200000000000004</v>
      </c>
      <c r="Y11" s="142">
        <v>43677</v>
      </c>
      <c r="Z11" s="44">
        <v>68.400000000000006</v>
      </c>
    </row>
    <row r="12" spans="1:46" ht="17">
      <c r="A12" s="89">
        <v>42879</v>
      </c>
      <c r="B12" s="19" t="s">
        <v>108</v>
      </c>
      <c r="C12" s="19" t="s">
        <v>75</v>
      </c>
      <c r="D12" s="19" t="s">
        <v>101</v>
      </c>
      <c r="E12" s="21" t="s">
        <v>134</v>
      </c>
      <c r="F12" s="19"/>
      <c r="G12" s="21"/>
      <c r="H12" s="21"/>
      <c r="I12" s="20"/>
      <c r="J12" s="21" t="s">
        <v>259</v>
      </c>
      <c r="K12" s="21">
        <v>1</v>
      </c>
      <c r="L12" s="20">
        <v>80</v>
      </c>
      <c r="M12" s="113">
        <v>43666</v>
      </c>
      <c r="N12" s="20">
        <v>3</v>
      </c>
      <c r="O12" s="32">
        <v>43675</v>
      </c>
      <c r="P12" s="20">
        <v>7</v>
      </c>
      <c r="Q12" s="20">
        <f>1000-500-250</f>
        <v>250</v>
      </c>
      <c r="R12" s="20">
        <f>60-1</f>
        <v>59</v>
      </c>
      <c r="S12" s="44">
        <v>48.4</v>
      </c>
      <c r="T12" s="48">
        <f t="shared" si="3"/>
        <v>2855.6</v>
      </c>
      <c r="U12" s="41">
        <f t="shared" si="4"/>
        <v>10.330578512396695</v>
      </c>
      <c r="V12" s="117">
        <f t="shared" si="1"/>
        <v>242</v>
      </c>
      <c r="W12" s="48">
        <v>50</v>
      </c>
      <c r="X12" s="38">
        <f t="shared" si="2"/>
        <v>2.42</v>
      </c>
      <c r="Y12" s="142">
        <v>43677</v>
      </c>
      <c r="Z12" s="44">
        <v>97.2</v>
      </c>
    </row>
    <row r="13" spans="1:46" ht="17">
      <c r="A13" s="89">
        <v>42881</v>
      </c>
      <c r="B13" s="19" t="s">
        <v>111</v>
      </c>
      <c r="C13" s="19" t="s">
        <v>75</v>
      </c>
      <c r="D13" s="19" t="s">
        <v>103</v>
      </c>
      <c r="E13" s="21" t="s">
        <v>138</v>
      </c>
      <c r="F13" s="19"/>
      <c r="G13" s="21"/>
      <c r="H13" s="21"/>
      <c r="I13" s="32"/>
      <c r="J13" s="21" t="s">
        <v>260</v>
      </c>
      <c r="K13" s="21">
        <v>1</v>
      </c>
      <c r="L13" s="20">
        <v>100</v>
      </c>
      <c r="M13" s="113">
        <v>43666</v>
      </c>
      <c r="N13" s="20">
        <v>2</v>
      </c>
      <c r="O13" s="32">
        <v>43675</v>
      </c>
      <c r="P13" s="20">
        <v>7</v>
      </c>
      <c r="Q13" s="20">
        <f>1000-500-250</f>
        <v>250</v>
      </c>
      <c r="R13" s="20">
        <f>60-1</f>
        <v>59</v>
      </c>
      <c r="S13" s="44">
        <v>54</v>
      </c>
      <c r="T13" s="48">
        <f t="shared" si="3"/>
        <v>3186</v>
      </c>
      <c r="U13" s="41">
        <f t="shared" si="4"/>
        <v>9.2592592592592595</v>
      </c>
      <c r="V13" s="117">
        <f t="shared" si="1"/>
        <v>270</v>
      </c>
      <c r="W13" s="48">
        <v>50</v>
      </c>
      <c r="X13" s="38">
        <f t="shared" si="2"/>
        <v>2.7</v>
      </c>
      <c r="Y13" s="142">
        <v>43677</v>
      </c>
      <c r="Z13" s="44">
        <v>84</v>
      </c>
    </row>
    <row r="14" spans="1:46" ht="17">
      <c r="A14" s="89">
        <v>42884</v>
      </c>
      <c r="B14" s="19" t="s">
        <v>113</v>
      </c>
      <c r="C14" s="19" t="s">
        <v>75</v>
      </c>
      <c r="D14" s="19" t="s">
        <v>103</v>
      </c>
      <c r="E14" s="21" t="s">
        <v>145</v>
      </c>
      <c r="F14" s="19"/>
      <c r="G14" s="21"/>
      <c r="H14" s="21"/>
      <c r="I14" s="20"/>
      <c r="J14" s="21" t="s">
        <v>261</v>
      </c>
      <c r="K14" s="21">
        <v>1</v>
      </c>
      <c r="L14" s="20">
        <v>60</v>
      </c>
      <c r="M14" s="113">
        <v>43668</v>
      </c>
      <c r="N14" s="20">
        <v>4</v>
      </c>
      <c r="O14" s="32">
        <v>43675</v>
      </c>
      <c r="P14" s="20">
        <v>7</v>
      </c>
      <c r="Q14" s="20">
        <f>1000-500-250</f>
        <v>250</v>
      </c>
      <c r="R14" s="20">
        <f>60-1</f>
        <v>59</v>
      </c>
      <c r="S14" s="44">
        <v>69.8</v>
      </c>
      <c r="T14" s="48">
        <f t="shared" si="3"/>
        <v>4118.2</v>
      </c>
      <c r="U14" s="41">
        <f t="shared" si="4"/>
        <v>7.1633237822349569</v>
      </c>
      <c r="V14" s="117">
        <f t="shared" si="1"/>
        <v>349</v>
      </c>
      <c r="W14" s="48">
        <v>50</v>
      </c>
      <c r="X14" s="38">
        <f t="shared" si="2"/>
        <v>3.49</v>
      </c>
      <c r="Y14" s="142">
        <v>43677</v>
      </c>
      <c r="Z14" s="44">
        <v>106</v>
      </c>
    </row>
    <row r="15" spans="1:46" ht="17">
      <c r="A15" s="89">
        <v>42880</v>
      </c>
      <c r="B15" s="19" t="s">
        <v>109</v>
      </c>
      <c r="C15" s="19" t="s">
        <v>75</v>
      </c>
      <c r="D15" s="19" t="s">
        <v>93</v>
      </c>
      <c r="E15" s="21" t="s">
        <v>135</v>
      </c>
      <c r="F15" s="19"/>
      <c r="G15" s="21"/>
      <c r="H15" s="21"/>
      <c r="I15" s="20"/>
      <c r="J15" s="21" t="s">
        <v>262</v>
      </c>
      <c r="K15" s="21">
        <v>1</v>
      </c>
      <c r="L15" s="20">
        <v>100</v>
      </c>
      <c r="M15" s="113">
        <v>43666</v>
      </c>
      <c r="N15" s="20">
        <v>2</v>
      </c>
      <c r="O15" s="32">
        <v>43675</v>
      </c>
      <c r="P15" s="20">
        <v>7</v>
      </c>
      <c r="Q15" s="20">
        <f>1000-500-250</f>
        <v>250</v>
      </c>
      <c r="R15" s="20">
        <f>60-1</f>
        <v>59</v>
      </c>
      <c r="S15" s="44">
        <v>71</v>
      </c>
      <c r="T15" s="48">
        <f t="shared" si="3"/>
        <v>4189</v>
      </c>
      <c r="U15" s="41">
        <f t="shared" si="4"/>
        <v>7.042253521126761</v>
      </c>
      <c r="V15" s="117">
        <f t="shared" si="1"/>
        <v>355</v>
      </c>
      <c r="W15" s="48">
        <v>50</v>
      </c>
      <c r="X15" s="38">
        <f t="shared" si="2"/>
        <v>3.55</v>
      </c>
      <c r="Y15" s="142">
        <v>43677</v>
      </c>
      <c r="Z15" s="44">
        <v>108</v>
      </c>
    </row>
    <row r="16" spans="1:46" ht="17">
      <c r="A16" s="89">
        <v>42881</v>
      </c>
      <c r="B16" s="19" t="s">
        <v>109</v>
      </c>
      <c r="C16" s="19" t="s">
        <v>75</v>
      </c>
      <c r="D16" s="19" t="s">
        <v>93</v>
      </c>
      <c r="E16" s="21" t="s">
        <v>137</v>
      </c>
      <c r="F16" s="19"/>
      <c r="G16" s="21"/>
      <c r="H16" s="21"/>
      <c r="I16" s="20"/>
      <c r="J16" s="21" t="s">
        <v>263</v>
      </c>
      <c r="K16" s="21">
        <v>1</v>
      </c>
      <c r="L16" s="20">
        <v>70</v>
      </c>
      <c r="M16" s="113">
        <v>43668</v>
      </c>
      <c r="N16" s="20">
        <v>4</v>
      </c>
      <c r="O16" s="32">
        <v>43675</v>
      </c>
      <c r="P16" s="20">
        <v>7</v>
      </c>
      <c r="Q16" s="20">
        <f>1000-500-250</f>
        <v>250</v>
      </c>
      <c r="R16" s="20">
        <f>60-1</f>
        <v>59</v>
      </c>
      <c r="S16" s="44">
        <v>64</v>
      </c>
      <c r="T16" s="48">
        <f t="shared" si="3"/>
        <v>3776</v>
      </c>
      <c r="U16" s="41">
        <f t="shared" si="4"/>
        <v>7.8125</v>
      </c>
      <c r="V16" s="117">
        <f t="shared" si="1"/>
        <v>320</v>
      </c>
      <c r="W16" s="48">
        <v>50</v>
      </c>
      <c r="X16" s="38">
        <f t="shared" si="2"/>
        <v>3.2</v>
      </c>
      <c r="Y16" s="142">
        <v>43677</v>
      </c>
      <c r="Z16" s="44">
        <v>97</v>
      </c>
    </row>
    <row r="17" spans="1:26" ht="17">
      <c r="A17" s="89">
        <v>42875</v>
      </c>
      <c r="B17" s="19" t="s">
        <v>95</v>
      </c>
      <c r="C17" s="19" t="s">
        <v>92</v>
      </c>
      <c r="D17" s="19" t="s">
        <v>96</v>
      </c>
      <c r="E17" s="21" t="s">
        <v>272</v>
      </c>
      <c r="F17" s="19"/>
      <c r="G17" s="21"/>
      <c r="H17" s="21"/>
      <c r="I17" s="32">
        <v>43665</v>
      </c>
      <c r="J17" s="21">
        <v>481</v>
      </c>
      <c r="K17" s="21">
        <v>1</v>
      </c>
      <c r="L17" s="20">
        <v>40</v>
      </c>
      <c r="M17" s="113">
        <v>43665</v>
      </c>
      <c r="N17" s="20">
        <v>1</v>
      </c>
      <c r="O17" s="32">
        <v>43670</v>
      </c>
      <c r="P17" s="20">
        <v>1</v>
      </c>
      <c r="Q17" s="20">
        <f t="shared" ref="Q17:Q22" si="5">1000-500</f>
        <v>500</v>
      </c>
      <c r="R17" s="20">
        <f>100-1</f>
        <v>99</v>
      </c>
      <c r="S17" s="44">
        <v>64.400000000000006</v>
      </c>
      <c r="T17" s="48">
        <f t="shared" si="3"/>
        <v>6375.6</v>
      </c>
      <c r="U17" s="41">
        <f t="shared" si="4"/>
        <v>7.7639751552795024</v>
      </c>
      <c r="V17" s="117">
        <f t="shared" ref="V17:V30" si="6">S17*5</f>
        <v>322</v>
      </c>
      <c r="W17" s="48">
        <v>50</v>
      </c>
      <c r="X17" s="38">
        <f>W17*S17/1000</f>
        <v>3.2200000000000006</v>
      </c>
      <c r="Y17" s="142">
        <v>43677</v>
      </c>
      <c r="Z17" s="44">
        <v>89.2</v>
      </c>
    </row>
    <row r="18" spans="1:26" ht="17">
      <c r="A18" s="89">
        <v>42875</v>
      </c>
      <c r="B18" s="19" t="s">
        <v>97</v>
      </c>
      <c r="C18" s="19" t="s">
        <v>92</v>
      </c>
      <c r="D18" s="19" t="s">
        <v>96</v>
      </c>
      <c r="E18" s="21" t="s">
        <v>273</v>
      </c>
      <c r="F18" s="19"/>
      <c r="G18" s="21"/>
      <c r="H18" s="21"/>
      <c r="I18" s="20"/>
      <c r="J18" s="21">
        <v>482</v>
      </c>
      <c r="K18" s="21">
        <v>1</v>
      </c>
      <c r="L18" s="20">
        <v>60</v>
      </c>
      <c r="M18" s="113">
        <v>43666</v>
      </c>
      <c r="N18" s="20">
        <v>3</v>
      </c>
      <c r="O18" s="32">
        <v>43672</v>
      </c>
      <c r="P18" s="20">
        <v>2</v>
      </c>
      <c r="Q18" s="20">
        <f t="shared" si="5"/>
        <v>500</v>
      </c>
      <c r="R18" s="20">
        <f>75-1</f>
        <v>74</v>
      </c>
      <c r="S18" s="44">
        <v>67.2</v>
      </c>
      <c r="T18" s="48">
        <f>S18*R18</f>
        <v>4972.8</v>
      </c>
      <c r="U18" s="41">
        <f>500/S18</f>
        <v>7.4404761904761898</v>
      </c>
      <c r="V18" s="117">
        <f t="shared" si="6"/>
        <v>336</v>
      </c>
      <c r="W18" s="48">
        <v>50</v>
      </c>
      <c r="X18" s="38">
        <f t="shared" ref="X18:X25" si="7">W18*S18/1000</f>
        <v>3.36</v>
      </c>
      <c r="Y18" s="142">
        <v>43677</v>
      </c>
      <c r="Z18" s="44">
        <v>22.2</v>
      </c>
    </row>
    <row r="19" spans="1:26" ht="17">
      <c r="A19" s="89">
        <v>42878</v>
      </c>
      <c r="B19" s="19" t="s">
        <v>95</v>
      </c>
      <c r="C19" s="19" t="s">
        <v>92</v>
      </c>
      <c r="D19" s="19" t="s">
        <v>96</v>
      </c>
      <c r="E19" s="21" t="s">
        <v>125</v>
      </c>
      <c r="F19" s="19"/>
      <c r="G19" s="21"/>
      <c r="H19" s="21"/>
      <c r="I19" s="20"/>
      <c r="J19" s="21">
        <v>484</v>
      </c>
      <c r="K19" s="21">
        <v>1</v>
      </c>
      <c r="L19" s="20">
        <v>40</v>
      </c>
      <c r="M19" s="113">
        <v>43668</v>
      </c>
      <c r="N19" s="20">
        <v>5</v>
      </c>
      <c r="O19" s="32">
        <v>43672</v>
      </c>
      <c r="P19" s="20">
        <v>3</v>
      </c>
      <c r="Q19" s="20">
        <f t="shared" si="5"/>
        <v>500</v>
      </c>
      <c r="R19" s="20">
        <f>75-1</f>
        <v>74</v>
      </c>
      <c r="S19" s="44">
        <v>66.2</v>
      </c>
      <c r="T19" s="48">
        <f>S19*R19</f>
        <v>4898.8</v>
      </c>
      <c r="U19" s="41">
        <f>500/S19</f>
        <v>7.5528700906344408</v>
      </c>
      <c r="V19" s="117">
        <f t="shared" si="6"/>
        <v>331</v>
      </c>
      <c r="W19" s="48">
        <v>50</v>
      </c>
      <c r="X19" s="38">
        <f t="shared" si="7"/>
        <v>3.31</v>
      </c>
      <c r="Y19" s="142">
        <v>43677</v>
      </c>
      <c r="Z19" s="44">
        <v>58.4</v>
      </c>
    </row>
    <row r="20" spans="1:26" ht="17">
      <c r="A20" s="89">
        <v>42901</v>
      </c>
      <c r="B20" s="19" t="s">
        <v>97</v>
      </c>
      <c r="C20" s="19" t="s">
        <v>92</v>
      </c>
      <c r="D20" s="19" t="s">
        <v>96</v>
      </c>
      <c r="E20" s="21" t="s">
        <v>182</v>
      </c>
      <c r="F20" s="19"/>
      <c r="G20" s="21"/>
      <c r="H20" s="21"/>
      <c r="I20" s="20"/>
      <c r="J20" s="21">
        <v>491</v>
      </c>
      <c r="K20" s="21">
        <v>1</v>
      </c>
      <c r="L20" s="20">
        <v>20</v>
      </c>
      <c r="M20" s="113">
        <v>43668</v>
      </c>
      <c r="N20" s="20">
        <v>5</v>
      </c>
      <c r="O20" s="32">
        <v>43672</v>
      </c>
      <c r="P20" s="20">
        <v>3</v>
      </c>
      <c r="Q20" s="20">
        <f t="shared" si="5"/>
        <v>500</v>
      </c>
      <c r="R20" s="20">
        <f>75-1</f>
        <v>74</v>
      </c>
      <c r="S20" s="44">
        <v>126</v>
      </c>
      <c r="T20" s="48">
        <f t="shared" ref="T20:T30" si="8">S20*R20</f>
        <v>9324</v>
      </c>
      <c r="U20" s="41">
        <f t="shared" ref="U20:U30" si="9">500/S20</f>
        <v>3.9682539682539684</v>
      </c>
      <c r="V20" s="117">
        <f t="shared" si="6"/>
        <v>630</v>
      </c>
      <c r="W20" s="48">
        <v>50</v>
      </c>
      <c r="X20" s="38">
        <f t="shared" si="7"/>
        <v>6.3</v>
      </c>
      <c r="Y20" s="142">
        <v>43677</v>
      </c>
      <c r="Z20" s="44">
        <v>58.4</v>
      </c>
    </row>
    <row r="21" spans="1:26" ht="17">
      <c r="A21" s="89">
        <v>42900</v>
      </c>
      <c r="B21" s="19" t="s">
        <v>100</v>
      </c>
      <c r="C21" s="19" t="s">
        <v>92</v>
      </c>
      <c r="D21" s="19" t="s">
        <v>101</v>
      </c>
      <c r="E21" s="21" t="s">
        <v>178</v>
      </c>
      <c r="F21" s="19" t="s">
        <v>218</v>
      </c>
      <c r="G21" s="21" t="s">
        <v>232</v>
      </c>
      <c r="H21" s="21" t="s">
        <v>205</v>
      </c>
      <c r="I21" s="20"/>
      <c r="J21" s="21">
        <v>506</v>
      </c>
      <c r="K21" s="21">
        <v>1</v>
      </c>
      <c r="L21" s="20">
        <v>80</v>
      </c>
      <c r="M21" s="113">
        <v>43666</v>
      </c>
      <c r="N21" s="20">
        <v>2</v>
      </c>
      <c r="O21" s="55">
        <v>43670</v>
      </c>
      <c r="P21" s="20">
        <v>1</v>
      </c>
      <c r="Q21" s="20">
        <f t="shared" si="5"/>
        <v>500</v>
      </c>
      <c r="R21" s="20">
        <f>100-1</f>
        <v>99</v>
      </c>
      <c r="S21" s="44">
        <v>63.8</v>
      </c>
      <c r="T21" s="48">
        <f t="shared" si="8"/>
        <v>6316.2</v>
      </c>
      <c r="U21" s="41">
        <f t="shared" si="9"/>
        <v>7.8369905956112857</v>
      </c>
      <c r="V21" s="117">
        <f t="shared" si="6"/>
        <v>319</v>
      </c>
      <c r="W21" s="48">
        <v>50</v>
      </c>
      <c r="X21" s="38">
        <f t="shared" si="7"/>
        <v>3.19</v>
      </c>
      <c r="Y21" s="142">
        <v>43677</v>
      </c>
      <c r="Z21" s="44">
        <v>29.2</v>
      </c>
    </row>
    <row r="22" spans="1:26" ht="17">
      <c r="A22" s="89">
        <v>42891</v>
      </c>
      <c r="B22" s="19" t="s">
        <v>102</v>
      </c>
      <c r="C22" s="19" t="s">
        <v>92</v>
      </c>
      <c r="D22" s="19" t="s">
        <v>103</v>
      </c>
      <c r="E22" s="21" t="s">
        <v>161</v>
      </c>
      <c r="F22" s="19" t="s">
        <v>214</v>
      </c>
      <c r="G22" s="21" t="s">
        <v>233</v>
      </c>
      <c r="H22" s="21" t="s">
        <v>205</v>
      </c>
      <c r="I22" s="20"/>
      <c r="J22" s="21">
        <v>513</v>
      </c>
      <c r="K22" s="21"/>
      <c r="L22" s="20">
        <v>30</v>
      </c>
      <c r="M22" s="113">
        <v>43669</v>
      </c>
      <c r="N22" s="20">
        <v>10</v>
      </c>
      <c r="O22" s="32">
        <v>43672</v>
      </c>
      <c r="P22" s="20">
        <v>5</v>
      </c>
      <c r="Q22" s="20">
        <f t="shared" si="5"/>
        <v>500</v>
      </c>
      <c r="R22" s="92">
        <v>74</v>
      </c>
      <c r="S22" s="44">
        <v>156</v>
      </c>
      <c r="T22" s="48">
        <f t="shared" si="8"/>
        <v>11544</v>
      </c>
      <c r="U22" s="41">
        <f t="shared" si="9"/>
        <v>3.2051282051282053</v>
      </c>
      <c r="V22" s="117">
        <f t="shared" si="6"/>
        <v>780</v>
      </c>
      <c r="W22" s="48">
        <v>50</v>
      </c>
      <c r="X22" s="38">
        <f t="shared" si="7"/>
        <v>7.8</v>
      </c>
      <c r="Y22" s="142">
        <v>43677</v>
      </c>
      <c r="Z22" s="44">
        <v>142</v>
      </c>
    </row>
    <row r="23" spans="1:26" ht="17">
      <c r="A23" s="89">
        <v>42876</v>
      </c>
      <c r="B23" s="19" t="s">
        <v>91</v>
      </c>
      <c r="C23" s="19" t="s">
        <v>92</v>
      </c>
      <c r="D23" s="19" t="s">
        <v>93</v>
      </c>
      <c r="E23" s="21" t="s">
        <v>270</v>
      </c>
      <c r="F23" s="19"/>
      <c r="G23" s="21"/>
      <c r="H23" s="21"/>
      <c r="I23" s="20"/>
      <c r="J23" s="21">
        <v>521</v>
      </c>
      <c r="K23" s="21">
        <v>1</v>
      </c>
      <c r="L23" s="20">
        <v>70</v>
      </c>
      <c r="M23" s="113">
        <v>43666</v>
      </c>
      <c r="N23" s="20">
        <v>2</v>
      </c>
      <c r="O23" s="55">
        <v>43670</v>
      </c>
      <c r="P23" s="20">
        <v>1</v>
      </c>
      <c r="Q23" s="20">
        <f>1000-500-250</f>
        <v>250</v>
      </c>
      <c r="R23" s="20">
        <f>100-1</f>
        <v>99</v>
      </c>
      <c r="S23" s="44">
        <v>54.4</v>
      </c>
      <c r="T23" s="48">
        <f t="shared" si="8"/>
        <v>5385.5999999999995</v>
      </c>
      <c r="U23" s="41">
        <f t="shared" si="9"/>
        <v>9.1911764705882355</v>
      </c>
      <c r="V23" s="117">
        <f t="shared" si="6"/>
        <v>272</v>
      </c>
      <c r="W23" s="48">
        <v>50</v>
      </c>
      <c r="X23" s="38">
        <f t="shared" si="7"/>
        <v>2.72</v>
      </c>
      <c r="Y23" s="142">
        <v>43677</v>
      </c>
      <c r="Z23" s="44">
        <v>66.599999999999994</v>
      </c>
    </row>
    <row r="24" spans="1:26" ht="17">
      <c r="A24" s="89">
        <v>42877</v>
      </c>
      <c r="B24" s="19" t="s">
        <v>91</v>
      </c>
      <c r="C24" s="19" t="s">
        <v>92</v>
      </c>
      <c r="D24" s="19" t="s">
        <v>93</v>
      </c>
      <c r="E24" s="21" t="s">
        <v>123</v>
      </c>
      <c r="F24" s="19"/>
      <c r="G24" s="21"/>
      <c r="H24" s="21"/>
      <c r="I24" s="20"/>
      <c r="J24" s="21">
        <v>522</v>
      </c>
      <c r="K24" s="21">
        <v>1</v>
      </c>
      <c r="L24" s="20">
        <v>20</v>
      </c>
      <c r="M24" s="113">
        <v>43668</v>
      </c>
      <c r="N24" s="20">
        <v>5</v>
      </c>
      <c r="O24" s="32">
        <v>43672</v>
      </c>
      <c r="P24" s="20">
        <v>3</v>
      </c>
      <c r="Q24" s="20">
        <f>1000-500-250</f>
        <v>250</v>
      </c>
      <c r="R24" s="20">
        <f>75-1</f>
        <v>74</v>
      </c>
      <c r="S24" s="44">
        <v>60.8</v>
      </c>
      <c r="T24" s="48">
        <f t="shared" si="8"/>
        <v>4499.2</v>
      </c>
      <c r="U24" s="41">
        <f t="shared" si="9"/>
        <v>8.2236842105263168</v>
      </c>
      <c r="V24" s="117">
        <f t="shared" si="6"/>
        <v>304</v>
      </c>
      <c r="W24" s="48">
        <v>50</v>
      </c>
      <c r="X24" s="38">
        <f t="shared" si="7"/>
        <v>3.04</v>
      </c>
      <c r="Y24" s="142">
        <v>43677</v>
      </c>
      <c r="Z24" s="44">
        <v>32.200000000000003</v>
      </c>
    </row>
    <row r="25" spans="1:26" ht="17">
      <c r="A25" s="89">
        <v>42901</v>
      </c>
      <c r="B25" s="19" t="s">
        <v>94</v>
      </c>
      <c r="C25" s="19" t="s">
        <v>92</v>
      </c>
      <c r="D25" s="19" t="s">
        <v>93</v>
      </c>
      <c r="E25" s="21" t="s">
        <v>184</v>
      </c>
      <c r="F25" s="19"/>
      <c r="G25" s="21"/>
      <c r="H25" s="21"/>
      <c r="I25" s="20"/>
      <c r="J25" s="21">
        <v>528</v>
      </c>
      <c r="K25" s="21">
        <v>1</v>
      </c>
      <c r="L25" s="20">
        <v>30</v>
      </c>
      <c r="M25" s="113">
        <v>43669</v>
      </c>
      <c r="N25" s="20">
        <v>8</v>
      </c>
      <c r="O25" s="32">
        <v>43672</v>
      </c>
      <c r="P25" s="20">
        <v>5</v>
      </c>
      <c r="Q25" s="20">
        <f>1000-500</f>
        <v>500</v>
      </c>
      <c r="R25" s="92">
        <v>74</v>
      </c>
      <c r="S25" s="44">
        <v>162</v>
      </c>
      <c r="T25" s="48">
        <f t="shared" si="8"/>
        <v>11988</v>
      </c>
      <c r="U25" s="41">
        <f t="shared" si="9"/>
        <v>3.0864197530864197</v>
      </c>
      <c r="V25" s="117">
        <f t="shared" si="6"/>
        <v>810</v>
      </c>
      <c r="W25" s="48">
        <v>50</v>
      </c>
      <c r="X25" s="38">
        <f t="shared" si="7"/>
        <v>8.1</v>
      </c>
      <c r="Y25" s="142">
        <v>43677</v>
      </c>
      <c r="Z25" s="44">
        <v>87.6</v>
      </c>
    </row>
    <row r="26" spans="1:26" ht="17">
      <c r="A26" s="89">
        <v>42879</v>
      </c>
      <c r="B26" s="19" t="s">
        <v>107</v>
      </c>
      <c r="C26" s="19" t="s">
        <v>99</v>
      </c>
      <c r="D26" s="19" t="s">
        <v>96</v>
      </c>
      <c r="E26" s="21" t="s">
        <v>133</v>
      </c>
      <c r="F26" s="19"/>
      <c r="G26" s="21"/>
      <c r="H26" s="21"/>
      <c r="I26" s="32">
        <v>43665</v>
      </c>
      <c r="J26" s="21">
        <v>531</v>
      </c>
      <c r="K26" s="21">
        <v>1</v>
      </c>
      <c r="L26" s="20">
        <v>60</v>
      </c>
      <c r="M26" s="113">
        <v>43665</v>
      </c>
      <c r="N26" s="20">
        <v>1</v>
      </c>
      <c r="O26" s="32">
        <v>43670</v>
      </c>
      <c r="P26" s="20">
        <v>1</v>
      </c>
      <c r="Q26" s="20">
        <f>1000-500</f>
        <v>500</v>
      </c>
      <c r="R26" s="20">
        <f>100-1</f>
        <v>99</v>
      </c>
      <c r="S26" s="44">
        <v>88.2</v>
      </c>
      <c r="T26" s="48">
        <f t="shared" si="8"/>
        <v>8731.8000000000011</v>
      </c>
      <c r="U26" s="41">
        <f t="shared" si="9"/>
        <v>5.6689342403628116</v>
      </c>
      <c r="V26" s="117">
        <f t="shared" si="6"/>
        <v>441</v>
      </c>
      <c r="W26" s="48">
        <v>50</v>
      </c>
      <c r="X26" s="38">
        <f>W26*S26/1000</f>
        <v>4.41</v>
      </c>
      <c r="Y26" s="142">
        <v>43677</v>
      </c>
      <c r="Z26" s="44">
        <v>95.4</v>
      </c>
    </row>
    <row r="27" spans="1:26" ht="17">
      <c r="A27" s="89">
        <v>42878</v>
      </c>
      <c r="B27" s="19" t="s">
        <v>104</v>
      </c>
      <c r="C27" s="19" t="s">
        <v>99</v>
      </c>
      <c r="D27" s="19" t="s">
        <v>101</v>
      </c>
      <c r="E27" s="21" t="s">
        <v>128</v>
      </c>
      <c r="F27" s="19"/>
      <c r="G27" s="21"/>
      <c r="H27" s="21"/>
      <c r="I27" s="32">
        <v>43665</v>
      </c>
      <c r="J27" s="21">
        <v>541</v>
      </c>
      <c r="K27" s="21">
        <v>1</v>
      </c>
      <c r="L27" s="20">
        <v>40</v>
      </c>
      <c r="M27" s="113">
        <v>43656</v>
      </c>
      <c r="N27" s="20">
        <v>1</v>
      </c>
      <c r="O27" s="55">
        <v>43670</v>
      </c>
      <c r="P27" s="20">
        <v>1</v>
      </c>
      <c r="Q27" s="20">
        <f>1000-500</f>
        <v>500</v>
      </c>
      <c r="R27" s="20">
        <f>100-1</f>
        <v>99</v>
      </c>
      <c r="S27" s="44">
        <v>45.6</v>
      </c>
      <c r="T27" s="48">
        <f t="shared" si="8"/>
        <v>4514.4000000000005</v>
      </c>
      <c r="U27" s="41">
        <f t="shared" si="9"/>
        <v>10.964912280701753</v>
      </c>
      <c r="V27" s="117">
        <f t="shared" si="6"/>
        <v>228</v>
      </c>
      <c r="W27" s="48">
        <v>50</v>
      </c>
      <c r="X27" s="38">
        <f>W27*S27/1000</f>
        <v>2.2799999999999998</v>
      </c>
      <c r="Y27" s="142">
        <v>43677</v>
      </c>
      <c r="Z27" s="44">
        <v>44.4</v>
      </c>
    </row>
    <row r="28" spans="1:26" ht="17">
      <c r="A28" s="89">
        <v>42879</v>
      </c>
      <c r="B28" s="19" t="s">
        <v>104</v>
      </c>
      <c r="C28" s="19" t="s">
        <v>99</v>
      </c>
      <c r="D28" s="19" t="s">
        <v>101</v>
      </c>
      <c r="E28" s="21" t="s">
        <v>129</v>
      </c>
      <c r="F28" s="19"/>
      <c r="G28" s="21"/>
      <c r="H28" s="21"/>
      <c r="I28" s="20"/>
      <c r="J28" s="21">
        <v>542</v>
      </c>
      <c r="K28" s="21">
        <v>1</v>
      </c>
      <c r="L28" s="20">
        <v>30</v>
      </c>
      <c r="M28" s="113">
        <v>43666</v>
      </c>
      <c r="N28" s="20">
        <v>3</v>
      </c>
      <c r="O28" s="32">
        <v>43672</v>
      </c>
      <c r="P28" s="20">
        <v>2</v>
      </c>
      <c r="Q28" s="20">
        <f>1000-500</f>
        <v>500</v>
      </c>
      <c r="R28" s="20">
        <f>75-1</f>
        <v>74</v>
      </c>
      <c r="S28" s="44">
        <v>82</v>
      </c>
      <c r="T28" s="48">
        <f t="shared" si="8"/>
        <v>6068</v>
      </c>
      <c r="U28" s="41">
        <f t="shared" si="9"/>
        <v>6.0975609756097562</v>
      </c>
      <c r="V28" s="117">
        <f t="shared" si="6"/>
        <v>410</v>
      </c>
      <c r="W28" s="48">
        <v>50</v>
      </c>
      <c r="X28" s="38">
        <f>W28*S28/1000</f>
        <v>4.0999999999999996</v>
      </c>
      <c r="Y28" s="142">
        <v>43677</v>
      </c>
      <c r="Z28" s="44">
        <v>32.799999999999997</v>
      </c>
    </row>
    <row r="29" spans="1:26" ht="17">
      <c r="A29" s="89">
        <v>42889</v>
      </c>
      <c r="B29" s="19" t="s">
        <v>115</v>
      </c>
      <c r="C29" s="19" t="s">
        <v>99</v>
      </c>
      <c r="D29" s="19" t="s">
        <v>103</v>
      </c>
      <c r="E29" s="21" t="s">
        <v>157</v>
      </c>
      <c r="F29" s="19"/>
      <c r="G29" s="21"/>
      <c r="H29" s="21"/>
      <c r="I29" s="20"/>
      <c r="J29" s="21" t="s">
        <v>268</v>
      </c>
      <c r="K29" s="21">
        <v>1</v>
      </c>
      <c r="L29" s="20">
        <v>80</v>
      </c>
      <c r="M29" s="113">
        <v>43668</v>
      </c>
      <c r="N29" s="20">
        <v>5</v>
      </c>
      <c r="O29" s="32">
        <v>43675</v>
      </c>
      <c r="P29" s="20">
        <v>7</v>
      </c>
      <c r="Q29" s="20">
        <f>1000-500-250</f>
        <v>250</v>
      </c>
      <c r="R29" s="20">
        <f>60-1</f>
        <v>59</v>
      </c>
      <c r="S29" s="44">
        <v>64.8</v>
      </c>
      <c r="T29" s="48">
        <f t="shared" si="8"/>
        <v>3823.2</v>
      </c>
      <c r="U29" s="41">
        <f t="shared" si="9"/>
        <v>7.7160493827160499</v>
      </c>
      <c r="V29" s="117">
        <f t="shared" si="6"/>
        <v>324</v>
      </c>
      <c r="W29" s="48">
        <v>50</v>
      </c>
      <c r="X29" s="38">
        <f>W29*S29/1000</f>
        <v>3.24</v>
      </c>
      <c r="Y29" s="142">
        <v>43677</v>
      </c>
      <c r="Z29" s="44">
        <v>74.599999999999994</v>
      </c>
    </row>
    <row r="30" spans="1:26" ht="17">
      <c r="A30" s="89">
        <v>42876</v>
      </c>
      <c r="B30" s="19" t="s">
        <v>98</v>
      </c>
      <c r="C30" s="19" t="s">
        <v>99</v>
      </c>
      <c r="D30" s="19" t="s">
        <v>93</v>
      </c>
      <c r="E30" s="21" t="s">
        <v>122</v>
      </c>
      <c r="F30" s="19"/>
      <c r="G30" s="21"/>
      <c r="H30" s="21"/>
      <c r="I30" s="20"/>
      <c r="J30" s="21">
        <v>561</v>
      </c>
      <c r="K30" s="21">
        <v>1</v>
      </c>
      <c r="L30" s="20">
        <v>40</v>
      </c>
      <c r="M30" s="113">
        <v>43666</v>
      </c>
      <c r="N30" s="20">
        <v>2</v>
      </c>
      <c r="O30" s="55">
        <v>43670</v>
      </c>
      <c r="P30" s="20">
        <v>1</v>
      </c>
      <c r="Q30" s="20">
        <f>1000-500</f>
        <v>500</v>
      </c>
      <c r="R30" s="20">
        <f>100-1</f>
        <v>99</v>
      </c>
      <c r="S30" s="44">
        <v>43.4</v>
      </c>
      <c r="T30" s="48">
        <f t="shared" si="8"/>
        <v>4296.5999999999995</v>
      </c>
      <c r="U30" s="41">
        <f t="shared" si="9"/>
        <v>11.520737327188941</v>
      </c>
      <c r="V30" s="117">
        <f t="shared" si="6"/>
        <v>217</v>
      </c>
      <c r="W30" s="48">
        <v>50</v>
      </c>
      <c r="X30" s="38">
        <f>W30*S30/1000</f>
        <v>2.17</v>
      </c>
      <c r="Y30" s="142">
        <v>43677</v>
      </c>
      <c r="Z30" s="44">
        <v>28</v>
      </c>
    </row>
    <row r="31" spans="1:26" ht="17">
      <c r="A31" s="143" t="s">
        <v>236</v>
      </c>
      <c r="B31" s="101"/>
      <c r="C31" s="19" t="s">
        <v>235</v>
      </c>
      <c r="D31" s="19" t="s">
        <v>235</v>
      </c>
      <c r="E31" s="102"/>
      <c r="F31" s="101"/>
      <c r="G31" s="102"/>
      <c r="H31" s="102"/>
      <c r="I31" s="101"/>
      <c r="J31" s="102">
        <v>571</v>
      </c>
      <c r="K31" s="102">
        <v>1</v>
      </c>
      <c r="L31" s="101">
        <v>10</v>
      </c>
      <c r="M31" s="144">
        <v>43668</v>
      </c>
      <c r="N31" s="101">
        <v>4</v>
      </c>
      <c r="O31" s="145">
        <v>43672</v>
      </c>
      <c r="P31" s="101">
        <v>3</v>
      </c>
      <c r="Q31" s="20">
        <f>1000-500</f>
        <v>500</v>
      </c>
      <c r="R31" s="101">
        <f>75-1</f>
        <v>74</v>
      </c>
      <c r="S31" s="148" t="s">
        <v>244</v>
      </c>
      <c r="T31" s="51" t="s">
        <v>236</v>
      </c>
      <c r="U31" s="43" t="s">
        <v>236</v>
      </c>
      <c r="V31" s="146"/>
      <c r="W31" s="48">
        <v>50</v>
      </c>
      <c r="X31" s="40" t="s">
        <v>244</v>
      </c>
      <c r="Y31" s="147">
        <v>43677</v>
      </c>
      <c r="Z31" s="148" t="s">
        <v>244</v>
      </c>
    </row>
  </sheetData>
  <dataValidations disablePrompts="1" count="1">
    <dataValidation type="list" allowBlank="1" showInputMessage="1" showErrorMessage="1" promptTitle="Treatment Group" sqref="B2:B30" xr:uid="{8C98B4FA-8B7C-0844-8FF9-7AA8CAC064D0}">
      <formula1>$C$3:$C$3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6545-EF74-4D49-A9B9-B52CEDF91527}">
  <dimension ref="A1:L136"/>
  <sheetViews>
    <sheetView workbookViewId="0">
      <selection activeCell="C20" sqref="C20"/>
    </sheetView>
  </sheetViews>
  <sheetFormatPr baseColWidth="10" defaultRowHeight="16"/>
  <cols>
    <col min="1" max="2" width="14" style="209" customWidth="1"/>
    <col min="3" max="3" width="14.5" style="209" customWidth="1"/>
    <col min="4" max="4" width="15.6640625" style="185" customWidth="1"/>
    <col min="5" max="5" width="18.33203125" style="188" customWidth="1"/>
    <col min="6" max="6" width="12.6640625" style="188" customWidth="1"/>
    <col min="7" max="7" width="14.1640625" customWidth="1"/>
    <col min="8" max="8" width="26.1640625" style="91" customWidth="1"/>
    <col min="9" max="9" width="12.6640625" style="91" customWidth="1"/>
    <col min="10" max="10" width="12.83203125" style="95" customWidth="1"/>
    <col min="11" max="11" width="18.1640625" style="46" customWidth="1"/>
    <col min="12" max="12" width="18.1640625" style="50" customWidth="1"/>
  </cols>
  <sheetData>
    <row r="1" spans="1:7" ht="40">
      <c r="A1" s="203" t="s">
        <v>446</v>
      </c>
      <c r="B1" s="203" t="s">
        <v>18</v>
      </c>
      <c r="C1" s="203" t="s">
        <v>452</v>
      </c>
      <c r="D1" s="193" t="s">
        <v>453</v>
      </c>
      <c r="E1" s="196" t="s">
        <v>315</v>
      </c>
      <c r="F1" s="196" t="s">
        <v>454</v>
      </c>
      <c r="G1" s="252" t="s">
        <v>520</v>
      </c>
    </row>
    <row r="2" spans="1:7">
      <c r="A2" s="204" t="s">
        <v>447</v>
      </c>
      <c r="B2" s="204" t="s">
        <v>37</v>
      </c>
      <c r="C2" s="204" t="s">
        <v>85</v>
      </c>
      <c r="D2" s="8">
        <v>291</v>
      </c>
      <c r="E2" s="198">
        <v>158</v>
      </c>
      <c r="F2" s="198">
        <v>790</v>
      </c>
      <c r="G2" s="52"/>
    </row>
    <row r="3" spans="1:7">
      <c r="A3" s="204" t="s">
        <v>447</v>
      </c>
      <c r="B3" s="204" t="s">
        <v>37</v>
      </c>
      <c r="C3" s="204" t="s">
        <v>85</v>
      </c>
      <c r="D3" s="8">
        <v>292</v>
      </c>
      <c r="E3" s="198">
        <v>29.6</v>
      </c>
      <c r="F3" s="198">
        <v>148</v>
      </c>
      <c r="G3" s="52" t="s">
        <v>439</v>
      </c>
    </row>
    <row r="4" spans="1:7">
      <c r="A4" s="204" t="s">
        <v>447</v>
      </c>
      <c r="B4" s="204" t="s">
        <v>37</v>
      </c>
      <c r="C4" s="204" t="s">
        <v>85</v>
      </c>
      <c r="D4" s="8">
        <v>293</v>
      </c>
      <c r="E4" s="198">
        <v>39.6</v>
      </c>
      <c r="F4" s="198">
        <v>198</v>
      </c>
      <c r="G4" s="52"/>
    </row>
    <row r="5" spans="1:7">
      <c r="A5" s="204" t="s">
        <v>447</v>
      </c>
      <c r="B5" s="204" t="s">
        <v>37</v>
      </c>
      <c r="C5" s="204" t="s">
        <v>85</v>
      </c>
      <c r="D5" s="8">
        <v>294</v>
      </c>
      <c r="E5" s="198">
        <v>110</v>
      </c>
      <c r="F5" s="198">
        <v>550</v>
      </c>
      <c r="G5" s="52"/>
    </row>
    <row r="6" spans="1:7">
      <c r="A6" s="204" t="s">
        <v>447</v>
      </c>
      <c r="B6" s="204" t="s">
        <v>37</v>
      </c>
      <c r="C6" s="204" t="s">
        <v>85</v>
      </c>
      <c r="D6" s="8">
        <v>295</v>
      </c>
      <c r="E6" s="198">
        <v>34.799999999999997</v>
      </c>
      <c r="F6" s="198">
        <v>174</v>
      </c>
      <c r="G6" s="52" t="s">
        <v>439</v>
      </c>
    </row>
    <row r="7" spans="1:7">
      <c r="A7" s="204" t="s">
        <v>447</v>
      </c>
      <c r="B7" s="204" t="s">
        <v>37</v>
      </c>
      <c r="C7" s="204" t="s">
        <v>85</v>
      </c>
      <c r="D7" s="8">
        <v>296</v>
      </c>
      <c r="E7" s="198">
        <v>180</v>
      </c>
      <c r="F7" s="198">
        <v>900</v>
      </c>
      <c r="G7" s="52"/>
    </row>
    <row r="8" spans="1:7">
      <c r="A8" s="204" t="s">
        <v>447</v>
      </c>
      <c r="B8" s="204" t="s">
        <v>37</v>
      </c>
      <c r="C8" s="204" t="s">
        <v>85</v>
      </c>
      <c r="D8" s="8">
        <v>298</v>
      </c>
      <c r="E8" s="198">
        <v>182</v>
      </c>
      <c r="F8" s="198">
        <v>910</v>
      </c>
      <c r="G8" s="52"/>
    </row>
    <row r="9" spans="1:7">
      <c r="A9" s="204" t="s">
        <v>447</v>
      </c>
      <c r="B9" s="204" t="s">
        <v>37</v>
      </c>
      <c r="C9" s="204" t="s">
        <v>85</v>
      </c>
      <c r="D9" s="8">
        <v>299</v>
      </c>
      <c r="E9" s="198">
        <v>50.4</v>
      </c>
      <c r="F9" s="198">
        <v>252</v>
      </c>
      <c r="G9" s="52"/>
    </row>
    <row r="10" spans="1:7">
      <c r="A10" s="204" t="s">
        <v>447</v>
      </c>
      <c r="B10" s="205" t="s">
        <v>37</v>
      </c>
      <c r="C10" s="205" t="s">
        <v>86</v>
      </c>
      <c r="D10" s="161">
        <v>301</v>
      </c>
      <c r="E10" s="198">
        <v>75.8</v>
      </c>
      <c r="F10" s="198">
        <v>379</v>
      </c>
      <c r="G10" s="52"/>
    </row>
    <row r="11" spans="1:7">
      <c r="A11" s="204" t="s">
        <v>447</v>
      </c>
      <c r="B11" s="205" t="s">
        <v>37</v>
      </c>
      <c r="C11" s="205" t="s">
        <v>86</v>
      </c>
      <c r="D11" s="161">
        <v>302</v>
      </c>
      <c r="E11" s="198">
        <v>62.4</v>
      </c>
      <c r="F11" s="198">
        <v>312</v>
      </c>
      <c r="G11" s="52"/>
    </row>
    <row r="12" spans="1:7">
      <c r="A12" s="204" t="s">
        <v>447</v>
      </c>
      <c r="B12" s="204" t="s">
        <v>37</v>
      </c>
      <c r="C12" s="204" t="s">
        <v>86</v>
      </c>
      <c r="D12" s="8">
        <v>306</v>
      </c>
      <c r="E12" s="198">
        <v>136</v>
      </c>
      <c r="F12" s="198">
        <v>680</v>
      </c>
      <c r="G12" s="52"/>
    </row>
    <row r="13" spans="1:7">
      <c r="A13" s="204" t="s">
        <v>447</v>
      </c>
      <c r="B13" s="204" t="s">
        <v>37</v>
      </c>
      <c r="C13" s="204" t="s">
        <v>86</v>
      </c>
      <c r="D13" s="8">
        <v>304</v>
      </c>
      <c r="E13" s="198">
        <v>200</v>
      </c>
      <c r="F13" s="198">
        <v>1000</v>
      </c>
      <c r="G13" s="52"/>
    </row>
    <row r="14" spans="1:7">
      <c r="A14" s="204" t="s">
        <v>447</v>
      </c>
      <c r="B14" s="204" t="s">
        <v>37</v>
      </c>
      <c r="C14" s="204" t="s">
        <v>86</v>
      </c>
      <c r="D14" s="8">
        <v>305</v>
      </c>
      <c r="E14" s="198">
        <v>75.2</v>
      </c>
      <c r="F14" s="198">
        <v>376</v>
      </c>
      <c r="G14" s="52"/>
    </row>
    <row r="15" spans="1:7">
      <c r="A15" s="204" t="s">
        <v>447</v>
      </c>
      <c r="B15" s="204" t="s">
        <v>37</v>
      </c>
      <c r="C15" s="204" t="s">
        <v>86</v>
      </c>
      <c r="D15" s="8">
        <v>303</v>
      </c>
      <c r="E15" s="198">
        <v>95.2</v>
      </c>
      <c r="F15" s="198">
        <v>476</v>
      </c>
      <c r="G15" s="52"/>
    </row>
    <row r="16" spans="1:7">
      <c r="A16" s="204" t="s">
        <v>447</v>
      </c>
      <c r="B16" s="204" t="s">
        <v>37</v>
      </c>
      <c r="C16" s="204" t="s">
        <v>86</v>
      </c>
      <c r="D16" s="8">
        <v>307</v>
      </c>
      <c r="E16" s="198">
        <v>89.4</v>
      </c>
      <c r="F16" s="198">
        <v>447</v>
      </c>
      <c r="G16" s="52"/>
    </row>
    <row r="17" spans="1:7">
      <c r="A17" s="204" t="s">
        <v>447</v>
      </c>
      <c r="B17" s="204" t="s">
        <v>37</v>
      </c>
      <c r="C17" s="204" t="s">
        <v>86</v>
      </c>
      <c r="D17" s="8">
        <v>308</v>
      </c>
      <c r="E17" s="198">
        <v>73.599999999999994</v>
      </c>
      <c r="F17" s="198">
        <v>368</v>
      </c>
      <c r="G17" s="52"/>
    </row>
    <row r="18" spans="1:7">
      <c r="A18" s="204" t="s">
        <v>447</v>
      </c>
      <c r="B18" s="204" t="s">
        <v>37</v>
      </c>
      <c r="C18" s="204" t="s">
        <v>86</v>
      </c>
      <c r="D18" s="8">
        <v>309</v>
      </c>
      <c r="E18" s="198">
        <v>170</v>
      </c>
      <c r="F18" s="198">
        <v>850</v>
      </c>
      <c r="G18" s="52"/>
    </row>
    <row r="19" spans="1:7">
      <c r="A19" s="204" t="s">
        <v>447</v>
      </c>
      <c r="B19" s="205" t="s">
        <v>74</v>
      </c>
      <c r="C19" s="205" t="s">
        <v>85</v>
      </c>
      <c r="D19" s="161">
        <v>311</v>
      </c>
      <c r="E19" s="198">
        <v>158</v>
      </c>
      <c r="F19" s="198">
        <v>790</v>
      </c>
      <c r="G19" s="52"/>
    </row>
    <row r="20" spans="1:7">
      <c r="A20" s="204" t="s">
        <v>447</v>
      </c>
      <c r="B20" s="204" t="s">
        <v>74</v>
      </c>
      <c r="C20" s="204" t="s">
        <v>85</v>
      </c>
      <c r="D20" s="8">
        <v>312</v>
      </c>
      <c r="E20" s="198">
        <v>90.6</v>
      </c>
      <c r="F20" s="198">
        <v>453</v>
      </c>
      <c r="G20" s="52"/>
    </row>
    <row r="21" spans="1:7">
      <c r="A21" s="204" t="s">
        <v>447</v>
      </c>
      <c r="B21" s="204" t="s">
        <v>74</v>
      </c>
      <c r="C21" s="204" t="s">
        <v>85</v>
      </c>
      <c r="D21" s="8">
        <v>313</v>
      </c>
      <c r="E21" s="198">
        <v>72.400000000000006</v>
      </c>
      <c r="F21" s="198">
        <v>362</v>
      </c>
      <c r="G21" s="52"/>
    </row>
    <row r="22" spans="1:7">
      <c r="A22" s="204" t="s">
        <v>447</v>
      </c>
      <c r="B22" s="204" t="s">
        <v>74</v>
      </c>
      <c r="C22" s="204" t="s">
        <v>85</v>
      </c>
      <c r="D22" s="8">
        <v>314</v>
      </c>
      <c r="E22" s="198">
        <v>42.2</v>
      </c>
      <c r="F22" s="198">
        <v>211</v>
      </c>
      <c r="G22" s="52"/>
    </row>
    <row r="23" spans="1:7">
      <c r="A23" s="204" t="s">
        <v>447</v>
      </c>
      <c r="B23" s="204" t="s">
        <v>74</v>
      </c>
      <c r="C23" s="204" t="s">
        <v>85</v>
      </c>
      <c r="D23" s="8">
        <v>315</v>
      </c>
      <c r="E23" s="198">
        <v>148</v>
      </c>
      <c r="F23" s="198">
        <v>740</v>
      </c>
      <c r="G23" s="52"/>
    </row>
    <row r="24" spans="1:7">
      <c r="A24" s="204" t="s">
        <v>447</v>
      </c>
      <c r="B24" s="204" t="s">
        <v>74</v>
      </c>
      <c r="C24" s="204" t="s">
        <v>85</v>
      </c>
      <c r="D24" s="8">
        <v>316</v>
      </c>
      <c r="E24" s="198">
        <v>146</v>
      </c>
      <c r="F24" s="198">
        <v>730</v>
      </c>
      <c r="G24" s="52"/>
    </row>
    <row r="25" spans="1:7">
      <c r="A25" s="204" t="s">
        <v>447</v>
      </c>
      <c r="B25" s="204" t="s">
        <v>74</v>
      </c>
      <c r="C25" s="204" t="s">
        <v>85</v>
      </c>
      <c r="D25" s="8">
        <v>317</v>
      </c>
      <c r="E25" s="198">
        <v>158</v>
      </c>
      <c r="F25" s="198">
        <v>790</v>
      </c>
      <c r="G25" s="52"/>
    </row>
    <row r="26" spans="1:7">
      <c r="A26" s="204" t="s">
        <v>447</v>
      </c>
      <c r="B26" s="204" t="s">
        <v>74</v>
      </c>
      <c r="C26" s="204" t="s">
        <v>85</v>
      </c>
      <c r="D26" s="8">
        <v>318</v>
      </c>
      <c r="E26" s="198">
        <v>174</v>
      </c>
      <c r="F26" s="198">
        <v>870</v>
      </c>
      <c r="G26" s="52"/>
    </row>
    <row r="27" spans="1:7">
      <c r="A27" s="204" t="s">
        <v>447</v>
      </c>
      <c r="B27" s="204" t="s">
        <v>74</v>
      </c>
      <c r="C27" s="204" t="s">
        <v>85</v>
      </c>
      <c r="D27" s="8">
        <v>319</v>
      </c>
      <c r="E27" s="201">
        <v>77.599999999999994</v>
      </c>
      <c r="F27" s="198">
        <v>388</v>
      </c>
      <c r="G27" s="52"/>
    </row>
    <row r="28" spans="1:7">
      <c r="A28" s="204" t="s">
        <v>447</v>
      </c>
      <c r="B28" s="205" t="s">
        <v>74</v>
      </c>
      <c r="C28" s="205" t="s">
        <v>86</v>
      </c>
      <c r="D28" s="161">
        <v>321</v>
      </c>
      <c r="E28" s="198">
        <v>148</v>
      </c>
      <c r="F28" s="198">
        <v>740</v>
      </c>
      <c r="G28" s="52"/>
    </row>
    <row r="29" spans="1:7">
      <c r="A29" s="204" t="s">
        <v>447</v>
      </c>
      <c r="B29" s="204" t="s">
        <v>74</v>
      </c>
      <c r="C29" s="204" t="s">
        <v>86</v>
      </c>
      <c r="D29" s="8">
        <v>322</v>
      </c>
      <c r="E29" s="198">
        <v>44.6</v>
      </c>
      <c r="F29" s="198">
        <v>223</v>
      </c>
      <c r="G29" s="52"/>
    </row>
    <row r="30" spans="1:7">
      <c r="A30" s="204" t="s">
        <v>447</v>
      </c>
      <c r="B30" s="204" t="s">
        <v>74</v>
      </c>
      <c r="C30" s="204" t="s">
        <v>86</v>
      </c>
      <c r="D30" s="8">
        <v>323</v>
      </c>
      <c r="E30" s="198">
        <v>102</v>
      </c>
      <c r="F30" s="198">
        <v>510</v>
      </c>
      <c r="G30" s="52"/>
    </row>
    <row r="31" spans="1:7">
      <c r="A31" s="204" t="s">
        <v>447</v>
      </c>
      <c r="B31" s="204" t="s">
        <v>74</v>
      </c>
      <c r="C31" s="204" t="s">
        <v>86</v>
      </c>
      <c r="D31" s="8">
        <v>324</v>
      </c>
      <c r="E31" s="198">
        <v>172</v>
      </c>
      <c r="F31" s="198">
        <v>860</v>
      </c>
      <c r="G31" s="52"/>
    </row>
    <row r="32" spans="1:7">
      <c r="A32" s="204" t="s">
        <v>447</v>
      </c>
      <c r="B32" s="204" t="s">
        <v>74</v>
      </c>
      <c r="C32" s="204" t="s">
        <v>86</v>
      </c>
      <c r="D32" s="8">
        <v>325</v>
      </c>
      <c r="E32" s="198">
        <v>180</v>
      </c>
      <c r="F32" s="198">
        <v>900</v>
      </c>
      <c r="G32" s="52"/>
    </row>
    <row r="33" spans="1:7">
      <c r="A33" s="204" t="s">
        <v>447</v>
      </c>
      <c r="B33" s="204" t="s">
        <v>74</v>
      </c>
      <c r="C33" s="204" t="s">
        <v>86</v>
      </c>
      <c r="D33" s="8">
        <v>326</v>
      </c>
      <c r="E33" s="198">
        <v>130</v>
      </c>
      <c r="F33" s="198">
        <v>650</v>
      </c>
      <c r="G33" s="52"/>
    </row>
    <row r="34" spans="1:7">
      <c r="A34" s="204" t="s">
        <v>447</v>
      </c>
      <c r="B34" s="204" t="s">
        <v>74</v>
      </c>
      <c r="C34" s="204" t="s">
        <v>86</v>
      </c>
      <c r="D34" s="8">
        <v>327</v>
      </c>
      <c r="E34" s="198">
        <v>85.2</v>
      </c>
      <c r="F34" s="198">
        <v>426</v>
      </c>
      <c r="G34" s="52"/>
    </row>
    <row r="35" spans="1:7">
      <c r="A35" s="204" t="s">
        <v>447</v>
      </c>
      <c r="B35" s="204" t="s">
        <v>74</v>
      </c>
      <c r="C35" s="204" t="s">
        <v>86</v>
      </c>
      <c r="D35" s="8">
        <v>328</v>
      </c>
      <c r="E35" s="198">
        <v>156</v>
      </c>
      <c r="F35" s="198">
        <v>780</v>
      </c>
      <c r="G35" s="52"/>
    </row>
    <row r="36" spans="1:7">
      <c r="A36" s="204" t="s">
        <v>447</v>
      </c>
      <c r="B36" s="204" t="s">
        <v>74</v>
      </c>
      <c r="C36" s="204" t="s">
        <v>86</v>
      </c>
      <c r="D36" s="8">
        <v>329</v>
      </c>
      <c r="E36" s="198">
        <v>162</v>
      </c>
      <c r="F36" s="198">
        <v>810</v>
      </c>
      <c r="G36" s="52"/>
    </row>
    <row r="37" spans="1:7">
      <c r="A37" s="204" t="s">
        <v>447</v>
      </c>
      <c r="B37" s="205" t="s">
        <v>75</v>
      </c>
      <c r="C37" s="205" t="s">
        <v>85</v>
      </c>
      <c r="D37" s="161">
        <v>331</v>
      </c>
      <c r="E37" s="198">
        <v>42.2</v>
      </c>
      <c r="F37" s="198">
        <v>211</v>
      </c>
      <c r="G37" s="52"/>
    </row>
    <row r="38" spans="1:7">
      <c r="A38" s="204" t="s">
        <v>447</v>
      </c>
      <c r="B38" s="204" t="s">
        <v>75</v>
      </c>
      <c r="C38" s="204" t="s">
        <v>85</v>
      </c>
      <c r="D38" s="8">
        <v>332</v>
      </c>
      <c r="E38" s="198">
        <v>65.8</v>
      </c>
      <c r="F38" s="198">
        <v>329</v>
      </c>
      <c r="G38" s="52"/>
    </row>
    <row r="39" spans="1:7">
      <c r="A39" s="204" t="s">
        <v>447</v>
      </c>
      <c r="B39" s="204" t="s">
        <v>75</v>
      </c>
      <c r="C39" s="204" t="s">
        <v>85</v>
      </c>
      <c r="D39" s="8">
        <v>333</v>
      </c>
      <c r="E39" s="198">
        <v>78.599999999999994</v>
      </c>
      <c r="F39" s="198">
        <v>393</v>
      </c>
      <c r="G39" s="52"/>
    </row>
    <row r="40" spans="1:7">
      <c r="A40" s="204" t="s">
        <v>447</v>
      </c>
      <c r="B40" s="204" t="s">
        <v>75</v>
      </c>
      <c r="C40" s="204" t="s">
        <v>85</v>
      </c>
      <c r="D40" s="8">
        <v>334</v>
      </c>
      <c r="E40" s="198">
        <v>64.8</v>
      </c>
      <c r="F40" s="198">
        <v>324</v>
      </c>
      <c r="G40" s="52"/>
    </row>
    <row r="41" spans="1:7">
      <c r="A41" s="204" t="s">
        <v>447</v>
      </c>
      <c r="B41" s="204" t="s">
        <v>75</v>
      </c>
      <c r="C41" s="204" t="s">
        <v>85</v>
      </c>
      <c r="D41" s="8">
        <v>335</v>
      </c>
      <c r="E41" s="198">
        <v>180</v>
      </c>
      <c r="F41" s="198">
        <v>900</v>
      </c>
      <c r="G41" s="52"/>
    </row>
    <row r="42" spans="1:7">
      <c r="A42" s="204" t="s">
        <v>447</v>
      </c>
      <c r="B42" s="204" t="s">
        <v>75</v>
      </c>
      <c r="C42" s="204" t="s">
        <v>85</v>
      </c>
      <c r="D42" s="8">
        <v>336</v>
      </c>
      <c r="E42" s="198">
        <v>94.8</v>
      </c>
      <c r="F42" s="198">
        <v>474</v>
      </c>
      <c r="G42" s="52"/>
    </row>
    <row r="43" spans="1:7">
      <c r="A43" s="204" t="s">
        <v>447</v>
      </c>
      <c r="B43" s="204" t="s">
        <v>75</v>
      </c>
      <c r="C43" s="204" t="s">
        <v>85</v>
      </c>
      <c r="D43" s="8">
        <v>337</v>
      </c>
      <c r="E43" s="198">
        <v>194</v>
      </c>
      <c r="F43" s="198">
        <v>970</v>
      </c>
      <c r="G43" s="52"/>
    </row>
    <row r="44" spans="1:7">
      <c r="A44" s="204" t="s">
        <v>447</v>
      </c>
      <c r="B44" s="204" t="s">
        <v>75</v>
      </c>
      <c r="C44" s="204" t="s">
        <v>85</v>
      </c>
      <c r="D44" s="8">
        <v>338</v>
      </c>
      <c r="E44" s="198">
        <v>81.599999999999994</v>
      </c>
      <c r="F44" s="198">
        <v>408</v>
      </c>
      <c r="G44" s="52"/>
    </row>
    <row r="45" spans="1:7">
      <c r="A45" s="204" t="s">
        <v>447</v>
      </c>
      <c r="B45" s="204" t="s">
        <v>75</v>
      </c>
      <c r="C45" s="204" t="s">
        <v>85</v>
      </c>
      <c r="D45" s="8">
        <v>339</v>
      </c>
      <c r="E45" s="198">
        <v>77.2</v>
      </c>
      <c r="F45" s="198">
        <v>386</v>
      </c>
      <c r="G45" s="52"/>
    </row>
    <row r="46" spans="1:7">
      <c r="A46" s="204" t="s">
        <v>447</v>
      </c>
      <c r="B46" s="205" t="s">
        <v>75</v>
      </c>
      <c r="C46" s="205" t="s">
        <v>86</v>
      </c>
      <c r="D46" s="161">
        <v>341</v>
      </c>
      <c r="E46" s="198">
        <v>89.6</v>
      </c>
      <c r="F46" s="198">
        <v>448</v>
      </c>
      <c r="G46" s="52"/>
    </row>
    <row r="47" spans="1:7">
      <c r="A47" s="204" t="s">
        <v>447</v>
      </c>
      <c r="B47" s="204" t="s">
        <v>75</v>
      </c>
      <c r="C47" s="204" t="s">
        <v>86</v>
      </c>
      <c r="D47" s="8">
        <v>342</v>
      </c>
      <c r="E47" s="198">
        <v>162</v>
      </c>
      <c r="F47" s="198">
        <v>810</v>
      </c>
      <c r="G47" s="52"/>
    </row>
    <row r="48" spans="1:7">
      <c r="A48" s="204" t="s">
        <v>447</v>
      </c>
      <c r="B48" s="204" t="s">
        <v>75</v>
      </c>
      <c r="C48" s="204" t="s">
        <v>86</v>
      </c>
      <c r="D48" s="8">
        <v>343</v>
      </c>
      <c r="E48" s="198">
        <v>114</v>
      </c>
      <c r="F48" s="198">
        <v>570</v>
      </c>
      <c r="G48" s="52"/>
    </row>
    <row r="49" spans="1:7">
      <c r="A49" s="204" t="s">
        <v>447</v>
      </c>
      <c r="B49" s="204" t="s">
        <v>75</v>
      </c>
      <c r="C49" s="204" t="s">
        <v>86</v>
      </c>
      <c r="D49" s="8">
        <v>344</v>
      </c>
      <c r="E49" s="198">
        <v>25</v>
      </c>
      <c r="F49" s="198">
        <v>125</v>
      </c>
      <c r="G49" s="52" t="s">
        <v>439</v>
      </c>
    </row>
    <row r="50" spans="1:7">
      <c r="A50" s="204" t="s">
        <v>447</v>
      </c>
      <c r="B50" s="204" t="s">
        <v>75</v>
      </c>
      <c r="C50" s="204" t="s">
        <v>86</v>
      </c>
      <c r="D50" s="8">
        <v>345</v>
      </c>
      <c r="E50" s="198">
        <v>190</v>
      </c>
      <c r="F50" s="198">
        <v>950</v>
      </c>
      <c r="G50" s="52"/>
    </row>
    <row r="51" spans="1:7">
      <c r="A51" s="204" t="s">
        <v>447</v>
      </c>
      <c r="B51" s="204" t="s">
        <v>75</v>
      </c>
      <c r="C51" s="204" t="s">
        <v>86</v>
      </c>
      <c r="D51" s="8">
        <v>346</v>
      </c>
      <c r="E51" s="198">
        <v>43.6</v>
      </c>
      <c r="F51" s="198">
        <v>218</v>
      </c>
      <c r="G51" s="52"/>
    </row>
    <row r="52" spans="1:7">
      <c r="A52" s="204" t="s">
        <v>447</v>
      </c>
      <c r="B52" s="204" t="s">
        <v>75</v>
      </c>
      <c r="C52" s="204" t="s">
        <v>86</v>
      </c>
      <c r="D52" s="8">
        <v>347</v>
      </c>
      <c r="E52" s="198">
        <v>69</v>
      </c>
      <c r="F52" s="198">
        <v>345</v>
      </c>
      <c r="G52" s="52"/>
    </row>
    <row r="53" spans="1:7">
      <c r="A53" s="204" t="s">
        <v>447</v>
      </c>
      <c r="B53" s="204" t="s">
        <v>75</v>
      </c>
      <c r="C53" s="204" t="s">
        <v>86</v>
      </c>
      <c r="D53" s="8">
        <v>348</v>
      </c>
      <c r="E53" s="198">
        <v>54.4</v>
      </c>
      <c r="F53" s="198">
        <v>272</v>
      </c>
      <c r="G53" s="52"/>
    </row>
    <row r="54" spans="1:7">
      <c r="A54" s="204" t="s">
        <v>447</v>
      </c>
      <c r="B54" s="204" t="s">
        <v>75</v>
      </c>
      <c r="C54" s="204" t="s">
        <v>86</v>
      </c>
      <c r="D54" s="8">
        <v>349</v>
      </c>
      <c r="E54" s="198">
        <v>82</v>
      </c>
      <c r="F54" s="198">
        <v>410</v>
      </c>
      <c r="G54" s="52"/>
    </row>
    <row r="55" spans="1:7" ht="17">
      <c r="A55" s="204" t="s">
        <v>448</v>
      </c>
      <c r="B55" s="206" t="s">
        <v>37</v>
      </c>
      <c r="C55" s="206" t="s">
        <v>96</v>
      </c>
      <c r="D55" s="21">
        <v>401</v>
      </c>
      <c r="E55" s="44">
        <v>93.4</v>
      </c>
      <c r="F55" s="48">
        <v>467</v>
      </c>
      <c r="G55" s="52"/>
    </row>
    <row r="56" spans="1:7" ht="17">
      <c r="A56" s="204" t="s">
        <v>448</v>
      </c>
      <c r="B56" s="206" t="s">
        <v>37</v>
      </c>
      <c r="C56" s="206" t="s">
        <v>96</v>
      </c>
      <c r="D56" s="21">
        <v>402</v>
      </c>
      <c r="E56" s="44">
        <v>114</v>
      </c>
      <c r="F56" s="48">
        <v>570</v>
      </c>
      <c r="G56" s="52"/>
    </row>
    <row r="57" spans="1:7" ht="17">
      <c r="A57" s="204" t="s">
        <v>448</v>
      </c>
      <c r="B57" s="206" t="s">
        <v>37</v>
      </c>
      <c r="C57" s="206" t="s">
        <v>96</v>
      </c>
      <c r="D57" s="21">
        <v>403</v>
      </c>
      <c r="E57" s="44">
        <v>136</v>
      </c>
      <c r="F57" s="48">
        <v>680</v>
      </c>
      <c r="G57" s="52"/>
    </row>
    <row r="58" spans="1:7" ht="17">
      <c r="A58" s="204" t="s">
        <v>448</v>
      </c>
      <c r="B58" s="206" t="s">
        <v>37</v>
      </c>
      <c r="C58" s="206" t="s">
        <v>96</v>
      </c>
      <c r="D58" s="21">
        <v>404</v>
      </c>
      <c r="E58" s="44">
        <v>112</v>
      </c>
      <c r="F58" s="48">
        <v>560</v>
      </c>
      <c r="G58" s="52"/>
    </row>
    <row r="59" spans="1:7" ht="17">
      <c r="A59" s="204" t="s">
        <v>448</v>
      </c>
      <c r="B59" s="206" t="s">
        <v>37</v>
      </c>
      <c r="C59" s="206" t="s">
        <v>449</v>
      </c>
      <c r="D59" s="21">
        <v>411</v>
      </c>
      <c r="E59" s="44">
        <v>72.599999999999994</v>
      </c>
      <c r="F59" s="48">
        <v>363</v>
      </c>
      <c r="G59" s="52"/>
    </row>
    <row r="60" spans="1:7" ht="17">
      <c r="A60" s="204" t="s">
        <v>448</v>
      </c>
      <c r="B60" s="206" t="s">
        <v>37</v>
      </c>
      <c r="C60" s="206" t="s">
        <v>449</v>
      </c>
      <c r="D60" s="21">
        <v>412</v>
      </c>
      <c r="E60" s="44">
        <v>31.2</v>
      </c>
      <c r="F60" s="48">
        <v>156</v>
      </c>
      <c r="G60" s="52" t="s">
        <v>439</v>
      </c>
    </row>
    <row r="61" spans="1:7" ht="17">
      <c r="A61" s="204" t="s">
        <v>448</v>
      </c>
      <c r="B61" s="206" t="s">
        <v>37</v>
      </c>
      <c r="C61" s="206" t="s">
        <v>449</v>
      </c>
      <c r="D61" s="21">
        <v>413</v>
      </c>
      <c r="E61" s="44">
        <v>130</v>
      </c>
      <c r="F61" s="48">
        <v>650</v>
      </c>
      <c r="G61" s="52"/>
    </row>
    <row r="62" spans="1:7" ht="17">
      <c r="A62" s="204" t="s">
        <v>448</v>
      </c>
      <c r="B62" s="206" t="s">
        <v>37</v>
      </c>
      <c r="C62" s="206" t="s">
        <v>449</v>
      </c>
      <c r="D62" s="21">
        <v>414</v>
      </c>
      <c r="E62" s="44">
        <v>168</v>
      </c>
      <c r="F62" s="48">
        <v>840</v>
      </c>
      <c r="G62" s="52"/>
    </row>
    <row r="63" spans="1:7" ht="17">
      <c r="A63" s="204" t="s">
        <v>448</v>
      </c>
      <c r="B63" s="206" t="s">
        <v>37</v>
      </c>
      <c r="C63" s="206" t="s">
        <v>103</v>
      </c>
      <c r="D63" s="21">
        <v>421</v>
      </c>
      <c r="E63" s="44">
        <v>57.6</v>
      </c>
      <c r="F63" s="48">
        <v>288</v>
      </c>
      <c r="G63" s="52"/>
    </row>
    <row r="64" spans="1:7" ht="17">
      <c r="A64" s="204" t="s">
        <v>448</v>
      </c>
      <c r="B64" s="206" t="s">
        <v>37</v>
      </c>
      <c r="C64" s="206" t="s">
        <v>450</v>
      </c>
      <c r="D64" s="21" t="s">
        <v>255</v>
      </c>
      <c r="E64" s="44">
        <v>83</v>
      </c>
      <c r="F64" s="48">
        <v>415</v>
      </c>
      <c r="G64" s="52"/>
    </row>
    <row r="65" spans="1:7" ht="17">
      <c r="A65" s="204" t="s">
        <v>448</v>
      </c>
      <c r="B65" s="206" t="s">
        <v>37</v>
      </c>
      <c r="C65" s="206" t="s">
        <v>450</v>
      </c>
      <c r="D65" s="21">
        <v>432</v>
      </c>
      <c r="E65" s="44">
        <v>74</v>
      </c>
      <c r="F65" s="48">
        <v>370</v>
      </c>
      <c r="G65" s="52"/>
    </row>
    <row r="66" spans="1:7" ht="17">
      <c r="A66" s="204" t="s">
        <v>448</v>
      </c>
      <c r="B66" s="206" t="s">
        <v>37</v>
      </c>
      <c r="C66" s="206" t="s">
        <v>450</v>
      </c>
      <c r="D66" s="21">
        <v>434</v>
      </c>
      <c r="E66" s="44">
        <v>63</v>
      </c>
      <c r="F66" s="48">
        <v>315</v>
      </c>
      <c r="G66" s="52"/>
    </row>
    <row r="67" spans="1:7" ht="17">
      <c r="A67" s="204" t="s">
        <v>448</v>
      </c>
      <c r="B67" s="206" t="s">
        <v>75</v>
      </c>
      <c r="C67" s="206" t="s">
        <v>96</v>
      </c>
      <c r="D67" s="21">
        <v>441</v>
      </c>
      <c r="E67" s="44">
        <v>16.2</v>
      </c>
      <c r="F67" s="48">
        <v>81</v>
      </c>
      <c r="G67" s="52" t="s">
        <v>439</v>
      </c>
    </row>
    <row r="68" spans="1:7" ht="17">
      <c r="A68" s="204" t="s">
        <v>448</v>
      </c>
      <c r="B68" s="206" t="s">
        <v>75</v>
      </c>
      <c r="C68" s="206" t="s">
        <v>96</v>
      </c>
      <c r="D68" s="21" t="s">
        <v>257</v>
      </c>
      <c r="E68" s="44">
        <v>69.8</v>
      </c>
      <c r="F68" s="48">
        <v>349</v>
      </c>
      <c r="G68" s="52"/>
    </row>
    <row r="69" spans="1:7" ht="17">
      <c r="A69" s="204" t="s">
        <v>448</v>
      </c>
      <c r="B69" s="206" t="s">
        <v>75</v>
      </c>
      <c r="C69" s="206" t="s">
        <v>96</v>
      </c>
      <c r="D69" s="21">
        <v>443</v>
      </c>
      <c r="E69" s="44">
        <v>60.2</v>
      </c>
      <c r="F69" s="48">
        <v>301</v>
      </c>
      <c r="G69" s="52"/>
    </row>
    <row r="70" spans="1:7" ht="17">
      <c r="A70" s="204" t="s">
        <v>448</v>
      </c>
      <c r="B70" s="206" t="s">
        <v>75</v>
      </c>
      <c r="C70" s="206" t="s">
        <v>96</v>
      </c>
      <c r="D70" s="21">
        <v>444</v>
      </c>
      <c r="E70" s="44">
        <v>70.599999999999994</v>
      </c>
      <c r="F70" s="48">
        <v>353</v>
      </c>
      <c r="G70" s="52"/>
    </row>
    <row r="71" spans="1:7" ht="17">
      <c r="A71" s="204" t="s">
        <v>448</v>
      </c>
      <c r="B71" s="206" t="s">
        <v>75</v>
      </c>
      <c r="C71" s="206" t="s">
        <v>96</v>
      </c>
      <c r="D71" s="21">
        <v>445</v>
      </c>
      <c r="E71" s="44">
        <v>160</v>
      </c>
      <c r="F71" s="48">
        <v>800</v>
      </c>
      <c r="G71" s="52"/>
    </row>
    <row r="72" spans="1:7" ht="17">
      <c r="A72" s="204" t="s">
        <v>448</v>
      </c>
      <c r="B72" s="206" t="s">
        <v>75</v>
      </c>
      <c r="C72" s="206" t="s">
        <v>449</v>
      </c>
      <c r="D72" s="21">
        <v>451</v>
      </c>
      <c r="E72" s="44">
        <v>68.400000000000006</v>
      </c>
      <c r="F72" s="48">
        <v>342</v>
      </c>
      <c r="G72" s="52"/>
    </row>
    <row r="73" spans="1:7" ht="17">
      <c r="A73" s="204" t="s">
        <v>448</v>
      </c>
      <c r="B73" s="206" t="s">
        <v>75</v>
      </c>
      <c r="C73" s="206" t="s">
        <v>449</v>
      </c>
      <c r="D73" s="21" t="s">
        <v>259</v>
      </c>
      <c r="E73" s="44">
        <v>97.2</v>
      </c>
      <c r="F73" s="48">
        <v>486</v>
      </c>
      <c r="G73" s="52"/>
    </row>
    <row r="74" spans="1:7" ht="17">
      <c r="A74" s="204" t="s">
        <v>448</v>
      </c>
      <c r="B74" s="206" t="s">
        <v>75</v>
      </c>
      <c r="C74" s="206" t="s">
        <v>449</v>
      </c>
      <c r="D74" s="21">
        <v>453</v>
      </c>
      <c r="E74" s="44">
        <v>196</v>
      </c>
      <c r="F74" s="48">
        <v>980</v>
      </c>
      <c r="G74" s="52"/>
    </row>
    <row r="75" spans="1:7" ht="17">
      <c r="A75" s="204" t="s">
        <v>448</v>
      </c>
      <c r="B75" s="206" t="s">
        <v>75</v>
      </c>
      <c r="C75" s="206" t="s">
        <v>103</v>
      </c>
      <c r="D75" s="21" t="s">
        <v>260</v>
      </c>
      <c r="E75" s="44">
        <v>84</v>
      </c>
      <c r="F75" s="48">
        <v>420</v>
      </c>
      <c r="G75" s="52"/>
    </row>
    <row r="76" spans="1:7" ht="17">
      <c r="A76" s="204" t="s">
        <v>448</v>
      </c>
      <c r="B76" s="206" t="s">
        <v>75</v>
      </c>
      <c r="C76" s="206" t="s">
        <v>103</v>
      </c>
      <c r="D76" s="21" t="s">
        <v>261</v>
      </c>
      <c r="E76" s="44">
        <v>106</v>
      </c>
      <c r="F76" s="48">
        <v>530</v>
      </c>
      <c r="G76" s="52"/>
    </row>
    <row r="77" spans="1:7" ht="17">
      <c r="A77" s="204" t="s">
        <v>448</v>
      </c>
      <c r="B77" s="206" t="s">
        <v>75</v>
      </c>
      <c r="C77" s="206" t="s">
        <v>450</v>
      </c>
      <c r="D77" s="21" t="s">
        <v>262</v>
      </c>
      <c r="E77" s="44">
        <v>108</v>
      </c>
      <c r="F77" s="48">
        <v>540</v>
      </c>
      <c r="G77" s="52"/>
    </row>
    <row r="78" spans="1:7" ht="17">
      <c r="A78" s="204" t="s">
        <v>448</v>
      </c>
      <c r="B78" s="206" t="s">
        <v>75</v>
      </c>
      <c r="C78" s="206" t="s">
        <v>450</v>
      </c>
      <c r="D78" s="21" t="s">
        <v>263</v>
      </c>
      <c r="E78" s="44">
        <v>97</v>
      </c>
      <c r="F78" s="48">
        <v>485</v>
      </c>
      <c r="G78" s="52"/>
    </row>
    <row r="79" spans="1:7" ht="17">
      <c r="A79" s="204" t="s">
        <v>448</v>
      </c>
      <c r="B79" s="206" t="s">
        <v>75</v>
      </c>
      <c r="C79" s="206" t="s">
        <v>450</v>
      </c>
      <c r="D79" s="21">
        <v>473</v>
      </c>
      <c r="E79" s="44">
        <v>124</v>
      </c>
      <c r="F79" s="48">
        <v>620</v>
      </c>
      <c r="G79" s="52"/>
    </row>
    <row r="80" spans="1:7" ht="17">
      <c r="A80" s="204" t="s">
        <v>448</v>
      </c>
      <c r="B80" s="206" t="s">
        <v>75</v>
      </c>
      <c r="C80" s="206" t="s">
        <v>450</v>
      </c>
      <c r="D80" s="21">
        <v>474</v>
      </c>
      <c r="E80" s="44">
        <v>77.2</v>
      </c>
      <c r="F80" s="48">
        <v>386</v>
      </c>
      <c r="G80" s="52"/>
    </row>
    <row r="81" spans="1:8" ht="17">
      <c r="A81" s="204" t="s">
        <v>448</v>
      </c>
      <c r="B81" s="206" t="s">
        <v>75</v>
      </c>
      <c r="C81" s="206" t="s">
        <v>450</v>
      </c>
      <c r="D81" s="21">
        <v>475</v>
      </c>
      <c r="E81" s="44">
        <v>27.4</v>
      </c>
      <c r="F81" s="48">
        <v>137</v>
      </c>
      <c r="G81" s="52" t="s">
        <v>439</v>
      </c>
    </row>
    <row r="82" spans="1:8" ht="17">
      <c r="A82" s="204" t="s">
        <v>448</v>
      </c>
      <c r="B82" s="206" t="s">
        <v>75</v>
      </c>
      <c r="C82" s="206" t="s">
        <v>450</v>
      </c>
      <c r="D82" s="21">
        <v>476</v>
      </c>
      <c r="E82" s="44">
        <v>39.200000000000003</v>
      </c>
      <c r="F82" s="48">
        <v>196</v>
      </c>
      <c r="G82" s="52"/>
    </row>
    <row r="83" spans="1:8" ht="17">
      <c r="A83" s="204" t="s">
        <v>448</v>
      </c>
      <c r="B83" s="206" t="s">
        <v>75</v>
      </c>
      <c r="C83" s="206" t="s">
        <v>450</v>
      </c>
      <c r="D83" s="21">
        <v>477</v>
      </c>
      <c r="E83" s="44">
        <v>164</v>
      </c>
      <c r="F83" s="48">
        <v>820</v>
      </c>
      <c r="G83" s="52"/>
    </row>
    <row r="84" spans="1:8" ht="17">
      <c r="A84" s="204" t="s">
        <v>448</v>
      </c>
      <c r="B84" s="206" t="s">
        <v>92</v>
      </c>
      <c r="C84" s="206" t="s">
        <v>96</v>
      </c>
      <c r="D84" s="21">
        <v>481</v>
      </c>
      <c r="E84" s="44">
        <v>89.2</v>
      </c>
      <c r="F84" s="48">
        <v>446</v>
      </c>
      <c r="G84" s="52"/>
    </row>
    <row r="85" spans="1:8" ht="17">
      <c r="A85" s="204" t="s">
        <v>448</v>
      </c>
      <c r="B85" s="206" t="s">
        <v>92</v>
      </c>
      <c r="C85" s="206" t="s">
        <v>96</v>
      </c>
      <c r="D85" s="21">
        <v>482</v>
      </c>
      <c r="E85" s="44">
        <v>22.2</v>
      </c>
      <c r="F85" s="48">
        <v>111</v>
      </c>
      <c r="G85" s="52" t="s">
        <v>439</v>
      </c>
    </row>
    <row r="86" spans="1:8" ht="17">
      <c r="A86" s="204" t="s">
        <v>448</v>
      </c>
      <c r="B86" s="206" t="s">
        <v>92</v>
      </c>
      <c r="C86" s="206" t="s">
        <v>96</v>
      </c>
      <c r="D86" s="21">
        <v>483</v>
      </c>
      <c r="E86" s="44">
        <v>99</v>
      </c>
      <c r="F86" s="48">
        <v>495</v>
      </c>
      <c r="G86" s="52"/>
    </row>
    <row r="87" spans="1:8" ht="17">
      <c r="A87" s="204" t="s">
        <v>448</v>
      </c>
      <c r="B87" s="206" t="s">
        <v>92</v>
      </c>
      <c r="C87" s="206" t="s">
        <v>96</v>
      </c>
      <c r="D87" s="21">
        <v>484</v>
      </c>
      <c r="E87" s="44">
        <v>58.4</v>
      </c>
      <c r="F87" s="48">
        <v>292</v>
      </c>
      <c r="G87" s="52"/>
    </row>
    <row r="88" spans="1:8" ht="17">
      <c r="A88" s="204" t="s">
        <v>448</v>
      </c>
      <c r="B88" s="206" t="s">
        <v>92</v>
      </c>
      <c r="C88" s="206" t="s">
        <v>96</v>
      </c>
      <c r="D88" s="21">
        <v>485</v>
      </c>
      <c r="E88" s="44">
        <v>19.100000000000001</v>
      </c>
      <c r="F88" s="48">
        <v>95.5</v>
      </c>
      <c r="G88" s="52" t="s">
        <v>439</v>
      </c>
      <c r="H88" s="29"/>
    </row>
    <row r="89" spans="1:8" ht="17">
      <c r="A89" s="204" t="s">
        <v>448</v>
      </c>
      <c r="B89" s="206" t="s">
        <v>92</v>
      </c>
      <c r="C89" s="206" t="s">
        <v>96</v>
      </c>
      <c r="D89" s="21" t="s">
        <v>264</v>
      </c>
      <c r="E89" s="44">
        <v>148</v>
      </c>
      <c r="F89" s="48">
        <v>740</v>
      </c>
      <c r="G89" s="52"/>
      <c r="H89" s="29"/>
    </row>
    <row r="90" spans="1:8" ht="17">
      <c r="A90" s="204" t="s">
        <v>448</v>
      </c>
      <c r="B90" s="206" t="s">
        <v>92</v>
      </c>
      <c r="C90" s="206" t="s">
        <v>96</v>
      </c>
      <c r="D90" s="21">
        <v>487</v>
      </c>
      <c r="E90" s="44">
        <v>118</v>
      </c>
      <c r="F90" s="48">
        <v>590</v>
      </c>
      <c r="G90" s="52"/>
      <c r="H90" s="29"/>
    </row>
    <row r="91" spans="1:8" ht="17">
      <c r="A91" s="204" t="s">
        <v>448</v>
      </c>
      <c r="B91" s="206" t="s">
        <v>92</v>
      </c>
      <c r="C91" s="206" t="s">
        <v>96</v>
      </c>
      <c r="D91" s="21">
        <v>488</v>
      </c>
      <c r="E91" s="44">
        <v>60</v>
      </c>
      <c r="F91" s="48">
        <v>300</v>
      </c>
      <c r="G91" s="52"/>
      <c r="H91" s="29"/>
    </row>
    <row r="92" spans="1:8" ht="17">
      <c r="A92" s="204" t="s">
        <v>448</v>
      </c>
      <c r="B92" s="206" t="s">
        <v>92</v>
      </c>
      <c r="C92" s="206" t="s">
        <v>96</v>
      </c>
      <c r="D92" s="21">
        <v>489</v>
      </c>
      <c r="E92" s="44">
        <v>68</v>
      </c>
      <c r="F92" s="48">
        <v>340</v>
      </c>
      <c r="G92" s="52"/>
      <c r="H92" s="29"/>
    </row>
    <row r="93" spans="1:8" ht="17">
      <c r="A93" s="204" t="s">
        <v>448</v>
      </c>
      <c r="B93" s="206" t="s">
        <v>92</v>
      </c>
      <c r="C93" s="206" t="s">
        <v>96</v>
      </c>
      <c r="D93" s="21">
        <v>490</v>
      </c>
      <c r="E93" s="44">
        <v>186</v>
      </c>
      <c r="F93" s="48">
        <v>930</v>
      </c>
      <c r="G93" s="52"/>
      <c r="H93" s="29"/>
    </row>
    <row r="94" spans="1:8" ht="17">
      <c r="A94" s="204" t="s">
        <v>448</v>
      </c>
      <c r="B94" s="206" t="s">
        <v>92</v>
      </c>
      <c r="C94" s="206" t="s">
        <v>96</v>
      </c>
      <c r="D94" s="21">
        <v>491</v>
      </c>
      <c r="E94" s="44">
        <v>58.4</v>
      </c>
      <c r="F94" s="48">
        <v>292</v>
      </c>
      <c r="G94" s="52"/>
    </row>
    <row r="95" spans="1:8" ht="17">
      <c r="A95" s="204" t="s">
        <v>448</v>
      </c>
      <c r="B95" s="206" t="s">
        <v>92</v>
      </c>
      <c r="C95" s="206" t="s">
        <v>96</v>
      </c>
      <c r="D95" s="21">
        <v>492</v>
      </c>
      <c r="E95" s="44">
        <v>82.6</v>
      </c>
      <c r="F95" s="48">
        <v>413</v>
      </c>
      <c r="G95" s="52"/>
    </row>
    <row r="96" spans="1:8" ht="17">
      <c r="A96" s="204" t="s">
        <v>448</v>
      </c>
      <c r="B96" s="208" t="s">
        <v>92</v>
      </c>
      <c r="C96" s="208" t="s">
        <v>449</v>
      </c>
      <c r="D96" s="175">
        <v>41</v>
      </c>
      <c r="E96" s="202">
        <v>108</v>
      </c>
      <c r="F96" s="182">
        <v>540</v>
      </c>
      <c r="G96" s="52"/>
    </row>
    <row r="97" spans="1:7" ht="17">
      <c r="A97" s="204" t="s">
        <v>448</v>
      </c>
      <c r="B97" s="206" t="s">
        <v>92</v>
      </c>
      <c r="C97" s="206" t="s">
        <v>449</v>
      </c>
      <c r="D97" s="21">
        <v>43</v>
      </c>
      <c r="E97" s="44">
        <v>156</v>
      </c>
      <c r="F97" s="48">
        <v>780</v>
      </c>
      <c r="G97" s="52"/>
    </row>
    <row r="98" spans="1:7" ht="17">
      <c r="A98" s="204" t="s">
        <v>448</v>
      </c>
      <c r="B98" s="206" t="s">
        <v>92</v>
      </c>
      <c r="C98" s="206" t="s">
        <v>449</v>
      </c>
      <c r="D98" s="21">
        <v>46</v>
      </c>
      <c r="E98" s="44">
        <v>98.6</v>
      </c>
      <c r="F98" s="48">
        <v>493</v>
      </c>
      <c r="G98" s="52"/>
    </row>
    <row r="99" spans="1:7" ht="17">
      <c r="A99" s="204" t="s">
        <v>448</v>
      </c>
      <c r="B99" s="208" t="s">
        <v>92</v>
      </c>
      <c r="C99" s="208" t="s">
        <v>449</v>
      </c>
      <c r="D99" s="175">
        <v>47</v>
      </c>
      <c r="E99" s="202">
        <v>128</v>
      </c>
      <c r="F99" s="182">
        <v>640</v>
      </c>
      <c r="G99" s="52"/>
    </row>
    <row r="100" spans="1:7" ht="17">
      <c r="A100" s="204" t="s">
        <v>448</v>
      </c>
      <c r="B100" s="208" t="s">
        <v>92</v>
      </c>
      <c r="C100" s="208" t="s">
        <v>449</v>
      </c>
      <c r="D100" s="175">
        <v>44</v>
      </c>
      <c r="E100" s="202">
        <v>41.4</v>
      </c>
      <c r="F100" s="182">
        <v>207</v>
      </c>
      <c r="G100" s="52"/>
    </row>
    <row r="101" spans="1:7" ht="17">
      <c r="A101" s="204" t="s">
        <v>448</v>
      </c>
      <c r="B101" s="206" t="s">
        <v>92</v>
      </c>
      <c r="C101" s="206" t="s">
        <v>449</v>
      </c>
      <c r="D101" s="21">
        <v>506</v>
      </c>
      <c r="E101" s="44">
        <v>29.2</v>
      </c>
      <c r="F101" s="48">
        <v>146</v>
      </c>
      <c r="G101" s="52" t="s">
        <v>439</v>
      </c>
    </row>
    <row r="102" spans="1:7" ht="17">
      <c r="A102" s="204" t="s">
        <v>448</v>
      </c>
      <c r="B102" s="208" t="s">
        <v>92</v>
      </c>
      <c r="C102" s="208" t="s">
        <v>449</v>
      </c>
      <c r="D102" s="175">
        <v>45</v>
      </c>
      <c r="E102" s="202">
        <v>25.1</v>
      </c>
      <c r="F102" s="182">
        <v>125.5</v>
      </c>
      <c r="G102" s="52" t="s">
        <v>439</v>
      </c>
    </row>
    <row r="103" spans="1:7" ht="17">
      <c r="A103" s="204" t="s">
        <v>448</v>
      </c>
      <c r="B103" s="208" t="s">
        <v>92</v>
      </c>
      <c r="C103" s="208" t="s">
        <v>103</v>
      </c>
      <c r="D103" s="175">
        <v>35</v>
      </c>
      <c r="E103" s="202">
        <v>94.4</v>
      </c>
      <c r="F103" s="182">
        <v>472</v>
      </c>
      <c r="G103" s="52"/>
    </row>
    <row r="104" spans="1:7" ht="17">
      <c r="A104" s="204" t="s">
        <v>448</v>
      </c>
      <c r="B104" s="207" t="s">
        <v>92</v>
      </c>
      <c r="C104" s="207" t="s">
        <v>103</v>
      </c>
      <c r="D104" s="53">
        <v>38</v>
      </c>
      <c r="E104" s="44" t="s">
        <v>244</v>
      </c>
      <c r="F104" s="48" t="e">
        <v>#VALUE!</v>
      </c>
      <c r="G104" s="52"/>
    </row>
    <row r="105" spans="1:7" ht="17">
      <c r="A105" s="204" t="s">
        <v>448</v>
      </c>
      <c r="B105" s="206" t="s">
        <v>92</v>
      </c>
      <c r="C105" s="206" t="s">
        <v>103</v>
      </c>
      <c r="D105" s="21">
        <v>513</v>
      </c>
      <c r="E105" s="44">
        <v>142</v>
      </c>
      <c r="F105" s="48">
        <v>710</v>
      </c>
      <c r="G105" s="52"/>
    </row>
    <row r="106" spans="1:7" ht="17">
      <c r="A106" s="204" t="s">
        <v>448</v>
      </c>
      <c r="B106" s="208" t="s">
        <v>92</v>
      </c>
      <c r="C106" s="208" t="s">
        <v>103</v>
      </c>
      <c r="D106" s="175">
        <v>39</v>
      </c>
      <c r="E106" s="202">
        <v>89.8</v>
      </c>
      <c r="F106" s="182">
        <v>449</v>
      </c>
      <c r="G106" s="52"/>
    </row>
    <row r="107" spans="1:7" ht="17">
      <c r="A107" s="204" t="s">
        <v>448</v>
      </c>
      <c r="B107" s="208" t="s">
        <v>92</v>
      </c>
      <c r="C107" s="208" t="s">
        <v>103</v>
      </c>
      <c r="D107" s="175">
        <v>37</v>
      </c>
      <c r="E107" s="202">
        <v>74.599999999999994</v>
      </c>
      <c r="F107" s="182">
        <v>373</v>
      </c>
      <c r="G107" s="52"/>
    </row>
    <row r="108" spans="1:7" ht="17">
      <c r="A108" s="204" t="s">
        <v>448</v>
      </c>
      <c r="B108" s="208" t="s">
        <v>92</v>
      </c>
      <c r="C108" s="208" t="s">
        <v>103</v>
      </c>
      <c r="D108" s="175">
        <v>34</v>
      </c>
      <c r="E108" s="202">
        <v>104</v>
      </c>
      <c r="F108" s="182">
        <v>520</v>
      </c>
      <c r="G108" s="52"/>
    </row>
    <row r="109" spans="1:7" ht="17">
      <c r="A109" s="204" t="s">
        <v>448</v>
      </c>
      <c r="B109" s="206" t="s">
        <v>92</v>
      </c>
      <c r="C109" s="206" t="s">
        <v>450</v>
      </c>
      <c r="D109" s="21">
        <v>521</v>
      </c>
      <c r="E109" s="44">
        <v>66.599999999999994</v>
      </c>
      <c r="F109" s="48">
        <v>333</v>
      </c>
      <c r="G109" s="52"/>
    </row>
    <row r="110" spans="1:7" ht="17">
      <c r="A110" s="204" t="s">
        <v>448</v>
      </c>
      <c r="B110" s="206" t="s">
        <v>92</v>
      </c>
      <c r="C110" s="206" t="s">
        <v>450</v>
      </c>
      <c r="D110" s="21">
        <v>522</v>
      </c>
      <c r="E110" s="44">
        <v>32.200000000000003</v>
      </c>
      <c r="F110" s="48">
        <v>161</v>
      </c>
      <c r="G110" s="52" t="s">
        <v>439</v>
      </c>
    </row>
    <row r="111" spans="1:7" ht="17">
      <c r="A111" s="204" t="s">
        <v>448</v>
      </c>
      <c r="B111" s="206" t="s">
        <v>92</v>
      </c>
      <c r="C111" s="206" t="s">
        <v>450</v>
      </c>
      <c r="D111" s="21">
        <v>523</v>
      </c>
      <c r="E111" s="44">
        <v>71.400000000000006</v>
      </c>
      <c r="F111" s="48">
        <v>357</v>
      </c>
      <c r="G111" s="52"/>
    </row>
    <row r="112" spans="1:7" ht="17">
      <c r="A112" s="204" t="s">
        <v>448</v>
      </c>
      <c r="B112" s="206" t="s">
        <v>92</v>
      </c>
      <c r="C112" s="206" t="s">
        <v>450</v>
      </c>
      <c r="D112" s="21">
        <v>524</v>
      </c>
      <c r="E112" s="44">
        <v>63</v>
      </c>
      <c r="F112" s="48">
        <v>315</v>
      </c>
      <c r="G112" s="52"/>
    </row>
    <row r="113" spans="1:7" ht="17">
      <c r="A113" s="204" t="s">
        <v>448</v>
      </c>
      <c r="B113" s="206" t="s">
        <v>92</v>
      </c>
      <c r="C113" s="206" t="s">
        <v>450</v>
      </c>
      <c r="D113" s="21">
        <v>525</v>
      </c>
      <c r="E113" s="44">
        <v>140</v>
      </c>
      <c r="F113" s="48">
        <v>700</v>
      </c>
      <c r="G113" s="52"/>
    </row>
    <row r="114" spans="1:7" ht="17">
      <c r="A114" s="204" t="s">
        <v>448</v>
      </c>
      <c r="B114" s="206" t="s">
        <v>92</v>
      </c>
      <c r="C114" s="206" t="s">
        <v>450</v>
      </c>
      <c r="D114" s="21">
        <v>526</v>
      </c>
      <c r="E114" s="44">
        <v>138</v>
      </c>
      <c r="F114" s="48">
        <v>690</v>
      </c>
      <c r="G114" s="52"/>
    </row>
    <row r="115" spans="1:7" ht="17">
      <c r="A115" s="204" t="s">
        <v>448</v>
      </c>
      <c r="B115" s="206" t="s">
        <v>92</v>
      </c>
      <c r="C115" s="206" t="s">
        <v>450</v>
      </c>
      <c r="D115" s="21">
        <v>527</v>
      </c>
      <c r="E115" s="44">
        <v>124</v>
      </c>
      <c r="F115" s="48">
        <v>620</v>
      </c>
      <c r="G115" s="52"/>
    </row>
    <row r="116" spans="1:7" ht="17">
      <c r="A116" s="204" t="s">
        <v>448</v>
      </c>
      <c r="B116" s="206" t="s">
        <v>92</v>
      </c>
      <c r="C116" s="206" t="s">
        <v>450</v>
      </c>
      <c r="D116" s="21">
        <v>528</v>
      </c>
      <c r="E116" s="44">
        <v>87.6</v>
      </c>
      <c r="F116" s="48">
        <v>438</v>
      </c>
      <c r="G116" s="52"/>
    </row>
    <row r="117" spans="1:7" ht="17">
      <c r="A117" s="204" t="s">
        <v>448</v>
      </c>
      <c r="B117" s="206" t="s">
        <v>92</v>
      </c>
      <c r="C117" s="206" t="s">
        <v>450</v>
      </c>
      <c r="D117" s="21">
        <v>529</v>
      </c>
      <c r="E117" s="44">
        <v>56.8</v>
      </c>
      <c r="F117" s="48">
        <v>284</v>
      </c>
      <c r="G117" s="52"/>
    </row>
    <row r="118" spans="1:7" ht="17">
      <c r="A118" s="204" t="s">
        <v>448</v>
      </c>
      <c r="B118" s="206" t="s">
        <v>99</v>
      </c>
      <c r="C118" s="206" t="s">
        <v>96</v>
      </c>
      <c r="D118" s="21">
        <v>531</v>
      </c>
      <c r="E118" s="44">
        <v>95.4</v>
      </c>
      <c r="F118" s="48">
        <v>477</v>
      </c>
      <c r="G118" s="52"/>
    </row>
    <row r="119" spans="1:7" ht="17">
      <c r="A119" s="204" t="s">
        <v>448</v>
      </c>
      <c r="B119" s="206" t="s">
        <v>99</v>
      </c>
      <c r="C119" s="206" t="s">
        <v>96</v>
      </c>
      <c r="D119" s="21">
        <v>532</v>
      </c>
      <c r="E119" s="44">
        <v>93.6</v>
      </c>
      <c r="F119" s="48">
        <v>468</v>
      </c>
      <c r="G119" s="52"/>
    </row>
    <row r="120" spans="1:7" ht="17">
      <c r="A120" s="204" t="s">
        <v>448</v>
      </c>
      <c r="B120" s="207" t="s">
        <v>99</v>
      </c>
      <c r="C120" s="207" t="s">
        <v>96</v>
      </c>
      <c r="D120" s="53">
        <v>533</v>
      </c>
      <c r="E120" s="44">
        <v>6.52</v>
      </c>
      <c r="F120" s="48">
        <v>32.599999999999994</v>
      </c>
      <c r="G120" s="52" t="s">
        <v>439</v>
      </c>
    </row>
    <row r="121" spans="1:7" ht="17">
      <c r="A121" s="204" t="s">
        <v>448</v>
      </c>
      <c r="B121" s="206" t="s">
        <v>99</v>
      </c>
      <c r="C121" s="206" t="s">
        <v>449</v>
      </c>
      <c r="D121" s="21">
        <v>541</v>
      </c>
      <c r="E121" s="44">
        <v>44.4</v>
      </c>
      <c r="F121" s="48">
        <v>222</v>
      </c>
      <c r="G121" s="52"/>
    </row>
    <row r="122" spans="1:7" ht="17">
      <c r="A122" s="204" t="s">
        <v>448</v>
      </c>
      <c r="B122" s="206" t="s">
        <v>99</v>
      </c>
      <c r="C122" s="206" t="s">
        <v>449</v>
      </c>
      <c r="D122" s="21">
        <v>542</v>
      </c>
      <c r="E122" s="44">
        <v>32.799999999999997</v>
      </c>
      <c r="F122" s="48">
        <v>164</v>
      </c>
      <c r="G122" s="52" t="s">
        <v>439</v>
      </c>
    </row>
    <row r="123" spans="1:7" ht="17">
      <c r="A123" s="204" t="s">
        <v>448</v>
      </c>
      <c r="B123" s="206" t="s">
        <v>99</v>
      </c>
      <c r="C123" s="206" t="s">
        <v>449</v>
      </c>
      <c r="D123" s="21">
        <v>543</v>
      </c>
      <c r="E123" s="44">
        <v>162</v>
      </c>
      <c r="F123" s="48">
        <v>810</v>
      </c>
      <c r="G123" s="52"/>
    </row>
    <row r="124" spans="1:7" ht="17">
      <c r="A124" s="204" t="s">
        <v>448</v>
      </c>
      <c r="B124" s="206" t="s">
        <v>99</v>
      </c>
      <c r="C124" s="206" t="s">
        <v>103</v>
      </c>
      <c r="D124" s="21">
        <v>551</v>
      </c>
      <c r="E124" s="44">
        <v>96.4</v>
      </c>
      <c r="F124" s="48">
        <v>482</v>
      </c>
      <c r="G124" s="52"/>
    </row>
    <row r="125" spans="1:7" ht="17">
      <c r="A125" s="204" t="s">
        <v>448</v>
      </c>
      <c r="B125" s="206" t="s">
        <v>99</v>
      </c>
      <c r="C125" s="206" t="s">
        <v>103</v>
      </c>
      <c r="D125" s="21" t="s">
        <v>268</v>
      </c>
      <c r="E125" s="44">
        <v>74.599999999999994</v>
      </c>
      <c r="F125" s="48">
        <v>373</v>
      </c>
      <c r="G125" s="52"/>
    </row>
    <row r="126" spans="1:7" ht="17">
      <c r="A126" s="204" t="s">
        <v>448</v>
      </c>
      <c r="B126" s="206" t="s">
        <v>99</v>
      </c>
      <c r="C126" s="206" t="s">
        <v>103</v>
      </c>
      <c r="D126" s="21">
        <v>553</v>
      </c>
      <c r="E126" s="44">
        <v>186</v>
      </c>
      <c r="F126" s="48">
        <v>930</v>
      </c>
      <c r="G126" s="52"/>
    </row>
    <row r="127" spans="1:7" ht="17">
      <c r="A127" s="204" t="s">
        <v>448</v>
      </c>
      <c r="B127" s="206" t="s">
        <v>99</v>
      </c>
      <c r="C127" s="206" t="s">
        <v>103</v>
      </c>
      <c r="D127" s="21">
        <v>554</v>
      </c>
      <c r="E127" s="44">
        <v>188</v>
      </c>
      <c r="F127" s="48">
        <v>940</v>
      </c>
      <c r="G127" s="52"/>
    </row>
    <row r="128" spans="1:7" ht="17">
      <c r="A128" s="204" t="s">
        <v>448</v>
      </c>
      <c r="B128" s="206" t="s">
        <v>99</v>
      </c>
      <c r="C128" s="206" t="s">
        <v>450</v>
      </c>
      <c r="D128" s="21">
        <v>561</v>
      </c>
      <c r="E128" s="44">
        <v>28</v>
      </c>
      <c r="F128" s="48">
        <v>140</v>
      </c>
      <c r="G128" s="52" t="s">
        <v>439</v>
      </c>
    </row>
    <row r="129" spans="1:7" ht="17">
      <c r="A129" s="204" t="s">
        <v>448</v>
      </c>
      <c r="B129" s="206" t="s">
        <v>99</v>
      </c>
      <c r="C129" s="206" t="s">
        <v>450</v>
      </c>
      <c r="D129" s="21">
        <v>562</v>
      </c>
      <c r="E129" s="44">
        <v>126</v>
      </c>
      <c r="F129" s="48">
        <v>630</v>
      </c>
      <c r="G129" s="52"/>
    </row>
    <row r="130" spans="1:7" ht="17">
      <c r="A130" s="204" t="s">
        <v>448</v>
      </c>
      <c r="B130" s="206" t="s">
        <v>99</v>
      </c>
      <c r="C130" s="206" t="s">
        <v>450</v>
      </c>
      <c r="D130" s="21">
        <v>563</v>
      </c>
      <c r="E130" s="44">
        <v>47</v>
      </c>
      <c r="F130" s="48">
        <v>235</v>
      </c>
      <c r="G130" s="52"/>
    </row>
    <row r="131" spans="1:7" ht="17">
      <c r="A131" s="204" t="s">
        <v>448</v>
      </c>
      <c r="B131" s="206" t="s">
        <v>99</v>
      </c>
      <c r="C131" s="206" t="s">
        <v>450</v>
      </c>
      <c r="D131" s="21">
        <v>564</v>
      </c>
      <c r="E131" s="44">
        <v>152</v>
      </c>
      <c r="F131" s="48">
        <v>760</v>
      </c>
      <c r="G131" s="52"/>
    </row>
    <row r="132" spans="1:7" ht="17">
      <c r="A132" s="204" t="s">
        <v>448</v>
      </c>
      <c r="B132" s="206" t="s">
        <v>99</v>
      </c>
      <c r="C132" s="206" t="s">
        <v>450</v>
      </c>
      <c r="D132" s="21">
        <v>565</v>
      </c>
      <c r="E132" s="44">
        <v>31.2</v>
      </c>
      <c r="F132" s="48">
        <v>156</v>
      </c>
      <c r="G132" s="52" t="s">
        <v>439</v>
      </c>
    </row>
    <row r="133" spans="1:7" ht="17">
      <c r="A133" s="206" t="s">
        <v>451</v>
      </c>
      <c r="B133" s="206" t="s">
        <v>295</v>
      </c>
      <c r="C133" s="206" t="s">
        <v>235</v>
      </c>
      <c r="D133" s="102">
        <v>571</v>
      </c>
      <c r="E133" s="47" t="s">
        <v>244</v>
      </c>
      <c r="F133" s="51" t="s">
        <v>244</v>
      </c>
      <c r="G133" s="52"/>
    </row>
    <row r="134" spans="1:7" ht="17">
      <c r="A134" s="206" t="s">
        <v>451</v>
      </c>
      <c r="B134" s="206" t="s">
        <v>295</v>
      </c>
      <c r="C134" s="206" t="s">
        <v>235</v>
      </c>
      <c r="D134" s="102">
        <v>572</v>
      </c>
      <c r="E134" s="47"/>
      <c r="F134" s="51"/>
      <c r="G134" s="52"/>
    </row>
    <row r="135" spans="1:7" ht="17">
      <c r="A135" s="206" t="s">
        <v>451</v>
      </c>
      <c r="B135" s="206" t="s">
        <v>296</v>
      </c>
      <c r="C135" s="206" t="s">
        <v>235</v>
      </c>
      <c r="D135" s="102">
        <v>574</v>
      </c>
      <c r="E135" s="47"/>
      <c r="F135" s="51"/>
      <c r="G135" s="52"/>
    </row>
    <row r="136" spans="1:7" ht="17">
      <c r="A136" s="206" t="s">
        <v>451</v>
      </c>
      <c r="B136" s="206" t="s">
        <v>297</v>
      </c>
      <c r="C136" s="206" t="s">
        <v>235</v>
      </c>
      <c r="D136" s="102">
        <v>575</v>
      </c>
      <c r="E136" s="47"/>
      <c r="F136" s="51"/>
      <c r="G136" s="52"/>
    </row>
  </sheetData>
  <conditionalFormatting sqref="F2:F133">
    <cfRule type="cellIs" dxfId="4" priority="1" operator="less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2D4-8A42-C84A-86DB-831D85844635}">
  <sheetPr>
    <pageSetUpPr fitToPage="1"/>
  </sheetPr>
  <dimension ref="A1:AS115"/>
  <sheetViews>
    <sheetView topLeftCell="D1" zoomScale="90" zoomScaleNormal="90" workbookViewId="0">
      <pane xSplit="10780" ySplit="1500" topLeftCell="AK14" activePane="bottomRight"/>
      <selection activeCell="B29" sqref="B29"/>
      <selection pane="topRight" activeCell="AL1" sqref="AL1:AM1048576"/>
      <selection pane="bottomLeft" activeCell="K106" sqref="K2:K106"/>
      <selection pane="bottomRight" activeCell="AN121" sqref="AN121"/>
    </sheetView>
  </sheetViews>
  <sheetFormatPr baseColWidth="10" defaultRowHeight="16"/>
  <cols>
    <col min="1" max="1" width="18.6640625" style="91" hidden="1" customWidth="1"/>
    <col min="2" max="2" width="10.83203125" style="91"/>
    <col min="3" max="3" width="16.5" style="91" customWidth="1"/>
    <col min="4" max="4" width="26.1640625" style="91" customWidth="1"/>
    <col min="5" max="5" width="12.6640625" style="91" customWidth="1"/>
    <col min="6" max="6" width="16.6640625" style="95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1.33203125" style="91" hidden="1" customWidth="1"/>
    <col min="11" max="11" width="12.83203125" style="377" customWidth="1"/>
    <col min="12" max="12" width="10.83203125" style="377" hidden="1" customWidth="1"/>
    <col min="13" max="13" width="12" style="378" hidden="1" customWidth="1"/>
    <col min="14" max="14" width="10.5" style="366" hidden="1" customWidth="1"/>
    <col min="15" max="15" width="9.83203125" style="378" hidden="1" customWidth="1"/>
    <col min="16" max="16" width="12.83203125" style="378" hidden="1" customWidth="1"/>
    <col min="17" max="17" width="12.33203125" style="378" hidden="1" customWidth="1"/>
    <col min="18" max="18" width="12.6640625" style="378" hidden="1" customWidth="1"/>
    <col min="19" max="19" width="17.6640625" style="378" hidden="1" customWidth="1"/>
    <col min="20" max="20" width="14.33203125" style="378" hidden="1" customWidth="1"/>
    <col min="21" max="21" width="13.1640625" style="380" hidden="1" customWidth="1"/>
    <col min="22" max="22" width="15.5" style="381" hidden="1" customWidth="1"/>
    <col min="23" max="23" width="15.5" style="380" hidden="1" customWidth="1"/>
    <col min="24" max="24" width="15.5" style="381" hidden="1" customWidth="1"/>
    <col min="25" max="25" width="15.5" style="380" hidden="1" customWidth="1"/>
    <col min="26" max="26" width="15.5" style="381" hidden="1" customWidth="1"/>
    <col min="27" max="27" width="18.1640625" style="379" customWidth="1"/>
    <col min="28" max="28" width="18.1640625" style="46" hidden="1" customWidth="1"/>
    <col min="29" max="31" width="18.1640625" style="50" customWidth="1"/>
    <col min="32" max="35" width="18.1640625" style="213" customWidth="1"/>
    <col min="36" max="36" width="18.1640625" style="223" customWidth="1"/>
    <col min="37" max="37" width="18.1640625" style="46" customWidth="1"/>
    <col min="38" max="38" width="18.1640625" style="858" customWidth="1"/>
    <col min="39" max="39" width="18.1640625" style="859" customWidth="1"/>
    <col min="40" max="40" width="51.83203125" style="91" customWidth="1"/>
    <col min="41" max="41" width="12" style="91" customWidth="1"/>
    <col min="42" max="16384" width="10.83203125" style="91"/>
  </cols>
  <sheetData>
    <row r="1" spans="1:40" s="10" customFormat="1" ht="61" customHeight="1" thickBot="1">
      <c r="A1" s="11" t="s">
        <v>226</v>
      </c>
      <c r="B1" s="12" t="s">
        <v>243</v>
      </c>
      <c r="C1" s="12" t="s">
        <v>89</v>
      </c>
      <c r="D1" s="12" t="s">
        <v>18</v>
      </c>
      <c r="E1" s="12" t="s">
        <v>90</v>
      </c>
      <c r="F1" s="12" t="e">
        <f>4584/1000*w</f>
        <v>#NAME?</v>
      </c>
      <c r="G1" s="13" t="s">
        <v>198</v>
      </c>
      <c r="H1" s="12" t="s">
        <v>199</v>
      </c>
      <c r="I1" s="12" t="s">
        <v>200</v>
      </c>
      <c r="J1" s="12" t="s">
        <v>269</v>
      </c>
      <c r="K1" s="319" t="s">
        <v>254</v>
      </c>
      <c r="L1" s="319" t="s">
        <v>241</v>
      </c>
      <c r="M1" s="319" t="s">
        <v>10</v>
      </c>
      <c r="N1" s="320" t="s">
        <v>230</v>
      </c>
      <c r="O1" s="319" t="s">
        <v>231</v>
      </c>
      <c r="P1" s="319" t="s">
        <v>229</v>
      </c>
      <c r="Q1" s="319" t="s">
        <v>228</v>
      </c>
      <c r="R1" s="319" t="s">
        <v>246</v>
      </c>
      <c r="S1" s="319" t="s">
        <v>245</v>
      </c>
      <c r="T1" s="319" t="s">
        <v>456</v>
      </c>
      <c r="U1" s="321" t="s">
        <v>252</v>
      </c>
      <c r="V1" s="322" t="s">
        <v>277</v>
      </c>
      <c r="W1" s="321" t="s">
        <v>293</v>
      </c>
      <c r="X1" s="322" t="s">
        <v>278</v>
      </c>
      <c r="Y1" s="321" t="s">
        <v>300</v>
      </c>
      <c r="Z1" s="322" t="s">
        <v>437</v>
      </c>
      <c r="AA1" s="323" t="s">
        <v>314</v>
      </c>
      <c r="AB1" s="60" t="s">
        <v>465</v>
      </c>
      <c r="AC1" s="67" t="s">
        <v>436</v>
      </c>
      <c r="AD1" s="67" t="s">
        <v>462</v>
      </c>
      <c r="AE1" s="67" t="s">
        <v>463</v>
      </c>
      <c r="AF1" s="211" t="s">
        <v>457</v>
      </c>
      <c r="AG1" s="211" t="s">
        <v>459</v>
      </c>
      <c r="AH1" s="211" t="s">
        <v>461</v>
      </c>
      <c r="AI1" s="211" t="s">
        <v>466</v>
      </c>
      <c r="AJ1" s="67" t="s">
        <v>458</v>
      </c>
      <c r="AK1" s="60" t="s">
        <v>455</v>
      </c>
      <c r="AL1" s="866" t="s">
        <v>729</v>
      </c>
      <c r="AM1" s="867" t="s">
        <v>730</v>
      </c>
      <c r="AN1" s="12" t="s">
        <v>16</v>
      </c>
    </row>
    <row r="2" spans="1:40" ht="17">
      <c r="A2" s="90" t="s">
        <v>227</v>
      </c>
      <c r="B2" s="14">
        <v>42879</v>
      </c>
      <c r="C2" s="15" t="s">
        <v>105</v>
      </c>
      <c r="D2" s="15" t="s">
        <v>37</v>
      </c>
      <c r="E2" s="15" t="s">
        <v>96</v>
      </c>
      <c r="F2" s="16" t="s">
        <v>130</v>
      </c>
      <c r="G2" s="15"/>
      <c r="H2" s="16"/>
      <c r="I2" s="16"/>
      <c r="J2" s="34">
        <v>43665</v>
      </c>
      <c r="K2" s="324">
        <v>401</v>
      </c>
      <c r="L2" s="324">
        <v>1</v>
      </c>
      <c r="M2" s="325">
        <v>100</v>
      </c>
      <c r="N2" s="326">
        <v>43665</v>
      </c>
      <c r="O2" s="325">
        <v>1</v>
      </c>
      <c r="P2" s="327">
        <v>43670</v>
      </c>
      <c r="Q2" s="325">
        <v>1</v>
      </c>
      <c r="R2" s="325">
        <f>1000-500</f>
        <v>500</v>
      </c>
      <c r="S2" s="325">
        <f>100-1-50</f>
        <v>49</v>
      </c>
      <c r="T2" s="328">
        <v>52</v>
      </c>
      <c r="U2" s="329">
        <v>50</v>
      </c>
      <c r="V2" s="330">
        <f t="shared" ref="V2:V14" si="0">U2*T2/1000</f>
        <v>2.6</v>
      </c>
      <c r="W2" s="329">
        <v>1</v>
      </c>
      <c r="X2" s="331">
        <v>43677</v>
      </c>
      <c r="Y2" s="329">
        <v>50</v>
      </c>
      <c r="Z2" s="331">
        <v>43677</v>
      </c>
      <c r="AA2" s="332">
        <v>93.4</v>
      </c>
      <c r="AB2" s="61"/>
      <c r="AC2" s="68">
        <f>AA2*5</f>
        <v>467</v>
      </c>
      <c r="AD2" s="68"/>
      <c r="AE2" s="68"/>
      <c r="AF2" s="118"/>
      <c r="AG2" s="118"/>
      <c r="AH2" s="118"/>
      <c r="AI2" s="118"/>
      <c r="AJ2" s="216">
        <v>1</v>
      </c>
      <c r="AK2" s="61"/>
      <c r="AL2" s="117">
        <v>16</v>
      </c>
      <c r="AM2" s="868">
        <v>1.24</v>
      </c>
      <c r="AN2" s="17"/>
    </row>
    <row r="3" spans="1:40" ht="17">
      <c r="A3" s="90" t="s">
        <v>227</v>
      </c>
      <c r="B3" s="18">
        <v>42886</v>
      </c>
      <c r="C3" s="19" t="s">
        <v>105</v>
      </c>
      <c r="D3" s="19" t="s">
        <v>37</v>
      </c>
      <c r="E3" s="19" t="s">
        <v>96</v>
      </c>
      <c r="F3" s="21" t="s">
        <v>147</v>
      </c>
      <c r="G3" s="19"/>
      <c r="H3" s="21"/>
      <c r="I3" s="21"/>
      <c r="J3" s="20"/>
      <c r="K3" s="333">
        <v>402</v>
      </c>
      <c r="L3" s="333">
        <v>1</v>
      </c>
      <c r="M3" s="334">
        <v>10</v>
      </c>
      <c r="N3" s="326">
        <v>43666</v>
      </c>
      <c r="O3" s="334">
        <v>3</v>
      </c>
      <c r="P3" s="335">
        <v>43672</v>
      </c>
      <c r="Q3" s="334">
        <v>2</v>
      </c>
      <c r="R3" s="334">
        <f>1000-500</f>
        <v>500</v>
      </c>
      <c r="S3" s="334">
        <f>75-1-50</f>
        <v>24</v>
      </c>
      <c r="T3" s="336">
        <v>140</v>
      </c>
      <c r="U3" s="337">
        <v>50</v>
      </c>
      <c r="V3" s="338">
        <f t="shared" si="0"/>
        <v>7</v>
      </c>
      <c r="W3" s="337">
        <v>1</v>
      </c>
      <c r="X3" s="339">
        <v>43677</v>
      </c>
      <c r="Y3" s="337">
        <v>50</v>
      </c>
      <c r="Z3" s="339">
        <v>43677</v>
      </c>
      <c r="AA3" s="340">
        <v>114</v>
      </c>
      <c r="AB3" s="62"/>
      <c r="AC3" s="69">
        <f>AA3*5</f>
        <v>570</v>
      </c>
      <c r="AD3" s="69"/>
      <c r="AE3" s="69"/>
      <c r="AF3" s="119">
        <v>43692</v>
      </c>
      <c r="AG3" s="119"/>
      <c r="AH3" s="119"/>
      <c r="AI3" s="119"/>
      <c r="AJ3" s="217">
        <v>2</v>
      </c>
      <c r="AK3" s="62"/>
      <c r="AL3" s="117">
        <v>16</v>
      </c>
      <c r="AM3" s="868">
        <v>2.76</v>
      </c>
      <c r="AN3" s="22"/>
    </row>
    <row r="4" spans="1:40" ht="17">
      <c r="A4" s="90" t="s">
        <v>227</v>
      </c>
      <c r="B4" s="18">
        <v>42905</v>
      </c>
      <c r="C4" s="19" t="s">
        <v>105</v>
      </c>
      <c r="D4" s="19" t="s">
        <v>37</v>
      </c>
      <c r="E4" s="19" t="s">
        <v>96</v>
      </c>
      <c r="F4" s="21" t="s">
        <v>191</v>
      </c>
      <c r="G4" s="19"/>
      <c r="H4" s="21"/>
      <c r="I4" s="21"/>
      <c r="J4" s="20"/>
      <c r="K4" s="333">
        <v>403</v>
      </c>
      <c r="L4" s="333">
        <v>1</v>
      </c>
      <c r="M4" s="334">
        <v>40</v>
      </c>
      <c r="N4" s="326">
        <v>43668</v>
      </c>
      <c r="O4" s="334">
        <v>5</v>
      </c>
      <c r="P4" s="335">
        <v>43672</v>
      </c>
      <c r="Q4" s="334">
        <v>3</v>
      </c>
      <c r="R4" s="334">
        <f t="shared" ref="R4:R11" si="1">1000-500</f>
        <v>500</v>
      </c>
      <c r="S4" s="334">
        <f>75-1-50</f>
        <v>24</v>
      </c>
      <c r="T4" s="336">
        <v>148</v>
      </c>
      <c r="U4" s="337">
        <v>50</v>
      </c>
      <c r="V4" s="338">
        <f t="shared" si="0"/>
        <v>7.4</v>
      </c>
      <c r="W4" s="337">
        <v>3</v>
      </c>
      <c r="X4" s="339">
        <v>43682</v>
      </c>
      <c r="Y4" s="337">
        <v>50</v>
      </c>
      <c r="Z4" s="341">
        <v>43683</v>
      </c>
      <c r="AA4" s="340">
        <v>136</v>
      </c>
      <c r="AB4" s="62">
        <f>9438/1000*6</f>
        <v>56.628</v>
      </c>
      <c r="AC4" s="69">
        <f t="shared" ref="AC4:AC17" si="2">AA4*5</f>
        <v>680</v>
      </c>
      <c r="AD4" s="58">
        <f>500/AA4</f>
        <v>3.6764705882352939</v>
      </c>
      <c r="AE4" s="58">
        <f>5-AD4</f>
        <v>1.3235294117647061</v>
      </c>
      <c r="AF4" s="119"/>
      <c r="AG4" s="119"/>
      <c r="AH4" s="119">
        <v>43697</v>
      </c>
      <c r="AI4" s="119">
        <v>43698</v>
      </c>
      <c r="AJ4" s="217">
        <v>2</v>
      </c>
      <c r="AK4" s="62"/>
      <c r="AL4" s="117">
        <v>14</v>
      </c>
      <c r="AM4" s="868">
        <v>4.16</v>
      </c>
      <c r="AN4" s="22"/>
    </row>
    <row r="5" spans="1:40" ht="17">
      <c r="A5" s="90" t="s">
        <v>227</v>
      </c>
      <c r="B5" s="18">
        <v>42915</v>
      </c>
      <c r="C5" s="19" t="s">
        <v>105</v>
      </c>
      <c r="D5" s="19" t="s">
        <v>37</v>
      </c>
      <c r="E5" s="19" t="s">
        <v>96</v>
      </c>
      <c r="F5" s="21" t="s">
        <v>196</v>
      </c>
      <c r="G5" s="19"/>
      <c r="H5" s="21"/>
      <c r="I5" s="21"/>
      <c r="J5" s="20"/>
      <c r="K5" s="333">
        <v>404</v>
      </c>
      <c r="L5" s="333">
        <v>1</v>
      </c>
      <c r="M5" s="334">
        <v>110</v>
      </c>
      <c r="N5" s="326">
        <v>43668</v>
      </c>
      <c r="O5" s="334">
        <v>6</v>
      </c>
      <c r="P5" s="335">
        <v>43672</v>
      </c>
      <c r="Q5" s="334">
        <v>3</v>
      </c>
      <c r="R5" s="334">
        <f>1000-500-250</f>
        <v>250</v>
      </c>
      <c r="S5" s="334">
        <f>75-1-50</f>
        <v>24</v>
      </c>
      <c r="T5" s="336">
        <v>95.2</v>
      </c>
      <c r="U5" s="337">
        <v>50</v>
      </c>
      <c r="V5" s="338">
        <f t="shared" si="0"/>
        <v>4.76</v>
      </c>
      <c r="W5" s="337">
        <v>3</v>
      </c>
      <c r="X5" s="339">
        <v>43682</v>
      </c>
      <c r="Y5" s="337">
        <v>50</v>
      </c>
      <c r="Z5" s="341">
        <v>43683</v>
      </c>
      <c r="AA5" s="340">
        <v>112</v>
      </c>
      <c r="AB5" s="62"/>
      <c r="AC5" s="69">
        <f t="shared" si="2"/>
        <v>560</v>
      </c>
      <c r="AD5" s="69"/>
      <c r="AE5" s="69"/>
      <c r="AF5" s="119"/>
      <c r="AG5" s="119"/>
      <c r="AH5" s="119"/>
      <c r="AI5" s="119"/>
      <c r="AJ5" s="217">
        <v>2</v>
      </c>
      <c r="AK5" s="62"/>
      <c r="AL5" s="117">
        <v>15</v>
      </c>
      <c r="AM5" s="868">
        <v>2.92</v>
      </c>
      <c r="AN5" s="22"/>
    </row>
    <row r="6" spans="1:40" ht="17" hidden="1">
      <c r="A6" s="90"/>
      <c r="B6" s="18">
        <v>42915</v>
      </c>
      <c r="C6" s="19" t="s">
        <v>105</v>
      </c>
      <c r="D6" s="19" t="s">
        <v>37</v>
      </c>
      <c r="E6" s="19" t="s">
        <v>96</v>
      </c>
      <c r="F6" s="21" t="s">
        <v>196</v>
      </c>
      <c r="G6" s="19"/>
      <c r="H6" s="21"/>
      <c r="I6" s="21"/>
      <c r="J6" s="20"/>
      <c r="K6" s="333" t="s">
        <v>253</v>
      </c>
      <c r="L6" s="333">
        <v>1</v>
      </c>
      <c r="M6" s="334">
        <v>110</v>
      </c>
      <c r="N6" s="326">
        <v>43668</v>
      </c>
      <c r="O6" s="334">
        <v>6</v>
      </c>
      <c r="P6" s="335">
        <v>43675</v>
      </c>
      <c r="Q6" s="334">
        <v>7</v>
      </c>
      <c r="R6" s="334">
        <f>1000-500-250</f>
        <v>250</v>
      </c>
      <c r="S6" s="334">
        <f>60-1</f>
        <v>59</v>
      </c>
      <c r="T6" s="336">
        <v>48.6</v>
      </c>
      <c r="U6" s="337">
        <v>50</v>
      </c>
      <c r="V6" s="338">
        <f t="shared" si="0"/>
        <v>2.4300000000000002</v>
      </c>
      <c r="W6" s="337"/>
      <c r="X6" s="338"/>
      <c r="Y6" s="337">
        <v>50</v>
      </c>
      <c r="Z6" s="338"/>
      <c r="AA6" s="340"/>
      <c r="AB6" s="62"/>
      <c r="AC6" s="69">
        <f t="shared" si="2"/>
        <v>0</v>
      </c>
      <c r="AD6" s="69"/>
      <c r="AE6" s="69"/>
      <c r="AF6" s="119"/>
      <c r="AG6" s="119"/>
      <c r="AH6" s="119"/>
      <c r="AI6" s="119"/>
      <c r="AJ6" s="217"/>
      <c r="AK6" s="62"/>
      <c r="AL6" s="117"/>
      <c r="AM6" s="868"/>
      <c r="AN6" s="22"/>
    </row>
    <row r="7" spans="1:40" ht="17">
      <c r="A7" s="90" t="s">
        <v>227</v>
      </c>
      <c r="B7" s="18">
        <v>42881</v>
      </c>
      <c r="C7" s="19" t="s">
        <v>112</v>
      </c>
      <c r="D7" s="19" t="s">
        <v>37</v>
      </c>
      <c r="E7" s="19" t="s">
        <v>101</v>
      </c>
      <c r="F7" s="21" t="s">
        <v>139</v>
      </c>
      <c r="G7" s="19"/>
      <c r="H7" s="21"/>
      <c r="I7" s="21"/>
      <c r="J7" s="32">
        <v>43665</v>
      </c>
      <c r="K7" s="333">
        <v>411</v>
      </c>
      <c r="L7" s="333">
        <v>1</v>
      </c>
      <c r="M7" s="334">
        <v>10</v>
      </c>
      <c r="N7" s="326">
        <v>43665</v>
      </c>
      <c r="O7" s="334">
        <v>1</v>
      </c>
      <c r="P7" s="335">
        <v>43670</v>
      </c>
      <c r="Q7" s="334">
        <v>1</v>
      </c>
      <c r="R7" s="334">
        <f t="shared" si="1"/>
        <v>500</v>
      </c>
      <c r="S7" s="334">
        <f>100-1-50</f>
        <v>49</v>
      </c>
      <c r="T7" s="336">
        <v>57.2</v>
      </c>
      <c r="U7" s="337">
        <v>50</v>
      </c>
      <c r="V7" s="338">
        <f t="shared" si="0"/>
        <v>2.86</v>
      </c>
      <c r="W7" s="337">
        <v>1</v>
      </c>
      <c r="X7" s="339">
        <v>43677</v>
      </c>
      <c r="Y7" s="337">
        <v>50</v>
      </c>
      <c r="Z7" s="339">
        <v>43677</v>
      </c>
      <c r="AA7" s="340">
        <v>72.599999999999994</v>
      </c>
      <c r="AB7" s="62"/>
      <c r="AC7" s="69">
        <f t="shared" si="2"/>
        <v>363</v>
      </c>
      <c r="AD7" s="69"/>
      <c r="AE7" s="69"/>
      <c r="AF7" s="119"/>
      <c r="AG7" s="119"/>
      <c r="AH7" s="119"/>
      <c r="AI7" s="119"/>
      <c r="AJ7" s="217">
        <v>1</v>
      </c>
      <c r="AK7" s="62"/>
      <c r="AL7" s="117">
        <v>16</v>
      </c>
      <c r="AM7" s="868">
        <v>3.08</v>
      </c>
      <c r="AN7" s="22"/>
    </row>
    <row r="8" spans="1:40" ht="17">
      <c r="A8" s="90" t="s">
        <v>227</v>
      </c>
      <c r="B8" s="18">
        <v>42882</v>
      </c>
      <c r="C8" s="19" t="s">
        <v>112</v>
      </c>
      <c r="D8" s="19" t="s">
        <v>37</v>
      </c>
      <c r="E8" s="19" t="s">
        <v>101</v>
      </c>
      <c r="F8" s="21" t="s">
        <v>143</v>
      </c>
      <c r="G8" s="19" t="s">
        <v>211</v>
      </c>
      <c r="H8" s="21"/>
      <c r="I8" s="21"/>
      <c r="J8" s="20"/>
      <c r="K8" s="873">
        <v>412</v>
      </c>
      <c r="L8" s="333">
        <v>1</v>
      </c>
      <c r="M8" s="334">
        <v>10</v>
      </c>
      <c r="N8" s="326">
        <v>43666</v>
      </c>
      <c r="O8" s="334">
        <v>3</v>
      </c>
      <c r="P8" s="335">
        <v>43672</v>
      </c>
      <c r="Q8" s="334">
        <v>2</v>
      </c>
      <c r="R8" s="334">
        <f t="shared" si="1"/>
        <v>500</v>
      </c>
      <c r="S8" s="334">
        <f>75-1-50</f>
        <v>24</v>
      </c>
      <c r="T8" s="336">
        <v>60.8</v>
      </c>
      <c r="U8" s="337">
        <v>50</v>
      </c>
      <c r="V8" s="338">
        <f t="shared" si="0"/>
        <v>3.04</v>
      </c>
      <c r="W8" s="337">
        <v>1</v>
      </c>
      <c r="X8" s="339">
        <v>43677</v>
      </c>
      <c r="Y8" s="337">
        <v>50</v>
      </c>
      <c r="Z8" s="339">
        <v>43677</v>
      </c>
      <c r="AA8" s="340">
        <v>31.2</v>
      </c>
      <c r="AB8" s="62"/>
      <c r="AC8" s="69">
        <f t="shared" si="2"/>
        <v>156</v>
      </c>
      <c r="AD8" s="69"/>
      <c r="AE8" s="69"/>
      <c r="AF8" s="119"/>
      <c r="AG8" s="119"/>
      <c r="AH8" s="119"/>
      <c r="AI8" s="119"/>
      <c r="AJ8" s="217">
        <v>1</v>
      </c>
      <c r="AK8" s="62"/>
      <c r="AL8" s="117">
        <v>17</v>
      </c>
      <c r="AM8" s="872" t="s">
        <v>244</v>
      </c>
      <c r="AN8" s="22"/>
    </row>
    <row r="9" spans="1:40" ht="17">
      <c r="A9" s="90" t="s">
        <v>227</v>
      </c>
      <c r="B9" s="18">
        <v>42896</v>
      </c>
      <c r="C9" s="19" t="s">
        <v>112</v>
      </c>
      <c r="D9" s="19" t="s">
        <v>37</v>
      </c>
      <c r="E9" s="19" t="s">
        <v>101</v>
      </c>
      <c r="F9" s="21" t="s">
        <v>174</v>
      </c>
      <c r="G9" s="19"/>
      <c r="H9" s="21"/>
      <c r="I9" s="21"/>
      <c r="J9" s="20"/>
      <c r="K9" s="333">
        <v>413</v>
      </c>
      <c r="L9" s="333">
        <v>1</v>
      </c>
      <c r="M9" s="334">
        <v>80</v>
      </c>
      <c r="N9" s="326">
        <v>43668</v>
      </c>
      <c r="O9" s="334">
        <v>7</v>
      </c>
      <c r="P9" s="335">
        <v>43672</v>
      </c>
      <c r="Q9" s="334">
        <v>4</v>
      </c>
      <c r="R9" s="334">
        <f t="shared" si="1"/>
        <v>500</v>
      </c>
      <c r="S9" s="334">
        <f>75-1-50</f>
        <v>24</v>
      </c>
      <c r="T9" s="336">
        <v>91.4</v>
      </c>
      <c r="U9" s="337">
        <v>50</v>
      </c>
      <c r="V9" s="338">
        <f t="shared" si="0"/>
        <v>4.57</v>
      </c>
      <c r="W9" s="337">
        <v>3</v>
      </c>
      <c r="X9" s="339">
        <v>43682</v>
      </c>
      <c r="Y9" s="337">
        <v>50</v>
      </c>
      <c r="Z9" s="341">
        <v>43683</v>
      </c>
      <c r="AA9" s="340">
        <v>130</v>
      </c>
      <c r="AB9" s="62"/>
      <c r="AC9" s="69">
        <f t="shared" si="2"/>
        <v>650</v>
      </c>
      <c r="AD9" s="69"/>
      <c r="AE9" s="69"/>
      <c r="AF9" s="119">
        <v>43692</v>
      </c>
      <c r="AG9" s="119">
        <v>43692</v>
      </c>
      <c r="AH9" s="119"/>
      <c r="AI9" s="119"/>
      <c r="AJ9" s="217">
        <v>3</v>
      </c>
      <c r="AK9" s="62"/>
      <c r="AL9" s="117">
        <v>15</v>
      </c>
      <c r="AM9" s="868">
        <v>1.97</v>
      </c>
      <c r="AN9" s="22"/>
    </row>
    <row r="10" spans="1:40" ht="17">
      <c r="A10" s="90" t="s">
        <v>227</v>
      </c>
      <c r="B10" s="18">
        <v>42898</v>
      </c>
      <c r="C10" s="19" t="s">
        <v>112</v>
      </c>
      <c r="D10" s="19" t="s">
        <v>37</v>
      </c>
      <c r="E10" s="19" t="s">
        <v>101</v>
      </c>
      <c r="F10" s="21" t="s">
        <v>176</v>
      </c>
      <c r="G10" s="19" t="s">
        <v>217</v>
      </c>
      <c r="H10" s="21"/>
      <c r="I10" s="21"/>
      <c r="J10" s="20"/>
      <c r="K10" s="873">
        <v>414</v>
      </c>
      <c r="L10" s="333">
        <v>1</v>
      </c>
      <c r="M10" s="334">
        <v>20</v>
      </c>
      <c r="N10" s="326">
        <v>43669</v>
      </c>
      <c r="O10" s="334">
        <v>8</v>
      </c>
      <c r="P10" s="335">
        <v>43672</v>
      </c>
      <c r="Q10" s="334">
        <v>4</v>
      </c>
      <c r="R10" s="334">
        <f t="shared" si="1"/>
        <v>500</v>
      </c>
      <c r="S10" s="334">
        <f>75-1-50</f>
        <v>24</v>
      </c>
      <c r="T10" s="336">
        <v>136</v>
      </c>
      <c r="U10" s="337">
        <v>50</v>
      </c>
      <c r="V10" s="338">
        <f t="shared" si="0"/>
        <v>6.8</v>
      </c>
      <c r="W10" s="337">
        <v>3</v>
      </c>
      <c r="X10" s="339">
        <v>43682</v>
      </c>
      <c r="Y10" s="337">
        <v>50</v>
      </c>
      <c r="Z10" s="341">
        <v>43683</v>
      </c>
      <c r="AA10" s="340">
        <v>168</v>
      </c>
      <c r="AB10" s="62"/>
      <c r="AC10" s="69">
        <f t="shared" si="2"/>
        <v>840</v>
      </c>
      <c r="AD10" s="69"/>
      <c r="AE10" s="69"/>
      <c r="AF10" s="119">
        <v>43692</v>
      </c>
      <c r="AG10" s="119">
        <v>43692</v>
      </c>
      <c r="AH10" s="119"/>
      <c r="AI10" s="119"/>
      <c r="AJ10" s="217">
        <v>3</v>
      </c>
      <c r="AK10" s="62"/>
      <c r="AL10" s="117">
        <v>15</v>
      </c>
      <c r="AM10" s="874">
        <v>0.85799999999999998</v>
      </c>
      <c r="AN10" s="22"/>
    </row>
    <row r="11" spans="1:40" ht="17">
      <c r="A11" s="90" t="s">
        <v>227</v>
      </c>
      <c r="B11" s="18">
        <v>42898</v>
      </c>
      <c r="C11" s="19" t="s">
        <v>118</v>
      </c>
      <c r="D11" s="19" t="s">
        <v>37</v>
      </c>
      <c r="E11" s="19" t="s">
        <v>103</v>
      </c>
      <c r="F11" s="21" t="s">
        <v>175</v>
      </c>
      <c r="G11" s="19" t="s">
        <v>216</v>
      </c>
      <c r="H11" s="21"/>
      <c r="I11" s="21"/>
      <c r="J11" s="32">
        <v>43666</v>
      </c>
      <c r="K11" s="333">
        <v>421</v>
      </c>
      <c r="L11" s="333">
        <v>1</v>
      </c>
      <c r="M11" s="334">
        <v>10</v>
      </c>
      <c r="N11" s="326">
        <v>43666</v>
      </c>
      <c r="O11" s="334">
        <v>2</v>
      </c>
      <c r="P11" s="335">
        <v>43672</v>
      </c>
      <c r="Q11" s="334">
        <v>2</v>
      </c>
      <c r="R11" s="334">
        <f t="shared" si="1"/>
        <v>500</v>
      </c>
      <c r="S11" s="334">
        <f>75-1-50</f>
        <v>24</v>
      </c>
      <c r="T11" s="336">
        <v>43</v>
      </c>
      <c r="U11" s="337">
        <v>50</v>
      </c>
      <c r="V11" s="338">
        <f t="shared" si="0"/>
        <v>2.15</v>
      </c>
      <c r="W11" s="337">
        <v>1</v>
      </c>
      <c r="X11" s="339">
        <v>43677</v>
      </c>
      <c r="Y11" s="337">
        <v>50</v>
      </c>
      <c r="Z11" s="339">
        <v>43677</v>
      </c>
      <c r="AA11" s="340">
        <v>57.6</v>
      </c>
      <c r="AB11" s="62"/>
      <c r="AC11" s="69">
        <f t="shared" si="2"/>
        <v>288</v>
      </c>
      <c r="AD11" s="69"/>
      <c r="AE11" s="69"/>
      <c r="AF11" s="119"/>
      <c r="AG11" s="119"/>
      <c r="AH11" s="119"/>
      <c r="AI11" s="119"/>
      <c r="AJ11" s="217">
        <v>1</v>
      </c>
      <c r="AK11" s="62"/>
      <c r="AL11" s="117">
        <v>14</v>
      </c>
      <c r="AM11" s="868">
        <v>1.63</v>
      </c>
      <c r="AN11" s="22"/>
    </row>
    <row r="12" spans="1:40" ht="17" hidden="1">
      <c r="A12" s="90" t="s">
        <v>227</v>
      </c>
      <c r="B12" s="18">
        <v>42893</v>
      </c>
      <c r="C12" s="19" t="s">
        <v>117</v>
      </c>
      <c r="D12" s="19" t="s">
        <v>37</v>
      </c>
      <c r="E12" s="19" t="s">
        <v>93</v>
      </c>
      <c r="F12" s="21" t="s">
        <v>167</v>
      </c>
      <c r="G12" s="19"/>
      <c r="H12" s="21"/>
      <c r="I12" s="21"/>
      <c r="J12" s="32">
        <v>43666</v>
      </c>
      <c r="K12" s="333">
        <v>431</v>
      </c>
      <c r="L12" s="333">
        <v>1</v>
      </c>
      <c r="M12" s="334">
        <v>20</v>
      </c>
      <c r="N12" s="326">
        <v>43666</v>
      </c>
      <c r="O12" s="334">
        <v>2</v>
      </c>
      <c r="P12" s="335">
        <v>43672</v>
      </c>
      <c r="Q12" s="334">
        <v>2</v>
      </c>
      <c r="R12" s="334">
        <f>1000-500-250</f>
        <v>250</v>
      </c>
      <c r="S12" s="334">
        <f>75-1</f>
        <v>74</v>
      </c>
      <c r="T12" s="336">
        <v>43.4</v>
      </c>
      <c r="U12" s="337">
        <v>50</v>
      </c>
      <c r="V12" s="338">
        <f t="shared" si="0"/>
        <v>2.17</v>
      </c>
      <c r="W12" s="337"/>
      <c r="X12" s="338"/>
      <c r="Y12" s="337">
        <v>50</v>
      </c>
      <c r="Z12" s="338"/>
      <c r="AA12" s="340"/>
      <c r="AB12" s="62"/>
      <c r="AC12" s="69">
        <f t="shared" si="2"/>
        <v>0</v>
      </c>
      <c r="AD12" s="69"/>
      <c r="AE12" s="69"/>
      <c r="AF12" s="119"/>
      <c r="AG12" s="119"/>
      <c r="AH12" s="119"/>
      <c r="AI12" s="119"/>
      <c r="AJ12" s="217"/>
      <c r="AK12" s="62"/>
      <c r="AL12" s="117"/>
      <c r="AM12" s="868"/>
      <c r="AN12" s="22"/>
    </row>
    <row r="13" spans="1:40" ht="17">
      <c r="A13" s="90"/>
      <c r="B13" s="18">
        <v>42893</v>
      </c>
      <c r="C13" s="19" t="s">
        <v>117</v>
      </c>
      <c r="D13" s="19" t="s">
        <v>37</v>
      </c>
      <c r="E13" s="19" t="s">
        <v>93</v>
      </c>
      <c r="F13" s="21" t="s">
        <v>167</v>
      </c>
      <c r="G13" s="19"/>
      <c r="H13" s="21"/>
      <c r="I13" s="21"/>
      <c r="J13" s="32">
        <v>43666</v>
      </c>
      <c r="K13" s="333" t="s">
        <v>255</v>
      </c>
      <c r="L13" s="333">
        <v>1</v>
      </c>
      <c r="M13" s="334">
        <v>20</v>
      </c>
      <c r="N13" s="326">
        <v>43666</v>
      </c>
      <c r="O13" s="334">
        <v>2</v>
      </c>
      <c r="P13" s="335">
        <v>43675</v>
      </c>
      <c r="Q13" s="334">
        <v>7</v>
      </c>
      <c r="R13" s="334">
        <f>1000-500-250</f>
        <v>250</v>
      </c>
      <c r="S13" s="334">
        <f>60-1-50</f>
        <v>9</v>
      </c>
      <c r="T13" s="336">
        <v>61.2</v>
      </c>
      <c r="U13" s="337">
        <v>50</v>
      </c>
      <c r="V13" s="338">
        <f t="shared" si="0"/>
        <v>3.06</v>
      </c>
      <c r="W13" s="337">
        <v>1</v>
      </c>
      <c r="X13" s="339">
        <v>43677</v>
      </c>
      <c r="Y13" s="337">
        <v>50</v>
      </c>
      <c r="Z13" s="339">
        <v>43677</v>
      </c>
      <c r="AA13" s="340">
        <v>83</v>
      </c>
      <c r="AB13" s="62"/>
      <c r="AC13" s="69">
        <f t="shared" si="2"/>
        <v>415</v>
      </c>
      <c r="AD13" s="69"/>
      <c r="AE13" s="69"/>
      <c r="AF13" s="119"/>
      <c r="AG13" s="119"/>
      <c r="AH13" s="119"/>
      <c r="AI13" s="119"/>
      <c r="AJ13" s="217">
        <v>1</v>
      </c>
      <c r="AK13" s="62"/>
      <c r="AL13" s="117">
        <v>16</v>
      </c>
      <c r="AM13" s="868">
        <v>3.36</v>
      </c>
      <c r="AN13" s="22"/>
    </row>
    <row r="14" spans="1:40" ht="17">
      <c r="A14" s="90" t="s">
        <v>227</v>
      </c>
      <c r="B14" s="18">
        <v>42903</v>
      </c>
      <c r="C14" s="19" t="s">
        <v>117</v>
      </c>
      <c r="D14" s="19" t="s">
        <v>37</v>
      </c>
      <c r="E14" s="19" t="s">
        <v>93</v>
      </c>
      <c r="F14" s="21" t="s">
        <v>188</v>
      </c>
      <c r="G14" s="19"/>
      <c r="H14" s="21"/>
      <c r="I14" s="21"/>
      <c r="J14" s="20"/>
      <c r="K14" s="873">
        <v>432</v>
      </c>
      <c r="L14" s="333">
        <v>1</v>
      </c>
      <c r="M14" s="334">
        <v>50</v>
      </c>
      <c r="N14" s="326">
        <v>43668</v>
      </c>
      <c r="O14" s="334">
        <v>4</v>
      </c>
      <c r="P14" s="335">
        <v>43672</v>
      </c>
      <c r="Q14" s="334">
        <v>2</v>
      </c>
      <c r="R14" s="334">
        <f>1000-500-250</f>
        <v>250</v>
      </c>
      <c r="S14" s="334">
        <f>75-1-50</f>
        <v>24</v>
      </c>
      <c r="T14" s="336">
        <v>47.6</v>
      </c>
      <c r="U14" s="337">
        <v>50</v>
      </c>
      <c r="V14" s="338">
        <f t="shared" si="0"/>
        <v>2.38</v>
      </c>
      <c r="W14" s="337">
        <v>1</v>
      </c>
      <c r="X14" s="339">
        <v>43677</v>
      </c>
      <c r="Y14" s="337">
        <v>50</v>
      </c>
      <c r="Z14" s="339">
        <v>43677</v>
      </c>
      <c r="AA14" s="340">
        <v>74</v>
      </c>
      <c r="AB14" s="62"/>
      <c r="AC14" s="69">
        <f t="shared" si="2"/>
        <v>370</v>
      </c>
      <c r="AD14" s="69"/>
      <c r="AE14" s="69"/>
      <c r="AF14" s="119"/>
      <c r="AG14" s="119"/>
      <c r="AH14" s="119"/>
      <c r="AI14" s="119"/>
      <c r="AJ14" s="217">
        <v>1</v>
      </c>
      <c r="AK14" s="62"/>
      <c r="AL14" s="117">
        <v>17</v>
      </c>
      <c r="AM14" s="872" t="s">
        <v>244</v>
      </c>
      <c r="AN14" s="22"/>
    </row>
    <row r="15" spans="1:40" ht="17" hidden="1">
      <c r="A15" s="90"/>
      <c r="B15" s="18">
        <v>42903</v>
      </c>
      <c r="C15" s="19" t="s">
        <v>117</v>
      </c>
      <c r="D15" s="19" t="s">
        <v>37</v>
      </c>
      <c r="E15" s="19" t="s">
        <v>93</v>
      </c>
      <c r="F15" s="21" t="s">
        <v>188</v>
      </c>
      <c r="G15" s="19"/>
      <c r="H15" s="21"/>
      <c r="I15" s="21"/>
      <c r="J15" s="20"/>
      <c r="K15" s="333" t="s">
        <v>256</v>
      </c>
      <c r="L15" s="333">
        <v>1</v>
      </c>
      <c r="M15" s="334">
        <v>50</v>
      </c>
      <c r="N15" s="326">
        <v>43668</v>
      </c>
      <c r="O15" s="334">
        <v>4</v>
      </c>
      <c r="P15" s="335">
        <v>43675</v>
      </c>
      <c r="Q15" s="334">
        <v>7</v>
      </c>
      <c r="R15" s="334">
        <f>1000-500-250</f>
        <v>250</v>
      </c>
      <c r="S15" s="334">
        <f>60-1</f>
        <v>59</v>
      </c>
      <c r="T15" s="336">
        <v>42.6</v>
      </c>
      <c r="U15" s="337"/>
      <c r="V15" s="338"/>
      <c r="W15" s="337"/>
      <c r="X15" s="338"/>
      <c r="Y15" s="337"/>
      <c r="Z15" s="338"/>
      <c r="AA15" s="340"/>
      <c r="AB15" s="62"/>
      <c r="AC15" s="69">
        <f t="shared" si="2"/>
        <v>0</v>
      </c>
      <c r="AD15" s="69"/>
      <c r="AE15" s="69"/>
      <c r="AF15" s="119"/>
      <c r="AG15" s="119"/>
      <c r="AH15" s="119"/>
      <c r="AI15" s="119"/>
      <c r="AJ15" s="217"/>
      <c r="AK15" s="62"/>
      <c r="AL15" s="117"/>
      <c r="AM15" s="868"/>
      <c r="AN15" s="22"/>
    </row>
    <row r="16" spans="1:40" s="111" customFormat="1" ht="17" hidden="1">
      <c r="A16" s="109" t="s">
        <v>227</v>
      </c>
      <c r="B16" s="56">
        <v>42903</v>
      </c>
      <c r="C16" s="57" t="s">
        <v>112</v>
      </c>
      <c r="D16" s="57" t="s">
        <v>37</v>
      </c>
      <c r="E16" s="57" t="s">
        <v>93</v>
      </c>
      <c r="F16" s="53" t="s">
        <v>189</v>
      </c>
      <c r="G16" s="57" t="s">
        <v>222</v>
      </c>
      <c r="H16" s="53"/>
      <c r="I16" s="53"/>
      <c r="J16" s="54"/>
      <c r="K16" s="342">
        <v>433</v>
      </c>
      <c r="L16" s="342" t="s">
        <v>237</v>
      </c>
      <c r="M16" s="343" t="s">
        <v>237</v>
      </c>
      <c r="N16" s="344" t="s">
        <v>237</v>
      </c>
      <c r="O16" s="343" t="s">
        <v>237</v>
      </c>
      <c r="P16" s="343" t="s">
        <v>237</v>
      </c>
      <c r="Q16" s="343" t="s">
        <v>237</v>
      </c>
      <c r="R16" s="343" t="s">
        <v>237</v>
      </c>
      <c r="S16" s="343" t="s">
        <v>237</v>
      </c>
      <c r="T16" s="345" t="s">
        <v>237</v>
      </c>
      <c r="U16" s="346" t="s">
        <v>237</v>
      </c>
      <c r="V16" s="347" t="s">
        <v>237</v>
      </c>
      <c r="W16" s="346"/>
      <c r="X16" s="347"/>
      <c r="Y16" s="346"/>
      <c r="Z16" s="347"/>
      <c r="AA16" s="348"/>
      <c r="AB16" s="63"/>
      <c r="AC16" s="69">
        <f t="shared" si="2"/>
        <v>0</v>
      </c>
      <c r="AD16" s="69"/>
      <c r="AE16" s="69"/>
      <c r="AF16" s="119"/>
      <c r="AG16" s="119"/>
      <c r="AH16" s="119"/>
      <c r="AI16" s="119"/>
      <c r="AJ16" s="217"/>
      <c r="AK16" s="62"/>
      <c r="AL16" s="117"/>
      <c r="AM16" s="868"/>
      <c r="AN16" s="110"/>
    </row>
    <row r="17" spans="1:45" ht="18" thickBot="1">
      <c r="A17" s="90" t="s">
        <v>227</v>
      </c>
      <c r="B17" s="23">
        <v>42905</v>
      </c>
      <c r="C17" s="24" t="s">
        <v>117</v>
      </c>
      <c r="D17" s="24" t="s">
        <v>37</v>
      </c>
      <c r="E17" s="24" t="s">
        <v>93</v>
      </c>
      <c r="F17" s="26" t="s">
        <v>190</v>
      </c>
      <c r="G17" s="24"/>
      <c r="H17" s="26"/>
      <c r="I17" s="26"/>
      <c r="J17" s="25"/>
      <c r="K17" s="349">
        <v>434</v>
      </c>
      <c r="L17" s="349">
        <v>1</v>
      </c>
      <c r="M17" s="350">
        <v>60</v>
      </c>
      <c r="N17" s="351">
        <v>43669</v>
      </c>
      <c r="O17" s="350">
        <v>9</v>
      </c>
      <c r="P17" s="350"/>
      <c r="Q17" s="350">
        <v>5</v>
      </c>
      <c r="R17" s="350">
        <f>1000-500</f>
        <v>500</v>
      </c>
      <c r="S17" s="350">
        <f>75-1-50</f>
        <v>24</v>
      </c>
      <c r="T17" s="352">
        <v>67.8</v>
      </c>
      <c r="U17" s="353">
        <v>50</v>
      </c>
      <c r="V17" s="354">
        <f>U17*T17/1000</f>
        <v>3.39</v>
      </c>
      <c r="W17" s="353">
        <v>3</v>
      </c>
      <c r="X17" s="355">
        <v>43682</v>
      </c>
      <c r="Y17" s="353">
        <v>50</v>
      </c>
      <c r="Z17" s="341">
        <v>43683</v>
      </c>
      <c r="AA17" s="356">
        <v>63</v>
      </c>
      <c r="AB17" s="120"/>
      <c r="AC17" s="69">
        <f t="shared" si="2"/>
        <v>315</v>
      </c>
      <c r="AD17" s="69"/>
      <c r="AE17" s="69"/>
      <c r="AF17" s="119">
        <v>43692</v>
      </c>
      <c r="AG17" s="119">
        <v>43692</v>
      </c>
      <c r="AH17" s="212"/>
      <c r="AI17" s="212"/>
      <c r="AJ17" s="218">
        <v>3</v>
      </c>
      <c r="AK17" s="44"/>
      <c r="AL17" s="117">
        <v>15</v>
      </c>
      <c r="AM17" s="868">
        <v>5.58</v>
      </c>
      <c r="AN17" s="27"/>
    </row>
    <row r="18" spans="1:45" ht="18" thickBot="1">
      <c r="A18" s="90"/>
      <c r="B18" s="28"/>
      <c r="C18" s="29"/>
      <c r="D18" s="29"/>
      <c r="E18" s="29"/>
      <c r="F18" s="31"/>
      <c r="G18" s="29"/>
      <c r="H18" s="31"/>
      <c r="I18" s="31"/>
      <c r="J18" s="30"/>
      <c r="K18" s="357"/>
      <c r="L18" s="357"/>
      <c r="M18" s="358"/>
      <c r="N18" s="359"/>
      <c r="O18" s="358"/>
      <c r="P18" s="358"/>
      <c r="Q18" s="358"/>
      <c r="R18" s="358"/>
      <c r="S18" s="358"/>
      <c r="T18" s="360"/>
      <c r="U18" s="361"/>
      <c r="V18" s="362"/>
      <c r="W18" s="361"/>
      <c r="X18" s="362"/>
      <c r="Y18" s="361"/>
      <c r="Z18" s="362"/>
      <c r="AA18" s="360"/>
      <c r="AB18" s="45"/>
      <c r="AC18" s="49"/>
      <c r="AD18" s="49"/>
      <c r="AE18" s="49"/>
      <c r="AF18" s="138"/>
      <c r="AG18" s="138"/>
      <c r="AH18" s="138"/>
      <c r="AI18" s="138"/>
      <c r="AJ18" s="219"/>
      <c r="AK18" s="45"/>
      <c r="AL18" s="116"/>
      <c r="AM18" s="855"/>
      <c r="AN18" s="30"/>
      <c r="AR18" s="91">
        <f>53+79</f>
        <v>132</v>
      </c>
      <c r="AS18" s="91">
        <f>34/AR18</f>
        <v>0.25757575757575757</v>
      </c>
    </row>
    <row r="19" spans="1:45" ht="17">
      <c r="A19" s="90" t="s">
        <v>227</v>
      </c>
      <c r="B19" s="14">
        <v>42880</v>
      </c>
      <c r="C19" s="15" t="s">
        <v>110</v>
      </c>
      <c r="D19" s="15" t="s">
        <v>75</v>
      </c>
      <c r="E19" s="15" t="s">
        <v>96</v>
      </c>
      <c r="F19" s="16" t="s">
        <v>136</v>
      </c>
      <c r="G19" s="15"/>
      <c r="H19" s="16"/>
      <c r="I19" s="16"/>
      <c r="J19" s="34">
        <v>43665</v>
      </c>
      <c r="K19" s="875">
        <v>441</v>
      </c>
      <c r="L19" s="324">
        <v>1</v>
      </c>
      <c r="M19" s="325">
        <v>70</v>
      </c>
      <c r="N19" s="363">
        <v>43665</v>
      </c>
      <c r="O19" s="325">
        <v>1</v>
      </c>
      <c r="P19" s="327">
        <v>43670</v>
      </c>
      <c r="Q19" s="325">
        <v>1</v>
      </c>
      <c r="R19" s="325">
        <f>1000-500</f>
        <v>500</v>
      </c>
      <c r="S19" s="325">
        <f>100-1-50</f>
        <v>49</v>
      </c>
      <c r="T19" s="328">
        <v>46</v>
      </c>
      <c r="U19" s="329">
        <v>50</v>
      </c>
      <c r="V19" s="330">
        <f>U19*T19/1000</f>
        <v>2.2999999999999998</v>
      </c>
      <c r="W19" s="329">
        <v>1</v>
      </c>
      <c r="X19" s="331">
        <v>43677</v>
      </c>
      <c r="Y19" s="329">
        <v>50</v>
      </c>
      <c r="Z19" s="331">
        <v>43677</v>
      </c>
      <c r="AA19" s="332">
        <v>16.2</v>
      </c>
      <c r="AB19" s="141"/>
      <c r="AC19" s="69">
        <f t="shared" ref="AC19:AC42" si="3">AA19*5</f>
        <v>81</v>
      </c>
      <c r="AD19" s="139"/>
      <c r="AE19" s="139"/>
      <c r="AF19" s="140"/>
      <c r="AG19" s="140"/>
      <c r="AH19" s="140"/>
      <c r="AI19" s="140"/>
      <c r="AJ19" s="220">
        <v>1</v>
      </c>
      <c r="AK19" s="62"/>
      <c r="AL19" s="117">
        <v>15</v>
      </c>
      <c r="AM19" s="874" t="s">
        <v>244</v>
      </c>
      <c r="AN19" s="17"/>
    </row>
    <row r="20" spans="1:45" ht="17" hidden="1">
      <c r="A20" s="90" t="s">
        <v>227</v>
      </c>
      <c r="B20" s="18">
        <v>42889</v>
      </c>
      <c r="C20" s="19" t="s">
        <v>110</v>
      </c>
      <c r="D20" s="19" t="s">
        <v>75</v>
      </c>
      <c r="E20" s="19" t="s">
        <v>96</v>
      </c>
      <c r="F20" s="21" t="s">
        <v>154</v>
      </c>
      <c r="G20" s="19"/>
      <c r="H20" s="21"/>
      <c r="I20" s="21"/>
      <c r="J20" s="20"/>
      <c r="K20" s="333">
        <v>442</v>
      </c>
      <c r="L20" s="333">
        <v>1</v>
      </c>
      <c r="M20" s="334">
        <v>80</v>
      </c>
      <c r="N20" s="326">
        <v>43666</v>
      </c>
      <c r="O20" s="334">
        <v>3</v>
      </c>
      <c r="P20" s="335">
        <v>43672</v>
      </c>
      <c r="Q20" s="334">
        <v>2</v>
      </c>
      <c r="R20" s="334">
        <f>1000-500-250</f>
        <v>250</v>
      </c>
      <c r="S20" s="334">
        <f>75-1</f>
        <v>74</v>
      </c>
      <c r="T20" s="336" t="s">
        <v>244</v>
      </c>
      <c r="U20" s="337"/>
      <c r="V20" s="338"/>
      <c r="W20" s="337"/>
      <c r="X20" s="338"/>
      <c r="Y20" s="337"/>
      <c r="Z20" s="338"/>
      <c r="AA20" s="340"/>
      <c r="AB20" s="62"/>
      <c r="AC20" s="69">
        <f t="shared" si="3"/>
        <v>0</v>
      </c>
      <c r="AD20" s="69"/>
      <c r="AE20" s="69"/>
      <c r="AF20" s="119"/>
      <c r="AG20" s="119"/>
      <c r="AH20" s="119"/>
      <c r="AI20" s="119"/>
      <c r="AJ20" s="217"/>
      <c r="AK20" s="62"/>
      <c r="AL20" s="851"/>
      <c r="AM20" s="852"/>
      <c r="AN20" s="22"/>
    </row>
    <row r="21" spans="1:45" ht="17">
      <c r="A21" s="90"/>
      <c r="B21" s="18">
        <v>42889</v>
      </c>
      <c r="C21" s="19" t="s">
        <v>110</v>
      </c>
      <c r="D21" s="19" t="s">
        <v>75</v>
      </c>
      <c r="E21" s="19" t="s">
        <v>96</v>
      </c>
      <c r="F21" s="21" t="s">
        <v>154</v>
      </c>
      <c r="G21" s="19"/>
      <c r="H21" s="21"/>
      <c r="I21" s="21"/>
      <c r="J21" s="20"/>
      <c r="K21" s="873" t="s">
        <v>257</v>
      </c>
      <c r="L21" s="333">
        <v>1</v>
      </c>
      <c r="M21" s="334">
        <v>80</v>
      </c>
      <c r="N21" s="326">
        <v>43666</v>
      </c>
      <c r="O21" s="334">
        <v>3</v>
      </c>
      <c r="P21" s="335">
        <v>43675</v>
      </c>
      <c r="Q21" s="334">
        <v>7</v>
      </c>
      <c r="R21" s="334">
        <f>1000-500-250</f>
        <v>250</v>
      </c>
      <c r="S21" s="334">
        <f>60-1-50</f>
        <v>9</v>
      </c>
      <c r="T21" s="336">
        <v>56.2</v>
      </c>
      <c r="U21" s="337">
        <v>50</v>
      </c>
      <c r="V21" s="338">
        <f t="shared" ref="V21:V42" si="4">U21*T21/1000</f>
        <v>2.81</v>
      </c>
      <c r="W21" s="337">
        <v>1</v>
      </c>
      <c r="X21" s="339">
        <v>43677</v>
      </c>
      <c r="Y21" s="337">
        <v>50</v>
      </c>
      <c r="Z21" s="339">
        <v>43677</v>
      </c>
      <c r="AA21" s="340">
        <v>69.8</v>
      </c>
      <c r="AB21" s="62"/>
      <c r="AC21" s="69">
        <f t="shared" si="3"/>
        <v>349</v>
      </c>
      <c r="AD21" s="69"/>
      <c r="AE21" s="69"/>
      <c r="AF21" s="119"/>
      <c r="AG21" s="119"/>
      <c r="AH21" s="119"/>
      <c r="AI21" s="119"/>
      <c r="AJ21" s="217">
        <v>1</v>
      </c>
      <c r="AK21" s="62"/>
      <c r="AL21" s="851">
        <v>17</v>
      </c>
      <c r="AM21" s="872" t="s">
        <v>244</v>
      </c>
      <c r="AN21" s="22"/>
    </row>
    <row r="22" spans="1:45" ht="17">
      <c r="A22" s="90" t="s">
        <v>227</v>
      </c>
      <c r="B22" s="18">
        <v>42893</v>
      </c>
      <c r="C22" s="19" t="s">
        <v>110</v>
      </c>
      <c r="D22" s="19" t="s">
        <v>75</v>
      </c>
      <c r="E22" s="19" t="s">
        <v>96</v>
      </c>
      <c r="F22" s="21" t="s">
        <v>169</v>
      </c>
      <c r="G22" s="19"/>
      <c r="H22" s="21"/>
      <c r="I22" s="21"/>
      <c r="J22" s="20"/>
      <c r="K22" s="333">
        <v>443</v>
      </c>
      <c r="L22" s="333">
        <v>1</v>
      </c>
      <c r="M22" s="334">
        <v>60</v>
      </c>
      <c r="N22" s="326">
        <v>43668</v>
      </c>
      <c r="O22" s="334">
        <v>6</v>
      </c>
      <c r="P22" s="335">
        <v>43672</v>
      </c>
      <c r="Q22" s="334">
        <v>4</v>
      </c>
      <c r="R22" s="334">
        <f>1000-500-250</f>
        <v>250</v>
      </c>
      <c r="S22" s="334">
        <f>74-50</f>
        <v>24</v>
      </c>
      <c r="T22" s="336">
        <v>58.4</v>
      </c>
      <c r="U22" s="337">
        <v>50</v>
      </c>
      <c r="V22" s="338">
        <f t="shared" si="4"/>
        <v>2.92</v>
      </c>
      <c r="W22" s="337">
        <v>3</v>
      </c>
      <c r="X22" s="339">
        <v>43682</v>
      </c>
      <c r="Y22" s="337">
        <v>50</v>
      </c>
      <c r="Z22" s="341">
        <v>43683</v>
      </c>
      <c r="AA22" s="340">
        <v>60.2</v>
      </c>
      <c r="AB22" s="62"/>
      <c r="AC22" s="69">
        <f t="shared" si="3"/>
        <v>301</v>
      </c>
      <c r="AD22" s="69"/>
      <c r="AE22" s="69"/>
      <c r="AF22" s="119">
        <v>43692</v>
      </c>
      <c r="AG22" s="119">
        <v>43692</v>
      </c>
      <c r="AH22" s="119"/>
      <c r="AI22" s="119"/>
      <c r="AJ22" s="217">
        <v>3</v>
      </c>
      <c r="AK22" s="62"/>
      <c r="AL22" s="117">
        <v>15</v>
      </c>
      <c r="AM22" s="852">
        <v>1.36</v>
      </c>
      <c r="AN22" s="22"/>
    </row>
    <row r="23" spans="1:45" ht="17" hidden="1">
      <c r="A23" s="90"/>
      <c r="B23" s="18">
        <v>42893</v>
      </c>
      <c r="C23" s="19" t="s">
        <v>110</v>
      </c>
      <c r="D23" s="19" t="s">
        <v>75</v>
      </c>
      <c r="E23" s="19" t="s">
        <v>96</v>
      </c>
      <c r="F23" s="21" t="s">
        <v>169</v>
      </c>
      <c r="G23" s="19"/>
      <c r="H23" s="21"/>
      <c r="I23" s="21"/>
      <c r="J23" s="20"/>
      <c r="K23" s="333" t="s">
        <v>258</v>
      </c>
      <c r="L23" s="333">
        <v>1</v>
      </c>
      <c r="M23" s="334">
        <v>60</v>
      </c>
      <c r="N23" s="326">
        <v>43668</v>
      </c>
      <c r="O23" s="334">
        <v>6</v>
      </c>
      <c r="P23" s="335">
        <v>43675</v>
      </c>
      <c r="Q23" s="334">
        <v>7</v>
      </c>
      <c r="R23" s="334">
        <f>1000-500-250</f>
        <v>250</v>
      </c>
      <c r="S23" s="334">
        <f>60-1</f>
        <v>59</v>
      </c>
      <c r="T23" s="336">
        <v>72.400000000000006</v>
      </c>
      <c r="U23" s="337">
        <v>50</v>
      </c>
      <c r="V23" s="338">
        <f t="shared" si="4"/>
        <v>3.6200000000000006</v>
      </c>
      <c r="W23" s="337"/>
      <c r="X23" s="339">
        <v>43682</v>
      </c>
      <c r="Y23" s="337">
        <v>50</v>
      </c>
      <c r="Z23" s="339"/>
      <c r="AA23" s="340"/>
      <c r="AB23" s="62"/>
      <c r="AC23" s="69">
        <f t="shared" si="3"/>
        <v>0</v>
      </c>
      <c r="AD23" s="69"/>
      <c r="AE23" s="69"/>
      <c r="AF23" s="119">
        <v>43692</v>
      </c>
      <c r="AG23" s="119">
        <v>43692</v>
      </c>
      <c r="AH23" s="119"/>
      <c r="AI23" s="119"/>
      <c r="AJ23" s="217"/>
      <c r="AK23" s="62"/>
      <c r="AL23" s="851"/>
      <c r="AM23" s="852"/>
      <c r="AN23" s="22"/>
    </row>
    <row r="24" spans="1:45" ht="17">
      <c r="A24" s="90" t="s">
        <v>227</v>
      </c>
      <c r="B24" s="18">
        <v>42900</v>
      </c>
      <c r="C24" s="19" t="s">
        <v>119</v>
      </c>
      <c r="D24" s="19" t="s">
        <v>75</v>
      </c>
      <c r="E24" s="19" t="s">
        <v>96</v>
      </c>
      <c r="F24" s="21" t="s">
        <v>179</v>
      </c>
      <c r="G24" s="19"/>
      <c r="H24" s="21"/>
      <c r="I24" s="21"/>
      <c r="J24" s="20"/>
      <c r="K24" s="333">
        <v>444</v>
      </c>
      <c r="L24" s="333">
        <v>1</v>
      </c>
      <c r="M24" s="334">
        <v>80</v>
      </c>
      <c r="N24" s="326">
        <v>43668</v>
      </c>
      <c r="O24" s="334">
        <v>7</v>
      </c>
      <c r="P24" s="335">
        <v>43672</v>
      </c>
      <c r="Q24" s="334">
        <v>4</v>
      </c>
      <c r="R24" s="334">
        <f>1000-500</f>
        <v>500</v>
      </c>
      <c r="S24" s="334">
        <f>74-50</f>
        <v>24</v>
      </c>
      <c r="T24" s="336">
        <v>91.2</v>
      </c>
      <c r="U24" s="337">
        <v>50</v>
      </c>
      <c r="V24" s="338">
        <f t="shared" si="4"/>
        <v>4.5599999999999996</v>
      </c>
      <c r="W24" s="337">
        <v>3</v>
      </c>
      <c r="X24" s="339">
        <v>43682</v>
      </c>
      <c r="Y24" s="337">
        <v>50</v>
      </c>
      <c r="Z24" s="341">
        <v>43683</v>
      </c>
      <c r="AA24" s="340">
        <v>70.599999999999994</v>
      </c>
      <c r="AB24" s="62"/>
      <c r="AC24" s="69">
        <f t="shared" si="3"/>
        <v>353</v>
      </c>
      <c r="AD24" s="69"/>
      <c r="AE24" s="69"/>
      <c r="AF24" s="119">
        <v>43692</v>
      </c>
      <c r="AG24" s="119">
        <v>43692</v>
      </c>
      <c r="AH24" s="119"/>
      <c r="AI24" s="119"/>
      <c r="AJ24" s="217">
        <v>3</v>
      </c>
      <c r="AK24" s="62"/>
      <c r="AL24" s="117">
        <v>14</v>
      </c>
      <c r="AM24" s="852">
        <v>4.08</v>
      </c>
      <c r="AN24" s="22"/>
    </row>
    <row r="25" spans="1:45" ht="17">
      <c r="A25" s="90" t="s">
        <v>227</v>
      </c>
      <c r="B25" s="18">
        <v>42901</v>
      </c>
      <c r="C25" s="19" t="s">
        <v>119</v>
      </c>
      <c r="D25" s="19" t="s">
        <v>75</v>
      </c>
      <c r="E25" s="19" t="s">
        <v>96</v>
      </c>
      <c r="F25" s="21" t="s">
        <v>181</v>
      </c>
      <c r="G25" s="19"/>
      <c r="H25" s="21"/>
      <c r="I25" s="21"/>
      <c r="J25" s="20"/>
      <c r="K25" s="333">
        <v>445</v>
      </c>
      <c r="L25" s="333">
        <v>1</v>
      </c>
      <c r="M25" s="334">
        <v>40</v>
      </c>
      <c r="N25" s="326">
        <v>43669</v>
      </c>
      <c r="O25" s="334">
        <v>8</v>
      </c>
      <c r="P25" s="335">
        <v>43672</v>
      </c>
      <c r="Q25" s="334">
        <v>5</v>
      </c>
      <c r="R25" s="334">
        <f>1000-500</f>
        <v>500</v>
      </c>
      <c r="S25" s="334">
        <f>74-50</f>
        <v>24</v>
      </c>
      <c r="T25" s="336">
        <v>132</v>
      </c>
      <c r="U25" s="337">
        <v>50</v>
      </c>
      <c r="V25" s="338">
        <f t="shared" si="4"/>
        <v>6.6</v>
      </c>
      <c r="W25" s="337">
        <v>3</v>
      </c>
      <c r="X25" s="339">
        <v>43682</v>
      </c>
      <c r="Y25" s="337">
        <v>50</v>
      </c>
      <c r="Z25" s="341">
        <v>43683</v>
      </c>
      <c r="AA25" s="340">
        <v>160</v>
      </c>
      <c r="AB25" s="62"/>
      <c r="AC25" s="69">
        <f t="shared" si="3"/>
        <v>800</v>
      </c>
      <c r="AD25" s="69"/>
      <c r="AE25" s="69"/>
      <c r="AF25" s="119"/>
      <c r="AG25" s="119">
        <v>43692</v>
      </c>
      <c r="AH25" s="119"/>
      <c r="AI25" s="119"/>
      <c r="AJ25" s="217">
        <v>2</v>
      </c>
      <c r="AK25" s="62"/>
      <c r="AL25" s="117">
        <v>15</v>
      </c>
      <c r="AM25" s="852">
        <v>4</v>
      </c>
      <c r="AN25" s="22"/>
      <c r="AQ25" s="91">
        <f>19+27</f>
        <v>46</v>
      </c>
    </row>
    <row r="26" spans="1:45" ht="17">
      <c r="A26" s="90" t="s">
        <v>227</v>
      </c>
      <c r="B26" s="18">
        <v>42879</v>
      </c>
      <c r="C26" s="19" t="s">
        <v>106</v>
      </c>
      <c r="D26" s="19" t="s">
        <v>75</v>
      </c>
      <c r="E26" s="19" t="s">
        <v>101</v>
      </c>
      <c r="F26" s="21" t="s">
        <v>132</v>
      </c>
      <c r="G26" s="19"/>
      <c r="H26" s="21"/>
      <c r="I26" s="21"/>
      <c r="J26" s="32">
        <v>43665</v>
      </c>
      <c r="K26" s="333">
        <v>451</v>
      </c>
      <c r="L26" s="333">
        <v>1</v>
      </c>
      <c r="M26" s="334">
        <v>70</v>
      </c>
      <c r="N26" s="326">
        <v>43665</v>
      </c>
      <c r="O26" s="334">
        <v>1</v>
      </c>
      <c r="P26" s="335">
        <v>43670</v>
      </c>
      <c r="Q26" s="334">
        <v>1</v>
      </c>
      <c r="R26" s="334">
        <f>1000-500</f>
        <v>500</v>
      </c>
      <c r="S26" s="334">
        <f>100-1-50</f>
        <v>49</v>
      </c>
      <c r="T26" s="336">
        <v>68.400000000000006</v>
      </c>
      <c r="U26" s="337">
        <v>50</v>
      </c>
      <c r="V26" s="338">
        <f t="shared" si="4"/>
        <v>3.4200000000000004</v>
      </c>
      <c r="W26" s="337">
        <v>1</v>
      </c>
      <c r="X26" s="339">
        <v>43677</v>
      </c>
      <c r="Y26" s="337">
        <v>50</v>
      </c>
      <c r="Z26" s="339">
        <v>43677</v>
      </c>
      <c r="AA26" s="340">
        <v>68.400000000000006</v>
      </c>
      <c r="AB26" s="62"/>
      <c r="AC26" s="69">
        <f t="shared" si="3"/>
        <v>342</v>
      </c>
      <c r="AD26" s="69"/>
      <c r="AE26" s="69"/>
      <c r="AF26" s="119"/>
      <c r="AG26" s="119"/>
      <c r="AH26" s="119"/>
      <c r="AI26" s="119"/>
      <c r="AJ26" s="217">
        <v>1</v>
      </c>
      <c r="AK26" s="62"/>
      <c r="AL26" s="117">
        <v>14</v>
      </c>
      <c r="AM26" s="852">
        <v>2.2400000000000002</v>
      </c>
      <c r="AN26" s="22"/>
    </row>
    <row r="27" spans="1:45" ht="16" hidden="1" customHeight="1">
      <c r="A27" s="90" t="s">
        <v>227</v>
      </c>
      <c r="B27" s="18">
        <v>42879</v>
      </c>
      <c r="C27" s="19" t="s">
        <v>108</v>
      </c>
      <c r="D27" s="19" t="s">
        <v>75</v>
      </c>
      <c r="E27" s="19" t="s">
        <v>101</v>
      </c>
      <c r="F27" s="21" t="s">
        <v>134</v>
      </c>
      <c r="G27" s="19"/>
      <c r="H27" s="21"/>
      <c r="I27" s="21"/>
      <c r="J27" s="20"/>
      <c r="K27" s="333">
        <v>452</v>
      </c>
      <c r="L27" s="333">
        <v>1</v>
      </c>
      <c r="M27" s="334">
        <v>80</v>
      </c>
      <c r="N27" s="326">
        <v>43666</v>
      </c>
      <c r="O27" s="334">
        <v>3</v>
      </c>
      <c r="P27" s="335">
        <v>43672</v>
      </c>
      <c r="Q27" s="334">
        <v>2</v>
      </c>
      <c r="R27" s="334">
        <f>1000-500-250</f>
        <v>250</v>
      </c>
      <c r="S27" s="334">
        <f>75-1</f>
        <v>74</v>
      </c>
      <c r="T27" s="336">
        <v>37.799999999999997</v>
      </c>
      <c r="U27" s="337">
        <v>50</v>
      </c>
      <c r="V27" s="338">
        <f t="shared" si="4"/>
        <v>1.8899999999999997</v>
      </c>
      <c r="W27" s="337"/>
      <c r="X27" s="338"/>
      <c r="Y27" s="337">
        <v>50</v>
      </c>
      <c r="Z27" s="338"/>
      <c r="AA27" s="340"/>
      <c r="AB27" s="62"/>
      <c r="AC27" s="69">
        <f t="shared" si="3"/>
        <v>0</v>
      </c>
      <c r="AD27" s="69"/>
      <c r="AE27" s="69"/>
      <c r="AF27" s="119"/>
      <c r="AG27" s="119"/>
      <c r="AH27" s="119"/>
      <c r="AI27" s="119"/>
      <c r="AJ27" s="217"/>
      <c r="AK27" s="62"/>
      <c r="AL27" s="851"/>
      <c r="AM27" s="852"/>
      <c r="AN27" s="22" t="s">
        <v>247</v>
      </c>
    </row>
    <row r="28" spans="1:45" ht="16" customHeight="1">
      <c r="A28" s="90"/>
      <c r="B28" s="18">
        <v>42879</v>
      </c>
      <c r="C28" s="19" t="s">
        <v>108</v>
      </c>
      <c r="D28" s="19" t="s">
        <v>75</v>
      </c>
      <c r="E28" s="19" t="s">
        <v>101</v>
      </c>
      <c r="F28" s="21" t="s">
        <v>134</v>
      </c>
      <c r="G28" s="19"/>
      <c r="H28" s="21"/>
      <c r="I28" s="21"/>
      <c r="J28" s="20"/>
      <c r="K28" s="333" t="s">
        <v>259</v>
      </c>
      <c r="L28" s="333">
        <v>1</v>
      </c>
      <c r="M28" s="334">
        <v>80</v>
      </c>
      <c r="N28" s="326">
        <v>43666</v>
      </c>
      <c r="O28" s="334">
        <v>3</v>
      </c>
      <c r="P28" s="335">
        <v>43675</v>
      </c>
      <c r="Q28" s="334">
        <v>7</v>
      </c>
      <c r="R28" s="334">
        <f>1000-500-250</f>
        <v>250</v>
      </c>
      <c r="S28" s="334">
        <f>60-1-50</f>
        <v>9</v>
      </c>
      <c r="T28" s="336">
        <v>48.4</v>
      </c>
      <c r="U28" s="337">
        <v>50</v>
      </c>
      <c r="V28" s="338">
        <f t="shared" si="4"/>
        <v>2.42</v>
      </c>
      <c r="W28" s="337">
        <v>1</v>
      </c>
      <c r="X28" s="339">
        <v>43677</v>
      </c>
      <c r="Y28" s="337">
        <v>50</v>
      </c>
      <c r="Z28" s="339">
        <v>43677</v>
      </c>
      <c r="AA28" s="340">
        <v>97.2</v>
      </c>
      <c r="AB28" s="62"/>
      <c r="AC28" s="69">
        <f t="shared" si="3"/>
        <v>486</v>
      </c>
      <c r="AD28" s="69"/>
      <c r="AE28" s="69"/>
      <c r="AF28" s="119"/>
      <c r="AG28" s="119"/>
      <c r="AH28" s="119"/>
      <c r="AI28" s="119"/>
      <c r="AJ28" s="217">
        <v>1</v>
      </c>
      <c r="AK28" s="62"/>
      <c r="AL28" s="851">
        <v>16</v>
      </c>
      <c r="AM28" s="852">
        <v>2.68</v>
      </c>
      <c r="AN28" s="22"/>
    </row>
    <row r="29" spans="1:45" ht="17">
      <c r="A29" s="90" t="s">
        <v>227</v>
      </c>
      <c r="B29" s="18">
        <v>42889</v>
      </c>
      <c r="C29" s="19" t="s">
        <v>106</v>
      </c>
      <c r="D29" s="19" t="s">
        <v>75</v>
      </c>
      <c r="E29" s="19" t="s">
        <v>101</v>
      </c>
      <c r="F29" s="21" t="s">
        <v>152</v>
      </c>
      <c r="G29" s="19"/>
      <c r="H29" s="21"/>
      <c r="I29" s="21"/>
      <c r="J29" s="20"/>
      <c r="K29" s="333">
        <v>453</v>
      </c>
      <c r="L29" s="333">
        <v>1</v>
      </c>
      <c r="M29" s="334">
        <v>80</v>
      </c>
      <c r="N29" s="326">
        <v>43669</v>
      </c>
      <c r="O29" s="334">
        <v>9</v>
      </c>
      <c r="P29" s="335">
        <v>43673</v>
      </c>
      <c r="Q29" s="334">
        <v>6</v>
      </c>
      <c r="R29" s="334">
        <v>500</v>
      </c>
      <c r="S29" s="334">
        <f>75-1-50</f>
        <v>24</v>
      </c>
      <c r="T29" s="336">
        <v>85.2</v>
      </c>
      <c r="U29" s="337">
        <v>50</v>
      </c>
      <c r="V29" s="338">
        <f t="shared" si="4"/>
        <v>4.26</v>
      </c>
      <c r="W29" s="337">
        <v>3</v>
      </c>
      <c r="X29" s="339">
        <v>43682</v>
      </c>
      <c r="Y29" s="337">
        <v>50</v>
      </c>
      <c r="Z29" s="341">
        <v>43683</v>
      </c>
      <c r="AA29" s="340">
        <v>196</v>
      </c>
      <c r="AB29" s="62"/>
      <c r="AC29" s="69">
        <f t="shared" si="3"/>
        <v>980</v>
      </c>
      <c r="AD29" s="69"/>
      <c r="AE29" s="69"/>
      <c r="AF29" s="119"/>
      <c r="AG29" s="119">
        <v>43692</v>
      </c>
      <c r="AH29" s="119"/>
      <c r="AI29" s="119"/>
      <c r="AJ29" s="217">
        <v>2</v>
      </c>
      <c r="AK29" s="62"/>
      <c r="AL29" s="117">
        <v>14</v>
      </c>
      <c r="AM29" s="852">
        <v>0.96799999999999997</v>
      </c>
      <c r="AN29" s="22"/>
    </row>
    <row r="30" spans="1:45" ht="17" hidden="1">
      <c r="A30" s="90" t="s">
        <v>227</v>
      </c>
      <c r="B30" s="18">
        <v>42881</v>
      </c>
      <c r="C30" s="19" t="s">
        <v>111</v>
      </c>
      <c r="D30" s="19" t="s">
        <v>75</v>
      </c>
      <c r="E30" s="19" t="s">
        <v>103</v>
      </c>
      <c r="F30" s="21" t="s">
        <v>138</v>
      </c>
      <c r="G30" s="19"/>
      <c r="H30" s="21"/>
      <c r="I30" s="21"/>
      <c r="J30" s="32">
        <v>43666</v>
      </c>
      <c r="K30" s="333">
        <v>461</v>
      </c>
      <c r="L30" s="333">
        <v>1</v>
      </c>
      <c r="M30" s="334">
        <v>100</v>
      </c>
      <c r="N30" s="326">
        <v>43666</v>
      </c>
      <c r="O30" s="334">
        <v>2</v>
      </c>
      <c r="P30" s="335">
        <v>43672</v>
      </c>
      <c r="Q30" s="334">
        <v>2</v>
      </c>
      <c r="R30" s="334">
        <f t="shared" ref="R30:R37" si="5">1000-500-250</f>
        <v>250</v>
      </c>
      <c r="S30" s="334">
        <f>75-1</f>
        <v>74</v>
      </c>
      <c r="T30" s="336">
        <v>31</v>
      </c>
      <c r="U30" s="337">
        <v>50</v>
      </c>
      <c r="V30" s="338">
        <f t="shared" si="4"/>
        <v>1.55</v>
      </c>
      <c r="W30" s="337"/>
      <c r="X30" s="338"/>
      <c r="Y30" s="337">
        <v>50</v>
      </c>
      <c r="Z30" s="338"/>
      <c r="AA30" s="340"/>
      <c r="AB30" s="62"/>
      <c r="AC30" s="69">
        <f t="shared" si="3"/>
        <v>0</v>
      </c>
      <c r="AD30" s="69"/>
      <c r="AE30" s="69"/>
      <c r="AF30" s="119"/>
      <c r="AG30" s="119"/>
      <c r="AH30" s="119"/>
      <c r="AI30" s="119"/>
      <c r="AJ30" s="217"/>
      <c r="AK30" s="62"/>
      <c r="AL30" s="851"/>
      <c r="AM30" s="852"/>
      <c r="AN30" s="22" t="s">
        <v>247</v>
      </c>
    </row>
    <row r="31" spans="1:45" ht="17">
      <c r="A31" s="90"/>
      <c r="B31" s="18">
        <v>42881</v>
      </c>
      <c r="C31" s="19" t="s">
        <v>111</v>
      </c>
      <c r="D31" s="19" t="s">
        <v>75</v>
      </c>
      <c r="E31" s="19" t="s">
        <v>103</v>
      </c>
      <c r="F31" s="21" t="s">
        <v>138</v>
      </c>
      <c r="G31" s="19"/>
      <c r="H31" s="21"/>
      <c r="I31" s="21"/>
      <c r="J31" s="32"/>
      <c r="K31" s="333" t="s">
        <v>260</v>
      </c>
      <c r="L31" s="333">
        <v>1</v>
      </c>
      <c r="M31" s="334">
        <v>100</v>
      </c>
      <c r="N31" s="326">
        <v>43666</v>
      </c>
      <c r="O31" s="334">
        <v>2</v>
      </c>
      <c r="P31" s="335">
        <v>43675</v>
      </c>
      <c r="Q31" s="334">
        <v>7</v>
      </c>
      <c r="R31" s="334">
        <f t="shared" si="5"/>
        <v>250</v>
      </c>
      <c r="S31" s="334">
        <f>60-1-50</f>
        <v>9</v>
      </c>
      <c r="T31" s="336">
        <v>54</v>
      </c>
      <c r="U31" s="337">
        <v>50</v>
      </c>
      <c r="V31" s="338">
        <f t="shared" si="4"/>
        <v>2.7</v>
      </c>
      <c r="W31" s="337">
        <v>1</v>
      </c>
      <c r="X31" s="339">
        <v>43677</v>
      </c>
      <c r="Y31" s="337">
        <v>50</v>
      </c>
      <c r="Z31" s="339">
        <v>43677</v>
      </c>
      <c r="AA31" s="340">
        <v>84</v>
      </c>
      <c r="AB31" s="62"/>
      <c r="AC31" s="69">
        <f t="shared" si="3"/>
        <v>420</v>
      </c>
      <c r="AD31" s="69"/>
      <c r="AE31" s="69"/>
      <c r="AF31" s="119"/>
      <c r="AG31" s="119"/>
      <c r="AH31" s="119"/>
      <c r="AI31" s="119"/>
      <c r="AJ31" s="217">
        <v>1</v>
      </c>
      <c r="AK31" s="62"/>
      <c r="AL31" s="117">
        <v>14</v>
      </c>
      <c r="AM31" s="852">
        <v>2.02</v>
      </c>
      <c r="AN31" s="22"/>
    </row>
    <row r="32" spans="1:45" ht="17" hidden="1">
      <c r="A32" s="90" t="s">
        <v>227</v>
      </c>
      <c r="B32" s="18">
        <v>42884</v>
      </c>
      <c r="C32" s="19" t="s">
        <v>113</v>
      </c>
      <c r="D32" s="19" t="s">
        <v>75</v>
      </c>
      <c r="E32" s="19" t="s">
        <v>103</v>
      </c>
      <c r="F32" s="21" t="s">
        <v>145</v>
      </c>
      <c r="G32" s="19"/>
      <c r="H32" s="21"/>
      <c r="I32" s="21"/>
      <c r="J32" s="20"/>
      <c r="K32" s="333">
        <v>462</v>
      </c>
      <c r="L32" s="333">
        <v>1</v>
      </c>
      <c r="M32" s="334">
        <v>60</v>
      </c>
      <c r="N32" s="326">
        <v>43668</v>
      </c>
      <c r="O32" s="334">
        <v>4</v>
      </c>
      <c r="P32" s="335">
        <v>43672</v>
      </c>
      <c r="Q32" s="334">
        <v>2</v>
      </c>
      <c r="R32" s="334">
        <f t="shared" si="5"/>
        <v>250</v>
      </c>
      <c r="S32" s="334">
        <f>75-1</f>
        <v>74</v>
      </c>
      <c r="T32" s="336">
        <v>29.8</v>
      </c>
      <c r="U32" s="337">
        <v>50</v>
      </c>
      <c r="V32" s="338">
        <f t="shared" si="4"/>
        <v>1.49</v>
      </c>
      <c r="W32" s="337"/>
      <c r="X32" s="338"/>
      <c r="Y32" s="337">
        <v>50</v>
      </c>
      <c r="Z32" s="338"/>
      <c r="AA32" s="340"/>
      <c r="AB32" s="62"/>
      <c r="AC32" s="69">
        <f t="shared" si="3"/>
        <v>0</v>
      </c>
      <c r="AD32" s="69"/>
      <c r="AE32" s="69"/>
      <c r="AF32" s="119"/>
      <c r="AG32" s="119"/>
      <c r="AH32" s="119"/>
      <c r="AI32" s="119"/>
      <c r="AJ32" s="217"/>
      <c r="AK32" s="62"/>
      <c r="AL32" s="851"/>
      <c r="AM32" s="852"/>
      <c r="AN32" s="22" t="s">
        <v>247</v>
      </c>
    </row>
    <row r="33" spans="1:40" ht="17">
      <c r="A33" s="90"/>
      <c r="B33" s="18">
        <v>42884</v>
      </c>
      <c r="C33" s="19" t="s">
        <v>113</v>
      </c>
      <c r="D33" s="19" t="s">
        <v>75</v>
      </c>
      <c r="E33" s="19" t="s">
        <v>103</v>
      </c>
      <c r="F33" s="21" t="s">
        <v>145</v>
      </c>
      <c r="G33" s="19"/>
      <c r="H33" s="21"/>
      <c r="I33" s="21"/>
      <c r="J33" s="20"/>
      <c r="K33" s="873" t="s">
        <v>261</v>
      </c>
      <c r="L33" s="333">
        <v>1</v>
      </c>
      <c r="M33" s="334">
        <v>60</v>
      </c>
      <c r="N33" s="326">
        <v>43668</v>
      </c>
      <c r="O33" s="334">
        <v>4</v>
      </c>
      <c r="P33" s="335">
        <v>43675</v>
      </c>
      <c r="Q33" s="334">
        <v>7</v>
      </c>
      <c r="R33" s="334">
        <f t="shared" si="5"/>
        <v>250</v>
      </c>
      <c r="S33" s="334">
        <f>60-1-50</f>
        <v>9</v>
      </c>
      <c r="T33" s="336">
        <v>69.8</v>
      </c>
      <c r="U33" s="337">
        <v>50</v>
      </c>
      <c r="V33" s="338">
        <f t="shared" si="4"/>
        <v>3.49</v>
      </c>
      <c r="W33" s="337">
        <v>1</v>
      </c>
      <c r="X33" s="339">
        <v>43677</v>
      </c>
      <c r="Y33" s="337">
        <v>50</v>
      </c>
      <c r="Z33" s="339">
        <v>43677</v>
      </c>
      <c r="AA33" s="340">
        <v>106</v>
      </c>
      <c r="AB33" s="62"/>
      <c r="AC33" s="69">
        <f t="shared" si="3"/>
        <v>530</v>
      </c>
      <c r="AD33" s="69"/>
      <c r="AE33" s="69"/>
      <c r="AF33" s="119"/>
      <c r="AG33" s="119"/>
      <c r="AH33" s="119"/>
      <c r="AI33" s="119"/>
      <c r="AJ33" s="217">
        <v>1</v>
      </c>
      <c r="AK33" s="62"/>
      <c r="AL33" s="851">
        <v>16</v>
      </c>
      <c r="AM33" s="872">
        <v>0.21199999999999999</v>
      </c>
      <c r="AN33" s="22"/>
    </row>
    <row r="34" spans="1:40" ht="17" hidden="1">
      <c r="A34" s="90" t="s">
        <v>227</v>
      </c>
      <c r="B34" s="18">
        <v>42880</v>
      </c>
      <c r="C34" s="19" t="s">
        <v>109</v>
      </c>
      <c r="D34" s="19" t="s">
        <v>75</v>
      </c>
      <c r="E34" s="19" t="s">
        <v>93</v>
      </c>
      <c r="F34" s="21" t="s">
        <v>135</v>
      </c>
      <c r="G34" s="19"/>
      <c r="H34" s="21"/>
      <c r="I34" s="21"/>
      <c r="J34" s="20"/>
      <c r="K34" s="333">
        <v>471</v>
      </c>
      <c r="L34" s="333">
        <v>1</v>
      </c>
      <c r="M34" s="334">
        <v>100</v>
      </c>
      <c r="N34" s="326">
        <v>43666</v>
      </c>
      <c r="O34" s="334">
        <v>2</v>
      </c>
      <c r="P34" s="335">
        <v>43670</v>
      </c>
      <c r="Q34" s="334">
        <v>1</v>
      </c>
      <c r="R34" s="334">
        <f t="shared" si="5"/>
        <v>250</v>
      </c>
      <c r="S34" s="334">
        <f>100-1</f>
        <v>99</v>
      </c>
      <c r="T34" s="336">
        <v>33.799999999999997</v>
      </c>
      <c r="U34" s="337">
        <v>50</v>
      </c>
      <c r="V34" s="338">
        <f t="shared" si="4"/>
        <v>1.6899999999999997</v>
      </c>
      <c r="W34" s="337"/>
      <c r="X34" s="338"/>
      <c r="Y34" s="337">
        <v>50</v>
      </c>
      <c r="Z34" s="338"/>
      <c r="AA34" s="340"/>
      <c r="AB34" s="62"/>
      <c r="AC34" s="69">
        <f t="shared" si="3"/>
        <v>0</v>
      </c>
      <c r="AD34" s="69"/>
      <c r="AE34" s="69"/>
      <c r="AF34" s="119"/>
      <c r="AG34" s="119"/>
      <c r="AH34" s="119"/>
      <c r="AI34" s="119"/>
      <c r="AJ34" s="217"/>
      <c r="AK34" s="62"/>
      <c r="AL34" s="851"/>
      <c r="AM34" s="852"/>
      <c r="AN34" s="22"/>
    </row>
    <row r="35" spans="1:40" ht="17">
      <c r="A35" s="90"/>
      <c r="B35" s="18">
        <v>42880</v>
      </c>
      <c r="C35" s="19" t="s">
        <v>109</v>
      </c>
      <c r="D35" s="19" t="s">
        <v>75</v>
      </c>
      <c r="E35" s="19" t="s">
        <v>93</v>
      </c>
      <c r="F35" s="21" t="s">
        <v>135</v>
      </c>
      <c r="G35" s="19"/>
      <c r="H35" s="21"/>
      <c r="I35" s="21"/>
      <c r="J35" s="20"/>
      <c r="K35" s="333" t="s">
        <v>262</v>
      </c>
      <c r="L35" s="333">
        <v>1</v>
      </c>
      <c r="M35" s="334">
        <v>100</v>
      </c>
      <c r="N35" s="326">
        <v>43666</v>
      </c>
      <c r="O35" s="334">
        <v>2</v>
      </c>
      <c r="P35" s="335">
        <v>43675</v>
      </c>
      <c r="Q35" s="334">
        <v>7</v>
      </c>
      <c r="R35" s="334">
        <f t="shared" si="5"/>
        <v>250</v>
      </c>
      <c r="S35" s="334">
        <f>60-1-50</f>
        <v>9</v>
      </c>
      <c r="T35" s="336">
        <v>71</v>
      </c>
      <c r="U35" s="337">
        <v>50</v>
      </c>
      <c r="V35" s="338">
        <f t="shared" si="4"/>
        <v>3.55</v>
      </c>
      <c r="W35" s="337">
        <v>1</v>
      </c>
      <c r="X35" s="339">
        <v>43677</v>
      </c>
      <c r="Y35" s="337">
        <v>50</v>
      </c>
      <c r="Z35" s="339">
        <v>43677</v>
      </c>
      <c r="AA35" s="340">
        <v>108</v>
      </c>
      <c r="AB35" s="62"/>
      <c r="AC35" s="69">
        <f t="shared" si="3"/>
        <v>540</v>
      </c>
      <c r="AD35" s="69"/>
      <c r="AE35" s="69"/>
      <c r="AF35" s="119">
        <v>43692</v>
      </c>
      <c r="AG35" s="119"/>
      <c r="AH35" s="119"/>
      <c r="AI35" s="119"/>
      <c r="AJ35" s="217">
        <v>2</v>
      </c>
      <c r="AK35" s="62"/>
      <c r="AL35" s="117">
        <v>15</v>
      </c>
      <c r="AM35" s="852">
        <v>5.2</v>
      </c>
      <c r="AN35" s="22"/>
    </row>
    <row r="36" spans="1:40" ht="17" hidden="1">
      <c r="A36" s="90" t="s">
        <v>227</v>
      </c>
      <c r="B36" s="18">
        <v>42881</v>
      </c>
      <c r="C36" s="19" t="s">
        <v>109</v>
      </c>
      <c r="D36" s="19" t="s">
        <v>75</v>
      </c>
      <c r="E36" s="19" t="s">
        <v>93</v>
      </c>
      <c r="F36" s="21" t="s">
        <v>137</v>
      </c>
      <c r="G36" s="19"/>
      <c r="H36" s="21"/>
      <c r="I36" s="21"/>
      <c r="J36" s="20"/>
      <c r="K36" s="333">
        <v>472</v>
      </c>
      <c r="L36" s="333">
        <v>1</v>
      </c>
      <c r="M36" s="334">
        <v>70</v>
      </c>
      <c r="N36" s="326">
        <v>43668</v>
      </c>
      <c r="O36" s="364">
        <v>4</v>
      </c>
      <c r="P36" s="335">
        <v>43672</v>
      </c>
      <c r="Q36" s="334">
        <v>3</v>
      </c>
      <c r="R36" s="334">
        <f t="shared" si="5"/>
        <v>250</v>
      </c>
      <c r="S36" s="334">
        <f>75-1</f>
        <v>74</v>
      </c>
      <c r="T36" s="336">
        <v>8.2799999999999994</v>
      </c>
      <c r="U36" s="337">
        <v>50</v>
      </c>
      <c r="V36" s="338">
        <f t="shared" si="4"/>
        <v>0.41399999999999992</v>
      </c>
      <c r="W36" s="337"/>
      <c r="X36" s="338"/>
      <c r="Y36" s="337">
        <v>50</v>
      </c>
      <c r="Z36" s="338"/>
      <c r="AA36" s="340"/>
      <c r="AB36" s="62"/>
      <c r="AC36" s="69">
        <f t="shared" si="3"/>
        <v>0</v>
      </c>
      <c r="AD36" s="69"/>
      <c r="AE36" s="69"/>
      <c r="AF36" s="119"/>
      <c r="AG36" s="119"/>
      <c r="AH36" s="119"/>
      <c r="AI36" s="119"/>
      <c r="AJ36" s="217"/>
      <c r="AK36" s="62"/>
      <c r="AL36" s="851"/>
      <c r="AM36" s="852"/>
      <c r="AN36" s="22" t="s">
        <v>247</v>
      </c>
    </row>
    <row r="37" spans="1:40" ht="17">
      <c r="A37" s="90"/>
      <c r="B37" s="18">
        <v>42881</v>
      </c>
      <c r="C37" s="19" t="s">
        <v>109</v>
      </c>
      <c r="D37" s="19" t="s">
        <v>75</v>
      </c>
      <c r="E37" s="19" t="s">
        <v>93</v>
      </c>
      <c r="F37" s="21" t="s">
        <v>137</v>
      </c>
      <c r="G37" s="19"/>
      <c r="H37" s="21"/>
      <c r="I37" s="21"/>
      <c r="J37" s="20"/>
      <c r="K37" s="333" t="s">
        <v>263</v>
      </c>
      <c r="L37" s="333">
        <v>1</v>
      </c>
      <c r="M37" s="334">
        <v>70</v>
      </c>
      <c r="N37" s="326">
        <v>43668</v>
      </c>
      <c r="O37" s="364">
        <v>4</v>
      </c>
      <c r="P37" s="335">
        <v>43675</v>
      </c>
      <c r="Q37" s="334">
        <v>7</v>
      </c>
      <c r="R37" s="334">
        <f t="shared" si="5"/>
        <v>250</v>
      </c>
      <c r="S37" s="334">
        <f>60-1-50</f>
        <v>9</v>
      </c>
      <c r="T37" s="336">
        <v>64</v>
      </c>
      <c r="U37" s="337">
        <v>50</v>
      </c>
      <c r="V37" s="338">
        <f t="shared" si="4"/>
        <v>3.2</v>
      </c>
      <c r="W37" s="337">
        <v>1</v>
      </c>
      <c r="X37" s="339">
        <v>43677</v>
      </c>
      <c r="Y37" s="337">
        <v>50</v>
      </c>
      <c r="Z37" s="339">
        <v>43677</v>
      </c>
      <c r="AA37" s="340">
        <v>97</v>
      </c>
      <c r="AB37" s="62">
        <f>2413/1000*6</f>
        <v>14.477999999999998</v>
      </c>
      <c r="AC37" s="69">
        <f t="shared" si="3"/>
        <v>485</v>
      </c>
      <c r="AD37" s="58">
        <f>500/AA37</f>
        <v>5.1546391752577323</v>
      </c>
      <c r="AE37" s="58">
        <v>0</v>
      </c>
      <c r="AF37" s="119"/>
      <c r="AG37" s="119"/>
      <c r="AH37" s="119">
        <v>43697</v>
      </c>
      <c r="AI37" s="119">
        <v>43698</v>
      </c>
      <c r="AJ37" s="217">
        <v>1</v>
      </c>
      <c r="AK37" s="62"/>
      <c r="AL37" s="117">
        <v>15</v>
      </c>
      <c r="AM37" s="852">
        <v>2.42</v>
      </c>
      <c r="AN37" s="22"/>
    </row>
    <row r="38" spans="1:40" ht="17">
      <c r="A38" s="90" t="s">
        <v>227</v>
      </c>
      <c r="B38" s="18">
        <v>42891</v>
      </c>
      <c r="C38" s="19" t="s">
        <v>109</v>
      </c>
      <c r="D38" s="19" t="s">
        <v>75</v>
      </c>
      <c r="E38" s="19" t="s">
        <v>93</v>
      </c>
      <c r="F38" s="21" t="s">
        <v>162</v>
      </c>
      <c r="G38" s="19"/>
      <c r="H38" s="21"/>
      <c r="I38" s="21"/>
      <c r="J38" s="20"/>
      <c r="K38" s="333">
        <v>473</v>
      </c>
      <c r="L38" s="333">
        <v>1</v>
      </c>
      <c r="M38" s="334">
        <v>50</v>
      </c>
      <c r="N38" s="326">
        <v>43668</v>
      </c>
      <c r="O38" s="334">
        <v>5</v>
      </c>
      <c r="P38" s="335">
        <v>43672</v>
      </c>
      <c r="Q38" s="334">
        <v>3</v>
      </c>
      <c r="R38" s="334">
        <f>1000-500</f>
        <v>500</v>
      </c>
      <c r="S38" s="334">
        <f>75-1-50</f>
        <v>24</v>
      </c>
      <c r="T38" s="336">
        <v>120</v>
      </c>
      <c r="U38" s="337">
        <v>50</v>
      </c>
      <c r="V38" s="338">
        <f t="shared" si="4"/>
        <v>6</v>
      </c>
      <c r="W38" s="337">
        <v>3</v>
      </c>
      <c r="X38" s="339">
        <v>43682</v>
      </c>
      <c r="Y38" s="337">
        <v>50</v>
      </c>
      <c r="Z38" s="341">
        <v>43683</v>
      </c>
      <c r="AA38" s="340">
        <v>124</v>
      </c>
      <c r="AB38" s="62"/>
      <c r="AC38" s="69">
        <f t="shared" si="3"/>
        <v>620</v>
      </c>
      <c r="AD38" s="69"/>
      <c r="AE38" s="69"/>
      <c r="AF38" s="119">
        <v>43692</v>
      </c>
      <c r="AG38" s="119">
        <v>43692</v>
      </c>
      <c r="AH38" s="119"/>
      <c r="AI38" s="119"/>
      <c r="AJ38" s="217">
        <v>3</v>
      </c>
      <c r="AK38" s="62"/>
      <c r="AL38" s="117">
        <v>14</v>
      </c>
      <c r="AM38" s="852">
        <v>2.34</v>
      </c>
      <c r="AN38" s="22"/>
    </row>
    <row r="39" spans="1:40" ht="17">
      <c r="A39" s="90" t="s">
        <v>227</v>
      </c>
      <c r="B39" s="18">
        <v>42891</v>
      </c>
      <c r="C39" s="19" t="s">
        <v>116</v>
      </c>
      <c r="D39" s="19" t="s">
        <v>75</v>
      </c>
      <c r="E39" s="19" t="s">
        <v>93</v>
      </c>
      <c r="F39" s="21" t="s">
        <v>163</v>
      </c>
      <c r="G39" s="19"/>
      <c r="H39" s="21"/>
      <c r="I39" s="21"/>
      <c r="J39" s="20"/>
      <c r="K39" s="333">
        <v>474</v>
      </c>
      <c r="L39" s="333">
        <v>1</v>
      </c>
      <c r="M39" s="334">
        <v>50</v>
      </c>
      <c r="N39" s="326">
        <v>43668</v>
      </c>
      <c r="O39" s="334">
        <v>6</v>
      </c>
      <c r="P39" s="335">
        <v>43672</v>
      </c>
      <c r="Q39" s="334">
        <v>4</v>
      </c>
      <c r="R39" s="334">
        <f>1000-500</f>
        <v>500</v>
      </c>
      <c r="S39" s="334">
        <f>75-1-50</f>
        <v>24</v>
      </c>
      <c r="T39" s="336">
        <v>81</v>
      </c>
      <c r="U39" s="337">
        <v>50</v>
      </c>
      <c r="V39" s="338">
        <f t="shared" si="4"/>
        <v>4.05</v>
      </c>
      <c r="W39" s="337">
        <v>3</v>
      </c>
      <c r="X39" s="339">
        <v>43682</v>
      </c>
      <c r="Y39" s="337">
        <v>50</v>
      </c>
      <c r="Z39" s="341">
        <v>43683</v>
      </c>
      <c r="AA39" s="340">
        <v>77.2</v>
      </c>
      <c r="AB39" s="62"/>
      <c r="AC39" s="69">
        <f t="shared" si="3"/>
        <v>386</v>
      </c>
      <c r="AD39" s="69"/>
      <c r="AE39" s="69"/>
      <c r="AF39" s="119"/>
      <c r="AG39" s="119">
        <v>43692</v>
      </c>
      <c r="AH39" s="119"/>
      <c r="AI39" s="119"/>
      <c r="AJ39" s="217">
        <v>2</v>
      </c>
      <c r="AK39" s="62"/>
      <c r="AL39" s="117">
        <v>14</v>
      </c>
      <c r="AM39" s="852">
        <v>3.02</v>
      </c>
      <c r="AN39" s="22"/>
    </row>
    <row r="40" spans="1:40" ht="17">
      <c r="A40" s="90" t="s">
        <v>227</v>
      </c>
      <c r="B40" s="18">
        <v>42892</v>
      </c>
      <c r="C40" s="19" t="s">
        <v>116</v>
      </c>
      <c r="D40" s="19" t="s">
        <v>75</v>
      </c>
      <c r="E40" s="19" t="s">
        <v>93</v>
      </c>
      <c r="F40" s="21" t="s">
        <v>166</v>
      </c>
      <c r="G40" s="19"/>
      <c r="H40" s="21"/>
      <c r="I40" s="21"/>
      <c r="J40" s="20"/>
      <c r="K40" s="333">
        <v>475</v>
      </c>
      <c r="L40" s="333">
        <v>1</v>
      </c>
      <c r="M40" s="334">
        <v>80</v>
      </c>
      <c r="N40" s="326">
        <v>43668</v>
      </c>
      <c r="O40" s="334">
        <v>7</v>
      </c>
      <c r="P40" s="335">
        <v>43672</v>
      </c>
      <c r="Q40" s="334">
        <v>4</v>
      </c>
      <c r="R40" s="334">
        <f>1000-500</f>
        <v>500</v>
      </c>
      <c r="S40" s="334">
        <f>75-1-50</f>
        <v>24</v>
      </c>
      <c r="T40" s="336">
        <v>110</v>
      </c>
      <c r="U40" s="337">
        <v>50</v>
      </c>
      <c r="V40" s="338">
        <f t="shared" si="4"/>
        <v>5.5</v>
      </c>
      <c r="W40" s="337">
        <v>3</v>
      </c>
      <c r="X40" s="339">
        <v>43682</v>
      </c>
      <c r="Y40" s="337">
        <v>50</v>
      </c>
      <c r="Z40" s="341">
        <v>43683</v>
      </c>
      <c r="AA40" s="340">
        <v>27.4</v>
      </c>
      <c r="AB40" s="62"/>
      <c r="AC40" s="69">
        <f t="shared" si="3"/>
        <v>137</v>
      </c>
      <c r="AD40" s="69"/>
      <c r="AE40" s="69"/>
      <c r="AF40" s="119"/>
      <c r="AG40" s="119">
        <v>43692</v>
      </c>
      <c r="AH40" s="119"/>
      <c r="AI40" s="119"/>
      <c r="AJ40" s="217">
        <v>2</v>
      </c>
      <c r="AK40" s="62"/>
      <c r="AL40" s="117">
        <v>14</v>
      </c>
      <c r="AM40" s="852">
        <v>2.44</v>
      </c>
      <c r="AN40" s="22"/>
    </row>
    <row r="41" spans="1:40" ht="17">
      <c r="A41" s="90" t="s">
        <v>227</v>
      </c>
      <c r="B41" s="18">
        <v>42896</v>
      </c>
      <c r="C41" s="19" t="s">
        <v>116</v>
      </c>
      <c r="D41" s="19" t="s">
        <v>75</v>
      </c>
      <c r="E41" s="19" t="s">
        <v>93</v>
      </c>
      <c r="F41" s="21" t="s">
        <v>170</v>
      </c>
      <c r="G41" s="19"/>
      <c r="H41" s="21"/>
      <c r="I41" s="21"/>
      <c r="J41" s="20"/>
      <c r="K41" s="333">
        <v>476</v>
      </c>
      <c r="L41" s="333">
        <v>1</v>
      </c>
      <c r="M41" s="334">
        <v>80</v>
      </c>
      <c r="N41" s="326">
        <v>43669</v>
      </c>
      <c r="O41" s="334">
        <v>8</v>
      </c>
      <c r="P41" s="335">
        <v>43672</v>
      </c>
      <c r="Q41" s="334">
        <v>5</v>
      </c>
      <c r="R41" s="334">
        <f>1000-500</f>
        <v>500</v>
      </c>
      <c r="S41" s="334">
        <f>75-1-50</f>
        <v>24</v>
      </c>
      <c r="T41" s="336">
        <v>43.4</v>
      </c>
      <c r="U41" s="337">
        <v>50</v>
      </c>
      <c r="V41" s="338">
        <f t="shared" si="4"/>
        <v>2.17</v>
      </c>
      <c r="W41" s="337">
        <v>4</v>
      </c>
      <c r="X41" s="339">
        <v>43682</v>
      </c>
      <c r="Y41" s="337">
        <v>50</v>
      </c>
      <c r="Z41" s="339"/>
      <c r="AA41" s="340">
        <v>39.200000000000003</v>
      </c>
      <c r="AB41" s="62"/>
      <c r="AC41" s="69">
        <f t="shared" si="3"/>
        <v>196</v>
      </c>
      <c r="AD41" s="69"/>
      <c r="AE41" s="69"/>
      <c r="AF41" s="119">
        <v>43692</v>
      </c>
      <c r="AG41" s="119">
        <v>43692</v>
      </c>
      <c r="AH41" s="119"/>
      <c r="AI41" s="119"/>
      <c r="AJ41" s="217">
        <v>2</v>
      </c>
      <c r="AK41" s="62"/>
      <c r="AL41" s="117">
        <v>14</v>
      </c>
      <c r="AM41" s="852">
        <v>4.24</v>
      </c>
      <c r="AN41" s="22"/>
    </row>
    <row r="42" spans="1:40" ht="18" thickBot="1">
      <c r="A42" s="90" t="s">
        <v>227</v>
      </c>
      <c r="B42" s="23">
        <v>42905</v>
      </c>
      <c r="C42" s="24" t="s">
        <v>116</v>
      </c>
      <c r="D42" s="24" t="s">
        <v>75</v>
      </c>
      <c r="E42" s="24" t="s">
        <v>93</v>
      </c>
      <c r="F42" s="26" t="s">
        <v>192</v>
      </c>
      <c r="G42" s="24"/>
      <c r="H42" s="26"/>
      <c r="I42" s="26"/>
      <c r="J42" s="25"/>
      <c r="K42" s="349">
        <v>477</v>
      </c>
      <c r="L42" s="349">
        <v>1</v>
      </c>
      <c r="M42" s="350">
        <v>40</v>
      </c>
      <c r="N42" s="351">
        <v>43669</v>
      </c>
      <c r="O42" s="350">
        <v>9</v>
      </c>
      <c r="P42" s="365">
        <v>43673</v>
      </c>
      <c r="Q42" s="350">
        <v>6</v>
      </c>
      <c r="R42" s="350">
        <v>500</v>
      </c>
      <c r="S42" s="334">
        <f>75-1+50-50</f>
        <v>74</v>
      </c>
      <c r="T42" s="352" t="s">
        <v>249</v>
      </c>
      <c r="U42" s="353">
        <v>50</v>
      </c>
      <c r="V42" s="354" t="e">
        <f t="shared" si="4"/>
        <v>#VALUE!</v>
      </c>
      <c r="W42" s="353">
        <v>4</v>
      </c>
      <c r="X42" s="355">
        <v>43682</v>
      </c>
      <c r="Y42" s="353">
        <v>50</v>
      </c>
      <c r="Z42" s="355"/>
      <c r="AA42" s="356">
        <v>164</v>
      </c>
      <c r="AB42" s="120"/>
      <c r="AC42" s="69">
        <f t="shared" si="3"/>
        <v>820</v>
      </c>
      <c r="AD42" s="69"/>
      <c r="AE42" s="69"/>
      <c r="AF42" s="119">
        <v>43692</v>
      </c>
      <c r="AG42" s="119">
        <v>43692</v>
      </c>
      <c r="AH42" s="212"/>
      <c r="AI42" s="212"/>
      <c r="AJ42" s="218">
        <v>2</v>
      </c>
      <c r="AK42" s="44"/>
      <c r="AL42" s="117">
        <v>15</v>
      </c>
      <c r="AM42" s="868">
        <v>2.2799999999999998</v>
      </c>
      <c r="AN42" s="27" t="s">
        <v>442</v>
      </c>
    </row>
    <row r="43" spans="1:40" ht="18" thickBot="1">
      <c r="A43" s="90"/>
      <c r="B43" s="28"/>
      <c r="C43" s="29"/>
      <c r="D43" s="29"/>
      <c r="E43" s="29"/>
      <c r="F43" s="31"/>
      <c r="G43" s="29"/>
      <c r="H43" s="31"/>
      <c r="I43" s="31"/>
      <c r="J43" s="30"/>
      <c r="K43" s="357"/>
      <c r="L43" s="357"/>
      <c r="M43" s="358"/>
      <c r="N43" s="359"/>
      <c r="O43" s="358"/>
      <c r="P43" s="358"/>
      <c r="Q43" s="358"/>
      <c r="R43" s="358"/>
      <c r="S43" s="358"/>
      <c r="T43" s="360"/>
      <c r="U43" s="361"/>
      <c r="V43" s="362"/>
      <c r="W43" s="361"/>
      <c r="X43" s="362"/>
      <c r="Y43" s="361"/>
      <c r="Z43" s="362"/>
      <c r="AA43" s="360"/>
      <c r="AB43" s="45"/>
      <c r="AC43" s="49"/>
      <c r="AD43" s="49"/>
      <c r="AE43" s="49"/>
      <c r="AF43" s="138"/>
      <c r="AG43" s="138"/>
      <c r="AH43" s="138"/>
      <c r="AI43" s="138"/>
      <c r="AJ43" s="219"/>
      <c r="AK43" s="45"/>
      <c r="AL43" s="116"/>
      <c r="AM43" s="855"/>
      <c r="AN43" s="30"/>
    </row>
    <row r="44" spans="1:40" ht="17">
      <c r="A44" s="90" t="s">
        <v>227</v>
      </c>
      <c r="B44" s="14">
        <v>42875</v>
      </c>
      <c r="C44" s="15" t="s">
        <v>95</v>
      </c>
      <c r="D44" s="15" t="s">
        <v>92</v>
      </c>
      <c r="E44" s="15" t="s">
        <v>96</v>
      </c>
      <c r="F44" s="16" t="s">
        <v>272</v>
      </c>
      <c r="G44" s="15"/>
      <c r="H44" s="16"/>
      <c r="I44" s="16"/>
      <c r="J44" s="34">
        <v>43665</v>
      </c>
      <c r="K44" s="875">
        <v>481</v>
      </c>
      <c r="L44" s="324">
        <v>1</v>
      </c>
      <c r="M44" s="325">
        <v>40</v>
      </c>
      <c r="N44" s="363">
        <v>43665</v>
      </c>
      <c r="O44" s="325">
        <v>1</v>
      </c>
      <c r="P44" s="327">
        <v>43670</v>
      </c>
      <c r="Q44" s="325">
        <v>1</v>
      </c>
      <c r="R44" s="325">
        <f>1000-500</f>
        <v>500</v>
      </c>
      <c r="S44" s="325">
        <f>100-1-50</f>
        <v>49</v>
      </c>
      <c r="T44" s="328">
        <v>64.400000000000006</v>
      </c>
      <c r="U44" s="329">
        <v>50</v>
      </c>
      <c r="V44" s="330">
        <f t="shared" ref="V44:V58" si="6">U44*T44/1000</f>
        <v>3.2200000000000006</v>
      </c>
      <c r="W44" s="329">
        <v>1</v>
      </c>
      <c r="X44" s="331">
        <v>43677</v>
      </c>
      <c r="Y44" s="329">
        <v>50</v>
      </c>
      <c r="Z44" s="331">
        <v>43677</v>
      </c>
      <c r="AA44" s="332">
        <v>89.2</v>
      </c>
      <c r="AB44" s="141"/>
      <c r="AC44" s="69">
        <f t="shared" ref="AC44:AC83" si="7">AA44*5</f>
        <v>446</v>
      </c>
      <c r="AD44" s="69"/>
      <c r="AE44" s="69"/>
      <c r="AF44" s="119">
        <v>43692</v>
      </c>
      <c r="AG44" s="140"/>
      <c r="AH44" s="140"/>
      <c r="AI44" s="140"/>
      <c r="AJ44" s="220">
        <v>2</v>
      </c>
      <c r="AK44" s="44"/>
      <c r="AL44" s="117">
        <v>14</v>
      </c>
      <c r="AM44" s="874">
        <v>0.88</v>
      </c>
      <c r="AN44" s="17"/>
    </row>
    <row r="45" spans="1:40" ht="17">
      <c r="A45" s="90" t="s">
        <v>227</v>
      </c>
      <c r="B45" s="18">
        <v>42875</v>
      </c>
      <c r="C45" s="19" t="s">
        <v>97</v>
      </c>
      <c r="D45" s="19" t="s">
        <v>92</v>
      </c>
      <c r="E45" s="19" t="s">
        <v>96</v>
      </c>
      <c r="F45" s="21" t="s">
        <v>273</v>
      </c>
      <c r="G45" s="19"/>
      <c r="H45" s="21"/>
      <c r="I45" s="21"/>
      <c r="J45" s="20"/>
      <c r="K45" s="333">
        <v>482</v>
      </c>
      <c r="L45" s="333">
        <v>1</v>
      </c>
      <c r="M45" s="334">
        <v>60</v>
      </c>
      <c r="N45" s="326">
        <v>43666</v>
      </c>
      <c r="O45" s="334">
        <v>3</v>
      </c>
      <c r="P45" s="335">
        <v>43672</v>
      </c>
      <c r="Q45" s="334">
        <v>2</v>
      </c>
      <c r="R45" s="334">
        <f t="shared" ref="R45:R54" si="8">1000-500</f>
        <v>500</v>
      </c>
      <c r="S45" s="334">
        <f>75-1-50</f>
        <v>24</v>
      </c>
      <c r="T45" s="336">
        <v>67.2</v>
      </c>
      <c r="U45" s="337">
        <v>50</v>
      </c>
      <c r="V45" s="338">
        <f t="shared" si="6"/>
        <v>3.36</v>
      </c>
      <c r="W45" s="337">
        <v>1</v>
      </c>
      <c r="X45" s="339">
        <v>43677</v>
      </c>
      <c r="Y45" s="337">
        <v>50</v>
      </c>
      <c r="Z45" s="339">
        <v>43677</v>
      </c>
      <c r="AA45" s="340">
        <v>22.2</v>
      </c>
      <c r="AB45" s="62"/>
      <c r="AC45" s="69">
        <f t="shared" si="7"/>
        <v>111</v>
      </c>
      <c r="AD45" s="69"/>
      <c r="AE45" s="69"/>
      <c r="AF45" s="119"/>
      <c r="AG45" s="119"/>
      <c r="AH45" s="119"/>
      <c r="AI45" s="119"/>
      <c r="AJ45" s="217">
        <v>1</v>
      </c>
      <c r="AK45" s="62"/>
      <c r="AL45" s="117">
        <v>14</v>
      </c>
      <c r="AM45" s="852">
        <v>1.42</v>
      </c>
      <c r="AN45" s="22"/>
    </row>
    <row r="46" spans="1:40" ht="17">
      <c r="A46" s="90" t="s">
        <v>227</v>
      </c>
      <c r="B46" s="18">
        <v>42876</v>
      </c>
      <c r="C46" s="19" t="s">
        <v>97</v>
      </c>
      <c r="D46" s="19" t="s">
        <v>92</v>
      </c>
      <c r="E46" s="19" t="s">
        <v>96</v>
      </c>
      <c r="F46" s="21" t="s">
        <v>274</v>
      </c>
      <c r="G46" s="19"/>
      <c r="H46" s="21"/>
      <c r="I46" s="21"/>
      <c r="J46" s="20"/>
      <c r="K46" s="333">
        <v>483</v>
      </c>
      <c r="L46" s="333">
        <v>1</v>
      </c>
      <c r="M46" s="334">
        <v>110</v>
      </c>
      <c r="N46" s="326">
        <v>43668</v>
      </c>
      <c r="O46" s="334">
        <v>4</v>
      </c>
      <c r="P46" s="335">
        <v>43672</v>
      </c>
      <c r="Q46" s="334">
        <v>3</v>
      </c>
      <c r="R46" s="334">
        <f t="shared" si="8"/>
        <v>500</v>
      </c>
      <c r="S46" s="334">
        <f>75-1-50</f>
        <v>24</v>
      </c>
      <c r="T46" s="336">
        <v>95.8</v>
      </c>
      <c r="U46" s="337">
        <v>50</v>
      </c>
      <c r="V46" s="338">
        <f t="shared" si="6"/>
        <v>4.79</v>
      </c>
      <c r="W46" s="337">
        <v>3</v>
      </c>
      <c r="X46" s="339">
        <v>43682</v>
      </c>
      <c r="Y46" s="337">
        <v>50</v>
      </c>
      <c r="Z46" s="341">
        <v>43683</v>
      </c>
      <c r="AA46" s="340">
        <v>99</v>
      </c>
      <c r="AB46" s="62"/>
      <c r="AC46" s="69">
        <f t="shared" si="7"/>
        <v>495</v>
      </c>
      <c r="AD46" s="69"/>
      <c r="AE46" s="69"/>
      <c r="AF46" s="119">
        <v>43692</v>
      </c>
      <c r="AG46" s="119">
        <v>43692</v>
      </c>
      <c r="AH46" s="119"/>
      <c r="AI46" s="119"/>
      <c r="AJ46" s="217">
        <v>3</v>
      </c>
      <c r="AK46" s="62"/>
      <c r="AL46" s="851">
        <v>16</v>
      </c>
      <c r="AM46" s="852">
        <v>1.22</v>
      </c>
      <c r="AN46" s="22"/>
    </row>
    <row r="47" spans="1:40" ht="17">
      <c r="A47" s="90" t="s">
        <v>227</v>
      </c>
      <c r="B47" s="18">
        <v>42878</v>
      </c>
      <c r="C47" s="19" t="s">
        <v>95</v>
      </c>
      <c r="D47" s="19" t="s">
        <v>92</v>
      </c>
      <c r="E47" s="19" t="s">
        <v>96</v>
      </c>
      <c r="F47" s="21" t="s">
        <v>125</v>
      </c>
      <c r="G47" s="19"/>
      <c r="H47" s="21"/>
      <c r="I47" s="21"/>
      <c r="J47" s="20"/>
      <c r="K47" s="333">
        <v>484</v>
      </c>
      <c r="L47" s="333">
        <v>1</v>
      </c>
      <c r="M47" s="334">
        <v>40</v>
      </c>
      <c r="N47" s="326">
        <v>43668</v>
      </c>
      <c r="O47" s="334">
        <v>5</v>
      </c>
      <c r="P47" s="335">
        <v>43672</v>
      </c>
      <c r="Q47" s="334">
        <v>3</v>
      </c>
      <c r="R47" s="334">
        <f t="shared" si="8"/>
        <v>500</v>
      </c>
      <c r="S47" s="334">
        <f>75-1-50</f>
        <v>24</v>
      </c>
      <c r="T47" s="336">
        <v>66.2</v>
      </c>
      <c r="U47" s="337">
        <v>50</v>
      </c>
      <c r="V47" s="338">
        <f t="shared" si="6"/>
        <v>3.31</v>
      </c>
      <c r="W47" s="337">
        <v>1</v>
      </c>
      <c r="X47" s="339">
        <v>43677</v>
      </c>
      <c r="Y47" s="337">
        <v>50</v>
      </c>
      <c r="Z47" s="339">
        <v>43677</v>
      </c>
      <c r="AA47" s="340">
        <v>58.4</v>
      </c>
      <c r="AB47" s="62"/>
      <c r="AC47" s="69">
        <f t="shared" si="7"/>
        <v>292</v>
      </c>
      <c r="AD47" s="69"/>
      <c r="AE47" s="69"/>
      <c r="AF47" s="119"/>
      <c r="AG47" s="119"/>
      <c r="AH47" s="119"/>
      <c r="AI47" s="119"/>
      <c r="AJ47" s="217">
        <v>1</v>
      </c>
      <c r="AK47" s="62"/>
      <c r="AL47" s="117">
        <v>15</v>
      </c>
      <c r="AM47" s="852">
        <v>1.67</v>
      </c>
      <c r="AN47" s="22"/>
    </row>
    <row r="48" spans="1:40" ht="17">
      <c r="A48" s="90" t="s">
        <v>227</v>
      </c>
      <c r="B48" s="18">
        <v>42887</v>
      </c>
      <c r="C48" s="19" t="s">
        <v>97</v>
      </c>
      <c r="D48" s="19" t="s">
        <v>92</v>
      </c>
      <c r="E48" s="19" t="s">
        <v>96</v>
      </c>
      <c r="F48" s="21" t="s">
        <v>150</v>
      </c>
      <c r="G48" s="19"/>
      <c r="H48" s="21"/>
      <c r="I48" s="21"/>
      <c r="J48" s="20"/>
      <c r="K48" s="333">
        <v>485</v>
      </c>
      <c r="L48" s="333">
        <v>1</v>
      </c>
      <c r="M48" s="334">
        <v>20</v>
      </c>
      <c r="N48" s="326">
        <v>43668</v>
      </c>
      <c r="O48" s="334">
        <v>6</v>
      </c>
      <c r="P48" s="335">
        <v>43672</v>
      </c>
      <c r="Q48" s="334">
        <v>4</v>
      </c>
      <c r="R48" s="334">
        <f t="shared" si="8"/>
        <v>500</v>
      </c>
      <c r="S48" s="334">
        <f>75-1-50</f>
        <v>24</v>
      </c>
      <c r="T48" s="336">
        <v>156</v>
      </c>
      <c r="U48" s="337">
        <v>50</v>
      </c>
      <c r="V48" s="338">
        <f t="shared" si="6"/>
        <v>7.8</v>
      </c>
      <c r="W48" s="337">
        <v>3</v>
      </c>
      <c r="X48" s="339">
        <v>43682</v>
      </c>
      <c r="Y48" s="337">
        <v>50</v>
      </c>
      <c r="Z48" s="341">
        <v>43683</v>
      </c>
      <c r="AA48" s="340">
        <v>19.100000000000001</v>
      </c>
      <c r="AB48" s="62"/>
      <c r="AC48" s="69">
        <f t="shared" si="7"/>
        <v>95.5</v>
      </c>
      <c r="AD48" s="69"/>
      <c r="AE48" s="69"/>
      <c r="AF48" s="119"/>
      <c r="AG48" s="119">
        <v>43692</v>
      </c>
      <c r="AH48" s="119"/>
      <c r="AI48" s="119"/>
      <c r="AJ48" s="217">
        <v>2</v>
      </c>
      <c r="AK48" s="62"/>
      <c r="AL48" s="117">
        <v>14</v>
      </c>
      <c r="AM48" s="852">
        <v>2.9</v>
      </c>
      <c r="AN48" s="22"/>
    </row>
    <row r="49" spans="1:40" ht="17" hidden="1">
      <c r="A49" s="90" t="s">
        <v>227</v>
      </c>
      <c r="B49" s="18">
        <v>42889</v>
      </c>
      <c r="C49" s="19" t="s">
        <v>95</v>
      </c>
      <c r="D49" s="19" t="s">
        <v>92</v>
      </c>
      <c r="E49" s="19" t="s">
        <v>96</v>
      </c>
      <c r="F49" s="21" t="s">
        <v>155</v>
      </c>
      <c r="G49" s="19"/>
      <c r="H49" s="21"/>
      <c r="I49" s="21"/>
      <c r="J49" s="20"/>
      <c r="K49" s="333">
        <v>486</v>
      </c>
      <c r="L49" s="333">
        <v>1</v>
      </c>
      <c r="M49" s="334">
        <v>90</v>
      </c>
      <c r="N49" s="326">
        <v>43668</v>
      </c>
      <c r="O49" s="334">
        <v>7</v>
      </c>
      <c r="P49" s="335">
        <v>43672</v>
      </c>
      <c r="Q49" s="334">
        <v>4</v>
      </c>
      <c r="R49" s="334">
        <f>1000-500-250</f>
        <v>250</v>
      </c>
      <c r="S49" s="334">
        <v>74</v>
      </c>
      <c r="T49" s="336">
        <v>41</v>
      </c>
      <c r="U49" s="337">
        <v>50</v>
      </c>
      <c r="V49" s="338">
        <f t="shared" si="6"/>
        <v>2.0499999999999998</v>
      </c>
      <c r="W49" s="337"/>
      <c r="X49" s="339">
        <v>43682</v>
      </c>
      <c r="Y49" s="337">
        <v>50</v>
      </c>
      <c r="Z49" s="339"/>
      <c r="AA49" s="340"/>
      <c r="AB49" s="62"/>
      <c r="AC49" s="69">
        <f t="shared" si="7"/>
        <v>0</v>
      </c>
      <c r="AD49" s="69"/>
      <c r="AE49" s="69"/>
      <c r="AF49" s="119"/>
      <c r="AG49" s="119">
        <v>43692</v>
      </c>
      <c r="AH49" s="119"/>
      <c r="AI49" s="119"/>
      <c r="AJ49" s="217"/>
      <c r="AK49" s="62"/>
      <c r="AL49" s="851"/>
      <c r="AM49" s="852"/>
      <c r="AN49" s="22"/>
    </row>
    <row r="50" spans="1:40" ht="17">
      <c r="A50" s="90"/>
      <c r="B50" s="18">
        <v>42889</v>
      </c>
      <c r="C50" s="19" t="s">
        <v>95</v>
      </c>
      <c r="D50" s="19" t="s">
        <v>92</v>
      </c>
      <c r="E50" s="19" t="s">
        <v>96</v>
      </c>
      <c r="F50" s="21" t="s">
        <v>155</v>
      </c>
      <c r="G50" s="19"/>
      <c r="H50" s="21"/>
      <c r="I50" s="21"/>
      <c r="J50" s="20"/>
      <c r="K50" s="873" t="s">
        <v>264</v>
      </c>
      <c r="L50" s="333">
        <v>1</v>
      </c>
      <c r="M50" s="334">
        <v>90</v>
      </c>
      <c r="N50" s="326">
        <v>43668</v>
      </c>
      <c r="O50" s="334">
        <v>7</v>
      </c>
      <c r="P50" s="335">
        <v>43675</v>
      </c>
      <c r="Q50" s="334">
        <v>7</v>
      </c>
      <c r="R50" s="334">
        <f>1000-500-250</f>
        <v>250</v>
      </c>
      <c r="S50" s="334">
        <f>60-1-50</f>
        <v>9</v>
      </c>
      <c r="T50" s="336">
        <v>112</v>
      </c>
      <c r="U50" s="337">
        <v>50</v>
      </c>
      <c r="V50" s="338">
        <f t="shared" si="6"/>
        <v>5.6</v>
      </c>
      <c r="W50" s="337">
        <v>3</v>
      </c>
      <c r="X50" s="339">
        <v>43682</v>
      </c>
      <c r="Y50" s="337">
        <v>50</v>
      </c>
      <c r="Z50" s="341">
        <v>43683</v>
      </c>
      <c r="AA50" s="340">
        <v>148</v>
      </c>
      <c r="AB50" s="62"/>
      <c r="AC50" s="69">
        <f t="shared" si="7"/>
        <v>740</v>
      </c>
      <c r="AD50" s="69"/>
      <c r="AE50" s="69"/>
      <c r="AF50" s="119"/>
      <c r="AG50" s="119">
        <v>43692</v>
      </c>
      <c r="AH50" s="119"/>
      <c r="AI50" s="119"/>
      <c r="AJ50" s="217">
        <v>2</v>
      </c>
      <c r="AK50" s="62"/>
      <c r="AL50" s="851">
        <v>16</v>
      </c>
      <c r="AM50" s="872" t="s">
        <v>244</v>
      </c>
      <c r="AN50" s="22"/>
    </row>
    <row r="51" spans="1:40" ht="17">
      <c r="A51" s="90" t="s">
        <v>227</v>
      </c>
      <c r="B51" s="18">
        <v>42889</v>
      </c>
      <c r="C51" s="19" t="s">
        <v>97</v>
      </c>
      <c r="D51" s="19" t="s">
        <v>92</v>
      </c>
      <c r="E51" s="19" t="s">
        <v>96</v>
      </c>
      <c r="F51" s="21" t="s">
        <v>156</v>
      </c>
      <c r="G51" s="19"/>
      <c r="H51" s="21"/>
      <c r="I51" s="21"/>
      <c r="J51" s="20"/>
      <c r="K51" s="333">
        <v>487</v>
      </c>
      <c r="L51" s="333">
        <v>1</v>
      </c>
      <c r="M51" s="334">
        <v>30</v>
      </c>
      <c r="N51" s="326">
        <v>43669</v>
      </c>
      <c r="O51" s="334">
        <v>8</v>
      </c>
      <c r="P51" s="335">
        <v>43672</v>
      </c>
      <c r="Q51" s="334">
        <v>5</v>
      </c>
      <c r="R51" s="334">
        <f t="shared" si="8"/>
        <v>500</v>
      </c>
      <c r="S51" s="334">
        <f t="shared" ref="S51:S56" si="9">75-1-50</f>
        <v>24</v>
      </c>
      <c r="T51" s="336">
        <v>112</v>
      </c>
      <c r="U51" s="337">
        <v>50</v>
      </c>
      <c r="V51" s="338">
        <f t="shared" si="6"/>
        <v>5.6</v>
      </c>
      <c r="W51" s="337">
        <v>3</v>
      </c>
      <c r="X51" s="339">
        <v>43682</v>
      </c>
      <c r="Y51" s="337">
        <v>50</v>
      </c>
      <c r="Z51" s="341">
        <v>43683</v>
      </c>
      <c r="AA51" s="340">
        <v>118</v>
      </c>
      <c r="AB51" s="62"/>
      <c r="AC51" s="69">
        <f t="shared" si="7"/>
        <v>590</v>
      </c>
      <c r="AD51" s="69"/>
      <c r="AE51" s="69"/>
      <c r="AF51" s="119"/>
      <c r="AG51" s="119">
        <v>43692</v>
      </c>
      <c r="AH51" s="119"/>
      <c r="AI51" s="119"/>
      <c r="AJ51" s="217">
        <v>2</v>
      </c>
      <c r="AK51" s="62"/>
      <c r="AL51" s="851">
        <v>16</v>
      </c>
      <c r="AM51" s="852">
        <v>1.27</v>
      </c>
      <c r="AN51" s="22"/>
    </row>
    <row r="52" spans="1:40" ht="17">
      <c r="A52" s="90" t="s">
        <v>227</v>
      </c>
      <c r="B52" s="18">
        <v>42890</v>
      </c>
      <c r="C52" s="19" t="s">
        <v>95</v>
      </c>
      <c r="D52" s="19" t="s">
        <v>92</v>
      </c>
      <c r="E52" s="19" t="s">
        <v>96</v>
      </c>
      <c r="F52" s="21" t="s">
        <v>160</v>
      </c>
      <c r="G52" s="19"/>
      <c r="H52" s="21"/>
      <c r="I52" s="21"/>
      <c r="J52" s="20"/>
      <c r="K52" s="333">
        <v>488</v>
      </c>
      <c r="L52" s="333">
        <v>1</v>
      </c>
      <c r="M52" s="334">
        <v>70</v>
      </c>
      <c r="N52" s="326">
        <v>43669</v>
      </c>
      <c r="O52" s="334">
        <v>9</v>
      </c>
      <c r="P52" s="335">
        <v>43672</v>
      </c>
      <c r="Q52" s="334">
        <v>5</v>
      </c>
      <c r="R52" s="334">
        <f t="shared" si="8"/>
        <v>500</v>
      </c>
      <c r="S52" s="334">
        <f t="shared" si="9"/>
        <v>24</v>
      </c>
      <c r="T52" s="336">
        <v>57.2</v>
      </c>
      <c r="U52" s="337">
        <v>50</v>
      </c>
      <c r="V52" s="338">
        <f t="shared" si="6"/>
        <v>2.86</v>
      </c>
      <c r="W52" s="337">
        <v>4</v>
      </c>
      <c r="X52" s="339">
        <v>43682</v>
      </c>
      <c r="Y52" s="337">
        <v>50</v>
      </c>
      <c r="Z52" s="339"/>
      <c r="AA52" s="340">
        <v>60</v>
      </c>
      <c r="AB52" s="62"/>
      <c r="AC52" s="69">
        <f t="shared" si="7"/>
        <v>300</v>
      </c>
      <c r="AD52" s="69"/>
      <c r="AE52" s="69"/>
      <c r="AF52" s="119"/>
      <c r="AG52" s="119">
        <v>43692</v>
      </c>
      <c r="AH52" s="119"/>
      <c r="AI52" s="119"/>
      <c r="AJ52" s="217">
        <v>2</v>
      </c>
      <c r="AK52" s="62"/>
      <c r="AL52" s="117">
        <v>14</v>
      </c>
      <c r="AM52" s="852">
        <v>3.06</v>
      </c>
      <c r="AN52" s="22"/>
    </row>
    <row r="53" spans="1:40" ht="17">
      <c r="A53" s="90" t="s">
        <v>227</v>
      </c>
      <c r="B53" s="18">
        <v>42892</v>
      </c>
      <c r="C53" s="19" t="s">
        <v>95</v>
      </c>
      <c r="D53" s="19" t="s">
        <v>92</v>
      </c>
      <c r="E53" s="19" t="s">
        <v>96</v>
      </c>
      <c r="F53" s="21" t="s">
        <v>165</v>
      </c>
      <c r="G53" s="19"/>
      <c r="H53" s="21"/>
      <c r="I53" s="21"/>
      <c r="J53" s="20"/>
      <c r="K53" s="333">
        <v>489</v>
      </c>
      <c r="L53" s="333">
        <v>1</v>
      </c>
      <c r="M53" s="334">
        <v>10</v>
      </c>
      <c r="N53" s="326">
        <v>43669</v>
      </c>
      <c r="O53" s="334">
        <v>9</v>
      </c>
      <c r="P53" s="335">
        <v>43673</v>
      </c>
      <c r="Q53" s="334">
        <v>6</v>
      </c>
      <c r="R53" s="334">
        <f t="shared" si="8"/>
        <v>500</v>
      </c>
      <c r="S53" s="334">
        <f t="shared" si="9"/>
        <v>24</v>
      </c>
      <c r="T53" s="334">
        <v>57.2</v>
      </c>
      <c r="U53" s="337">
        <v>50</v>
      </c>
      <c r="V53" s="338">
        <f t="shared" si="6"/>
        <v>2.86</v>
      </c>
      <c r="W53" s="337">
        <v>4</v>
      </c>
      <c r="X53" s="339">
        <v>43682</v>
      </c>
      <c r="Y53" s="337">
        <v>50</v>
      </c>
      <c r="Z53" s="339"/>
      <c r="AA53" s="340">
        <v>68</v>
      </c>
      <c r="AB53" s="62"/>
      <c r="AC53" s="69">
        <f t="shared" si="7"/>
        <v>340</v>
      </c>
      <c r="AD53" s="69"/>
      <c r="AE53" s="69"/>
      <c r="AF53" s="119"/>
      <c r="AG53" s="119">
        <v>43692</v>
      </c>
      <c r="AH53" s="119"/>
      <c r="AI53" s="119"/>
      <c r="AJ53" s="217">
        <v>2</v>
      </c>
      <c r="AK53" s="62"/>
      <c r="AL53" s="117">
        <v>15</v>
      </c>
      <c r="AM53" s="852">
        <v>3.84</v>
      </c>
      <c r="AN53" s="22"/>
    </row>
    <row r="54" spans="1:40" ht="17">
      <c r="A54" s="90" t="s">
        <v>227</v>
      </c>
      <c r="B54" s="18">
        <v>42900</v>
      </c>
      <c r="C54" s="19" t="s">
        <v>97</v>
      </c>
      <c r="D54" s="19" t="s">
        <v>92</v>
      </c>
      <c r="E54" s="19" t="s">
        <v>96</v>
      </c>
      <c r="F54" s="21" t="s">
        <v>180</v>
      </c>
      <c r="G54" s="19"/>
      <c r="H54" s="21"/>
      <c r="I54" s="21"/>
      <c r="J54" s="20"/>
      <c r="K54" s="333">
        <v>490</v>
      </c>
      <c r="L54" s="333">
        <v>1</v>
      </c>
      <c r="M54" s="334">
        <v>70</v>
      </c>
      <c r="N54" s="326">
        <v>43668</v>
      </c>
      <c r="O54" s="334">
        <v>7</v>
      </c>
      <c r="P54" s="335">
        <v>43673</v>
      </c>
      <c r="Q54" s="334">
        <v>6</v>
      </c>
      <c r="R54" s="334">
        <f t="shared" si="8"/>
        <v>500</v>
      </c>
      <c r="S54" s="334">
        <f t="shared" si="9"/>
        <v>24</v>
      </c>
      <c r="T54" s="334">
        <v>58.6</v>
      </c>
      <c r="U54" s="337">
        <v>50</v>
      </c>
      <c r="V54" s="338">
        <f t="shared" si="6"/>
        <v>2.93</v>
      </c>
      <c r="W54" s="337">
        <v>4</v>
      </c>
      <c r="X54" s="339">
        <v>43682</v>
      </c>
      <c r="Y54" s="337">
        <v>50</v>
      </c>
      <c r="Z54" s="339"/>
      <c r="AA54" s="340">
        <v>186</v>
      </c>
      <c r="AB54" s="62">
        <f>10479/1000*6</f>
        <v>62.873999999999995</v>
      </c>
      <c r="AC54" s="69">
        <f t="shared" si="7"/>
        <v>930</v>
      </c>
      <c r="AD54" s="58">
        <f>500/AA54</f>
        <v>2.6881720430107525</v>
      </c>
      <c r="AE54" s="230">
        <f>5-AD54</f>
        <v>2.3118279569892475</v>
      </c>
      <c r="AF54" s="119">
        <v>43692</v>
      </c>
      <c r="AG54" s="119">
        <v>43692</v>
      </c>
      <c r="AH54" s="119">
        <v>43697</v>
      </c>
      <c r="AI54" s="119">
        <v>43698</v>
      </c>
      <c r="AJ54" s="217">
        <v>2</v>
      </c>
      <c r="AK54" s="62"/>
      <c r="AL54" s="117">
        <v>14</v>
      </c>
      <c r="AM54" s="852">
        <v>2.3199999999999998</v>
      </c>
      <c r="AN54" s="22" t="s">
        <v>443</v>
      </c>
    </row>
    <row r="55" spans="1:40" ht="17">
      <c r="A55" s="90" t="s">
        <v>227</v>
      </c>
      <c r="B55" s="18">
        <v>42901</v>
      </c>
      <c r="C55" s="19" t="s">
        <v>97</v>
      </c>
      <c r="D55" s="19" t="s">
        <v>92</v>
      </c>
      <c r="E55" s="19" t="s">
        <v>96</v>
      </c>
      <c r="F55" s="21" t="s">
        <v>182</v>
      </c>
      <c r="G55" s="19"/>
      <c r="H55" s="21"/>
      <c r="I55" s="21"/>
      <c r="J55" s="20"/>
      <c r="K55" s="333">
        <v>491</v>
      </c>
      <c r="L55" s="333">
        <v>1</v>
      </c>
      <c r="M55" s="334">
        <v>20</v>
      </c>
      <c r="N55" s="326">
        <v>43668</v>
      </c>
      <c r="O55" s="334">
        <v>5</v>
      </c>
      <c r="P55" s="335">
        <v>43672</v>
      </c>
      <c r="Q55" s="334">
        <v>3</v>
      </c>
      <c r="R55" s="334">
        <f>1000-500</f>
        <v>500</v>
      </c>
      <c r="S55" s="334">
        <f t="shared" si="9"/>
        <v>24</v>
      </c>
      <c r="T55" s="336">
        <v>126</v>
      </c>
      <c r="U55" s="337">
        <v>50</v>
      </c>
      <c r="V55" s="338">
        <f t="shared" si="6"/>
        <v>6.3</v>
      </c>
      <c r="W55" s="337">
        <v>1</v>
      </c>
      <c r="X55" s="339">
        <v>43677</v>
      </c>
      <c r="Y55" s="337">
        <v>50</v>
      </c>
      <c r="Z55" s="339">
        <v>43677</v>
      </c>
      <c r="AA55" s="340">
        <v>58.4</v>
      </c>
      <c r="AB55" s="62"/>
      <c r="AC55" s="69">
        <f t="shared" si="7"/>
        <v>292</v>
      </c>
      <c r="AD55" s="69"/>
      <c r="AE55" s="69"/>
      <c r="AF55" s="119"/>
      <c r="AG55" s="119"/>
      <c r="AH55" s="119"/>
      <c r="AI55" s="119"/>
      <c r="AJ55" s="217">
        <v>2</v>
      </c>
      <c r="AK55" s="62"/>
      <c r="AL55" s="117">
        <v>15</v>
      </c>
      <c r="AM55" s="852">
        <v>6.64</v>
      </c>
      <c r="AN55" s="22"/>
    </row>
    <row r="56" spans="1:40" ht="17">
      <c r="A56" s="90" t="s">
        <v>227</v>
      </c>
      <c r="B56" s="18">
        <v>42922</v>
      </c>
      <c r="C56" s="19" t="s">
        <v>97</v>
      </c>
      <c r="D56" s="19" t="s">
        <v>92</v>
      </c>
      <c r="E56" s="19" t="s">
        <v>96</v>
      </c>
      <c r="F56" s="21" t="s">
        <v>197</v>
      </c>
      <c r="G56" s="19"/>
      <c r="H56" s="21"/>
      <c r="I56" s="21"/>
      <c r="J56" s="20"/>
      <c r="K56" s="333">
        <v>492</v>
      </c>
      <c r="L56" s="333">
        <v>1</v>
      </c>
      <c r="M56" s="334">
        <v>70</v>
      </c>
      <c r="N56" s="326">
        <v>43668</v>
      </c>
      <c r="O56" s="334">
        <v>6</v>
      </c>
      <c r="P56" s="335">
        <v>43672</v>
      </c>
      <c r="Q56" s="334">
        <v>5</v>
      </c>
      <c r="R56" s="334">
        <f>1000-500</f>
        <v>500</v>
      </c>
      <c r="S56" s="334">
        <f t="shared" si="9"/>
        <v>24</v>
      </c>
      <c r="T56" s="336">
        <v>122</v>
      </c>
      <c r="U56" s="337">
        <v>50</v>
      </c>
      <c r="V56" s="338">
        <f t="shared" si="6"/>
        <v>6.1</v>
      </c>
      <c r="W56" s="337">
        <v>3</v>
      </c>
      <c r="X56" s="339">
        <v>43682</v>
      </c>
      <c r="Y56" s="337">
        <v>50</v>
      </c>
      <c r="Z56" s="341">
        <v>43683</v>
      </c>
      <c r="AA56" s="340">
        <v>82.6</v>
      </c>
      <c r="AB56" s="62"/>
      <c r="AC56" s="69">
        <f t="shared" si="7"/>
        <v>413</v>
      </c>
      <c r="AD56" s="69"/>
      <c r="AE56" s="69"/>
      <c r="AF56" s="119">
        <v>43692</v>
      </c>
      <c r="AG56" s="119">
        <v>43692</v>
      </c>
      <c r="AH56" s="119"/>
      <c r="AI56" s="119"/>
      <c r="AJ56" s="217">
        <v>3</v>
      </c>
      <c r="AK56" s="62"/>
      <c r="AL56" s="117">
        <v>15</v>
      </c>
      <c r="AM56" s="852">
        <v>2.02</v>
      </c>
      <c r="AN56" s="22"/>
    </row>
    <row r="57" spans="1:40" ht="17" hidden="1">
      <c r="A57" s="90" t="s">
        <v>227</v>
      </c>
      <c r="B57" s="18">
        <v>42876</v>
      </c>
      <c r="C57" s="19" t="s">
        <v>100</v>
      </c>
      <c r="D57" s="19" t="s">
        <v>92</v>
      </c>
      <c r="E57" s="19" t="s">
        <v>101</v>
      </c>
      <c r="F57" s="21" t="s">
        <v>271</v>
      </c>
      <c r="G57" s="19" t="s">
        <v>201</v>
      </c>
      <c r="H57" s="21" t="s">
        <v>202</v>
      </c>
      <c r="I57" s="21" t="s">
        <v>203</v>
      </c>
      <c r="J57" s="32">
        <v>43665</v>
      </c>
      <c r="K57" s="333">
        <v>501</v>
      </c>
      <c r="L57" s="333">
        <v>1</v>
      </c>
      <c r="M57" s="334" t="s">
        <v>238</v>
      </c>
      <c r="N57" s="326">
        <v>43665</v>
      </c>
      <c r="O57" s="334">
        <v>1</v>
      </c>
      <c r="P57" s="334" t="s">
        <v>237</v>
      </c>
      <c r="Q57" s="334"/>
      <c r="R57" s="334"/>
      <c r="S57" s="334"/>
      <c r="T57" s="334"/>
      <c r="U57" s="337">
        <v>50</v>
      </c>
      <c r="V57" s="338">
        <f t="shared" si="6"/>
        <v>0</v>
      </c>
      <c r="W57" s="337"/>
      <c r="X57" s="339">
        <v>43682</v>
      </c>
      <c r="Y57" s="337">
        <v>50</v>
      </c>
      <c r="Z57" s="339"/>
      <c r="AA57" s="340"/>
      <c r="AB57" s="62"/>
      <c r="AC57" s="69">
        <f t="shared" si="7"/>
        <v>0</v>
      </c>
      <c r="AD57" s="69"/>
      <c r="AE57" s="69"/>
      <c r="AF57" s="119"/>
      <c r="AG57" s="119"/>
      <c r="AH57" s="119"/>
      <c r="AI57" s="119"/>
      <c r="AJ57" s="217"/>
      <c r="AK57" s="62"/>
      <c r="AL57" s="851"/>
      <c r="AM57" s="852"/>
      <c r="AN57" s="22"/>
    </row>
    <row r="58" spans="1:40" s="180" customFormat="1" ht="17">
      <c r="A58" s="172" t="s">
        <v>227</v>
      </c>
      <c r="B58" s="173">
        <v>42876</v>
      </c>
      <c r="C58" s="174" t="s">
        <v>100</v>
      </c>
      <c r="D58" s="174" t="s">
        <v>92</v>
      </c>
      <c r="E58" s="174" t="s">
        <v>101</v>
      </c>
      <c r="F58" s="175" t="s">
        <v>271</v>
      </c>
      <c r="G58" s="174" t="s">
        <v>201</v>
      </c>
      <c r="H58" s="175" t="s">
        <v>202</v>
      </c>
      <c r="I58" s="175" t="s">
        <v>203</v>
      </c>
      <c r="J58" s="183"/>
      <c r="K58" s="873">
        <v>41</v>
      </c>
      <c r="L58" s="333"/>
      <c r="M58" s="334"/>
      <c r="N58" s="326" t="s">
        <v>237</v>
      </c>
      <c r="O58" s="334"/>
      <c r="P58" s="334"/>
      <c r="Q58" s="334"/>
      <c r="R58" s="334"/>
      <c r="S58" s="334"/>
      <c r="T58" s="334"/>
      <c r="U58" s="337">
        <v>50</v>
      </c>
      <c r="V58" s="338">
        <f t="shared" si="6"/>
        <v>0</v>
      </c>
      <c r="W58" s="337"/>
      <c r="X58" s="339">
        <v>43682</v>
      </c>
      <c r="Y58" s="337">
        <v>50</v>
      </c>
      <c r="Z58" s="339"/>
      <c r="AA58" s="340">
        <v>108</v>
      </c>
      <c r="AB58" s="178"/>
      <c r="AC58" s="177">
        <f t="shared" si="7"/>
        <v>540</v>
      </c>
      <c r="AD58" s="177"/>
      <c r="AE58" s="177"/>
      <c r="AF58" s="181">
        <v>43692</v>
      </c>
      <c r="AG58" s="119">
        <v>43692</v>
      </c>
      <c r="AH58" s="181"/>
      <c r="AI58" s="181"/>
      <c r="AJ58" s="221">
        <v>2</v>
      </c>
      <c r="AK58" s="178"/>
      <c r="AL58" s="856">
        <v>17</v>
      </c>
      <c r="AM58" s="872" t="s">
        <v>244</v>
      </c>
      <c r="AN58" s="179"/>
    </row>
    <row r="59" spans="1:40" ht="17">
      <c r="A59" s="90" t="s">
        <v>227</v>
      </c>
      <c r="B59" s="18">
        <v>42878</v>
      </c>
      <c r="C59" s="19" t="s">
        <v>100</v>
      </c>
      <c r="D59" s="19" t="s">
        <v>92</v>
      </c>
      <c r="E59" s="19" t="s">
        <v>101</v>
      </c>
      <c r="F59" s="21" t="s">
        <v>124</v>
      </c>
      <c r="G59" s="19"/>
      <c r="H59" s="21" t="s">
        <v>204</v>
      </c>
      <c r="I59" s="21" t="s">
        <v>205</v>
      </c>
      <c r="J59" s="20"/>
      <c r="K59" s="333">
        <v>43</v>
      </c>
      <c r="L59" s="333"/>
      <c r="M59" s="334"/>
      <c r="N59" s="366" t="s">
        <v>237</v>
      </c>
      <c r="O59" s="334">
        <v>0</v>
      </c>
      <c r="P59" s="326">
        <v>43189</v>
      </c>
      <c r="Q59" s="334">
        <v>0</v>
      </c>
      <c r="R59" s="334">
        <v>0</v>
      </c>
      <c r="S59" s="334">
        <f>20-1+50-50</f>
        <v>19</v>
      </c>
      <c r="T59" s="334" t="s">
        <v>249</v>
      </c>
      <c r="U59" s="337">
        <v>50</v>
      </c>
      <c r="V59" s="338"/>
      <c r="W59" s="337">
        <v>4</v>
      </c>
      <c r="X59" s="339">
        <v>43682</v>
      </c>
      <c r="Y59" s="337">
        <v>50</v>
      </c>
      <c r="Z59" s="341">
        <v>43683</v>
      </c>
      <c r="AA59" s="340">
        <v>156</v>
      </c>
      <c r="AB59" s="62"/>
      <c r="AC59" s="69">
        <f t="shared" si="7"/>
        <v>780</v>
      </c>
      <c r="AD59" s="69"/>
      <c r="AE59" s="69"/>
      <c r="AF59" s="215">
        <v>43692</v>
      </c>
      <c r="AG59" s="119">
        <v>43692</v>
      </c>
      <c r="AH59" s="119"/>
      <c r="AI59" s="119"/>
      <c r="AJ59" s="222">
        <v>2</v>
      </c>
      <c r="AK59" s="62"/>
      <c r="AL59" s="117">
        <v>15</v>
      </c>
      <c r="AM59" s="852">
        <v>2.48</v>
      </c>
      <c r="AN59" s="22" t="s">
        <v>298</v>
      </c>
    </row>
    <row r="60" spans="1:40" ht="17">
      <c r="A60" s="90" t="s">
        <v>227</v>
      </c>
      <c r="B60" s="18">
        <v>42881</v>
      </c>
      <c r="C60" s="19" t="s">
        <v>100</v>
      </c>
      <c r="D60" s="19" t="s">
        <v>92</v>
      </c>
      <c r="E60" s="19" t="s">
        <v>101</v>
      </c>
      <c r="F60" s="21" t="s">
        <v>140</v>
      </c>
      <c r="G60" s="19"/>
      <c r="H60" s="21" t="s">
        <v>208</v>
      </c>
      <c r="I60" s="21" t="s">
        <v>205</v>
      </c>
      <c r="J60" s="20"/>
      <c r="K60" s="873">
        <v>46</v>
      </c>
      <c r="L60" s="333"/>
      <c r="M60" s="334"/>
      <c r="N60" s="326" t="s">
        <v>237</v>
      </c>
      <c r="O60" s="334">
        <v>0</v>
      </c>
      <c r="P60" s="326">
        <v>43189</v>
      </c>
      <c r="Q60" s="334">
        <v>0</v>
      </c>
      <c r="R60" s="334">
        <v>0</v>
      </c>
      <c r="S60" s="334">
        <f>20-1-25</f>
        <v>-6</v>
      </c>
      <c r="T60" s="334">
        <v>88.8</v>
      </c>
      <c r="U60" s="337">
        <v>50</v>
      </c>
      <c r="V60" s="338">
        <f t="shared" ref="V60:V70" si="10">U60*T60/1000</f>
        <v>4.4400000000000004</v>
      </c>
      <c r="W60" s="337">
        <v>4</v>
      </c>
      <c r="X60" s="339">
        <v>43682</v>
      </c>
      <c r="Y60" s="337">
        <v>25</v>
      </c>
      <c r="Z60" s="341">
        <v>43683</v>
      </c>
      <c r="AA60" s="340">
        <v>98.6</v>
      </c>
      <c r="AB60" s="62"/>
      <c r="AC60" s="69">
        <f t="shared" si="7"/>
        <v>493</v>
      </c>
      <c r="AD60" s="69"/>
      <c r="AE60" s="69"/>
      <c r="AF60" s="119"/>
      <c r="AG60" s="119">
        <v>43692</v>
      </c>
      <c r="AH60" s="119"/>
      <c r="AI60" s="119"/>
      <c r="AJ60" s="217">
        <v>2</v>
      </c>
      <c r="AK60" s="62"/>
      <c r="AL60" s="851">
        <v>18</v>
      </c>
      <c r="AM60" s="872" t="s">
        <v>244</v>
      </c>
      <c r="AN60" s="22" t="s">
        <v>299</v>
      </c>
    </row>
    <row r="61" spans="1:40" s="180" customFormat="1" ht="17">
      <c r="A61" s="172" t="s">
        <v>227</v>
      </c>
      <c r="B61" s="173">
        <v>42882</v>
      </c>
      <c r="C61" s="174" t="s">
        <v>100</v>
      </c>
      <c r="D61" s="174" t="s">
        <v>92</v>
      </c>
      <c r="E61" s="174" t="s">
        <v>101</v>
      </c>
      <c r="F61" s="175" t="s">
        <v>142</v>
      </c>
      <c r="G61" s="174" t="s">
        <v>209</v>
      </c>
      <c r="H61" s="175" t="s">
        <v>210</v>
      </c>
      <c r="I61" s="175" t="s">
        <v>203</v>
      </c>
      <c r="J61" s="176"/>
      <c r="K61" s="873">
        <v>47</v>
      </c>
      <c r="L61" s="333"/>
      <c r="M61" s="334"/>
      <c r="N61" s="326" t="s">
        <v>237</v>
      </c>
      <c r="O61" s="334">
        <v>0</v>
      </c>
      <c r="P61" s="326">
        <v>43189</v>
      </c>
      <c r="Q61" s="334">
        <v>0</v>
      </c>
      <c r="R61" s="334">
        <v>0</v>
      </c>
      <c r="S61" s="334" t="s">
        <v>276</v>
      </c>
      <c r="T61" s="334">
        <v>194</v>
      </c>
      <c r="U61" s="337">
        <v>50</v>
      </c>
      <c r="V61" s="338">
        <f t="shared" si="10"/>
        <v>9.6999999999999993</v>
      </c>
      <c r="W61" s="337"/>
      <c r="X61" s="338"/>
      <c r="Y61" s="337">
        <v>50</v>
      </c>
      <c r="Z61" s="338"/>
      <c r="AA61" s="340">
        <v>128</v>
      </c>
      <c r="AB61" s="178"/>
      <c r="AC61" s="177">
        <f t="shared" si="7"/>
        <v>640</v>
      </c>
      <c r="AD61" s="177"/>
      <c r="AE61" s="177"/>
      <c r="AF61" s="181"/>
      <c r="AG61" s="119">
        <v>43692</v>
      </c>
      <c r="AH61" s="181"/>
      <c r="AI61" s="181"/>
      <c r="AJ61" s="221">
        <v>1</v>
      </c>
      <c r="AK61" s="178"/>
      <c r="AL61" s="856">
        <v>17</v>
      </c>
      <c r="AM61" s="872" t="s">
        <v>244</v>
      </c>
      <c r="AN61" s="179"/>
    </row>
    <row r="62" spans="1:40" s="180" customFormat="1" ht="17">
      <c r="A62" s="172" t="s">
        <v>227</v>
      </c>
      <c r="B62" s="173">
        <v>42886</v>
      </c>
      <c r="C62" s="174" t="s">
        <v>114</v>
      </c>
      <c r="D62" s="174" t="s">
        <v>92</v>
      </c>
      <c r="E62" s="174" t="s">
        <v>101</v>
      </c>
      <c r="F62" s="175" t="s">
        <v>148</v>
      </c>
      <c r="G62" s="174"/>
      <c r="H62" s="175" t="s">
        <v>212</v>
      </c>
      <c r="I62" s="175" t="s">
        <v>203</v>
      </c>
      <c r="J62" s="176"/>
      <c r="K62" s="873">
        <v>44</v>
      </c>
      <c r="L62" s="333"/>
      <c r="M62" s="334"/>
      <c r="N62" s="326" t="s">
        <v>237</v>
      </c>
      <c r="O62" s="334">
        <v>0</v>
      </c>
      <c r="P62" s="326">
        <v>43189</v>
      </c>
      <c r="Q62" s="334">
        <v>0</v>
      </c>
      <c r="R62" s="334">
        <v>0</v>
      </c>
      <c r="S62" s="334" t="s">
        <v>276</v>
      </c>
      <c r="T62" s="334" t="s">
        <v>249</v>
      </c>
      <c r="U62" s="337">
        <v>50</v>
      </c>
      <c r="V62" s="338" t="e">
        <f t="shared" si="10"/>
        <v>#VALUE!</v>
      </c>
      <c r="W62" s="337"/>
      <c r="X62" s="338"/>
      <c r="Y62" s="337">
        <v>50</v>
      </c>
      <c r="Z62" s="338"/>
      <c r="AA62" s="340">
        <v>41.4</v>
      </c>
      <c r="AB62" s="178"/>
      <c r="AC62" s="177">
        <f t="shared" si="7"/>
        <v>207</v>
      </c>
      <c r="AD62" s="177"/>
      <c r="AE62" s="177"/>
      <c r="AF62" s="181">
        <v>43692</v>
      </c>
      <c r="AG62" s="119">
        <v>43692</v>
      </c>
      <c r="AH62" s="181"/>
      <c r="AI62" s="181"/>
      <c r="AJ62" s="221">
        <v>1</v>
      </c>
      <c r="AK62" s="178"/>
      <c r="AL62" s="857" t="s">
        <v>731</v>
      </c>
      <c r="AM62" s="872" t="s">
        <v>731</v>
      </c>
      <c r="AN62" s="179"/>
    </row>
    <row r="63" spans="1:40" ht="17">
      <c r="A63" s="90" t="s">
        <v>227</v>
      </c>
      <c r="B63" s="18">
        <v>42900</v>
      </c>
      <c r="C63" s="19" t="s">
        <v>100</v>
      </c>
      <c r="D63" s="19" t="s">
        <v>92</v>
      </c>
      <c r="E63" s="19" t="s">
        <v>101</v>
      </c>
      <c r="F63" s="21" t="s">
        <v>178</v>
      </c>
      <c r="G63" s="19" t="s">
        <v>218</v>
      </c>
      <c r="H63" s="21" t="s">
        <v>232</v>
      </c>
      <c r="I63" s="21" t="s">
        <v>205</v>
      </c>
      <c r="J63" s="20"/>
      <c r="K63" s="333">
        <v>506</v>
      </c>
      <c r="L63" s="333">
        <v>1</v>
      </c>
      <c r="M63" s="334">
        <v>80</v>
      </c>
      <c r="N63" s="326">
        <v>43666</v>
      </c>
      <c r="O63" s="334">
        <v>2</v>
      </c>
      <c r="P63" s="335">
        <v>43670</v>
      </c>
      <c r="Q63" s="334">
        <v>1</v>
      </c>
      <c r="R63" s="334">
        <f>1000-500</f>
        <v>500</v>
      </c>
      <c r="S63" s="334">
        <f>100-1-50</f>
        <v>49</v>
      </c>
      <c r="T63" s="336">
        <v>63.8</v>
      </c>
      <c r="U63" s="337">
        <v>50</v>
      </c>
      <c r="V63" s="338">
        <f t="shared" si="10"/>
        <v>3.19</v>
      </c>
      <c r="W63" s="337">
        <v>1</v>
      </c>
      <c r="X63" s="339">
        <v>43677</v>
      </c>
      <c r="Y63" s="337">
        <v>50</v>
      </c>
      <c r="Z63" s="339">
        <v>43677</v>
      </c>
      <c r="AA63" s="340">
        <v>29.2</v>
      </c>
      <c r="AB63" s="62"/>
      <c r="AC63" s="69">
        <f t="shared" si="7"/>
        <v>146</v>
      </c>
      <c r="AD63" s="69"/>
      <c r="AE63" s="69"/>
      <c r="AF63" s="215">
        <v>43692</v>
      </c>
      <c r="AG63" s="215"/>
      <c r="AH63" s="215"/>
      <c r="AI63" s="215"/>
      <c r="AJ63" s="222">
        <v>2</v>
      </c>
      <c r="AK63" s="62"/>
      <c r="AL63" s="117">
        <v>15</v>
      </c>
      <c r="AM63" s="852">
        <v>1.63</v>
      </c>
      <c r="AN63" s="22"/>
    </row>
    <row r="64" spans="1:40" s="111" customFormat="1" ht="17" hidden="1">
      <c r="A64" s="109" t="s">
        <v>227</v>
      </c>
      <c r="B64" s="56">
        <v>42901</v>
      </c>
      <c r="C64" s="57" t="s">
        <v>100</v>
      </c>
      <c r="D64" s="57" t="s">
        <v>92</v>
      </c>
      <c r="E64" s="57" t="s">
        <v>101</v>
      </c>
      <c r="F64" s="53" t="s">
        <v>183</v>
      </c>
      <c r="G64" s="57" t="s">
        <v>219</v>
      </c>
      <c r="H64" s="53"/>
      <c r="I64" s="53"/>
      <c r="J64" s="54"/>
      <c r="K64" s="342" t="s">
        <v>237</v>
      </c>
      <c r="L64" s="342"/>
      <c r="M64" s="342"/>
      <c r="N64" s="342"/>
      <c r="O64" s="342" t="s">
        <v>237</v>
      </c>
      <c r="P64" s="342" t="s">
        <v>237</v>
      </c>
      <c r="Q64" s="342" t="s">
        <v>237</v>
      </c>
      <c r="R64" s="342" t="s">
        <v>237</v>
      </c>
      <c r="S64" s="342" t="s">
        <v>237</v>
      </c>
      <c r="T64" s="342" t="s">
        <v>237</v>
      </c>
      <c r="U64" s="337">
        <v>50</v>
      </c>
      <c r="V64" s="338" t="e">
        <f t="shared" si="10"/>
        <v>#VALUE!</v>
      </c>
      <c r="W64" s="337"/>
      <c r="X64" s="338"/>
      <c r="Y64" s="337">
        <v>50</v>
      </c>
      <c r="Z64" s="338"/>
      <c r="AA64" s="340"/>
      <c r="AB64" s="62"/>
      <c r="AC64" s="69">
        <f t="shared" si="7"/>
        <v>0</v>
      </c>
      <c r="AD64" s="69"/>
      <c r="AE64" s="69"/>
      <c r="AF64" s="119"/>
      <c r="AG64" s="119"/>
      <c r="AH64" s="119"/>
      <c r="AI64" s="119"/>
      <c r="AJ64" s="217"/>
      <c r="AK64" s="62"/>
      <c r="AL64" s="851"/>
      <c r="AM64" s="852"/>
      <c r="AN64" s="110"/>
    </row>
    <row r="65" spans="1:40" s="180" customFormat="1" ht="17">
      <c r="A65" s="172" t="s">
        <v>227</v>
      </c>
      <c r="B65" s="173">
        <v>42910</v>
      </c>
      <c r="C65" s="174" t="s">
        <v>114</v>
      </c>
      <c r="D65" s="174" t="s">
        <v>92</v>
      </c>
      <c r="E65" s="174" t="s">
        <v>101</v>
      </c>
      <c r="F65" s="175" t="s">
        <v>195</v>
      </c>
      <c r="G65" s="174"/>
      <c r="H65" s="175" t="s">
        <v>225</v>
      </c>
      <c r="I65" s="175" t="s">
        <v>203</v>
      </c>
      <c r="J65" s="176"/>
      <c r="K65" s="873">
        <v>45</v>
      </c>
      <c r="L65" s="333"/>
      <c r="M65" s="334"/>
      <c r="N65" s="326" t="s">
        <v>237</v>
      </c>
      <c r="O65" s="334">
        <v>0</v>
      </c>
      <c r="P65" s="326">
        <v>43189</v>
      </c>
      <c r="Q65" s="334">
        <v>0</v>
      </c>
      <c r="R65" s="334">
        <v>0</v>
      </c>
      <c r="S65" s="334" t="s">
        <v>276</v>
      </c>
      <c r="T65" s="334" t="s">
        <v>249</v>
      </c>
      <c r="U65" s="337">
        <v>50</v>
      </c>
      <c r="V65" s="338" t="e">
        <f t="shared" si="10"/>
        <v>#VALUE!</v>
      </c>
      <c r="W65" s="337"/>
      <c r="X65" s="338"/>
      <c r="Y65" s="337">
        <v>50</v>
      </c>
      <c r="Z65" s="338"/>
      <c r="AA65" s="340">
        <v>25.1</v>
      </c>
      <c r="AB65" s="178"/>
      <c r="AC65" s="177">
        <f t="shared" si="7"/>
        <v>125.5</v>
      </c>
      <c r="AD65" s="177"/>
      <c r="AE65" s="177"/>
      <c r="AF65" s="181"/>
      <c r="AG65" s="119">
        <v>43692</v>
      </c>
      <c r="AH65" s="181"/>
      <c r="AI65" s="181"/>
      <c r="AJ65" s="221">
        <v>1</v>
      </c>
      <c r="AK65" s="62"/>
      <c r="AL65" s="851">
        <v>20</v>
      </c>
      <c r="AM65" s="872" t="s">
        <v>244</v>
      </c>
      <c r="AN65" s="179"/>
    </row>
    <row r="66" spans="1:40" s="180" customFormat="1" ht="17">
      <c r="A66" s="172" t="s">
        <v>227</v>
      </c>
      <c r="B66" s="173">
        <v>42878</v>
      </c>
      <c r="C66" s="174" t="s">
        <v>102</v>
      </c>
      <c r="D66" s="174" t="s">
        <v>92</v>
      </c>
      <c r="E66" s="174" t="s">
        <v>103</v>
      </c>
      <c r="F66" s="175" t="s">
        <v>126</v>
      </c>
      <c r="G66" s="174" t="s">
        <v>206</v>
      </c>
      <c r="H66" s="175" t="s">
        <v>207</v>
      </c>
      <c r="I66" s="175" t="s">
        <v>203</v>
      </c>
      <c r="J66" s="176"/>
      <c r="K66" s="873">
        <v>35</v>
      </c>
      <c r="L66" s="333"/>
      <c r="M66" s="334"/>
      <c r="N66" s="326" t="s">
        <v>237</v>
      </c>
      <c r="O66" s="334">
        <v>0</v>
      </c>
      <c r="P66" s="326">
        <v>43189</v>
      </c>
      <c r="Q66" s="334">
        <v>0</v>
      </c>
      <c r="R66" s="334">
        <v>0</v>
      </c>
      <c r="S66" s="334" t="s">
        <v>276</v>
      </c>
      <c r="T66" s="334">
        <v>71</v>
      </c>
      <c r="U66" s="337">
        <v>50</v>
      </c>
      <c r="V66" s="338">
        <f t="shared" si="10"/>
        <v>3.55</v>
      </c>
      <c r="W66" s="337"/>
      <c r="X66" s="338"/>
      <c r="Y66" s="337">
        <v>50</v>
      </c>
      <c r="Z66" s="338"/>
      <c r="AA66" s="340">
        <v>94.4</v>
      </c>
      <c r="AB66" s="178"/>
      <c r="AC66" s="177">
        <f t="shared" si="7"/>
        <v>472</v>
      </c>
      <c r="AD66" s="177"/>
      <c r="AE66" s="177"/>
      <c r="AF66" s="181"/>
      <c r="AG66" s="119">
        <v>43692</v>
      </c>
      <c r="AH66" s="181"/>
      <c r="AI66" s="181"/>
      <c r="AJ66" s="221">
        <v>1</v>
      </c>
      <c r="AK66" s="178"/>
      <c r="AL66" s="856">
        <v>20</v>
      </c>
      <c r="AM66" s="872" t="s">
        <v>244</v>
      </c>
      <c r="AN66" s="179"/>
    </row>
    <row r="67" spans="1:40" s="111" customFormat="1" ht="17" hidden="1">
      <c r="A67" s="109" t="s">
        <v>227</v>
      </c>
      <c r="B67" s="56">
        <v>42889</v>
      </c>
      <c r="C67" s="57" t="s">
        <v>102</v>
      </c>
      <c r="D67" s="57" t="s">
        <v>92</v>
      </c>
      <c r="E67" s="57" t="s">
        <v>103</v>
      </c>
      <c r="F67" s="53" t="s">
        <v>153</v>
      </c>
      <c r="G67" s="57"/>
      <c r="H67" s="53" t="s">
        <v>213</v>
      </c>
      <c r="I67" s="53" t="s">
        <v>205</v>
      </c>
      <c r="J67" s="54"/>
      <c r="K67" s="342">
        <v>38</v>
      </c>
      <c r="L67" s="342"/>
      <c r="M67" s="343"/>
      <c r="N67" s="344"/>
      <c r="O67" s="343">
        <v>0</v>
      </c>
      <c r="P67" s="344">
        <v>43189</v>
      </c>
      <c r="Q67" s="343">
        <v>0</v>
      </c>
      <c r="R67" s="343">
        <v>0</v>
      </c>
      <c r="S67" s="343">
        <f>20-1-25</f>
        <v>-6</v>
      </c>
      <c r="T67" s="343">
        <v>7.12</v>
      </c>
      <c r="U67" s="337">
        <v>50</v>
      </c>
      <c r="V67" s="338">
        <f t="shared" si="10"/>
        <v>0.35599999999999998</v>
      </c>
      <c r="W67" s="337">
        <v>3</v>
      </c>
      <c r="X67" s="339">
        <v>43682</v>
      </c>
      <c r="Y67" s="337">
        <v>25</v>
      </c>
      <c r="Z67" s="341">
        <v>43683</v>
      </c>
      <c r="AA67" s="340" t="s">
        <v>244</v>
      </c>
      <c r="AB67" s="62"/>
      <c r="AC67" s="69" t="e">
        <f t="shared" si="7"/>
        <v>#VALUE!</v>
      </c>
      <c r="AD67" s="69"/>
      <c r="AE67" s="69"/>
      <c r="AF67" s="119"/>
      <c r="AG67" s="119"/>
      <c r="AH67" s="119"/>
      <c r="AI67" s="119"/>
      <c r="AJ67" s="217"/>
      <c r="AK67" s="62"/>
      <c r="AL67" s="851"/>
      <c r="AM67" s="852"/>
      <c r="AN67" s="22" t="s">
        <v>299</v>
      </c>
    </row>
    <row r="68" spans="1:40" ht="17">
      <c r="A68" s="90" t="s">
        <v>227</v>
      </c>
      <c r="B68" s="18">
        <v>42891</v>
      </c>
      <c r="C68" s="19" t="s">
        <v>102</v>
      </c>
      <c r="D68" s="19" t="s">
        <v>92</v>
      </c>
      <c r="E68" s="19" t="s">
        <v>103</v>
      </c>
      <c r="F68" s="21" t="s">
        <v>161</v>
      </c>
      <c r="G68" s="19" t="s">
        <v>214</v>
      </c>
      <c r="H68" s="21" t="s">
        <v>233</v>
      </c>
      <c r="I68" s="21" t="s">
        <v>205</v>
      </c>
      <c r="J68" s="20"/>
      <c r="K68" s="333">
        <v>513</v>
      </c>
      <c r="L68" s="333"/>
      <c r="M68" s="334">
        <v>30</v>
      </c>
      <c r="N68" s="326">
        <v>43669</v>
      </c>
      <c r="O68" s="334">
        <v>10</v>
      </c>
      <c r="P68" s="335">
        <v>43672</v>
      </c>
      <c r="Q68" s="334">
        <v>5</v>
      </c>
      <c r="R68" s="334">
        <f>1000-500</f>
        <v>500</v>
      </c>
      <c r="S68" s="334">
        <f>75-1-50</f>
        <v>24</v>
      </c>
      <c r="T68" s="336">
        <v>156</v>
      </c>
      <c r="U68" s="337">
        <v>50</v>
      </c>
      <c r="V68" s="338">
        <f t="shared" si="10"/>
        <v>7.8</v>
      </c>
      <c r="W68" s="337">
        <v>1</v>
      </c>
      <c r="X68" s="339">
        <v>43677</v>
      </c>
      <c r="Y68" s="337">
        <v>50</v>
      </c>
      <c r="Z68" s="339">
        <v>43677</v>
      </c>
      <c r="AA68" s="340">
        <v>142</v>
      </c>
      <c r="AB68" s="62">
        <f>12224/1000*6</f>
        <v>73.343999999999994</v>
      </c>
      <c r="AC68" s="69">
        <f t="shared" si="7"/>
        <v>710</v>
      </c>
      <c r="AD68" s="58">
        <f>500/AA68</f>
        <v>3.5211267605633805</v>
      </c>
      <c r="AE68" s="58">
        <f>5-AD68</f>
        <v>1.4788732394366195</v>
      </c>
      <c r="AF68" s="215">
        <v>43692</v>
      </c>
      <c r="AG68" s="215"/>
      <c r="AH68" s="215">
        <v>43697</v>
      </c>
      <c r="AI68" s="119">
        <v>43698</v>
      </c>
      <c r="AJ68" s="222">
        <v>2</v>
      </c>
      <c r="AK68" s="62"/>
      <c r="AL68" s="117">
        <v>15</v>
      </c>
      <c r="AM68" s="852">
        <v>5.92</v>
      </c>
      <c r="AN68" s="22"/>
    </row>
    <row r="69" spans="1:40" s="180" customFormat="1" ht="17">
      <c r="A69" s="172" t="s">
        <v>227</v>
      </c>
      <c r="B69" s="173">
        <v>42892</v>
      </c>
      <c r="C69" s="174" t="s">
        <v>102</v>
      </c>
      <c r="D69" s="174" t="s">
        <v>92</v>
      </c>
      <c r="E69" s="174" t="s">
        <v>103</v>
      </c>
      <c r="F69" s="175" t="s">
        <v>164</v>
      </c>
      <c r="G69" s="174"/>
      <c r="H69" s="175" t="s">
        <v>215</v>
      </c>
      <c r="I69" s="175" t="s">
        <v>203</v>
      </c>
      <c r="J69" s="176"/>
      <c r="K69" s="333">
        <v>39</v>
      </c>
      <c r="L69" s="333"/>
      <c r="M69" s="334"/>
      <c r="N69" s="326" t="s">
        <v>237</v>
      </c>
      <c r="O69" s="334">
        <v>0</v>
      </c>
      <c r="P69" s="326">
        <v>43189</v>
      </c>
      <c r="Q69" s="334">
        <v>0</v>
      </c>
      <c r="R69" s="334">
        <v>0</v>
      </c>
      <c r="S69" s="334"/>
      <c r="T69" s="334" t="s">
        <v>249</v>
      </c>
      <c r="U69" s="337">
        <v>50</v>
      </c>
      <c r="V69" s="338" t="e">
        <f t="shared" si="10"/>
        <v>#VALUE!</v>
      </c>
      <c r="W69" s="337"/>
      <c r="X69" s="338"/>
      <c r="Y69" s="337">
        <v>50</v>
      </c>
      <c r="Z69" s="338"/>
      <c r="AA69" s="340">
        <v>89.8</v>
      </c>
      <c r="AB69" s="178"/>
      <c r="AC69" s="177">
        <f t="shared" si="7"/>
        <v>449</v>
      </c>
      <c r="AD69" s="177"/>
      <c r="AE69" s="177"/>
      <c r="AF69" s="181"/>
      <c r="AG69" s="119">
        <v>43692</v>
      </c>
      <c r="AH69" s="181"/>
      <c r="AI69" s="181"/>
      <c r="AJ69" s="221">
        <v>1</v>
      </c>
      <c r="AK69" s="178"/>
      <c r="AL69" s="117">
        <v>15</v>
      </c>
      <c r="AM69" s="857">
        <v>2.04</v>
      </c>
      <c r="AN69" s="179"/>
    </row>
    <row r="70" spans="1:40" s="180" customFormat="1" ht="17">
      <c r="A70" s="172" t="s">
        <v>227</v>
      </c>
      <c r="B70" s="173">
        <v>42901</v>
      </c>
      <c r="C70" s="174" t="s">
        <v>102</v>
      </c>
      <c r="D70" s="174" t="s">
        <v>92</v>
      </c>
      <c r="E70" s="174" t="s">
        <v>103</v>
      </c>
      <c r="F70" s="175" t="s">
        <v>185</v>
      </c>
      <c r="G70" s="174" t="s">
        <v>220</v>
      </c>
      <c r="H70" s="175" t="s">
        <v>221</v>
      </c>
      <c r="I70" s="175" t="s">
        <v>203</v>
      </c>
      <c r="J70" s="176"/>
      <c r="K70" s="873">
        <v>37</v>
      </c>
      <c r="L70" s="333"/>
      <c r="M70" s="334"/>
      <c r="N70" s="326" t="s">
        <v>237</v>
      </c>
      <c r="O70" s="334">
        <v>0</v>
      </c>
      <c r="P70" s="326">
        <v>43189</v>
      </c>
      <c r="Q70" s="334">
        <v>0</v>
      </c>
      <c r="R70" s="334">
        <v>0</v>
      </c>
      <c r="S70" s="334"/>
      <c r="T70" s="334">
        <v>122</v>
      </c>
      <c r="U70" s="337">
        <v>50</v>
      </c>
      <c r="V70" s="338">
        <f t="shared" si="10"/>
        <v>6.1</v>
      </c>
      <c r="W70" s="337"/>
      <c r="X70" s="338"/>
      <c r="Y70" s="337">
        <v>50</v>
      </c>
      <c r="Z70" s="338"/>
      <c r="AA70" s="340">
        <v>74.599999999999994</v>
      </c>
      <c r="AB70" s="178"/>
      <c r="AC70" s="177">
        <f t="shared" si="7"/>
        <v>373</v>
      </c>
      <c r="AD70" s="177"/>
      <c r="AE70" s="177"/>
      <c r="AF70" s="181">
        <v>43692</v>
      </c>
      <c r="AG70" s="119">
        <v>43692</v>
      </c>
      <c r="AH70" s="181"/>
      <c r="AI70" s="181"/>
      <c r="AJ70" s="221">
        <v>1</v>
      </c>
      <c r="AK70" s="178"/>
      <c r="AL70" s="856">
        <v>20</v>
      </c>
      <c r="AM70" s="872" t="s">
        <v>244</v>
      </c>
      <c r="AN70" s="179"/>
    </row>
    <row r="71" spans="1:40" s="111" customFormat="1" ht="17" hidden="1">
      <c r="A71" s="109" t="s">
        <v>227</v>
      </c>
      <c r="B71" s="56">
        <v>42903</v>
      </c>
      <c r="C71" s="57" t="s">
        <v>102</v>
      </c>
      <c r="D71" s="57" t="s">
        <v>92</v>
      </c>
      <c r="E71" s="57" t="s">
        <v>103</v>
      </c>
      <c r="F71" s="53" t="s">
        <v>187</v>
      </c>
      <c r="G71" s="57"/>
      <c r="H71" s="53" t="s">
        <v>234</v>
      </c>
      <c r="I71" s="53" t="s">
        <v>205</v>
      </c>
      <c r="J71" s="54"/>
      <c r="K71" s="342">
        <v>40</v>
      </c>
      <c r="L71" s="342"/>
      <c r="M71" s="343"/>
      <c r="N71" s="344"/>
      <c r="O71" s="334">
        <v>0</v>
      </c>
      <c r="P71" s="326">
        <v>43189</v>
      </c>
      <c r="Q71" s="334">
        <v>0</v>
      </c>
      <c r="R71" s="334">
        <v>0</v>
      </c>
      <c r="S71" s="334"/>
      <c r="T71" s="343" t="s">
        <v>244</v>
      </c>
      <c r="U71" s="337">
        <v>50</v>
      </c>
      <c r="V71" s="338"/>
      <c r="W71" s="337"/>
      <c r="X71" s="338"/>
      <c r="Y71" s="337">
        <v>50</v>
      </c>
      <c r="Z71" s="338"/>
      <c r="AA71" s="340"/>
      <c r="AB71" s="62"/>
      <c r="AC71" s="69">
        <f t="shared" si="7"/>
        <v>0</v>
      </c>
      <c r="AD71" s="69"/>
      <c r="AE71" s="69"/>
      <c r="AF71" s="119"/>
      <c r="AG71" s="119">
        <v>43692</v>
      </c>
      <c r="AH71" s="181"/>
      <c r="AI71" s="181"/>
      <c r="AJ71" s="217"/>
      <c r="AK71" s="62"/>
      <c r="AL71" s="851"/>
      <c r="AM71" s="852"/>
      <c r="AN71" s="110"/>
    </row>
    <row r="72" spans="1:40" s="180" customFormat="1" ht="17">
      <c r="A72" s="172" t="s">
        <v>227</v>
      </c>
      <c r="B72" s="173">
        <v>42905</v>
      </c>
      <c r="C72" s="174" t="s">
        <v>121</v>
      </c>
      <c r="D72" s="174" t="s">
        <v>92</v>
      </c>
      <c r="E72" s="174" t="s">
        <v>103</v>
      </c>
      <c r="F72" s="175" t="s">
        <v>193</v>
      </c>
      <c r="G72" s="174" t="s">
        <v>223</v>
      </c>
      <c r="H72" s="175" t="s">
        <v>224</v>
      </c>
      <c r="I72" s="175" t="s">
        <v>203</v>
      </c>
      <c r="J72" s="176"/>
      <c r="K72" s="873">
        <v>34</v>
      </c>
      <c r="L72" s="333"/>
      <c r="M72" s="334"/>
      <c r="N72" s="326" t="s">
        <v>237</v>
      </c>
      <c r="O72" s="334">
        <v>0</v>
      </c>
      <c r="P72" s="326">
        <v>43189</v>
      </c>
      <c r="Q72" s="334">
        <v>0</v>
      </c>
      <c r="R72" s="334">
        <v>0</v>
      </c>
      <c r="S72" s="334"/>
      <c r="T72" s="334">
        <v>61.2</v>
      </c>
      <c r="U72" s="337">
        <v>50</v>
      </c>
      <c r="V72" s="338">
        <f t="shared" ref="V72:V83" si="11">U72*T72/1000</f>
        <v>3.06</v>
      </c>
      <c r="W72" s="337"/>
      <c r="X72" s="338"/>
      <c r="Y72" s="337">
        <v>50</v>
      </c>
      <c r="Z72" s="338"/>
      <c r="AA72" s="340">
        <v>104</v>
      </c>
      <c r="AB72" s="178"/>
      <c r="AC72" s="177">
        <f t="shared" si="7"/>
        <v>520</v>
      </c>
      <c r="AD72" s="177"/>
      <c r="AE72" s="177"/>
      <c r="AF72" s="181"/>
      <c r="AG72" s="119">
        <v>43692</v>
      </c>
      <c r="AH72" s="181"/>
      <c r="AI72" s="181"/>
      <c r="AJ72" s="221">
        <v>1</v>
      </c>
      <c r="AK72" s="178"/>
      <c r="AL72" s="856">
        <v>18</v>
      </c>
      <c r="AM72" s="872" t="s">
        <v>244</v>
      </c>
      <c r="AN72" s="179"/>
    </row>
    <row r="73" spans="1:40" ht="17">
      <c r="A73" s="90" t="s">
        <v>227</v>
      </c>
      <c r="B73" s="18">
        <v>42876</v>
      </c>
      <c r="C73" s="19" t="s">
        <v>91</v>
      </c>
      <c r="D73" s="19" t="s">
        <v>92</v>
      </c>
      <c r="E73" s="19" t="s">
        <v>93</v>
      </c>
      <c r="F73" s="21" t="s">
        <v>270</v>
      </c>
      <c r="G73" s="19"/>
      <c r="H73" s="21"/>
      <c r="I73" s="21"/>
      <c r="J73" s="20"/>
      <c r="K73" s="873">
        <v>521</v>
      </c>
      <c r="L73" s="333">
        <v>1</v>
      </c>
      <c r="M73" s="334">
        <v>70</v>
      </c>
      <c r="N73" s="326">
        <v>43666</v>
      </c>
      <c r="O73" s="334">
        <v>2</v>
      </c>
      <c r="P73" s="335">
        <v>43670</v>
      </c>
      <c r="Q73" s="334">
        <v>1</v>
      </c>
      <c r="R73" s="334">
        <f>1000-500-250</f>
        <v>250</v>
      </c>
      <c r="S73" s="334">
        <f>100-1-50</f>
        <v>49</v>
      </c>
      <c r="T73" s="336">
        <v>54.4</v>
      </c>
      <c r="U73" s="337">
        <v>50</v>
      </c>
      <c r="V73" s="338">
        <f t="shared" si="11"/>
        <v>2.72</v>
      </c>
      <c r="W73" s="337">
        <v>1</v>
      </c>
      <c r="X73" s="339">
        <v>43677</v>
      </c>
      <c r="Y73" s="337">
        <v>50</v>
      </c>
      <c r="Z73" s="339">
        <v>43677</v>
      </c>
      <c r="AA73" s="340">
        <v>66.599999999999994</v>
      </c>
      <c r="AB73" s="62"/>
      <c r="AC73" s="69">
        <f t="shared" si="7"/>
        <v>333</v>
      </c>
      <c r="AD73" s="69"/>
      <c r="AE73" s="69"/>
      <c r="AF73" s="119"/>
      <c r="AG73" s="119"/>
      <c r="AH73" s="119"/>
      <c r="AI73" s="119"/>
      <c r="AJ73" s="217">
        <v>1</v>
      </c>
      <c r="AK73" s="62"/>
      <c r="AL73" s="851">
        <v>17</v>
      </c>
      <c r="AM73" s="872" t="s">
        <v>244</v>
      </c>
      <c r="AN73" s="22"/>
    </row>
    <row r="74" spans="1:40" ht="17" hidden="1">
      <c r="A74" s="90"/>
      <c r="B74" s="18">
        <v>42876</v>
      </c>
      <c r="C74" s="19" t="s">
        <v>91</v>
      </c>
      <c r="D74" s="19" t="s">
        <v>92</v>
      </c>
      <c r="E74" s="19" t="s">
        <v>93</v>
      </c>
      <c r="F74" s="21" t="s">
        <v>270</v>
      </c>
      <c r="G74" s="19"/>
      <c r="H74" s="21"/>
      <c r="I74" s="21"/>
      <c r="J74" s="20"/>
      <c r="K74" s="333" t="s">
        <v>265</v>
      </c>
      <c r="L74" s="333">
        <v>1</v>
      </c>
      <c r="M74" s="334">
        <v>70</v>
      </c>
      <c r="N74" s="326">
        <v>43666</v>
      </c>
      <c r="O74" s="334">
        <v>2</v>
      </c>
      <c r="P74" s="335">
        <v>43675</v>
      </c>
      <c r="Q74" s="334">
        <v>7</v>
      </c>
      <c r="R74" s="334">
        <f>1000-500-250</f>
        <v>250</v>
      </c>
      <c r="S74" s="334">
        <f>60-1</f>
        <v>59</v>
      </c>
      <c r="T74" s="336">
        <v>45</v>
      </c>
      <c r="U74" s="337">
        <v>50</v>
      </c>
      <c r="V74" s="338">
        <f t="shared" si="11"/>
        <v>2.25</v>
      </c>
      <c r="W74" s="337"/>
      <c r="X74" s="338"/>
      <c r="Y74" s="337">
        <v>50</v>
      </c>
      <c r="Z74" s="338"/>
      <c r="AA74" s="340"/>
      <c r="AB74" s="62"/>
      <c r="AC74" s="69">
        <f t="shared" si="7"/>
        <v>0</v>
      </c>
      <c r="AD74" s="69"/>
      <c r="AE74" s="69"/>
      <c r="AF74" s="119"/>
      <c r="AG74" s="119"/>
      <c r="AH74" s="119"/>
      <c r="AI74" s="119"/>
      <c r="AJ74" s="217"/>
      <c r="AK74" s="62"/>
      <c r="AL74" s="851"/>
      <c r="AM74" s="852"/>
      <c r="AN74" s="22"/>
    </row>
    <row r="75" spans="1:40" ht="17">
      <c r="A75" s="90" t="s">
        <v>227</v>
      </c>
      <c r="B75" s="18">
        <v>42877</v>
      </c>
      <c r="C75" s="19" t="s">
        <v>91</v>
      </c>
      <c r="D75" s="19" t="s">
        <v>92</v>
      </c>
      <c r="E75" s="19" t="s">
        <v>93</v>
      </c>
      <c r="F75" s="21" t="s">
        <v>123</v>
      </c>
      <c r="G75" s="19"/>
      <c r="H75" s="21"/>
      <c r="I75" s="21"/>
      <c r="J75" s="20"/>
      <c r="K75" s="333">
        <v>522</v>
      </c>
      <c r="L75" s="333">
        <v>1</v>
      </c>
      <c r="M75" s="334">
        <v>20</v>
      </c>
      <c r="N75" s="326">
        <v>43668</v>
      </c>
      <c r="O75" s="334">
        <v>5</v>
      </c>
      <c r="P75" s="335">
        <v>43672</v>
      </c>
      <c r="Q75" s="334">
        <v>3</v>
      </c>
      <c r="R75" s="334">
        <f>1000-500-250</f>
        <v>250</v>
      </c>
      <c r="S75" s="334">
        <f t="shared" ref="S75:S83" si="12">75-1-50</f>
        <v>24</v>
      </c>
      <c r="T75" s="336">
        <v>60.8</v>
      </c>
      <c r="U75" s="337">
        <v>50</v>
      </c>
      <c r="V75" s="338">
        <f t="shared" si="11"/>
        <v>3.04</v>
      </c>
      <c r="W75" s="337">
        <v>1</v>
      </c>
      <c r="X75" s="339">
        <v>43677</v>
      </c>
      <c r="Y75" s="337">
        <v>50</v>
      </c>
      <c r="Z75" s="339">
        <v>43677</v>
      </c>
      <c r="AA75" s="340">
        <v>32.200000000000003</v>
      </c>
      <c r="AB75" s="62"/>
      <c r="AC75" s="69">
        <f t="shared" si="7"/>
        <v>161</v>
      </c>
      <c r="AD75" s="69"/>
      <c r="AE75" s="69"/>
      <c r="AF75" s="119"/>
      <c r="AG75" s="119"/>
      <c r="AH75" s="119"/>
      <c r="AI75" s="119"/>
      <c r="AJ75" s="217">
        <v>1</v>
      </c>
      <c r="AK75" s="62"/>
      <c r="AL75" s="851">
        <v>16</v>
      </c>
      <c r="AM75" s="852">
        <v>2.42</v>
      </c>
      <c r="AN75" s="22"/>
    </row>
    <row r="76" spans="1:40" ht="17" hidden="1">
      <c r="A76" s="90"/>
      <c r="B76" s="18">
        <v>42877</v>
      </c>
      <c r="C76" s="19" t="s">
        <v>91</v>
      </c>
      <c r="D76" s="19" t="s">
        <v>92</v>
      </c>
      <c r="E76" s="19" t="s">
        <v>93</v>
      </c>
      <c r="F76" s="21" t="s">
        <v>123</v>
      </c>
      <c r="G76" s="19"/>
      <c r="H76" s="21"/>
      <c r="I76" s="21"/>
      <c r="J76" s="20"/>
      <c r="K76" s="333" t="s">
        <v>266</v>
      </c>
      <c r="L76" s="333">
        <v>1</v>
      </c>
      <c r="M76" s="334">
        <v>20</v>
      </c>
      <c r="N76" s="326">
        <v>43668</v>
      </c>
      <c r="O76" s="334">
        <v>5</v>
      </c>
      <c r="P76" s="335">
        <v>43675</v>
      </c>
      <c r="Q76" s="334">
        <v>7</v>
      </c>
      <c r="R76" s="334">
        <f>1000-500-250</f>
        <v>250</v>
      </c>
      <c r="S76" s="334">
        <f t="shared" si="12"/>
        <v>24</v>
      </c>
      <c r="T76" s="336">
        <v>48.8</v>
      </c>
      <c r="U76" s="337">
        <v>50</v>
      </c>
      <c r="V76" s="338">
        <f t="shared" si="11"/>
        <v>2.44</v>
      </c>
      <c r="W76" s="337"/>
      <c r="X76" s="338"/>
      <c r="Y76" s="337">
        <v>50</v>
      </c>
      <c r="Z76" s="338"/>
      <c r="AA76" s="340"/>
      <c r="AB76" s="62"/>
      <c r="AC76" s="69">
        <f t="shared" si="7"/>
        <v>0</v>
      </c>
      <c r="AD76" s="69"/>
      <c r="AE76" s="69"/>
      <c r="AF76" s="119"/>
      <c r="AG76" s="119"/>
      <c r="AH76" s="119"/>
      <c r="AI76" s="119"/>
      <c r="AJ76" s="217"/>
      <c r="AK76" s="62"/>
      <c r="AL76" s="851"/>
      <c r="AM76" s="852"/>
      <c r="AN76" s="22"/>
    </row>
    <row r="77" spans="1:40" ht="17">
      <c r="A77" s="90" t="s">
        <v>227</v>
      </c>
      <c r="B77" s="18">
        <v>42882</v>
      </c>
      <c r="C77" s="19" t="s">
        <v>94</v>
      </c>
      <c r="D77" s="19" t="s">
        <v>92</v>
      </c>
      <c r="E77" s="19" t="s">
        <v>93</v>
      </c>
      <c r="F77" s="21" t="s">
        <v>141</v>
      </c>
      <c r="G77" s="19"/>
      <c r="H77" s="21"/>
      <c r="I77" s="21"/>
      <c r="J77" s="20"/>
      <c r="K77" s="333">
        <v>523</v>
      </c>
      <c r="L77" s="333">
        <v>1</v>
      </c>
      <c r="M77" s="334">
        <v>30</v>
      </c>
      <c r="N77" s="326">
        <v>43668</v>
      </c>
      <c r="O77" s="334">
        <v>6</v>
      </c>
      <c r="P77" s="335">
        <v>43672</v>
      </c>
      <c r="Q77" s="334">
        <v>4</v>
      </c>
      <c r="R77" s="334">
        <f t="shared" ref="R77:R83" si="13">1000-500</f>
        <v>500</v>
      </c>
      <c r="S77" s="334">
        <f t="shared" si="12"/>
        <v>24</v>
      </c>
      <c r="T77" s="336">
        <v>60.6</v>
      </c>
      <c r="U77" s="337">
        <v>50</v>
      </c>
      <c r="V77" s="338">
        <f t="shared" si="11"/>
        <v>3.03</v>
      </c>
      <c r="W77" s="337">
        <v>3</v>
      </c>
      <c r="X77" s="339">
        <v>43682</v>
      </c>
      <c r="Y77" s="337">
        <v>50</v>
      </c>
      <c r="Z77" s="341">
        <v>43683</v>
      </c>
      <c r="AA77" s="340">
        <v>71.400000000000006</v>
      </c>
      <c r="AB77" s="62"/>
      <c r="AC77" s="69">
        <f t="shared" si="7"/>
        <v>357</v>
      </c>
      <c r="AD77" s="69"/>
      <c r="AE77" s="69"/>
      <c r="AF77" s="215">
        <v>43692</v>
      </c>
      <c r="AG77" s="119">
        <v>43692</v>
      </c>
      <c r="AH77" s="119"/>
      <c r="AI77" s="119"/>
      <c r="AJ77" s="222">
        <v>3</v>
      </c>
      <c r="AK77" s="62"/>
      <c r="AL77" s="851">
        <v>16</v>
      </c>
      <c r="AM77" s="852">
        <v>2.16</v>
      </c>
      <c r="AN77" s="22"/>
    </row>
    <row r="78" spans="1:40" ht="17">
      <c r="A78" s="90" t="s">
        <v>227</v>
      </c>
      <c r="B78" s="18">
        <v>42882</v>
      </c>
      <c r="C78" s="19" t="s">
        <v>94</v>
      </c>
      <c r="D78" s="19" t="s">
        <v>92</v>
      </c>
      <c r="E78" s="19" t="s">
        <v>93</v>
      </c>
      <c r="F78" s="21" t="s">
        <v>144</v>
      </c>
      <c r="G78" s="19"/>
      <c r="H78" s="21"/>
      <c r="I78" s="21"/>
      <c r="J78" s="20"/>
      <c r="K78" s="333">
        <v>524</v>
      </c>
      <c r="L78" s="333">
        <v>1</v>
      </c>
      <c r="M78" s="334">
        <v>80</v>
      </c>
      <c r="N78" s="326">
        <v>43668</v>
      </c>
      <c r="O78" s="334">
        <v>7</v>
      </c>
      <c r="P78" s="335">
        <v>43672</v>
      </c>
      <c r="Q78" s="334">
        <v>4</v>
      </c>
      <c r="R78" s="334">
        <f t="shared" si="13"/>
        <v>500</v>
      </c>
      <c r="S78" s="334">
        <f t="shared" si="12"/>
        <v>24</v>
      </c>
      <c r="T78" s="336">
        <v>80.8</v>
      </c>
      <c r="U78" s="337">
        <v>50</v>
      </c>
      <c r="V78" s="338">
        <f t="shared" si="11"/>
        <v>4.04</v>
      </c>
      <c r="W78" s="337">
        <v>3</v>
      </c>
      <c r="X78" s="339">
        <v>43682</v>
      </c>
      <c r="Y78" s="337">
        <v>50</v>
      </c>
      <c r="Z78" s="341">
        <v>43683</v>
      </c>
      <c r="AA78" s="340">
        <v>63</v>
      </c>
      <c r="AB78" s="62"/>
      <c r="AC78" s="69">
        <f t="shared" si="7"/>
        <v>315</v>
      </c>
      <c r="AD78" s="69"/>
      <c r="AE78" s="69"/>
      <c r="AF78" s="119"/>
      <c r="AG78" s="119">
        <v>43692</v>
      </c>
      <c r="AH78" s="119"/>
      <c r="AI78" s="119"/>
      <c r="AJ78" s="217">
        <v>2</v>
      </c>
      <c r="AK78" s="62"/>
      <c r="AL78" s="117">
        <v>14</v>
      </c>
      <c r="AM78" s="852">
        <v>3.24</v>
      </c>
      <c r="AN78" s="22"/>
    </row>
    <row r="79" spans="1:40" ht="17">
      <c r="A79" s="90" t="s">
        <v>227</v>
      </c>
      <c r="B79" s="18">
        <v>42884</v>
      </c>
      <c r="C79" s="19" t="s">
        <v>94</v>
      </c>
      <c r="D79" s="19" t="s">
        <v>92</v>
      </c>
      <c r="E79" s="19" t="s">
        <v>93</v>
      </c>
      <c r="F79" s="21" t="s">
        <v>146</v>
      </c>
      <c r="G79" s="19"/>
      <c r="H79" s="21"/>
      <c r="I79" s="21"/>
      <c r="J79" s="20"/>
      <c r="K79" s="333">
        <v>525</v>
      </c>
      <c r="L79" s="333">
        <v>1</v>
      </c>
      <c r="M79" s="334">
        <v>30</v>
      </c>
      <c r="N79" s="326">
        <v>43669</v>
      </c>
      <c r="O79" s="334">
        <v>8</v>
      </c>
      <c r="P79" s="335">
        <v>43672</v>
      </c>
      <c r="Q79" s="334">
        <v>5</v>
      </c>
      <c r="R79" s="334">
        <f t="shared" si="13"/>
        <v>500</v>
      </c>
      <c r="S79" s="334">
        <f t="shared" si="12"/>
        <v>24</v>
      </c>
      <c r="T79" s="336">
        <v>128</v>
      </c>
      <c r="U79" s="337">
        <v>50</v>
      </c>
      <c r="V79" s="338">
        <f t="shared" si="11"/>
        <v>6.4</v>
      </c>
      <c r="W79" s="337">
        <v>3</v>
      </c>
      <c r="X79" s="339">
        <v>43682</v>
      </c>
      <c r="Y79" s="337">
        <v>50</v>
      </c>
      <c r="Z79" s="341">
        <v>43683</v>
      </c>
      <c r="AA79" s="340">
        <v>140</v>
      </c>
      <c r="AB79" s="62"/>
      <c r="AC79" s="69">
        <f t="shared" si="7"/>
        <v>700</v>
      </c>
      <c r="AD79" s="69"/>
      <c r="AE79" s="69"/>
      <c r="AF79" s="119"/>
      <c r="AG79" s="119">
        <v>43692</v>
      </c>
      <c r="AH79" s="119"/>
      <c r="AI79" s="119"/>
      <c r="AJ79" s="217">
        <v>2</v>
      </c>
      <c r="AK79" s="62"/>
      <c r="AL79" s="117">
        <v>14</v>
      </c>
      <c r="AM79" s="852">
        <v>2.44</v>
      </c>
      <c r="AN79" s="22"/>
    </row>
    <row r="80" spans="1:40" ht="17">
      <c r="A80" s="90" t="s">
        <v>227</v>
      </c>
      <c r="B80" s="18">
        <v>42886</v>
      </c>
      <c r="C80" s="19" t="s">
        <v>91</v>
      </c>
      <c r="D80" s="19" t="s">
        <v>92</v>
      </c>
      <c r="E80" s="19" t="s">
        <v>93</v>
      </c>
      <c r="F80" s="21" t="s">
        <v>149</v>
      </c>
      <c r="G80" s="19"/>
      <c r="H80" s="21"/>
      <c r="I80" s="21"/>
      <c r="J80" s="20"/>
      <c r="K80" s="333">
        <v>526</v>
      </c>
      <c r="L80" s="333">
        <v>1</v>
      </c>
      <c r="M80" s="334">
        <v>30</v>
      </c>
      <c r="N80" s="326">
        <v>43669</v>
      </c>
      <c r="O80" s="334">
        <v>9</v>
      </c>
      <c r="P80" s="335">
        <v>43673</v>
      </c>
      <c r="Q80" s="334">
        <v>6</v>
      </c>
      <c r="R80" s="334">
        <f t="shared" si="13"/>
        <v>500</v>
      </c>
      <c r="S80" s="334">
        <f t="shared" si="12"/>
        <v>24</v>
      </c>
      <c r="T80" s="336">
        <v>65.2</v>
      </c>
      <c r="U80" s="337">
        <v>50</v>
      </c>
      <c r="V80" s="338">
        <f t="shared" si="11"/>
        <v>3.26</v>
      </c>
      <c r="W80" s="337">
        <v>3</v>
      </c>
      <c r="X80" s="339">
        <v>43682</v>
      </c>
      <c r="Y80" s="337">
        <v>50</v>
      </c>
      <c r="Z80" s="341">
        <v>43683</v>
      </c>
      <c r="AA80" s="340">
        <v>138</v>
      </c>
      <c r="AB80" s="62"/>
      <c r="AC80" s="69">
        <f t="shared" si="7"/>
        <v>690</v>
      </c>
      <c r="AD80" s="69"/>
      <c r="AE80" s="69"/>
      <c r="AF80" s="119"/>
      <c r="AG80" s="119">
        <v>43692</v>
      </c>
      <c r="AH80" s="119"/>
      <c r="AI80" s="119"/>
      <c r="AJ80" s="217">
        <v>2</v>
      </c>
      <c r="AK80" s="62"/>
      <c r="AL80" s="117">
        <v>14</v>
      </c>
      <c r="AM80" s="852">
        <v>2.2000000000000002</v>
      </c>
      <c r="AN80" s="22"/>
    </row>
    <row r="81" spans="1:40" ht="17">
      <c r="A81" s="90" t="s">
        <v>227</v>
      </c>
      <c r="B81" s="18">
        <v>42900</v>
      </c>
      <c r="C81" s="19" t="s">
        <v>94</v>
      </c>
      <c r="D81" s="19" t="s">
        <v>92</v>
      </c>
      <c r="E81" s="19" t="s">
        <v>93</v>
      </c>
      <c r="F81" s="21" t="s">
        <v>177</v>
      </c>
      <c r="G81" s="19"/>
      <c r="H81" s="21"/>
      <c r="I81" s="21"/>
      <c r="J81" s="20"/>
      <c r="K81" s="333">
        <v>527</v>
      </c>
      <c r="L81" s="333">
        <v>1</v>
      </c>
      <c r="M81" s="334">
        <v>90</v>
      </c>
      <c r="N81" s="326">
        <v>43668</v>
      </c>
      <c r="O81" s="334">
        <v>6</v>
      </c>
      <c r="P81" s="335">
        <v>43673</v>
      </c>
      <c r="Q81" s="334">
        <v>6</v>
      </c>
      <c r="R81" s="334">
        <f t="shared" si="13"/>
        <v>500</v>
      </c>
      <c r="S81" s="334">
        <f t="shared" si="12"/>
        <v>24</v>
      </c>
      <c r="T81" s="336">
        <v>81.400000000000006</v>
      </c>
      <c r="U81" s="337">
        <v>50</v>
      </c>
      <c r="V81" s="338">
        <f t="shared" si="11"/>
        <v>4.07</v>
      </c>
      <c r="W81" s="337">
        <v>4</v>
      </c>
      <c r="X81" s="339">
        <v>43682</v>
      </c>
      <c r="Y81" s="337">
        <v>50</v>
      </c>
      <c r="Z81" s="339"/>
      <c r="AA81" s="340">
        <v>124</v>
      </c>
      <c r="AB81" s="62"/>
      <c r="AC81" s="69">
        <f t="shared" si="7"/>
        <v>620</v>
      </c>
      <c r="AD81" s="69"/>
      <c r="AE81" s="69"/>
      <c r="AF81" s="215">
        <v>43692</v>
      </c>
      <c r="AG81" s="119">
        <v>43692</v>
      </c>
      <c r="AH81" s="119"/>
      <c r="AI81" s="119"/>
      <c r="AJ81" s="222">
        <v>2</v>
      </c>
      <c r="AK81" s="62"/>
      <c r="AL81" s="117">
        <v>15</v>
      </c>
      <c r="AM81" s="852">
        <v>1.42</v>
      </c>
      <c r="AN81" s="22"/>
    </row>
    <row r="82" spans="1:40" ht="17">
      <c r="A82" s="90" t="s">
        <v>227</v>
      </c>
      <c r="B82" s="18">
        <v>42901</v>
      </c>
      <c r="C82" s="19" t="s">
        <v>94</v>
      </c>
      <c r="D82" s="19" t="s">
        <v>92</v>
      </c>
      <c r="E82" s="19" t="s">
        <v>93</v>
      </c>
      <c r="F82" s="21" t="s">
        <v>184</v>
      </c>
      <c r="G82" s="19"/>
      <c r="H82" s="21"/>
      <c r="I82" s="21"/>
      <c r="J82" s="20"/>
      <c r="K82" s="333">
        <v>528</v>
      </c>
      <c r="L82" s="333">
        <v>1</v>
      </c>
      <c r="M82" s="334">
        <v>30</v>
      </c>
      <c r="N82" s="326">
        <v>43669</v>
      </c>
      <c r="O82" s="334">
        <v>8</v>
      </c>
      <c r="P82" s="335">
        <v>43672</v>
      </c>
      <c r="Q82" s="334">
        <v>5</v>
      </c>
      <c r="R82" s="334">
        <f t="shared" si="13"/>
        <v>500</v>
      </c>
      <c r="S82" s="334">
        <f t="shared" si="12"/>
        <v>24</v>
      </c>
      <c r="T82" s="336">
        <v>162</v>
      </c>
      <c r="U82" s="337">
        <v>50</v>
      </c>
      <c r="V82" s="338">
        <f t="shared" si="11"/>
        <v>8.1</v>
      </c>
      <c r="W82" s="337">
        <v>1</v>
      </c>
      <c r="X82" s="339">
        <v>43677</v>
      </c>
      <c r="Y82" s="337">
        <v>50</v>
      </c>
      <c r="Z82" s="339">
        <v>43677</v>
      </c>
      <c r="AA82" s="340">
        <v>87.6</v>
      </c>
      <c r="AB82" s="62"/>
      <c r="AC82" s="69">
        <f t="shared" si="7"/>
        <v>438</v>
      </c>
      <c r="AD82" s="69"/>
      <c r="AE82" s="69"/>
      <c r="AF82" s="215">
        <v>43692</v>
      </c>
      <c r="AG82" s="215"/>
      <c r="AH82" s="215"/>
      <c r="AI82" s="215"/>
      <c r="AJ82" s="222">
        <v>2</v>
      </c>
      <c r="AK82" s="62"/>
      <c r="AL82" s="117">
        <v>14</v>
      </c>
      <c r="AM82" s="852">
        <v>4.4800000000000004</v>
      </c>
      <c r="AN82" s="22"/>
    </row>
    <row r="83" spans="1:40" ht="18" thickBot="1">
      <c r="A83" s="90" t="s">
        <v>227</v>
      </c>
      <c r="B83" s="23">
        <v>42903</v>
      </c>
      <c r="C83" s="24" t="s">
        <v>120</v>
      </c>
      <c r="D83" s="24" t="s">
        <v>92</v>
      </c>
      <c r="E83" s="24" t="s">
        <v>93</v>
      </c>
      <c r="F83" s="26" t="s">
        <v>186</v>
      </c>
      <c r="G83" s="24"/>
      <c r="H83" s="26"/>
      <c r="I83" s="26"/>
      <c r="J83" s="25"/>
      <c r="K83" s="349">
        <v>529</v>
      </c>
      <c r="L83" s="349">
        <v>1</v>
      </c>
      <c r="M83" s="350">
        <v>70</v>
      </c>
      <c r="N83" s="351">
        <v>43669</v>
      </c>
      <c r="O83" s="350">
        <v>9</v>
      </c>
      <c r="P83" s="365">
        <v>43672</v>
      </c>
      <c r="Q83" s="350">
        <v>5</v>
      </c>
      <c r="R83" s="350">
        <f t="shared" si="13"/>
        <v>500</v>
      </c>
      <c r="S83" s="334">
        <f t="shared" si="12"/>
        <v>24</v>
      </c>
      <c r="T83" s="352">
        <v>73.400000000000006</v>
      </c>
      <c r="U83" s="353">
        <v>50</v>
      </c>
      <c r="V83" s="354">
        <f t="shared" si="11"/>
        <v>3.6700000000000004</v>
      </c>
      <c r="W83" s="353">
        <v>4</v>
      </c>
      <c r="X83" s="355">
        <v>43682</v>
      </c>
      <c r="Y83" s="353">
        <v>50</v>
      </c>
      <c r="Z83" s="355"/>
      <c r="AA83" s="356">
        <v>56.8</v>
      </c>
      <c r="AB83" s="120"/>
      <c r="AC83" s="69">
        <f t="shared" si="7"/>
        <v>284</v>
      </c>
      <c r="AD83" s="86"/>
      <c r="AE83" s="86"/>
      <c r="AF83" s="212"/>
      <c r="AG83" s="119">
        <v>43692</v>
      </c>
      <c r="AH83" s="212"/>
      <c r="AI83" s="212"/>
      <c r="AJ83" s="218">
        <v>2</v>
      </c>
      <c r="AK83" s="44"/>
      <c r="AL83" s="117">
        <v>15</v>
      </c>
      <c r="AM83" s="868">
        <v>2.86</v>
      </c>
      <c r="AN83" s="27"/>
    </row>
    <row r="84" spans="1:40" ht="18" thickBot="1">
      <c r="A84" s="90"/>
      <c r="B84" s="28"/>
      <c r="C84" s="29"/>
      <c r="D84" s="29"/>
      <c r="E84" s="29"/>
      <c r="F84" s="31"/>
      <c r="G84" s="29"/>
      <c r="H84" s="31"/>
      <c r="I84" s="31"/>
      <c r="J84" s="30"/>
      <c r="K84" s="357"/>
      <c r="L84" s="357"/>
      <c r="M84" s="358"/>
      <c r="N84" s="359"/>
      <c r="O84" s="358"/>
      <c r="P84" s="358"/>
      <c r="Q84" s="358"/>
      <c r="R84" s="358"/>
      <c r="S84" s="358"/>
      <c r="T84" s="360"/>
      <c r="U84" s="361"/>
      <c r="V84" s="362"/>
      <c r="W84" s="361"/>
      <c r="X84" s="362"/>
      <c r="Y84" s="361"/>
      <c r="Z84" s="362"/>
      <c r="AA84" s="360"/>
      <c r="AB84" s="45"/>
      <c r="AC84" s="49"/>
      <c r="AD84" s="49"/>
      <c r="AE84" s="49"/>
      <c r="AF84" s="138"/>
      <c r="AG84" s="138"/>
      <c r="AH84" s="138"/>
      <c r="AI84" s="138"/>
      <c r="AJ84" s="219"/>
      <c r="AK84" s="45"/>
      <c r="AL84" s="116"/>
      <c r="AM84" s="855"/>
      <c r="AN84" s="30"/>
    </row>
    <row r="85" spans="1:40" ht="17">
      <c r="A85" s="90" t="s">
        <v>227</v>
      </c>
      <c r="B85" s="14">
        <v>42879</v>
      </c>
      <c r="C85" s="15" t="s">
        <v>107</v>
      </c>
      <c r="D85" s="15" t="s">
        <v>99</v>
      </c>
      <c r="E85" s="15" t="s">
        <v>96</v>
      </c>
      <c r="F85" s="16" t="s">
        <v>133</v>
      </c>
      <c r="G85" s="15"/>
      <c r="H85" s="16"/>
      <c r="I85" s="16"/>
      <c r="J85" s="34">
        <v>43665</v>
      </c>
      <c r="K85" s="324">
        <v>531</v>
      </c>
      <c r="L85" s="324">
        <v>1</v>
      </c>
      <c r="M85" s="325">
        <v>60</v>
      </c>
      <c r="N85" s="363">
        <v>43665</v>
      </c>
      <c r="O85" s="325">
        <v>1</v>
      </c>
      <c r="P85" s="327">
        <v>43670</v>
      </c>
      <c r="Q85" s="325">
        <v>1</v>
      </c>
      <c r="R85" s="325">
        <f>1000-500</f>
        <v>500</v>
      </c>
      <c r="S85" s="325">
        <f>100-1-50</f>
        <v>49</v>
      </c>
      <c r="T85" s="328">
        <v>88.2</v>
      </c>
      <c r="U85" s="329">
        <v>50</v>
      </c>
      <c r="V85" s="330">
        <f t="shared" ref="V85:V100" si="14">U85*T85/1000</f>
        <v>4.41</v>
      </c>
      <c r="W85" s="329">
        <v>1</v>
      </c>
      <c r="X85" s="331">
        <v>43677</v>
      </c>
      <c r="Y85" s="329">
        <v>50</v>
      </c>
      <c r="Z85" s="331">
        <v>43677</v>
      </c>
      <c r="AA85" s="332">
        <v>95.4</v>
      </c>
      <c r="AB85" s="141">
        <f>4900/1000*6</f>
        <v>29.400000000000002</v>
      </c>
      <c r="AC85" s="69">
        <f t="shared" ref="AC85:AC102" si="15">AA85*5</f>
        <v>477</v>
      </c>
      <c r="AD85" s="58">
        <f>500/AA85</f>
        <v>5.2410901467505235</v>
      </c>
      <c r="AE85" s="229">
        <v>0</v>
      </c>
      <c r="AF85" s="140"/>
      <c r="AG85" s="140"/>
      <c r="AH85" s="140">
        <v>43697</v>
      </c>
      <c r="AI85" s="119">
        <v>43698</v>
      </c>
      <c r="AJ85" s="220"/>
      <c r="AK85" s="44"/>
      <c r="AL85" s="117">
        <v>15</v>
      </c>
      <c r="AM85" s="868">
        <v>2.1</v>
      </c>
      <c r="AN85" s="17"/>
    </row>
    <row r="86" spans="1:40" ht="17">
      <c r="A86" s="90" t="s">
        <v>227</v>
      </c>
      <c r="B86" s="18">
        <v>42889</v>
      </c>
      <c r="C86" s="19" t="s">
        <v>107</v>
      </c>
      <c r="D86" s="19" t="s">
        <v>99</v>
      </c>
      <c r="E86" s="19" t="s">
        <v>96</v>
      </c>
      <c r="F86" s="21" t="s">
        <v>158</v>
      </c>
      <c r="G86" s="19"/>
      <c r="H86" s="21"/>
      <c r="I86" s="21"/>
      <c r="J86" s="20"/>
      <c r="K86" s="333">
        <v>532</v>
      </c>
      <c r="L86" s="333">
        <v>1</v>
      </c>
      <c r="M86" s="334">
        <v>40</v>
      </c>
      <c r="N86" s="326">
        <v>43666</v>
      </c>
      <c r="O86" s="334">
        <v>3</v>
      </c>
      <c r="P86" s="335">
        <v>43672</v>
      </c>
      <c r="Q86" s="334">
        <v>2</v>
      </c>
      <c r="R86" s="334">
        <f t="shared" ref="R86:R91" si="16">1000-500</f>
        <v>500</v>
      </c>
      <c r="S86" s="334">
        <f>75-1-50</f>
        <v>24</v>
      </c>
      <c r="T86" s="336">
        <v>158</v>
      </c>
      <c r="U86" s="337">
        <v>50</v>
      </c>
      <c r="V86" s="338">
        <f t="shared" si="14"/>
        <v>7.9</v>
      </c>
      <c r="W86" s="337">
        <v>3</v>
      </c>
      <c r="X86" s="339">
        <v>43682</v>
      </c>
      <c r="Y86" s="337">
        <v>50</v>
      </c>
      <c r="Z86" s="341">
        <v>43683</v>
      </c>
      <c r="AA86" s="340">
        <v>93.6</v>
      </c>
      <c r="AB86" s="62"/>
      <c r="AC86" s="69">
        <f t="shared" si="15"/>
        <v>468</v>
      </c>
      <c r="AD86" s="69"/>
      <c r="AE86" s="69"/>
      <c r="AF86" s="215">
        <v>43692</v>
      </c>
      <c r="AG86" s="119">
        <v>43692</v>
      </c>
      <c r="AH86" s="119"/>
      <c r="AI86" s="119"/>
      <c r="AJ86" s="222">
        <v>3</v>
      </c>
      <c r="AK86" s="62"/>
      <c r="AL86" s="117">
        <v>14</v>
      </c>
      <c r="AM86" s="852">
        <v>2.12</v>
      </c>
      <c r="AN86" s="22"/>
    </row>
    <row r="87" spans="1:40" s="111" customFormat="1" ht="17">
      <c r="A87" s="109" t="s">
        <v>227</v>
      </c>
      <c r="B87" s="56">
        <v>42896</v>
      </c>
      <c r="C87" s="57" t="s">
        <v>107</v>
      </c>
      <c r="D87" s="57" t="s">
        <v>99</v>
      </c>
      <c r="E87" s="57" t="s">
        <v>96</v>
      </c>
      <c r="F87" s="53" t="s">
        <v>172</v>
      </c>
      <c r="G87" s="57"/>
      <c r="H87" s="53"/>
      <c r="I87" s="53"/>
      <c r="J87" s="54"/>
      <c r="K87" s="873">
        <v>533</v>
      </c>
      <c r="L87" s="342">
        <v>1</v>
      </c>
      <c r="M87" s="343" t="s">
        <v>238</v>
      </c>
      <c r="N87" s="344">
        <v>43668</v>
      </c>
      <c r="O87" s="343">
        <v>4</v>
      </c>
      <c r="P87" s="367">
        <v>43672</v>
      </c>
      <c r="Q87" s="343">
        <v>3</v>
      </c>
      <c r="R87" s="343">
        <f>1000-500-250</f>
        <v>250</v>
      </c>
      <c r="S87" s="343">
        <f>75-1-50</f>
        <v>24</v>
      </c>
      <c r="T87" s="345">
        <v>7.4</v>
      </c>
      <c r="U87" s="337">
        <v>50</v>
      </c>
      <c r="V87" s="338">
        <f t="shared" si="14"/>
        <v>0.37</v>
      </c>
      <c r="W87" s="337">
        <v>3</v>
      </c>
      <c r="X87" s="339">
        <v>43682</v>
      </c>
      <c r="Y87" s="337">
        <v>50</v>
      </c>
      <c r="Z87" s="341">
        <v>43683</v>
      </c>
      <c r="AA87" s="340">
        <v>6.52</v>
      </c>
      <c r="AB87" s="62"/>
      <c r="AC87" s="69">
        <f t="shared" si="15"/>
        <v>32.599999999999994</v>
      </c>
      <c r="AD87" s="69"/>
      <c r="AE87" s="69"/>
      <c r="AF87" s="119"/>
      <c r="AG87" s="119">
        <v>43692</v>
      </c>
      <c r="AH87" s="119"/>
      <c r="AI87" s="119"/>
      <c r="AJ87" s="217">
        <v>2</v>
      </c>
      <c r="AK87" s="62"/>
      <c r="AL87" s="851">
        <v>17</v>
      </c>
      <c r="AM87" s="872" t="s">
        <v>244</v>
      </c>
      <c r="AN87" s="110" t="s">
        <v>248</v>
      </c>
    </row>
    <row r="88" spans="1:40" s="111" customFormat="1" ht="17" hidden="1">
      <c r="A88" s="109"/>
      <c r="B88" s="56">
        <v>42896</v>
      </c>
      <c r="C88" s="57" t="s">
        <v>107</v>
      </c>
      <c r="D88" s="57" t="s">
        <v>99</v>
      </c>
      <c r="E88" s="57" t="s">
        <v>96</v>
      </c>
      <c r="F88" s="53" t="s">
        <v>172</v>
      </c>
      <c r="G88" s="57"/>
      <c r="H88" s="53"/>
      <c r="I88" s="53"/>
      <c r="J88" s="54"/>
      <c r="K88" s="342" t="s">
        <v>267</v>
      </c>
      <c r="L88" s="342">
        <v>1</v>
      </c>
      <c r="M88" s="343" t="s">
        <v>238</v>
      </c>
      <c r="N88" s="344">
        <v>43668</v>
      </c>
      <c r="O88" s="343">
        <v>4</v>
      </c>
      <c r="P88" s="367">
        <v>43675</v>
      </c>
      <c r="Q88" s="343">
        <v>7</v>
      </c>
      <c r="R88" s="343">
        <f>1000-500-250</f>
        <v>250</v>
      </c>
      <c r="S88" s="343">
        <f>60-1</f>
        <v>59</v>
      </c>
      <c r="T88" s="345">
        <v>4.4000000000000004</v>
      </c>
      <c r="U88" s="337">
        <v>50</v>
      </c>
      <c r="V88" s="338">
        <f t="shared" si="14"/>
        <v>0.22000000000000003</v>
      </c>
      <c r="W88" s="337"/>
      <c r="X88" s="338"/>
      <c r="Y88" s="337">
        <v>50</v>
      </c>
      <c r="Z88" s="338"/>
      <c r="AA88" s="340"/>
      <c r="AB88" s="62"/>
      <c r="AC88" s="69">
        <f t="shared" si="15"/>
        <v>0</v>
      </c>
      <c r="AD88" s="69"/>
      <c r="AE88" s="69"/>
      <c r="AF88" s="119"/>
      <c r="AG88" s="119"/>
      <c r="AH88" s="119"/>
      <c r="AI88" s="119"/>
      <c r="AJ88" s="217"/>
      <c r="AK88" s="62"/>
      <c r="AL88" s="851"/>
      <c r="AM88" s="852"/>
      <c r="AN88" s="110"/>
    </row>
    <row r="89" spans="1:40" ht="17">
      <c r="A89" s="90" t="s">
        <v>227</v>
      </c>
      <c r="B89" s="18">
        <v>42878</v>
      </c>
      <c r="C89" s="19" t="s">
        <v>104</v>
      </c>
      <c r="D89" s="19" t="s">
        <v>99</v>
      </c>
      <c r="E89" s="19" t="s">
        <v>101</v>
      </c>
      <c r="F89" s="21" t="s">
        <v>128</v>
      </c>
      <c r="G89" s="19"/>
      <c r="H89" s="21"/>
      <c r="I89" s="21"/>
      <c r="J89" s="32">
        <v>43665</v>
      </c>
      <c r="K89" s="333">
        <v>541</v>
      </c>
      <c r="L89" s="333">
        <v>1</v>
      </c>
      <c r="M89" s="334">
        <v>40</v>
      </c>
      <c r="N89" s="326">
        <v>43656</v>
      </c>
      <c r="O89" s="334">
        <v>1</v>
      </c>
      <c r="P89" s="335">
        <v>43670</v>
      </c>
      <c r="Q89" s="334">
        <v>1</v>
      </c>
      <c r="R89" s="334">
        <f t="shared" si="16"/>
        <v>500</v>
      </c>
      <c r="S89" s="334">
        <f>100-1-50</f>
        <v>49</v>
      </c>
      <c r="T89" s="336">
        <v>45.6</v>
      </c>
      <c r="U89" s="337">
        <v>50</v>
      </c>
      <c r="V89" s="338">
        <f t="shared" si="14"/>
        <v>2.2799999999999998</v>
      </c>
      <c r="W89" s="337">
        <v>1</v>
      </c>
      <c r="X89" s="339">
        <v>43677</v>
      </c>
      <c r="Y89" s="337">
        <v>50</v>
      </c>
      <c r="Z89" s="339">
        <v>43677</v>
      </c>
      <c r="AA89" s="340">
        <v>44.4</v>
      </c>
      <c r="AB89" s="62"/>
      <c r="AC89" s="69">
        <f t="shared" si="15"/>
        <v>222</v>
      </c>
      <c r="AD89" s="69"/>
      <c r="AE89" s="69"/>
      <c r="AF89" s="119"/>
      <c r="AG89" s="119"/>
      <c r="AH89" s="119"/>
      <c r="AI89" s="119"/>
      <c r="AJ89" s="217">
        <v>2</v>
      </c>
      <c r="AK89" s="62"/>
      <c r="AL89" s="117">
        <v>15</v>
      </c>
      <c r="AM89" s="852">
        <v>1.4</v>
      </c>
      <c r="AN89" s="22"/>
    </row>
    <row r="90" spans="1:40" ht="17">
      <c r="A90" s="90" t="s">
        <v>227</v>
      </c>
      <c r="B90" s="18">
        <v>42879</v>
      </c>
      <c r="C90" s="19" t="s">
        <v>104</v>
      </c>
      <c r="D90" s="19" t="s">
        <v>99</v>
      </c>
      <c r="E90" s="19" t="s">
        <v>101</v>
      </c>
      <c r="F90" s="21" t="s">
        <v>129</v>
      </c>
      <c r="G90" s="19"/>
      <c r="H90" s="21"/>
      <c r="I90" s="21"/>
      <c r="J90" s="20"/>
      <c r="K90" s="333">
        <v>542</v>
      </c>
      <c r="L90" s="333">
        <v>1</v>
      </c>
      <c r="M90" s="334">
        <v>30</v>
      </c>
      <c r="N90" s="326">
        <v>43666</v>
      </c>
      <c r="O90" s="334">
        <v>3</v>
      </c>
      <c r="P90" s="335">
        <v>43672</v>
      </c>
      <c r="Q90" s="334">
        <v>2</v>
      </c>
      <c r="R90" s="334">
        <f t="shared" si="16"/>
        <v>500</v>
      </c>
      <c r="S90" s="334">
        <f>75-1-50</f>
        <v>24</v>
      </c>
      <c r="T90" s="336">
        <v>82</v>
      </c>
      <c r="U90" s="337">
        <v>50</v>
      </c>
      <c r="V90" s="338">
        <f t="shared" si="14"/>
        <v>4.0999999999999996</v>
      </c>
      <c r="W90" s="337">
        <v>1</v>
      </c>
      <c r="X90" s="339">
        <v>43677</v>
      </c>
      <c r="Y90" s="337">
        <v>50</v>
      </c>
      <c r="Z90" s="339">
        <v>43677</v>
      </c>
      <c r="AA90" s="340">
        <v>32.799999999999997</v>
      </c>
      <c r="AB90" s="62"/>
      <c r="AC90" s="69">
        <f t="shared" si="15"/>
        <v>164</v>
      </c>
      <c r="AD90" s="69"/>
      <c r="AE90" s="69"/>
      <c r="AF90" s="119"/>
      <c r="AG90" s="119"/>
      <c r="AH90" s="119"/>
      <c r="AI90" s="119"/>
      <c r="AJ90" s="217">
        <v>2</v>
      </c>
      <c r="AK90" s="62"/>
      <c r="AL90" s="851">
        <v>16</v>
      </c>
      <c r="AM90" s="852">
        <v>2.2200000000000002</v>
      </c>
      <c r="AN90" s="22"/>
    </row>
    <row r="91" spans="1:40" ht="17">
      <c r="A91" s="90" t="s">
        <v>227</v>
      </c>
      <c r="B91" s="18">
        <v>42890</v>
      </c>
      <c r="C91" s="19" t="s">
        <v>104</v>
      </c>
      <c r="D91" s="19" t="s">
        <v>99</v>
      </c>
      <c r="E91" s="19" t="s">
        <v>101</v>
      </c>
      <c r="F91" s="21" t="s">
        <v>159</v>
      </c>
      <c r="G91" s="19"/>
      <c r="H91" s="21"/>
      <c r="I91" s="21"/>
      <c r="J91" s="20"/>
      <c r="K91" s="333">
        <v>543</v>
      </c>
      <c r="L91" s="333">
        <v>1</v>
      </c>
      <c r="M91" s="334">
        <v>80</v>
      </c>
      <c r="N91" s="326">
        <v>43668</v>
      </c>
      <c r="O91" s="334">
        <v>7</v>
      </c>
      <c r="P91" s="335">
        <v>43673</v>
      </c>
      <c r="Q91" s="334">
        <v>6</v>
      </c>
      <c r="R91" s="334">
        <f t="shared" si="16"/>
        <v>500</v>
      </c>
      <c r="S91" s="334">
        <f>75-1-50</f>
        <v>24</v>
      </c>
      <c r="T91" s="336">
        <v>61.4</v>
      </c>
      <c r="U91" s="337">
        <v>50</v>
      </c>
      <c r="V91" s="338">
        <f t="shared" si="14"/>
        <v>3.07</v>
      </c>
      <c r="W91" s="337">
        <v>3</v>
      </c>
      <c r="X91" s="339">
        <v>43682</v>
      </c>
      <c r="Y91" s="337">
        <v>50</v>
      </c>
      <c r="Z91" s="341">
        <v>43683</v>
      </c>
      <c r="AA91" s="340">
        <v>162</v>
      </c>
      <c r="AB91" s="62"/>
      <c r="AC91" s="69">
        <f t="shared" si="15"/>
        <v>810</v>
      </c>
      <c r="AD91" s="69"/>
      <c r="AE91" s="69"/>
      <c r="AF91" s="215">
        <v>43692</v>
      </c>
      <c r="AG91" s="119">
        <v>43692</v>
      </c>
      <c r="AH91" s="119"/>
      <c r="AI91" s="119"/>
      <c r="AJ91" s="222"/>
      <c r="AK91" s="62"/>
      <c r="AL91" s="117">
        <v>14</v>
      </c>
      <c r="AM91" s="852">
        <v>5.24</v>
      </c>
      <c r="AN91" s="22"/>
    </row>
    <row r="92" spans="1:40" ht="17">
      <c r="A92" s="90" t="s">
        <v>227</v>
      </c>
      <c r="B92" s="18">
        <v>42887</v>
      </c>
      <c r="C92" s="19" t="s">
        <v>115</v>
      </c>
      <c r="D92" s="19" t="s">
        <v>99</v>
      </c>
      <c r="E92" s="19" t="s">
        <v>103</v>
      </c>
      <c r="F92" s="21" t="s">
        <v>151</v>
      </c>
      <c r="G92" s="19"/>
      <c r="H92" s="21"/>
      <c r="I92" s="21"/>
      <c r="J92" s="20"/>
      <c r="K92" s="333">
        <v>551</v>
      </c>
      <c r="L92" s="333">
        <v>1</v>
      </c>
      <c r="M92" s="334">
        <v>30</v>
      </c>
      <c r="N92" s="326">
        <v>43666</v>
      </c>
      <c r="O92" s="334">
        <v>2</v>
      </c>
      <c r="P92" s="335">
        <v>43670</v>
      </c>
      <c r="Q92" s="334">
        <v>1</v>
      </c>
      <c r="R92" s="334">
        <f t="shared" ref="R92:R100" si="17">1000-500</f>
        <v>500</v>
      </c>
      <c r="S92" s="334">
        <f>100-1-50</f>
        <v>49</v>
      </c>
      <c r="T92" s="336">
        <v>86</v>
      </c>
      <c r="U92" s="337">
        <v>50</v>
      </c>
      <c r="V92" s="338">
        <f t="shared" si="14"/>
        <v>4.3</v>
      </c>
      <c r="W92" s="337">
        <v>3</v>
      </c>
      <c r="X92" s="339">
        <v>43682</v>
      </c>
      <c r="Y92" s="337">
        <v>50</v>
      </c>
      <c r="Z92" s="341">
        <v>43683</v>
      </c>
      <c r="AA92" s="340">
        <v>96.4</v>
      </c>
      <c r="AB92" s="62"/>
      <c r="AC92" s="69">
        <f t="shared" si="15"/>
        <v>482</v>
      </c>
      <c r="AD92" s="69"/>
      <c r="AE92" s="69"/>
      <c r="AF92" s="119"/>
      <c r="AG92" s="119">
        <v>43692</v>
      </c>
      <c r="AH92" s="119"/>
      <c r="AI92" s="119"/>
      <c r="AJ92" s="217"/>
      <c r="AK92" s="62"/>
      <c r="AL92" s="117">
        <v>14</v>
      </c>
      <c r="AM92" s="852">
        <v>1.69</v>
      </c>
      <c r="AN92" s="22"/>
    </row>
    <row r="93" spans="1:40" ht="17" hidden="1">
      <c r="A93" s="90" t="s">
        <v>227</v>
      </c>
      <c r="B93" s="18">
        <v>42889</v>
      </c>
      <c r="C93" s="19" t="s">
        <v>115</v>
      </c>
      <c r="D93" s="19" t="s">
        <v>99</v>
      </c>
      <c r="E93" s="19" t="s">
        <v>103</v>
      </c>
      <c r="F93" s="21" t="s">
        <v>157</v>
      </c>
      <c r="G93" s="19"/>
      <c r="H93" s="21"/>
      <c r="I93" s="21"/>
      <c r="J93" s="20"/>
      <c r="K93" s="333">
        <v>552</v>
      </c>
      <c r="L93" s="333">
        <v>1</v>
      </c>
      <c r="M93" s="334">
        <v>80</v>
      </c>
      <c r="N93" s="326">
        <v>43668</v>
      </c>
      <c r="O93" s="334">
        <v>5</v>
      </c>
      <c r="P93" s="335">
        <v>43672</v>
      </c>
      <c r="Q93" s="334">
        <v>3</v>
      </c>
      <c r="R93" s="334">
        <f>1000-500-250</f>
        <v>250</v>
      </c>
      <c r="S93" s="334">
        <f>75-1</f>
        <v>74</v>
      </c>
      <c r="T93" s="336">
        <v>17.5</v>
      </c>
      <c r="U93" s="337">
        <v>50</v>
      </c>
      <c r="V93" s="338">
        <f t="shared" si="14"/>
        <v>0.875</v>
      </c>
      <c r="W93" s="337"/>
      <c r="X93" s="338"/>
      <c r="Y93" s="337">
        <v>50</v>
      </c>
      <c r="Z93" s="338"/>
      <c r="AA93" s="340"/>
      <c r="AB93" s="62"/>
      <c r="AC93" s="69">
        <f t="shared" si="15"/>
        <v>0</v>
      </c>
      <c r="AD93" s="69"/>
      <c r="AE93" s="69"/>
      <c r="AF93" s="119"/>
      <c r="AG93" s="119"/>
      <c r="AH93" s="119"/>
      <c r="AI93" s="119"/>
      <c r="AJ93" s="217"/>
      <c r="AK93" s="62"/>
      <c r="AL93" s="851"/>
      <c r="AM93" s="852"/>
      <c r="AN93" s="22" t="s">
        <v>247</v>
      </c>
    </row>
    <row r="94" spans="1:40" ht="17">
      <c r="A94" s="90"/>
      <c r="B94" s="18">
        <v>42889</v>
      </c>
      <c r="C94" s="19" t="s">
        <v>115</v>
      </c>
      <c r="D94" s="19" t="s">
        <v>99</v>
      </c>
      <c r="E94" s="19" t="s">
        <v>103</v>
      </c>
      <c r="F94" s="21" t="s">
        <v>157</v>
      </c>
      <c r="G94" s="19"/>
      <c r="H94" s="21"/>
      <c r="I94" s="21"/>
      <c r="J94" s="20"/>
      <c r="K94" s="333" t="s">
        <v>268</v>
      </c>
      <c r="L94" s="333">
        <v>1</v>
      </c>
      <c r="M94" s="334">
        <v>80</v>
      </c>
      <c r="N94" s="326">
        <v>43668</v>
      </c>
      <c r="O94" s="334">
        <v>5</v>
      </c>
      <c r="P94" s="335">
        <v>43675</v>
      </c>
      <c r="Q94" s="334">
        <v>7</v>
      </c>
      <c r="R94" s="334">
        <f>1000-500-250</f>
        <v>250</v>
      </c>
      <c r="S94" s="334">
        <f>60-1-50</f>
        <v>9</v>
      </c>
      <c r="T94" s="336">
        <v>64.8</v>
      </c>
      <c r="U94" s="337">
        <v>50</v>
      </c>
      <c r="V94" s="338">
        <f t="shared" si="14"/>
        <v>3.24</v>
      </c>
      <c r="W94" s="337">
        <v>1</v>
      </c>
      <c r="X94" s="339">
        <v>43677</v>
      </c>
      <c r="Y94" s="337">
        <v>50</v>
      </c>
      <c r="Z94" s="339">
        <v>43677</v>
      </c>
      <c r="AA94" s="340">
        <v>74.599999999999994</v>
      </c>
      <c r="AB94" s="62"/>
      <c r="AC94" s="69">
        <f t="shared" si="15"/>
        <v>373</v>
      </c>
      <c r="AD94" s="69"/>
      <c r="AE94" s="69"/>
      <c r="AF94" s="119"/>
      <c r="AG94" s="119"/>
      <c r="AH94" s="119"/>
      <c r="AI94" s="119"/>
      <c r="AJ94" s="217"/>
      <c r="AK94" s="62"/>
      <c r="AL94" s="117">
        <v>15</v>
      </c>
      <c r="AM94" s="852">
        <v>1.84</v>
      </c>
      <c r="AN94" s="22"/>
    </row>
    <row r="95" spans="1:40" ht="17">
      <c r="A95" s="90" t="s">
        <v>227</v>
      </c>
      <c r="B95" s="18">
        <v>42896</v>
      </c>
      <c r="C95" s="19" t="s">
        <v>115</v>
      </c>
      <c r="D95" s="19" t="s">
        <v>99</v>
      </c>
      <c r="E95" s="19" t="s">
        <v>103</v>
      </c>
      <c r="F95" s="21" t="s">
        <v>171</v>
      </c>
      <c r="G95" s="19"/>
      <c r="H95" s="21"/>
      <c r="I95" s="21"/>
      <c r="J95" s="20"/>
      <c r="K95" s="333">
        <v>553</v>
      </c>
      <c r="L95" s="333">
        <v>1</v>
      </c>
      <c r="M95" s="334">
        <v>30</v>
      </c>
      <c r="N95" s="326">
        <v>43669</v>
      </c>
      <c r="O95" s="334">
        <v>8</v>
      </c>
      <c r="P95" s="335">
        <v>43672</v>
      </c>
      <c r="Q95" s="334">
        <v>4</v>
      </c>
      <c r="R95" s="334">
        <f t="shared" si="17"/>
        <v>500</v>
      </c>
      <c r="S95" s="334">
        <f>75-1+50-50</f>
        <v>74</v>
      </c>
      <c r="T95" s="336">
        <v>200</v>
      </c>
      <c r="U95" s="337">
        <v>50</v>
      </c>
      <c r="V95" s="338">
        <f t="shared" si="14"/>
        <v>10</v>
      </c>
      <c r="W95" s="337">
        <v>3</v>
      </c>
      <c r="X95" s="339">
        <v>43682</v>
      </c>
      <c r="Y95" s="337">
        <v>50</v>
      </c>
      <c r="Z95" s="341">
        <v>43683</v>
      </c>
      <c r="AA95" s="340">
        <v>186</v>
      </c>
      <c r="AB95" s="62"/>
      <c r="AC95" s="69">
        <f t="shared" si="15"/>
        <v>930</v>
      </c>
      <c r="AD95" s="69"/>
      <c r="AE95" s="69"/>
      <c r="AF95" s="215">
        <v>43692</v>
      </c>
      <c r="AG95" s="119">
        <v>43692</v>
      </c>
      <c r="AH95" s="119"/>
      <c r="AI95" s="119"/>
      <c r="AJ95" s="222"/>
      <c r="AK95" s="62"/>
      <c r="AL95" s="117">
        <v>14</v>
      </c>
      <c r="AM95" s="852">
        <v>3.28</v>
      </c>
      <c r="AN95" s="22" t="s">
        <v>444</v>
      </c>
    </row>
    <row r="96" spans="1:40" ht="17">
      <c r="A96" s="90" t="s">
        <v>227</v>
      </c>
      <c r="B96" s="18">
        <v>42906</v>
      </c>
      <c r="C96" s="19" t="s">
        <v>115</v>
      </c>
      <c r="D96" s="19" t="s">
        <v>99</v>
      </c>
      <c r="E96" s="19" t="s">
        <v>103</v>
      </c>
      <c r="F96" s="21" t="s">
        <v>194</v>
      </c>
      <c r="G96" s="19"/>
      <c r="H96" s="21"/>
      <c r="I96" s="21"/>
      <c r="J96" s="20"/>
      <c r="K96" s="333">
        <v>554</v>
      </c>
      <c r="L96" s="333">
        <v>1</v>
      </c>
      <c r="M96" s="334">
        <v>30</v>
      </c>
      <c r="N96" s="326">
        <v>43669</v>
      </c>
      <c r="O96" s="334">
        <v>9</v>
      </c>
      <c r="P96" s="335">
        <v>43672</v>
      </c>
      <c r="Q96" s="334">
        <v>5</v>
      </c>
      <c r="R96" s="334">
        <f t="shared" si="17"/>
        <v>500</v>
      </c>
      <c r="S96" s="334">
        <f>75-1-50</f>
        <v>24</v>
      </c>
      <c r="T96" s="336">
        <v>156</v>
      </c>
      <c r="U96" s="337">
        <v>50</v>
      </c>
      <c r="V96" s="338">
        <f t="shared" si="14"/>
        <v>7.8</v>
      </c>
      <c r="W96" s="337">
        <v>3</v>
      </c>
      <c r="X96" s="339">
        <v>43682</v>
      </c>
      <c r="Y96" s="337">
        <v>50</v>
      </c>
      <c r="Z96" s="341">
        <v>43683</v>
      </c>
      <c r="AA96" s="340">
        <v>188</v>
      </c>
      <c r="AB96" s="62"/>
      <c r="AC96" s="69">
        <f t="shared" si="15"/>
        <v>940</v>
      </c>
      <c r="AD96" s="69"/>
      <c r="AE96" s="69"/>
      <c r="AF96" s="119"/>
      <c r="AG96" s="119">
        <v>43692</v>
      </c>
      <c r="AH96" s="119"/>
      <c r="AI96" s="119"/>
      <c r="AJ96" s="217"/>
      <c r="AK96" s="62"/>
      <c r="AL96" s="117">
        <v>14</v>
      </c>
      <c r="AM96" s="852">
        <v>2.38</v>
      </c>
      <c r="AN96" s="22"/>
    </row>
    <row r="97" spans="1:40" ht="17">
      <c r="A97" s="90" t="s">
        <v>227</v>
      </c>
      <c r="B97" s="18">
        <v>42876</v>
      </c>
      <c r="C97" s="19" t="s">
        <v>98</v>
      </c>
      <c r="D97" s="19" t="s">
        <v>99</v>
      </c>
      <c r="E97" s="19" t="s">
        <v>93</v>
      </c>
      <c r="F97" s="21" t="s">
        <v>122</v>
      </c>
      <c r="G97" s="19"/>
      <c r="H97" s="21"/>
      <c r="I97" s="21"/>
      <c r="J97" s="20"/>
      <c r="K97" s="873">
        <v>561</v>
      </c>
      <c r="L97" s="333">
        <v>1</v>
      </c>
      <c r="M97" s="334">
        <v>40</v>
      </c>
      <c r="N97" s="326">
        <v>43666</v>
      </c>
      <c r="O97" s="334">
        <v>2</v>
      </c>
      <c r="P97" s="335">
        <v>43670</v>
      </c>
      <c r="Q97" s="334">
        <v>1</v>
      </c>
      <c r="R97" s="334">
        <f t="shared" si="17"/>
        <v>500</v>
      </c>
      <c r="S97" s="334">
        <f>100-1-50</f>
        <v>49</v>
      </c>
      <c r="T97" s="336">
        <v>43.4</v>
      </c>
      <c r="U97" s="337">
        <v>50</v>
      </c>
      <c r="V97" s="338">
        <f t="shared" si="14"/>
        <v>2.17</v>
      </c>
      <c r="W97" s="337">
        <v>1</v>
      </c>
      <c r="X97" s="339">
        <v>43677</v>
      </c>
      <c r="Y97" s="337">
        <v>50</v>
      </c>
      <c r="Z97" s="339">
        <v>43677</v>
      </c>
      <c r="AA97" s="340">
        <v>28</v>
      </c>
      <c r="AB97" s="62"/>
      <c r="AC97" s="69">
        <f t="shared" si="15"/>
        <v>140</v>
      </c>
      <c r="AD97" s="69"/>
      <c r="AE97" s="69"/>
      <c r="AF97" s="119"/>
      <c r="AG97" s="119"/>
      <c r="AH97" s="119"/>
      <c r="AI97" s="119"/>
      <c r="AJ97" s="217"/>
      <c r="AK97" s="62"/>
      <c r="AL97" s="117">
        <v>17</v>
      </c>
      <c r="AM97" s="872" t="s">
        <v>244</v>
      </c>
      <c r="AN97" s="22"/>
    </row>
    <row r="98" spans="1:40" ht="17">
      <c r="A98" s="90" t="s">
        <v>227</v>
      </c>
      <c r="B98" s="18">
        <v>42878</v>
      </c>
      <c r="C98" s="19" t="s">
        <v>98</v>
      </c>
      <c r="D98" s="19" t="s">
        <v>99</v>
      </c>
      <c r="E98" s="19" t="s">
        <v>93</v>
      </c>
      <c r="F98" s="21" t="s">
        <v>127</v>
      </c>
      <c r="G98" s="19"/>
      <c r="H98" s="21"/>
      <c r="I98" s="21"/>
      <c r="J98" s="20"/>
      <c r="K98" s="873">
        <v>562</v>
      </c>
      <c r="L98" s="333">
        <v>1</v>
      </c>
      <c r="M98" s="334">
        <v>90</v>
      </c>
      <c r="N98" s="326">
        <v>43668</v>
      </c>
      <c r="O98" s="334">
        <v>5</v>
      </c>
      <c r="P98" s="335">
        <v>43672</v>
      </c>
      <c r="Q98" s="334">
        <v>3</v>
      </c>
      <c r="R98" s="334">
        <f t="shared" si="17"/>
        <v>500</v>
      </c>
      <c r="S98" s="334">
        <f>75-1-50</f>
        <v>24</v>
      </c>
      <c r="T98" s="336">
        <v>106</v>
      </c>
      <c r="U98" s="337">
        <v>50</v>
      </c>
      <c r="V98" s="338">
        <f t="shared" si="14"/>
        <v>5.3</v>
      </c>
      <c r="W98" s="337">
        <v>3</v>
      </c>
      <c r="X98" s="339">
        <v>43682</v>
      </c>
      <c r="Y98" s="337">
        <v>50</v>
      </c>
      <c r="Z98" s="341">
        <v>43683</v>
      </c>
      <c r="AA98" s="340">
        <v>126</v>
      </c>
      <c r="AB98" s="62"/>
      <c r="AC98" s="69">
        <f t="shared" si="15"/>
        <v>630</v>
      </c>
      <c r="AD98" s="69"/>
      <c r="AE98" s="69"/>
      <c r="AF98" s="119"/>
      <c r="AG98" s="119">
        <v>43692</v>
      </c>
      <c r="AH98" s="119"/>
      <c r="AI98" s="119"/>
      <c r="AJ98" s="217"/>
      <c r="AK98" s="62"/>
      <c r="AL98" s="851">
        <v>17</v>
      </c>
      <c r="AM98" s="872" t="s">
        <v>244</v>
      </c>
      <c r="AN98" s="22"/>
    </row>
    <row r="99" spans="1:40" ht="17">
      <c r="A99" s="90" t="s">
        <v>227</v>
      </c>
      <c r="B99" s="18">
        <v>42879</v>
      </c>
      <c r="C99" s="19" t="s">
        <v>98</v>
      </c>
      <c r="D99" s="19" t="s">
        <v>99</v>
      </c>
      <c r="E99" s="19" t="s">
        <v>93</v>
      </c>
      <c r="F99" s="21" t="s">
        <v>131</v>
      </c>
      <c r="G99" s="19"/>
      <c r="H99" s="21"/>
      <c r="I99" s="21"/>
      <c r="J99" s="20"/>
      <c r="K99" s="873">
        <v>563</v>
      </c>
      <c r="L99" s="333">
        <v>1</v>
      </c>
      <c r="M99" s="334">
        <v>50</v>
      </c>
      <c r="N99" s="326">
        <v>43668</v>
      </c>
      <c r="O99" s="334">
        <v>6</v>
      </c>
      <c r="P99" s="335">
        <v>43672</v>
      </c>
      <c r="Q99" s="334">
        <v>4</v>
      </c>
      <c r="R99" s="334">
        <f>1000-500</f>
        <v>500</v>
      </c>
      <c r="S99" s="334">
        <f>75-1-50</f>
        <v>24</v>
      </c>
      <c r="T99" s="336">
        <v>84.6</v>
      </c>
      <c r="U99" s="337">
        <v>50</v>
      </c>
      <c r="V99" s="338">
        <f t="shared" si="14"/>
        <v>4.2300000000000004</v>
      </c>
      <c r="W99" s="337">
        <v>3</v>
      </c>
      <c r="X99" s="339">
        <v>43682</v>
      </c>
      <c r="Y99" s="337">
        <v>50</v>
      </c>
      <c r="Z99" s="341">
        <v>43683</v>
      </c>
      <c r="AA99" s="340">
        <v>47</v>
      </c>
      <c r="AB99" s="62"/>
      <c r="AC99" s="69">
        <f t="shared" si="15"/>
        <v>235</v>
      </c>
      <c r="AD99" s="69"/>
      <c r="AE99" s="69"/>
      <c r="AF99" s="119"/>
      <c r="AG99" s="119">
        <v>43692</v>
      </c>
      <c r="AH99" s="119"/>
      <c r="AI99" s="119"/>
      <c r="AJ99" s="217"/>
      <c r="AK99" s="62"/>
      <c r="AL99" s="851">
        <v>15</v>
      </c>
      <c r="AM99" s="872">
        <v>0.19400000000000001</v>
      </c>
      <c r="AN99" s="22"/>
    </row>
    <row r="100" spans="1:40" ht="17">
      <c r="A100" s="93" t="s">
        <v>227</v>
      </c>
      <c r="B100" s="18">
        <v>42893</v>
      </c>
      <c r="C100" s="19" t="s">
        <v>98</v>
      </c>
      <c r="D100" s="19" t="s">
        <v>99</v>
      </c>
      <c r="E100" s="19" t="s">
        <v>93</v>
      </c>
      <c r="F100" s="21" t="s">
        <v>168</v>
      </c>
      <c r="G100" s="19"/>
      <c r="H100" s="21"/>
      <c r="I100" s="21"/>
      <c r="J100" s="20"/>
      <c r="K100" s="333">
        <v>564</v>
      </c>
      <c r="L100" s="333">
        <v>1</v>
      </c>
      <c r="M100" s="334" t="s">
        <v>242</v>
      </c>
      <c r="N100" s="326">
        <v>43668</v>
      </c>
      <c r="O100" s="334">
        <v>7</v>
      </c>
      <c r="P100" s="335">
        <v>43673</v>
      </c>
      <c r="Q100" s="334">
        <v>6</v>
      </c>
      <c r="R100" s="334">
        <f t="shared" si="17"/>
        <v>500</v>
      </c>
      <c r="S100" s="334">
        <f>75-1+50-50</f>
        <v>74</v>
      </c>
      <c r="T100" s="336" t="s">
        <v>249</v>
      </c>
      <c r="U100" s="337">
        <v>50</v>
      </c>
      <c r="V100" s="338" t="e">
        <f t="shared" si="14"/>
        <v>#VALUE!</v>
      </c>
      <c r="W100" s="337">
        <v>4</v>
      </c>
      <c r="X100" s="339">
        <v>43682</v>
      </c>
      <c r="Y100" s="337">
        <v>50</v>
      </c>
      <c r="Z100" s="339"/>
      <c r="AA100" s="340">
        <v>152</v>
      </c>
      <c r="AB100" s="62"/>
      <c r="AC100" s="69">
        <f t="shared" si="15"/>
        <v>760</v>
      </c>
      <c r="AD100" s="69"/>
      <c r="AE100" s="69"/>
      <c r="AF100" s="215">
        <v>43692</v>
      </c>
      <c r="AG100" s="119">
        <v>43692</v>
      </c>
      <c r="AH100" s="119"/>
      <c r="AI100" s="119"/>
      <c r="AJ100" s="222"/>
      <c r="AK100" s="62"/>
      <c r="AL100" s="117">
        <v>14</v>
      </c>
      <c r="AM100" s="852">
        <v>2.2400000000000002</v>
      </c>
      <c r="AN100" s="22" t="s">
        <v>298</v>
      </c>
    </row>
    <row r="101" spans="1:40" ht="17" hidden="1">
      <c r="A101" s="94"/>
      <c r="B101" s="82">
        <v>42896</v>
      </c>
      <c r="C101" s="83" t="s">
        <v>98</v>
      </c>
      <c r="D101" s="83" t="s">
        <v>99</v>
      </c>
      <c r="E101" s="83" t="s">
        <v>93</v>
      </c>
      <c r="F101" s="84" t="s">
        <v>173</v>
      </c>
      <c r="G101" s="83"/>
      <c r="H101" s="84"/>
      <c r="I101" s="84"/>
      <c r="J101" s="85"/>
      <c r="K101" s="368" t="s">
        <v>275</v>
      </c>
      <c r="L101" s="368">
        <v>1</v>
      </c>
      <c r="M101" s="369">
        <v>10</v>
      </c>
      <c r="N101" s="370">
        <v>43669</v>
      </c>
      <c r="O101" s="369">
        <v>8</v>
      </c>
      <c r="P101" s="335">
        <v>43675</v>
      </c>
      <c r="Q101" s="334">
        <v>7</v>
      </c>
      <c r="R101" s="334">
        <f>1000-500-250</f>
        <v>250</v>
      </c>
      <c r="S101" s="334">
        <f>60-1</f>
        <v>59</v>
      </c>
      <c r="T101" s="371">
        <v>17.399999999999999</v>
      </c>
      <c r="U101" s="372"/>
      <c r="V101" s="373"/>
      <c r="W101" s="374"/>
      <c r="X101" s="373"/>
      <c r="Y101" s="374"/>
      <c r="Z101" s="373"/>
      <c r="AA101" s="375"/>
      <c r="AB101" s="120"/>
      <c r="AC101" s="69">
        <f t="shared" si="15"/>
        <v>0</v>
      </c>
      <c r="AD101" s="86"/>
      <c r="AE101" s="86"/>
      <c r="AF101" s="212"/>
      <c r="AG101" s="119">
        <v>43692</v>
      </c>
      <c r="AH101" s="212"/>
      <c r="AI101" s="212"/>
      <c r="AJ101" s="218"/>
      <c r="AK101" s="120"/>
      <c r="AL101" s="853"/>
      <c r="AM101" s="854"/>
      <c r="AN101" s="87"/>
    </row>
    <row r="102" spans="1:40" s="94" customFormat="1" ht="18" thickBot="1">
      <c r="A102" s="94" t="s">
        <v>227</v>
      </c>
      <c r="B102" s="23">
        <v>42896</v>
      </c>
      <c r="C102" s="24" t="s">
        <v>98</v>
      </c>
      <c r="D102" s="24" t="s">
        <v>99</v>
      </c>
      <c r="E102" s="24" t="s">
        <v>93</v>
      </c>
      <c r="F102" s="26" t="s">
        <v>173</v>
      </c>
      <c r="G102" s="24"/>
      <c r="H102" s="26"/>
      <c r="I102" s="26"/>
      <c r="J102" s="25"/>
      <c r="K102" s="876">
        <v>565</v>
      </c>
      <c r="L102" s="349">
        <v>1</v>
      </c>
      <c r="M102" s="350">
        <v>10</v>
      </c>
      <c r="N102" s="351">
        <v>43669</v>
      </c>
      <c r="O102" s="350">
        <v>8</v>
      </c>
      <c r="P102" s="365">
        <v>43673</v>
      </c>
      <c r="Q102" s="350">
        <v>6</v>
      </c>
      <c r="R102" s="350">
        <f>1000-500-250</f>
        <v>250</v>
      </c>
      <c r="S102" s="334">
        <f>75-1-50</f>
        <v>24</v>
      </c>
      <c r="T102" s="352">
        <v>31.8</v>
      </c>
      <c r="U102" s="353">
        <v>50</v>
      </c>
      <c r="V102" s="354">
        <f>U102*T102/1000</f>
        <v>1.59</v>
      </c>
      <c r="W102" s="353">
        <v>4</v>
      </c>
      <c r="X102" s="355">
        <v>43682</v>
      </c>
      <c r="Y102" s="353">
        <v>50</v>
      </c>
      <c r="Z102" s="355"/>
      <c r="AA102" s="356">
        <v>31.2</v>
      </c>
      <c r="AB102" s="120"/>
      <c r="AC102" s="69">
        <f t="shared" si="15"/>
        <v>156</v>
      </c>
      <c r="AD102" s="86"/>
      <c r="AE102" s="86"/>
      <c r="AF102" s="212"/>
      <c r="AG102" s="119">
        <v>43692</v>
      </c>
      <c r="AH102" s="212"/>
      <c r="AI102" s="212"/>
      <c r="AJ102" s="218"/>
      <c r="AK102" s="62"/>
      <c r="AL102" s="117">
        <v>17</v>
      </c>
      <c r="AM102" s="872" t="s">
        <v>244</v>
      </c>
      <c r="AN102" s="27"/>
    </row>
    <row r="103" spans="1:40" ht="17">
      <c r="A103" s="94"/>
      <c r="B103" s="28"/>
      <c r="C103" s="29"/>
      <c r="D103" s="29"/>
      <c r="E103" s="29"/>
      <c r="F103" s="31"/>
      <c r="G103" s="29"/>
      <c r="H103" s="31"/>
      <c r="I103" s="31"/>
      <c r="J103" s="30"/>
      <c r="K103" s="357"/>
      <c r="L103" s="357"/>
      <c r="M103" s="358"/>
      <c r="N103" s="359"/>
      <c r="O103" s="358"/>
      <c r="P103" s="376"/>
      <c r="Q103" s="358"/>
      <c r="R103" s="358"/>
      <c r="S103" s="358"/>
      <c r="T103" s="360"/>
      <c r="U103" s="361"/>
      <c r="V103" s="362"/>
      <c r="W103" s="361"/>
      <c r="X103" s="362"/>
      <c r="Y103" s="361"/>
      <c r="Z103" s="362"/>
      <c r="AA103" s="360"/>
      <c r="AB103" s="45"/>
      <c r="AC103" s="49"/>
      <c r="AD103" s="49"/>
      <c r="AE103" s="49"/>
      <c r="AF103" s="138"/>
      <c r="AG103" s="138"/>
      <c r="AH103" s="138"/>
      <c r="AI103" s="138"/>
      <c r="AJ103" s="219"/>
      <c r="AK103" s="45"/>
      <c r="AL103" s="116"/>
      <c r="AM103" s="855"/>
      <c r="AN103" s="30"/>
    </row>
    <row r="104" spans="1:40" ht="17" thickBot="1">
      <c r="T104" s="379"/>
    </row>
    <row r="105" spans="1:40" ht="17">
      <c r="B105" s="96" t="s">
        <v>236</v>
      </c>
      <c r="C105" s="97"/>
      <c r="D105" s="15" t="s">
        <v>295</v>
      </c>
      <c r="E105" s="15" t="s">
        <v>235</v>
      </c>
      <c r="F105" s="98"/>
      <c r="G105" s="97"/>
      <c r="H105" s="98"/>
      <c r="I105" s="98"/>
      <c r="J105" s="97"/>
      <c r="K105" s="382">
        <v>571</v>
      </c>
      <c r="L105" s="382">
        <v>1</v>
      </c>
      <c r="M105" s="383">
        <v>10</v>
      </c>
      <c r="N105" s="384">
        <v>43668</v>
      </c>
      <c r="O105" s="383">
        <v>4</v>
      </c>
      <c r="P105" s="385">
        <v>43672</v>
      </c>
      <c r="Q105" s="383">
        <v>3</v>
      </c>
      <c r="R105" s="325">
        <f>1000-500</f>
        <v>500</v>
      </c>
      <c r="S105" s="386">
        <v>24</v>
      </c>
      <c r="T105" s="387" t="s">
        <v>244</v>
      </c>
      <c r="U105" s="388"/>
      <c r="V105" s="389"/>
      <c r="W105" s="388">
        <v>1</v>
      </c>
      <c r="X105" s="390">
        <v>43677</v>
      </c>
      <c r="Y105" s="388">
        <v>50</v>
      </c>
      <c r="Z105" s="390">
        <v>43677</v>
      </c>
      <c r="AA105" s="391" t="s">
        <v>244</v>
      </c>
      <c r="AB105" s="64"/>
      <c r="AC105" s="70" t="s">
        <v>244</v>
      </c>
      <c r="AD105" s="70"/>
      <c r="AE105" s="70"/>
      <c r="AF105" s="121"/>
      <c r="AG105" s="121"/>
      <c r="AH105" s="121"/>
      <c r="AI105" s="121"/>
      <c r="AJ105" s="224"/>
      <c r="AK105" s="64"/>
      <c r="AL105" s="860">
        <v>18</v>
      </c>
      <c r="AM105" s="861" t="s">
        <v>244</v>
      </c>
      <c r="AN105" s="99"/>
    </row>
    <row r="106" spans="1:40" ht="17">
      <c r="B106" s="100" t="s">
        <v>236</v>
      </c>
      <c r="C106" s="101"/>
      <c r="D106" s="19" t="s">
        <v>295</v>
      </c>
      <c r="E106" s="19" t="s">
        <v>235</v>
      </c>
      <c r="F106" s="102"/>
      <c r="G106" s="101"/>
      <c r="H106" s="102"/>
      <c r="I106" s="102"/>
      <c r="J106" s="103"/>
      <c r="K106" s="392">
        <v>572</v>
      </c>
      <c r="L106" s="392">
        <v>1</v>
      </c>
      <c r="M106" s="393">
        <v>10</v>
      </c>
      <c r="N106" s="394">
        <v>43669</v>
      </c>
      <c r="O106" s="393">
        <v>10</v>
      </c>
      <c r="P106" s="335">
        <v>43672</v>
      </c>
      <c r="Q106" s="393">
        <v>5</v>
      </c>
      <c r="R106" s="334">
        <f>1000-500</f>
        <v>500</v>
      </c>
      <c r="S106" s="386">
        <v>24</v>
      </c>
      <c r="T106" s="395" t="s">
        <v>244</v>
      </c>
      <c r="U106" s="396"/>
      <c r="V106" s="397"/>
      <c r="W106" s="396">
        <v>4</v>
      </c>
      <c r="X106" s="339">
        <v>43682</v>
      </c>
      <c r="Y106" s="398">
        <v>50</v>
      </c>
      <c r="Z106" s="339"/>
      <c r="AA106" s="399"/>
      <c r="AB106" s="65"/>
      <c r="AC106" s="71"/>
      <c r="AD106" s="71"/>
      <c r="AE106" s="71"/>
      <c r="AF106" s="214"/>
      <c r="AG106" s="214"/>
      <c r="AH106" s="214"/>
      <c r="AI106" s="214"/>
      <c r="AJ106" s="225"/>
      <c r="AK106" s="65"/>
      <c r="AL106" s="863" t="s">
        <v>731</v>
      </c>
      <c r="AM106" s="863" t="s">
        <v>731</v>
      </c>
      <c r="AN106" s="104"/>
    </row>
    <row r="107" spans="1:40" ht="17">
      <c r="B107" s="100" t="s">
        <v>236</v>
      </c>
      <c r="C107" s="101"/>
      <c r="D107" s="19" t="s">
        <v>296</v>
      </c>
      <c r="E107" s="19" t="s">
        <v>235</v>
      </c>
      <c r="F107" s="102"/>
      <c r="G107" s="101"/>
      <c r="H107" s="102"/>
      <c r="I107" s="102"/>
      <c r="J107" s="103"/>
      <c r="K107" s="400">
        <v>574</v>
      </c>
      <c r="L107" s="392" t="s">
        <v>236</v>
      </c>
      <c r="M107" s="393" t="s">
        <v>236</v>
      </c>
      <c r="N107" s="394" t="s">
        <v>236</v>
      </c>
      <c r="O107" s="393" t="s">
        <v>236</v>
      </c>
      <c r="P107" s="401">
        <v>43673</v>
      </c>
      <c r="Q107" s="393">
        <v>6</v>
      </c>
      <c r="R107" s="393" t="s">
        <v>236</v>
      </c>
      <c r="S107" s="386">
        <v>24</v>
      </c>
      <c r="T107" s="395" t="s">
        <v>244</v>
      </c>
      <c r="U107" s="396"/>
      <c r="V107" s="397"/>
      <c r="W107" s="396">
        <v>4</v>
      </c>
      <c r="X107" s="339">
        <v>43682</v>
      </c>
      <c r="Y107" s="398">
        <v>50</v>
      </c>
      <c r="Z107" s="339"/>
      <c r="AA107" s="399"/>
      <c r="AB107" s="65"/>
      <c r="AC107" s="71"/>
      <c r="AD107" s="71"/>
      <c r="AE107" s="71"/>
      <c r="AF107" s="214"/>
      <c r="AG107" s="214"/>
      <c r="AH107" s="214"/>
      <c r="AI107" s="214"/>
      <c r="AJ107" s="225"/>
      <c r="AK107" s="65"/>
      <c r="AL107" s="862"/>
      <c r="AM107" s="863"/>
      <c r="AN107" s="104"/>
    </row>
    <row r="108" spans="1:40" ht="18" thickBot="1">
      <c r="B108" s="105" t="s">
        <v>236</v>
      </c>
      <c r="C108" s="106"/>
      <c r="D108" s="24" t="s">
        <v>297</v>
      </c>
      <c r="E108" s="24" t="s">
        <v>235</v>
      </c>
      <c r="F108" s="107"/>
      <c r="G108" s="106"/>
      <c r="H108" s="107"/>
      <c r="I108" s="107"/>
      <c r="J108" s="106"/>
      <c r="K108" s="402">
        <v>575</v>
      </c>
      <c r="L108" s="402" t="s">
        <v>236</v>
      </c>
      <c r="M108" s="403" t="s">
        <v>236</v>
      </c>
      <c r="N108" s="404" t="s">
        <v>236</v>
      </c>
      <c r="O108" s="403" t="s">
        <v>236</v>
      </c>
      <c r="P108" s="403"/>
      <c r="Q108" s="403"/>
      <c r="R108" s="403"/>
      <c r="S108" s="403" t="s">
        <v>237</v>
      </c>
      <c r="T108" s="405"/>
      <c r="U108" s="406"/>
      <c r="V108" s="407"/>
      <c r="W108" s="406">
        <v>5</v>
      </c>
      <c r="X108" s="408">
        <v>43683</v>
      </c>
      <c r="Y108" s="406"/>
      <c r="Z108" s="341">
        <v>43683</v>
      </c>
      <c r="AA108" s="409"/>
      <c r="AB108" s="66"/>
      <c r="AC108" s="72"/>
      <c r="AD108" s="72"/>
      <c r="AE108" s="72"/>
      <c r="AF108" s="150"/>
      <c r="AG108" s="150"/>
      <c r="AH108" s="150"/>
      <c r="AI108" s="150"/>
      <c r="AJ108" s="226"/>
      <c r="AK108" s="66"/>
      <c r="AL108" s="864"/>
      <c r="AM108" s="865"/>
      <c r="AN108" s="108"/>
    </row>
    <row r="109" spans="1:40" ht="17">
      <c r="D109" s="29"/>
    </row>
    <row r="110" spans="1:40" ht="17">
      <c r="D110" s="29"/>
      <c r="W110" s="380">
        <f>COUNTA(W2:W108)</f>
        <v>74</v>
      </c>
      <c r="Z110" s="380">
        <f>COUNTA(Z2:Z108)</f>
        <v>63</v>
      </c>
    </row>
    <row r="111" spans="1:40" ht="17">
      <c r="D111" s="29"/>
    </row>
    <row r="112" spans="1:40" ht="17">
      <c r="D112" s="29"/>
    </row>
    <row r="113" spans="4:4" ht="17">
      <c r="D113" s="29"/>
    </row>
    <row r="114" spans="4:4" ht="17">
      <c r="D114" s="29"/>
    </row>
    <row r="115" spans="4:4" ht="17">
      <c r="D115" s="29"/>
    </row>
  </sheetData>
  <sortState xmlns:xlrd2="http://schemas.microsoft.com/office/spreadsheetml/2017/richdata2" ref="A2:AN102">
    <sortCondition ref="D2:D102"/>
    <sortCondition ref="E2:E102"/>
    <sortCondition ref="B2:B102"/>
  </sortState>
  <conditionalFormatting sqref="AC2:AC17 AC19:AC42 AC44:AC83 AC85:AC102">
    <cfRule type="cellIs" dxfId="79" priority="1" operator="lessThan">
      <formula>200</formula>
    </cfRule>
  </conditionalFormatting>
  <dataValidations count="1">
    <dataValidation type="list" allowBlank="1" showInputMessage="1" showErrorMessage="1" promptTitle="Treatment Group" sqref="C2:C103" xr:uid="{B759B6DF-DB6B-0245-B45D-ED71332080DA}">
      <formula1>$C$3:$C$3</formula1>
    </dataValidation>
  </dataValidations>
  <pageMargins left="0.25" right="0.25" top="0.75" bottom="0.75" header="0.3" footer="0.3"/>
  <pageSetup scale="54" fitToHeight="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28D-AE7C-C44C-98D5-29BE1ABB7456}">
  <dimension ref="A1:O88"/>
  <sheetViews>
    <sheetView tabSelected="1" workbookViewId="0">
      <selection activeCell="L23" sqref="L23"/>
    </sheetView>
  </sheetViews>
  <sheetFormatPr baseColWidth="10" defaultRowHeight="16"/>
  <cols>
    <col min="1" max="1" width="10.83203125" style="91"/>
    <col min="2" max="2" width="16.5" style="91" customWidth="1"/>
    <col min="3" max="3" width="26.1640625" style="91" customWidth="1"/>
    <col min="4" max="4" width="12.6640625" style="91" customWidth="1"/>
    <col min="5" max="6" width="16.6640625" style="95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2.83203125" style="95" hidden="1" customWidth="1"/>
    <col min="11" max="11" width="14.1640625" customWidth="1"/>
  </cols>
  <sheetData>
    <row r="1" spans="1:15" ht="55" thickBot="1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509</v>
      </c>
      <c r="F1" s="12" t="s">
        <v>510</v>
      </c>
      <c r="G1" s="13" t="s">
        <v>198</v>
      </c>
      <c r="H1" s="12" t="s">
        <v>199</v>
      </c>
      <c r="I1" s="12" t="s">
        <v>200</v>
      </c>
      <c r="J1" s="12" t="s">
        <v>254</v>
      </c>
      <c r="K1" s="265" t="s">
        <v>516</v>
      </c>
      <c r="L1" s="263" t="s">
        <v>511</v>
      </c>
      <c r="M1" s="263" t="s">
        <v>512</v>
      </c>
      <c r="N1" s="263" t="s">
        <v>513</v>
      </c>
      <c r="O1" s="263" t="s">
        <v>514</v>
      </c>
    </row>
    <row r="2" spans="1:15" ht="17">
      <c r="A2" s="14">
        <v>42879</v>
      </c>
      <c r="B2" s="15" t="s">
        <v>105</v>
      </c>
      <c r="C2" s="15" t="s">
        <v>37</v>
      </c>
      <c r="D2" s="15" t="s">
        <v>96</v>
      </c>
      <c r="E2" s="16" t="s">
        <v>130</v>
      </c>
      <c r="F2" s="21" t="s">
        <v>203</v>
      </c>
      <c r="G2" s="15"/>
      <c r="H2" s="16"/>
      <c r="I2" s="16"/>
      <c r="J2" s="16">
        <v>401</v>
      </c>
      <c r="K2" s="210" t="s">
        <v>37</v>
      </c>
      <c r="L2" s="52">
        <f>COUNTA(F44)</f>
        <v>0</v>
      </c>
      <c r="M2" s="52">
        <f>COUNTA(F58:F59)</f>
        <v>2</v>
      </c>
      <c r="N2" s="52">
        <f>COUNTA(F2:F5)</f>
        <v>2</v>
      </c>
      <c r="O2" s="52">
        <f>COUNTA(F26:F29)</f>
        <v>3</v>
      </c>
    </row>
    <row r="3" spans="1:15" ht="17">
      <c r="A3" s="18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21"/>
      <c r="G3" s="19"/>
      <c r="H3" s="21"/>
      <c r="I3" s="21"/>
      <c r="J3" s="21">
        <v>402</v>
      </c>
      <c r="K3" s="210" t="s">
        <v>75</v>
      </c>
      <c r="L3" s="52">
        <f>COUNTA(F45)</f>
        <v>1</v>
      </c>
      <c r="M3" s="52">
        <f>COUNTA(F62:F63,F67:F68)</f>
        <v>4</v>
      </c>
      <c r="N3" s="52">
        <f>COUNTA(F6:F10)</f>
        <v>4</v>
      </c>
      <c r="O3" s="52">
        <f>COUNTA(F30:F31)</f>
        <v>2</v>
      </c>
    </row>
    <row r="4" spans="1:15" ht="17">
      <c r="A4" s="18">
        <v>42905</v>
      </c>
      <c r="B4" s="19" t="s">
        <v>105</v>
      </c>
      <c r="C4" s="19" t="s">
        <v>37</v>
      </c>
      <c r="D4" s="19" t="s">
        <v>96</v>
      </c>
      <c r="E4" s="21" t="s">
        <v>191</v>
      </c>
      <c r="F4" s="21"/>
      <c r="G4" s="19"/>
      <c r="H4" s="21"/>
      <c r="I4" s="21"/>
      <c r="J4" s="21">
        <v>403</v>
      </c>
      <c r="K4" s="210" t="s">
        <v>92</v>
      </c>
      <c r="L4" s="52">
        <f>COUNTA(F49)</f>
        <v>1</v>
      </c>
      <c r="M4" s="52">
        <f>COUNTA(F69:F70,F72:F77)</f>
        <v>6</v>
      </c>
      <c r="N4" s="52">
        <f>COUNTA(F11:F22)</f>
        <v>6</v>
      </c>
      <c r="O4" s="52">
        <v>0</v>
      </c>
    </row>
    <row r="5" spans="1:15" ht="17">
      <c r="A5" s="18">
        <v>42915</v>
      </c>
      <c r="B5" s="19" t="s">
        <v>105</v>
      </c>
      <c r="C5" s="19" t="s">
        <v>37</v>
      </c>
      <c r="D5" s="19" t="s">
        <v>96</v>
      </c>
      <c r="E5" s="21" t="s">
        <v>196</v>
      </c>
      <c r="F5" s="21" t="s">
        <v>203</v>
      </c>
      <c r="G5" s="19"/>
      <c r="H5" s="21"/>
      <c r="I5" s="21"/>
      <c r="J5" s="21">
        <v>404</v>
      </c>
      <c r="K5" s="210" t="s">
        <v>99</v>
      </c>
      <c r="L5" s="52">
        <f>COUNTA(F55)</f>
        <v>1</v>
      </c>
      <c r="M5" s="52">
        <f>COUNTA(F78)</f>
        <v>1</v>
      </c>
      <c r="N5" s="52">
        <f>COUNTA(F23:F25)</f>
        <v>0</v>
      </c>
      <c r="O5" s="52">
        <f>COUNTA(F41:F43)</f>
        <v>2</v>
      </c>
    </row>
    <row r="6" spans="1:15" ht="17">
      <c r="A6" s="18">
        <v>42880</v>
      </c>
      <c r="B6" s="19" t="s">
        <v>110</v>
      </c>
      <c r="C6" s="19" t="s">
        <v>75</v>
      </c>
      <c r="D6" s="19" t="s">
        <v>96</v>
      </c>
      <c r="E6" s="21" t="s">
        <v>136</v>
      </c>
      <c r="F6" s="21" t="s">
        <v>203</v>
      </c>
      <c r="G6" s="19"/>
      <c r="H6" s="21"/>
      <c r="I6" s="21"/>
      <c r="J6" s="21">
        <v>441</v>
      </c>
      <c r="K6" s="264" t="s">
        <v>515</v>
      </c>
      <c r="L6" s="210">
        <f>SUM(L2:L5)</f>
        <v>3</v>
      </c>
      <c r="M6" s="210">
        <f>SUM(M2:M5)</f>
        <v>13</v>
      </c>
      <c r="N6" s="210">
        <f>SUM(N2:N5)</f>
        <v>12</v>
      </c>
      <c r="O6" s="210">
        <f>SUM(O2:O5)</f>
        <v>7</v>
      </c>
    </row>
    <row r="7" spans="1:15" ht="17">
      <c r="A7" s="18">
        <v>42889</v>
      </c>
      <c r="B7" s="19" t="s">
        <v>110</v>
      </c>
      <c r="C7" s="19" t="s">
        <v>75</v>
      </c>
      <c r="D7" s="19" t="s">
        <v>96</v>
      </c>
      <c r="E7" s="21" t="s">
        <v>154</v>
      </c>
      <c r="F7" s="21" t="s">
        <v>203</v>
      </c>
      <c r="G7" s="19"/>
      <c r="H7" s="21"/>
      <c r="I7" s="21"/>
      <c r="J7" s="21">
        <v>442</v>
      </c>
      <c r="K7" s="266" t="s">
        <v>519</v>
      </c>
      <c r="L7" s="125">
        <f>COUNTA(F46,F48,F52,F54)</f>
        <v>4</v>
      </c>
      <c r="M7" s="125">
        <f>COUNTA(F60,F66,F71,F79,F80)</f>
        <v>5</v>
      </c>
      <c r="N7" s="125">
        <f>0</f>
        <v>0</v>
      </c>
      <c r="O7" s="125">
        <f>COUNTA(F32,F38,F39)</f>
        <v>3</v>
      </c>
    </row>
    <row r="8" spans="1:15" ht="17">
      <c r="A8" s="18">
        <v>42893</v>
      </c>
      <c r="B8" s="19" t="s">
        <v>110</v>
      </c>
      <c r="C8" s="19" t="s">
        <v>75</v>
      </c>
      <c r="D8" s="19" t="s">
        <v>96</v>
      </c>
      <c r="E8" s="21" t="s">
        <v>169</v>
      </c>
      <c r="F8" s="21" t="s">
        <v>203</v>
      </c>
      <c r="G8" s="19"/>
      <c r="H8" s="21"/>
      <c r="I8" s="21"/>
      <c r="J8" s="21">
        <v>443</v>
      </c>
      <c r="K8" s="266" t="s">
        <v>518</v>
      </c>
      <c r="L8" s="125">
        <f>SUM(L6:L7)</f>
        <v>7</v>
      </c>
      <c r="M8" s="125">
        <f>SUM(M6:M7)</f>
        <v>18</v>
      </c>
      <c r="N8" s="125">
        <f>SUM(N6:N7)</f>
        <v>12</v>
      </c>
      <c r="O8" s="125">
        <f>SUM(O6:O7)</f>
        <v>10</v>
      </c>
    </row>
    <row r="9" spans="1:15" ht="17">
      <c r="A9" s="18">
        <v>42900</v>
      </c>
      <c r="B9" s="19" t="s">
        <v>119</v>
      </c>
      <c r="C9" s="19" t="s">
        <v>75</v>
      </c>
      <c r="D9" s="19" t="s">
        <v>96</v>
      </c>
      <c r="E9" s="21" t="s">
        <v>179</v>
      </c>
      <c r="F9" s="21" t="s">
        <v>203</v>
      </c>
      <c r="G9" s="19"/>
      <c r="H9" s="21"/>
      <c r="I9" s="21"/>
      <c r="J9" s="21">
        <v>444</v>
      </c>
    </row>
    <row r="10" spans="1:15" ht="17">
      <c r="A10" s="18">
        <v>42901</v>
      </c>
      <c r="B10" s="19" t="s">
        <v>119</v>
      </c>
      <c r="C10" s="19" t="s">
        <v>75</v>
      </c>
      <c r="D10" s="19" t="s">
        <v>96</v>
      </c>
      <c r="E10" s="21" t="s">
        <v>181</v>
      </c>
      <c r="F10" s="21"/>
      <c r="G10" s="19"/>
      <c r="H10" s="21"/>
      <c r="I10" s="21"/>
      <c r="J10" s="21">
        <v>445</v>
      </c>
    </row>
    <row r="11" spans="1:15" ht="17">
      <c r="A11" s="18">
        <v>42875</v>
      </c>
      <c r="B11" s="19" t="s">
        <v>95</v>
      </c>
      <c r="C11" s="19" t="s">
        <v>92</v>
      </c>
      <c r="D11" s="19" t="s">
        <v>96</v>
      </c>
      <c r="E11" s="21" t="s">
        <v>272</v>
      </c>
      <c r="F11" s="21" t="s">
        <v>203</v>
      </c>
      <c r="G11" s="19"/>
      <c r="H11" s="21"/>
      <c r="I11" s="21"/>
      <c r="J11" s="21">
        <v>481</v>
      </c>
    </row>
    <row r="12" spans="1:15" ht="17">
      <c r="A12" s="18">
        <v>42875</v>
      </c>
      <c r="B12" s="19" t="s">
        <v>97</v>
      </c>
      <c r="C12" s="19" t="s">
        <v>92</v>
      </c>
      <c r="D12" s="19" t="s">
        <v>96</v>
      </c>
      <c r="E12" s="21" t="s">
        <v>273</v>
      </c>
      <c r="F12" s="21" t="s">
        <v>203</v>
      </c>
      <c r="G12" s="19"/>
      <c r="H12" s="21"/>
      <c r="I12" s="21"/>
      <c r="J12" s="21">
        <v>482</v>
      </c>
    </row>
    <row r="13" spans="1:15" ht="17">
      <c r="A13" s="18">
        <v>42876</v>
      </c>
      <c r="B13" s="19" t="s">
        <v>97</v>
      </c>
      <c r="C13" s="19" t="s">
        <v>92</v>
      </c>
      <c r="D13" s="19" t="s">
        <v>96</v>
      </c>
      <c r="E13" s="21" t="s">
        <v>274</v>
      </c>
      <c r="F13" s="21" t="s">
        <v>203</v>
      </c>
      <c r="G13" s="19"/>
      <c r="H13" s="21"/>
      <c r="I13" s="21"/>
      <c r="J13" s="21">
        <v>483</v>
      </c>
    </row>
    <row r="14" spans="1:15" ht="17">
      <c r="A14" s="18">
        <v>42878</v>
      </c>
      <c r="B14" s="19" t="s">
        <v>95</v>
      </c>
      <c r="C14" s="19" t="s">
        <v>92</v>
      </c>
      <c r="D14" s="19" t="s">
        <v>96</v>
      </c>
      <c r="E14" s="21" t="s">
        <v>125</v>
      </c>
      <c r="F14" s="21"/>
      <c r="G14" s="19"/>
      <c r="H14" s="21"/>
      <c r="I14" s="21"/>
      <c r="J14" s="21">
        <v>484</v>
      </c>
    </row>
    <row r="15" spans="1:15" ht="18" thickBot="1">
      <c r="A15" s="23">
        <v>42887</v>
      </c>
      <c r="B15" s="24" t="s">
        <v>97</v>
      </c>
      <c r="C15" s="24" t="s">
        <v>92</v>
      </c>
      <c r="D15" s="24" t="s">
        <v>96</v>
      </c>
      <c r="E15" s="26" t="s">
        <v>150</v>
      </c>
      <c r="F15" s="26"/>
      <c r="G15" s="24"/>
      <c r="H15" s="26"/>
      <c r="I15" s="26"/>
      <c r="J15" s="26">
        <v>485</v>
      </c>
    </row>
    <row r="16" spans="1:15" ht="17">
      <c r="A16" s="14">
        <v>42889</v>
      </c>
      <c r="B16" s="15" t="s">
        <v>95</v>
      </c>
      <c r="C16" s="15" t="s">
        <v>92</v>
      </c>
      <c r="D16" s="15" t="s">
        <v>96</v>
      </c>
      <c r="E16" s="16" t="s">
        <v>155</v>
      </c>
      <c r="F16" s="16" t="s">
        <v>203</v>
      </c>
      <c r="G16" s="15"/>
      <c r="H16" s="16"/>
      <c r="I16" s="16"/>
      <c r="J16" s="16">
        <v>486</v>
      </c>
    </row>
    <row r="17" spans="1:10" ht="17">
      <c r="A17" s="18">
        <v>42889</v>
      </c>
      <c r="B17" s="19" t="s">
        <v>97</v>
      </c>
      <c r="C17" s="19" t="s">
        <v>92</v>
      </c>
      <c r="D17" s="19" t="s">
        <v>96</v>
      </c>
      <c r="E17" s="21" t="s">
        <v>156</v>
      </c>
      <c r="F17" s="21"/>
      <c r="G17" s="19"/>
      <c r="H17" s="21"/>
      <c r="I17" s="21"/>
      <c r="J17" s="21">
        <v>487</v>
      </c>
    </row>
    <row r="18" spans="1:10" ht="17">
      <c r="A18" s="18">
        <v>42890</v>
      </c>
      <c r="B18" s="19" t="s">
        <v>95</v>
      </c>
      <c r="C18" s="19" t="s">
        <v>92</v>
      </c>
      <c r="D18" s="19" t="s">
        <v>96</v>
      </c>
      <c r="E18" s="21" t="s">
        <v>160</v>
      </c>
      <c r="F18" s="21" t="s">
        <v>203</v>
      </c>
      <c r="G18" s="19"/>
      <c r="H18" s="21"/>
      <c r="I18" s="21"/>
      <c r="J18" s="21">
        <v>488</v>
      </c>
    </row>
    <row r="19" spans="1:10" ht="17">
      <c r="A19" s="18">
        <v>42892</v>
      </c>
      <c r="B19" s="19" t="s">
        <v>95</v>
      </c>
      <c r="C19" s="19" t="s">
        <v>92</v>
      </c>
      <c r="D19" s="19" t="s">
        <v>96</v>
      </c>
      <c r="E19" s="21" t="s">
        <v>165</v>
      </c>
      <c r="F19" s="21"/>
      <c r="G19" s="19"/>
      <c r="H19" s="21"/>
      <c r="I19" s="21"/>
      <c r="J19" s="21">
        <v>489</v>
      </c>
    </row>
    <row r="20" spans="1:10" ht="17">
      <c r="A20" s="18">
        <v>42900</v>
      </c>
      <c r="B20" s="19" t="s">
        <v>97</v>
      </c>
      <c r="C20" s="19" t="s">
        <v>92</v>
      </c>
      <c r="D20" s="19" t="s">
        <v>96</v>
      </c>
      <c r="E20" s="21" t="s">
        <v>180</v>
      </c>
      <c r="F20" s="21"/>
      <c r="G20" s="19"/>
      <c r="H20" s="21"/>
      <c r="I20" s="21"/>
      <c r="J20" s="21">
        <v>490</v>
      </c>
    </row>
    <row r="21" spans="1:10" ht="17">
      <c r="A21" s="18">
        <v>42901</v>
      </c>
      <c r="B21" s="19" t="s">
        <v>97</v>
      </c>
      <c r="C21" s="19" t="s">
        <v>92</v>
      </c>
      <c r="D21" s="19" t="s">
        <v>96</v>
      </c>
      <c r="E21" s="21" t="s">
        <v>182</v>
      </c>
      <c r="F21" s="21"/>
      <c r="G21" s="19"/>
      <c r="H21" s="21"/>
      <c r="I21" s="21"/>
      <c r="J21" s="21">
        <v>491</v>
      </c>
    </row>
    <row r="22" spans="1:10" ht="17">
      <c r="A22" s="18">
        <v>42922</v>
      </c>
      <c r="B22" s="19" t="s">
        <v>97</v>
      </c>
      <c r="C22" s="19" t="s">
        <v>92</v>
      </c>
      <c r="D22" s="19" t="s">
        <v>96</v>
      </c>
      <c r="E22" s="21" t="s">
        <v>197</v>
      </c>
      <c r="F22" s="21" t="s">
        <v>203</v>
      </c>
      <c r="G22" s="19"/>
      <c r="H22" s="21"/>
      <c r="I22" s="21"/>
      <c r="J22" s="21">
        <v>492</v>
      </c>
    </row>
    <row r="23" spans="1:10" ht="17">
      <c r="A23" s="18">
        <v>42879</v>
      </c>
      <c r="B23" s="19" t="s">
        <v>107</v>
      </c>
      <c r="C23" s="19" t="s">
        <v>99</v>
      </c>
      <c r="D23" s="19" t="s">
        <v>96</v>
      </c>
      <c r="E23" s="21" t="s">
        <v>133</v>
      </c>
      <c r="F23" s="21"/>
      <c r="G23" s="19"/>
      <c r="H23" s="21"/>
      <c r="I23" s="21"/>
      <c r="J23" s="21">
        <v>531</v>
      </c>
    </row>
    <row r="24" spans="1:10" ht="17">
      <c r="A24" s="18">
        <v>42889</v>
      </c>
      <c r="B24" s="19" t="s">
        <v>107</v>
      </c>
      <c r="C24" s="19" t="s">
        <v>99</v>
      </c>
      <c r="D24" s="19" t="s">
        <v>96</v>
      </c>
      <c r="E24" s="21" t="s">
        <v>158</v>
      </c>
      <c r="F24" s="21"/>
      <c r="G24" s="19"/>
      <c r="H24" s="21"/>
      <c r="I24" s="21"/>
      <c r="J24" s="21">
        <v>532</v>
      </c>
    </row>
    <row r="25" spans="1:10" ht="17">
      <c r="A25" s="56">
        <v>42896</v>
      </c>
      <c r="B25" s="57" t="s">
        <v>107</v>
      </c>
      <c r="C25" s="57" t="s">
        <v>99</v>
      </c>
      <c r="D25" s="57" t="s">
        <v>96</v>
      </c>
      <c r="E25" s="53" t="s">
        <v>172</v>
      </c>
      <c r="F25" s="53"/>
      <c r="G25" s="57"/>
      <c r="H25" s="53"/>
      <c r="I25" s="53"/>
      <c r="J25" s="53">
        <v>533</v>
      </c>
    </row>
    <row r="26" spans="1:10" ht="17">
      <c r="A26" s="18">
        <v>42881</v>
      </c>
      <c r="B26" s="19" t="s">
        <v>112</v>
      </c>
      <c r="C26" s="19" t="s">
        <v>37</v>
      </c>
      <c r="D26" s="19" t="s">
        <v>101</v>
      </c>
      <c r="E26" s="21" t="s">
        <v>139</v>
      </c>
      <c r="F26" s="21"/>
      <c r="G26" s="19"/>
      <c r="H26" s="21"/>
      <c r="I26" s="21"/>
      <c r="J26" s="21">
        <v>411</v>
      </c>
    </row>
    <row r="27" spans="1:10" ht="17">
      <c r="A27" s="18">
        <v>42882</v>
      </c>
      <c r="B27" s="19" t="s">
        <v>112</v>
      </c>
      <c r="C27" s="19" t="s">
        <v>37</v>
      </c>
      <c r="D27" s="19" t="s">
        <v>101</v>
      </c>
      <c r="E27" s="21" t="s">
        <v>143</v>
      </c>
      <c r="F27" s="21" t="s">
        <v>203</v>
      </c>
      <c r="G27" s="19" t="s">
        <v>211</v>
      </c>
      <c r="H27" s="21"/>
      <c r="I27" s="21"/>
      <c r="J27" s="21">
        <v>412</v>
      </c>
    </row>
    <row r="28" spans="1:10" ht="17">
      <c r="A28" s="18">
        <v>42896</v>
      </c>
      <c r="B28" s="19" t="s">
        <v>112</v>
      </c>
      <c r="C28" s="19" t="s">
        <v>37</v>
      </c>
      <c r="D28" s="19" t="s">
        <v>101</v>
      </c>
      <c r="E28" s="21" t="s">
        <v>174</v>
      </c>
      <c r="F28" s="21" t="s">
        <v>203</v>
      </c>
      <c r="G28" s="19"/>
      <c r="H28" s="21"/>
      <c r="I28" s="21"/>
      <c r="J28" s="21">
        <v>413</v>
      </c>
    </row>
    <row r="29" spans="1:10" ht="17">
      <c r="A29" s="18">
        <v>42898</v>
      </c>
      <c r="B29" s="19" t="s">
        <v>112</v>
      </c>
      <c r="C29" s="19" t="s">
        <v>37</v>
      </c>
      <c r="D29" s="19" t="s">
        <v>101</v>
      </c>
      <c r="E29" s="21" t="s">
        <v>176</v>
      </c>
      <c r="F29" s="21" t="s">
        <v>203</v>
      </c>
      <c r="G29" s="19" t="s">
        <v>217</v>
      </c>
      <c r="H29" s="21"/>
      <c r="I29" s="21"/>
      <c r="J29" s="21">
        <v>414</v>
      </c>
    </row>
    <row r="30" spans="1:10" ht="17">
      <c r="A30" s="18">
        <v>42879</v>
      </c>
      <c r="B30" s="19" t="s">
        <v>106</v>
      </c>
      <c r="C30" s="19" t="s">
        <v>75</v>
      </c>
      <c r="D30" s="19" t="s">
        <v>101</v>
      </c>
      <c r="E30" s="21" t="s">
        <v>132</v>
      </c>
      <c r="F30" s="21" t="s">
        <v>203</v>
      </c>
      <c r="G30" s="19"/>
      <c r="H30" s="21"/>
      <c r="I30" s="21"/>
      <c r="J30" s="21">
        <v>451</v>
      </c>
    </row>
    <row r="31" spans="1:10" ht="17">
      <c r="A31" s="18">
        <v>42879</v>
      </c>
      <c r="B31" s="19" t="s">
        <v>108</v>
      </c>
      <c r="C31" s="19" t="s">
        <v>75</v>
      </c>
      <c r="D31" s="19" t="s">
        <v>101</v>
      </c>
      <c r="E31" s="21" t="s">
        <v>134</v>
      </c>
      <c r="F31" s="21" t="s">
        <v>203</v>
      </c>
      <c r="G31" s="19"/>
      <c r="H31" s="21"/>
      <c r="I31" s="21"/>
      <c r="J31" s="21">
        <v>452</v>
      </c>
    </row>
    <row r="32" spans="1:10" ht="17">
      <c r="A32" s="18">
        <v>42889</v>
      </c>
      <c r="B32" s="19" t="s">
        <v>106</v>
      </c>
      <c r="C32" s="19" t="s">
        <v>75</v>
      </c>
      <c r="D32" s="19" t="s">
        <v>101</v>
      </c>
      <c r="E32" s="21" t="s">
        <v>152</v>
      </c>
      <c r="F32" s="21" t="s">
        <v>517</v>
      </c>
      <c r="G32" s="19"/>
      <c r="H32" s="21"/>
      <c r="I32" s="21"/>
      <c r="J32" s="21">
        <v>453</v>
      </c>
    </row>
    <row r="33" spans="1:10" ht="17">
      <c r="A33" s="18">
        <v>42876</v>
      </c>
      <c r="B33" s="19" t="s">
        <v>100</v>
      </c>
      <c r="C33" s="19" t="s">
        <v>92</v>
      </c>
      <c r="D33" s="19" t="s">
        <v>101</v>
      </c>
      <c r="E33" s="21" t="s">
        <v>271</v>
      </c>
      <c r="F33" s="21"/>
      <c r="G33" s="19" t="s">
        <v>201</v>
      </c>
      <c r="H33" s="21" t="s">
        <v>202</v>
      </c>
      <c r="I33" s="21" t="s">
        <v>203</v>
      </c>
      <c r="J33" s="21">
        <v>501</v>
      </c>
    </row>
    <row r="34" spans="1:10" ht="18" thickBot="1">
      <c r="A34" s="23">
        <v>42878</v>
      </c>
      <c r="B34" s="24" t="s">
        <v>100</v>
      </c>
      <c r="C34" s="24" t="s">
        <v>92</v>
      </c>
      <c r="D34" s="24" t="s">
        <v>101</v>
      </c>
      <c r="E34" s="26" t="s">
        <v>124</v>
      </c>
      <c r="F34" s="26"/>
      <c r="G34" s="24"/>
      <c r="H34" s="26" t="s">
        <v>204</v>
      </c>
      <c r="I34" s="26" t="s">
        <v>205</v>
      </c>
      <c r="J34" s="26">
        <v>43</v>
      </c>
    </row>
    <row r="35" spans="1:10" ht="17">
      <c r="A35" s="14">
        <v>42881</v>
      </c>
      <c r="B35" s="15" t="s">
        <v>100</v>
      </c>
      <c r="C35" s="15" t="s">
        <v>92</v>
      </c>
      <c r="D35" s="15" t="s">
        <v>101</v>
      </c>
      <c r="E35" s="16" t="s">
        <v>140</v>
      </c>
      <c r="F35" s="16"/>
      <c r="G35" s="15"/>
      <c r="H35" s="16" t="s">
        <v>208</v>
      </c>
      <c r="I35" s="16" t="s">
        <v>205</v>
      </c>
      <c r="J35" s="16">
        <v>46</v>
      </c>
    </row>
    <row r="36" spans="1:10" ht="17">
      <c r="A36" s="173">
        <v>42882</v>
      </c>
      <c r="B36" s="174" t="s">
        <v>100</v>
      </c>
      <c r="C36" s="174" t="s">
        <v>92</v>
      </c>
      <c r="D36" s="174" t="s">
        <v>101</v>
      </c>
      <c r="E36" s="175" t="s">
        <v>142</v>
      </c>
      <c r="F36" s="175"/>
      <c r="G36" s="174" t="s">
        <v>209</v>
      </c>
      <c r="H36" s="175" t="s">
        <v>210</v>
      </c>
      <c r="I36" s="175" t="s">
        <v>203</v>
      </c>
      <c r="J36" s="175">
        <v>47</v>
      </c>
    </row>
    <row r="37" spans="1:10" ht="17">
      <c r="A37" s="173">
        <v>42886</v>
      </c>
      <c r="B37" s="174" t="s">
        <v>114</v>
      </c>
      <c r="C37" s="174" t="s">
        <v>92</v>
      </c>
      <c r="D37" s="174" t="s">
        <v>101</v>
      </c>
      <c r="E37" s="175" t="s">
        <v>148</v>
      </c>
      <c r="F37" s="175"/>
      <c r="G37" s="174"/>
      <c r="H37" s="175" t="s">
        <v>212</v>
      </c>
      <c r="I37" s="175" t="s">
        <v>203</v>
      </c>
      <c r="J37" s="175">
        <v>44</v>
      </c>
    </row>
    <row r="38" spans="1:10" ht="17">
      <c r="A38" s="18">
        <v>42900</v>
      </c>
      <c r="B38" s="19" t="s">
        <v>100</v>
      </c>
      <c r="C38" s="19" t="s">
        <v>92</v>
      </c>
      <c r="D38" s="19" t="s">
        <v>101</v>
      </c>
      <c r="E38" s="21" t="s">
        <v>178</v>
      </c>
      <c r="F38" s="21" t="s">
        <v>517</v>
      </c>
      <c r="G38" s="19" t="s">
        <v>218</v>
      </c>
      <c r="H38" s="21" t="s">
        <v>232</v>
      </c>
      <c r="I38" s="21" t="s">
        <v>205</v>
      </c>
      <c r="J38" s="21">
        <v>506</v>
      </c>
    </row>
    <row r="39" spans="1:10" ht="17">
      <c r="A39" s="56">
        <v>42901</v>
      </c>
      <c r="B39" s="57" t="s">
        <v>100</v>
      </c>
      <c r="C39" s="57" t="s">
        <v>92</v>
      </c>
      <c r="D39" s="57" t="s">
        <v>101</v>
      </c>
      <c r="E39" s="53" t="s">
        <v>183</v>
      </c>
      <c r="F39" s="21" t="s">
        <v>517</v>
      </c>
      <c r="G39" s="57" t="s">
        <v>219</v>
      </c>
      <c r="H39" s="53"/>
      <c r="I39" s="53"/>
      <c r="J39" s="53" t="s">
        <v>237</v>
      </c>
    </row>
    <row r="40" spans="1:10" ht="17">
      <c r="A40" s="173">
        <v>42910</v>
      </c>
      <c r="B40" s="174" t="s">
        <v>114</v>
      </c>
      <c r="C40" s="174" t="s">
        <v>92</v>
      </c>
      <c r="D40" s="174" t="s">
        <v>101</v>
      </c>
      <c r="E40" s="175" t="s">
        <v>195</v>
      </c>
      <c r="F40" s="175"/>
      <c r="G40" s="174"/>
      <c r="H40" s="175" t="s">
        <v>225</v>
      </c>
      <c r="I40" s="175" t="s">
        <v>203</v>
      </c>
      <c r="J40" s="175">
        <v>45</v>
      </c>
    </row>
    <row r="41" spans="1:10" ht="17">
      <c r="A41" s="18">
        <v>42878</v>
      </c>
      <c r="B41" s="19" t="s">
        <v>104</v>
      </c>
      <c r="C41" s="19" t="s">
        <v>99</v>
      </c>
      <c r="D41" s="19" t="s">
        <v>101</v>
      </c>
      <c r="E41" s="21" t="s">
        <v>128</v>
      </c>
      <c r="F41" s="21" t="s">
        <v>203</v>
      </c>
      <c r="G41" s="19"/>
      <c r="H41" s="21"/>
      <c r="I41" s="21"/>
      <c r="J41" s="21">
        <v>541</v>
      </c>
    </row>
    <row r="42" spans="1:10" ht="17">
      <c r="A42" s="18">
        <v>42879</v>
      </c>
      <c r="B42" s="19" t="s">
        <v>104</v>
      </c>
      <c r="C42" s="19" t="s">
        <v>99</v>
      </c>
      <c r="D42" s="19" t="s">
        <v>101</v>
      </c>
      <c r="E42" s="21" t="s">
        <v>129</v>
      </c>
      <c r="F42" s="21"/>
      <c r="G42" s="19"/>
      <c r="H42" s="21"/>
      <c r="I42" s="21"/>
      <c r="J42" s="21">
        <v>542</v>
      </c>
    </row>
    <row r="43" spans="1:10" ht="17">
      <c r="A43" s="18">
        <v>42890</v>
      </c>
      <c r="B43" s="19" t="s">
        <v>104</v>
      </c>
      <c r="C43" s="19" t="s">
        <v>99</v>
      </c>
      <c r="D43" s="19" t="s">
        <v>101</v>
      </c>
      <c r="E43" s="21" t="s">
        <v>159</v>
      </c>
      <c r="F43" s="21" t="s">
        <v>203</v>
      </c>
      <c r="G43" s="19"/>
      <c r="H43" s="21"/>
      <c r="I43" s="21"/>
      <c r="J43" s="21">
        <v>543</v>
      </c>
    </row>
    <row r="44" spans="1:10" ht="17">
      <c r="A44" s="18">
        <v>42898</v>
      </c>
      <c r="B44" s="19" t="s">
        <v>118</v>
      </c>
      <c r="C44" s="19" t="s">
        <v>37</v>
      </c>
      <c r="D44" s="19" t="s">
        <v>103</v>
      </c>
      <c r="E44" s="21" t="s">
        <v>175</v>
      </c>
      <c r="F44" s="21"/>
      <c r="G44" s="19" t="s">
        <v>216</v>
      </c>
      <c r="H44" s="21"/>
      <c r="I44" s="21"/>
      <c r="J44" s="21">
        <v>421</v>
      </c>
    </row>
    <row r="45" spans="1:10" ht="17">
      <c r="A45" s="18">
        <v>42881</v>
      </c>
      <c r="B45" s="19" t="s">
        <v>111</v>
      </c>
      <c r="C45" s="19" t="s">
        <v>75</v>
      </c>
      <c r="D45" s="19" t="s">
        <v>103</v>
      </c>
      <c r="E45" s="21" t="s">
        <v>138</v>
      </c>
      <c r="F45" s="21" t="s">
        <v>203</v>
      </c>
      <c r="G45" s="19"/>
      <c r="H45" s="21"/>
      <c r="I45" s="21"/>
      <c r="J45" s="21">
        <v>461</v>
      </c>
    </row>
    <row r="46" spans="1:10" ht="17">
      <c r="A46" s="18">
        <v>42884</v>
      </c>
      <c r="B46" s="19" t="s">
        <v>113</v>
      </c>
      <c r="C46" s="19" t="s">
        <v>75</v>
      </c>
      <c r="D46" s="19" t="s">
        <v>103</v>
      </c>
      <c r="E46" s="21" t="s">
        <v>145</v>
      </c>
      <c r="F46" s="21" t="s">
        <v>517</v>
      </c>
      <c r="G46" s="19"/>
      <c r="H46" s="21"/>
      <c r="I46" s="21"/>
      <c r="J46" s="21">
        <v>462</v>
      </c>
    </row>
    <row r="47" spans="1:10" ht="17">
      <c r="A47" s="173">
        <v>42878</v>
      </c>
      <c r="B47" s="174" t="s">
        <v>102</v>
      </c>
      <c r="C47" s="174" t="s">
        <v>92</v>
      </c>
      <c r="D47" s="174" t="s">
        <v>103</v>
      </c>
      <c r="E47" s="175" t="s">
        <v>126</v>
      </c>
      <c r="F47" s="175"/>
      <c r="G47" s="174" t="s">
        <v>206</v>
      </c>
      <c r="H47" s="175" t="s">
        <v>207</v>
      </c>
      <c r="I47" s="175" t="s">
        <v>203</v>
      </c>
      <c r="J47" s="175">
        <v>35</v>
      </c>
    </row>
    <row r="48" spans="1:10" ht="17">
      <c r="A48" s="56">
        <v>42889</v>
      </c>
      <c r="B48" s="57" t="s">
        <v>102</v>
      </c>
      <c r="C48" s="57" t="s">
        <v>92</v>
      </c>
      <c r="D48" s="57" t="s">
        <v>103</v>
      </c>
      <c r="E48" s="53" t="s">
        <v>153</v>
      </c>
      <c r="F48" s="21" t="s">
        <v>517</v>
      </c>
      <c r="G48" s="57"/>
      <c r="H48" s="53" t="s">
        <v>213</v>
      </c>
      <c r="I48" s="53" t="s">
        <v>205</v>
      </c>
      <c r="J48" s="53">
        <v>38</v>
      </c>
    </row>
    <row r="49" spans="1:10" ht="17">
      <c r="A49" s="18">
        <v>42891</v>
      </c>
      <c r="B49" s="19" t="s">
        <v>102</v>
      </c>
      <c r="C49" s="19" t="s">
        <v>92</v>
      </c>
      <c r="D49" s="19" t="s">
        <v>103</v>
      </c>
      <c r="E49" s="21" t="s">
        <v>161</v>
      </c>
      <c r="F49" s="21" t="s">
        <v>203</v>
      </c>
      <c r="G49" s="19" t="s">
        <v>214</v>
      </c>
      <c r="H49" s="21" t="s">
        <v>233</v>
      </c>
      <c r="I49" s="21" t="s">
        <v>205</v>
      </c>
      <c r="J49" s="21">
        <v>513</v>
      </c>
    </row>
    <row r="50" spans="1:10" ht="17">
      <c r="A50" s="173">
        <v>42892</v>
      </c>
      <c r="B50" s="174" t="s">
        <v>102</v>
      </c>
      <c r="C50" s="174" t="s">
        <v>92</v>
      </c>
      <c r="D50" s="174" t="s">
        <v>103</v>
      </c>
      <c r="E50" s="175" t="s">
        <v>164</v>
      </c>
      <c r="F50" s="175"/>
      <c r="G50" s="174"/>
      <c r="H50" s="175" t="s">
        <v>215</v>
      </c>
      <c r="I50" s="175" t="s">
        <v>203</v>
      </c>
      <c r="J50" s="175">
        <v>39</v>
      </c>
    </row>
    <row r="51" spans="1:10" ht="17">
      <c r="A51" s="173">
        <v>42901</v>
      </c>
      <c r="B51" s="174" t="s">
        <v>102</v>
      </c>
      <c r="C51" s="174" t="s">
        <v>92</v>
      </c>
      <c r="D51" s="174" t="s">
        <v>103</v>
      </c>
      <c r="E51" s="175" t="s">
        <v>185</v>
      </c>
      <c r="F51" s="175"/>
      <c r="G51" s="174" t="s">
        <v>220</v>
      </c>
      <c r="H51" s="175" t="s">
        <v>221</v>
      </c>
      <c r="I51" s="175" t="s">
        <v>203</v>
      </c>
      <c r="J51" s="175">
        <v>37</v>
      </c>
    </row>
    <row r="52" spans="1:10" ht="17">
      <c r="A52" s="56">
        <v>42903</v>
      </c>
      <c r="B52" s="57" t="s">
        <v>102</v>
      </c>
      <c r="C52" s="57" t="s">
        <v>92</v>
      </c>
      <c r="D52" s="57" t="s">
        <v>103</v>
      </c>
      <c r="E52" s="53" t="s">
        <v>187</v>
      </c>
      <c r="F52" s="21" t="s">
        <v>517</v>
      </c>
      <c r="G52" s="57"/>
      <c r="H52" s="53" t="s">
        <v>234</v>
      </c>
      <c r="I52" s="53" t="s">
        <v>205</v>
      </c>
      <c r="J52" s="53">
        <v>40</v>
      </c>
    </row>
    <row r="53" spans="1:10" ht="17">
      <c r="A53" s="173">
        <v>42905</v>
      </c>
      <c r="B53" s="174" t="s">
        <v>121</v>
      </c>
      <c r="C53" s="174" t="s">
        <v>92</v>
      </c>
      <c r="D53" s="174" t="s">
        <v>103</v>
      </c>
      <c r="E53" s="175" t="s">
        <v>193</v>
      </c>
      <c r="F53" s="175"/>
      <c r="G53" s="174" t="s">
        <v>223</v>
      </c>
      <c r="H53" s="175" t="s">
        <v>224</v>
      </c>
      <c r="I53" s="175" t="s">
        <v>203</v>
      </c>
      <c r="J53" s="175">
        <v>34</v>
      </c>
    </row>
    <row r="54" spans="1:10" ht="17">
      <c r="A54" s="18">
        <v>42887</v>
      </c>
      <c r="B54" s="19" t="s">
        <v>115</v>
      </c>
      <c r="C54" s="19" t="s">
        <v>99</v>
      </c>
      <c r="D54" s="19" t="s">
        <v>103</v>
      </c>
      <c r="E54" s="21" t="s">
        <v>151</v>
      </c>
      <c r="F54" s="21" t="s">
        <v>517</v>
      </c>
      <c r="G54" s="19"/>
      <c r="H54" s="21"/>
      <c r="I54" s="21"/>
      <c r="J54" s="21">
        <v>551</v>
      </c>
    </row>
    <row r="55" spans="1:10" ht="17">
      <c r="A55" s="18">
        <v>42889</v>
      </c>
      <c r="B55" s="19" t="s">
        <v>115</v>
      </c>
      <c r="C55" s="19" t="s">
        <v>99</v>
      </c>
      <c r="D55" s="19" t="s">
        <v>103</v>
      </c>
      <c r="E55" s="21" t="s">
        <v>157</v>
      </c>
      <c r="F55" s="21" t="s">
        <v>203</v>
      </c>
      <c r="G55" s="19"/>
      <c r="H55" s="21"/>
      <c r="I55" s="21"/>
      <c r="J55" s="21">
        <v>552</v>
      </c>
    </row>
    <row r="56" spans="1:10" ht="17">
      <c r="A56" s="18">
        <v>42896</v>
      </c>
      <c r="B56" s="19" t="s">
        <v>115</v>
      </c>
      <c r="C56" s="19" t="s">
        <v>99</v>
      </c>
      <c r="D56" s="19" t="s">
        <v>103</v>
      </c>
      <c r="E56" s="21" t="s">
        <v>171</v>
      </c>
      <c r="F56" s="21"/>
      <c r="G56" s="19"/>
      <c r="H56" s="21"/>
      <c r="I56" s="21"/>
      <c r="J56" s="21">
        <v>553</v>
      </c>
    </row>
    <row r="57" spans="1:10" ht="17">
      <c r="A57" s="18">
        <v>42906</v>
      </c>
      <c r="B57" s="19" t="s">
        <v>115</v>
      </c>
      <c r="C57" s="19" t="s">
        <v>99</v>
      </c>
      <c r="D57" s="19" t="s">
        <v>103</v>
      </c>
      <c r="E57" s="21" t="s">
        <v>194</v>
      </c>
      <c r="F57" s="21"/>
      <c r="G57" s="19"/>
      <c r="H57" s="21"/>
      <c r="I57" s="21"/>
      <c r="J57" s="21">
        <v>554</v>
      </c>
    </row>
    <row r="58" spans="1:10" ht="17">
      <c r="A58" s="18">
        <v>42893</v>
      </c>
      <c r="B58" s="19" t="s">
        <v>117</v>
      </c>
      <c r="C58" s="19" t="s">
        <v>37</v>
      </c>
      <c r="D58" s="19" t="s">
        <v>93</v>
      </c>
      <c r="E58" s="21" t="s">
        <v>167</v>
      </c>
      <c r="F58" s="21" t="s">
        <v>203</v>
      </c>
      <c r="G58" s="19"/>
      <c r="H58" s="21"/>
      <c r="I58" s="21"/>
      <c r="J58" s="21">
        <v>431</v>
      </c>
    </row>
    <row r="59" spans="1:10" ht="17">
      <c r="A59" s="18">
        <v>42903</v>
      </c>
      <c r="B59" s="19" t="s">
        <v>117</v>
      </c>
      <c r="C59" s="19" t="s">
        <v>37</v>
      </c>
      <c r="D59" s="19" t="s">
        <v>93</v>
      </c>
      <c r="E59" s="21" t="s">
        <v>188</v>
      </c>
      <c r="F59" s="21" t="s">
        <v>203</v>
      </c>
      <c r="G59" s="19"/>
      <c r="H59" s="21"/>
      <c r="I59" s="21"/>
      <c r="J59" s="21">
        <v>432</v>
      </c>
    </row>
    <row r="60" spans="1:10" ht="17">
      <c r="A60" s="56">
        <v>42903</v>
      </c>
      <c r="B60" s="57" t="s">
        <v>112</v>
      </c>
      <c r="C60" s="57" t="s">
        <v>37</v>
      </c>
      <c r="D60" s="57" t="s">
        <v>93</v>
      </c>
      <c r="E60" s="53" t="s">
        <v>189</v>
      </c>
      <c r="F60" s="21" t="s">
        <v>517</v>
      </c>
      <c r="G60" s="57" t="s">
        <v>222</v>
      </c>
      <c r="H60" s="53"/>
      <c r="I60" s="53"/>
      <c r="J60" s="53">
        <v>433</v>
      </c>
    </row>
    <row r="61" spans="1:10" ht="17">
      <c r="A61" s="18">
        <v>42905</v>
      </c>
      <c r="B61" s="19" t="s">
        <v>117</v>
      </c>
      <c r="C61" s="19" t="s">
        <v>37</v>
      </c>
      <c r="D61" s="19" t="s">
        <v>93</v>
      </c>
      <c r="E61" s="21" t="s">
        <v>190</v>
      </c>
      <c r="F61" s="21" t="s">
        <v>203</v>
      </c>
      <c r="G61" s="19"/>
      <c r="H61" s="21"/>
      <c r="I61" s="21"/>
      <c r="J61" s="21">
        <v>434</v>
      </c>
    </row>
    <row r="62" spans="1:10" ht="17">
      <c r="A62" s="18">
        <v>42880</v>
      </c>
      <c r="B62" s="19" t="s">
        <v>109</v>
      </c>
      <c r="C62" s="19" t="s">
        <v>75</v>
      </c>
      <c r="D62" s="19" t="s">
        <v>93</v>
      </c>
      <c r="E62" s="21" t="s">
        <v>135</v>
      </c>
      <c r="F62" s="21" t="s">
        <v>203</v>
      </c>
      <c r="G62" s="19"/>
      <c r="H62" s="21"/>
      <c r="I62" s="21"/>
      <c r="J62" s="21">
        <v>471</v>
      </c>
    </row>
    <row r="63" spans="1:10" ht="17">
      <c r="A63" s="18">
        <v>42881</v>
      </c>
      <c r="B63" s="19" t="s">
        <v>109</v>
      </c>
      <c r="C63" s="19" t="s">
        <v>75</v>
      </c>
      <c r="D63" s="19" t="s">
        <v>93</v>
      </c>
      <c r="E63" s="21" t="s">
        <v>137</v>
      </c>
      <c r="F63" s="21" t="s">
        <v>203</v>
      </c>
      <c r="G63" s="19"/>
      <c r="H63" s="21"/>
      <c r="I63" s="21"/>
      <c r="J63" s="21">
        <v>472</v>
      </c>
    </row>
    <row r="64" spans="1:10" ht="17">
      <c r="A64" s="18">
        <v>42891</v>
      </c>
      <c r="B64" s="19" t="s">
        <v>109</v>
      </c>
      <c r="C64" s="19" t="s">
        <v>75</v>
      </c>
      <c r="D64" s="19" t="s">
        <v>93</v>
      </c>
      <c r="E64" s="21" t="s">
        <v>162</v>
      </c>
      <c r="F64" s="21"/>
      <c r="G64" s="19"/>
      <c r="H64" s="21"/>
      <c r="I64" s="21"/>
      <c r="J64" s="21">
        <v>473</v>
      </c>
    </row>
    <row r="65" spans="1:10" ht="17">
      <c r="A65" s="18">
        <v>42891</v>
      </c>
      <c r="B65" s="19" t="s">
        <v>116</v>
      </c>
      <c r="C65" s="19" t="s">
        <v>75</v>
      </c>
      <c r="D65" s="19" t="s">
        <v>93</v>
      </c>
      <c r="E65" s="21" t="s">
        <v>163</v>
      </c>
      <c r="F65" s="21"/>
      <c r="G65" s="19"/>
      <c r="H65" s="21"/>
      <c r="I65" s="21"/>
      <c r="J65" s="21">
        <v>474</v>
      </c>
    </row>
    <row r="66" spans="1:10" ht="17">
      <c r="A66" s="18">
        <v>42892</v>
      </c>
      <c r="B66" s="19" t="s">
        <v>116</v>
      </c>
      <c r="C66" s="19" t="s">
        <v>75</v>
      </c>
      <c r="D66" s="19" t="s">
        <v>93</v>
      </c>
      <c r="E66" s="21" t="s">
        <v>166</v>
      </c>
      <c r="F66" s="21" t="s">
        <v>517</v>
      </c>
      <c r="G66" s="19"/>
      <c r="H66" s="21"/>
      <c r="I66" s="21"/>
      <c r="J66" s="21">
        <v>475</v>
      </c>
    </row>
    <row r="67" spans="1:10" ht="18" thickBot="1">
      <c r="A67" s="23">
        <v>42896</v>
      </c>
      <c r="B67" s="24" t="s">
        <v>116</v>
      </c>
      <c r="C67" s="24" t="s">
        <v>75</v>
      </c>
      <c r="D67" s="24" t="s">
        <v>93</v>
      </c>
      <c r="E67" s="26" t="s">
        <v>170</v>
      </c>
      <c r="F67" s="26" t="s">
        <v>203</v>
      </c>
      <c r="G67" s="24"/>
      <c r="H67" s="26"/>
      <c r="I67" s="26"/>
      <c r="J67" s="26">
        <v>476</v>
      </c>
    </row>
    <row r="68" spans="1:10" ht="17">
      <c r="A68" s="14">
        <v>42905</v>
      </c>
      <c r="B68" s="15" t="s">
        <v>116</v>
      </c>
      <c r="C68" s="15" t="s">
        <v>75</v>
      </c>
      <c r="D68" s="15" t="s">
        <v>93</v>
      </c>
      <c r="E68" s="16" t="s">
        <v>192</v>
      </c>
      <c r="F68" s="16" t="s">
        <v>203</v>
      </c>
      <c r="G68" s="15"/>
      <c r="H68" s="16"/>
      <c r="I68" s="16"/>
      <c r="J68" s="16">
        <v>477</v>
      </c>
    </row>
    <row r="69" spans="1:10" ht="17">
      <c r="A69" s="18">
        <v>42876</v>
      </c>
      <c r="B69" s="19" t="s">
        <v>91</v>
      </c>
      <c r="C69" s="19" t="s">
        <v>92</v>
      </c>
      <c r="D69" s="19" t="s">
        <v>93</v>
      </c>
      <c r="E69" s="21" t="s">
        <v>270</v>
      </c>
      <c r="F69" s="21" t="s">
        <v>203</v>
      </c>
      <c r="G69" s="19"/>
      <c r="H69" s="21"/>
      <c r="I69" s="21"/>
      <c r="J69" s="21">
        <v>521</v>
      </c>
    </row>
    <row r="70" spans="1:10" ht="17">
      <c r="A70" s="18">
        <v>42877</v>
      </c>
      <c r="B70" s="19" t="s">
        <v>91</v>
      </c>
      <c r="C70" s="19" t="s">
        <v>92</v>
      </c>
      <c r="D70" s="19" t="s">
        <v>93</v>
      </c>
      <c r="E70" s="21" t="s">
        <v>123</v>
      </c>
      <c r="F70" s="21" t="s">
        <v>203</v>
      </c>
      <c r="G70" s="19"/>
      <c r="H70" s="21"/>
      <c r="I70" s="21"/>
      <c r="J70" s="21">
        <v>522</v>
      </c>
    </row>
    <row r="71" spans="1:10" ht="17">
      <c r="A71" s="18">
        <v>42882</v>
      </c>
      <c r="B71" s="19" t="s">
        <v>94</v>
      </c>
      <c r="C71" s="19" t="s">
        <v>92</v>
      </c>
      <c r="D71" s="19" t="s">
        <v>93</v>
      </c>
      <c r="E71" s="21" t="s">
        <v>141</v>
      </c>
      <c r="F71" s="21" t="s">
        <v>517</v>
      </c>
      <c r="G71" s="19"/>
      <c r="H71" s="21"/>
      <c r="I71" s="21"/>
      <c r="J71" s="21">
        <v>523</v>
      </c>
    </row>
    <row r="72" spans="1:10" ht="17">
      <c r="A72" s="18">
        <v>42882</v>
      </c>
      <c r="B72" s="19" t="s">
        <v>94</v>
      </c>
      <c r="C72" s="19" t="s">
        <v>92</v>
      </c>
      <c r="D72" s="19" t="s">
        <v>93</v>
      </c>
      <c r="E72" s="21" t="s">
        <v>144</v>
      </c>
      <c r="F72" s="21" t="s">
        <v>203</v>
      </c>
      <c r="G72" s="19"/>
      <c r="H72" s="21"/>
      <c r="I72" s="21"/>
      <c r="J72" s="21">
        <v>524</v>
      </c>
    </row>
    <row r="73" spans="1:10" ht="17">
      <c r="A73" s="18">
        <v>42884</v>
      </c>
      <c r="B73" s="19" t="s">
        <v>94</v>
      </c>
      <c r="C73" s="19" t="s">
        <v>92</v>
      </c>
      <c r="D73" s="19" t="s">
        <v>93</v>
      </c>
      <c r="E73" s="21" t="s">
        <v>146</v>
      </c>
      <c r="F73" s="21"/>
      <c r="G73" s="19"/>
      <c r="H73" s="21"/>
      <c r="I73" s="21"/>
      <c r="J73" s="21">
        <v>525</v>
      </c>
    </row>
    <row r="74" spans="1:10" ht="17">
      <c r="A74" s="18">
        <v>42886</v>
      </c>
      <c r="B74" s="19" t="s">
        <v>91</v>
      </c>
      <c r="C74" s="19" t="s">
        <v>92</v>
      </c>
      <c r="D74" s="19" t="s">
        <v>93</v>
      </c>
      <c r="E74" s="21" t="s">
        <v>149</v>
      </c>
      <c r="F74" s="21"/>
      <c r="G74" s="19"/>
      <c r="H74" s="21"/>
      <c r="I74" s="21"/>
      <c r="J74" s="21">
        <v>526</v>
      </c>
    </row>
    <row r="75" spans="1:10" ht="17">
      <c r="A75" s="18">
        <v>42900</v>
      </c>
      <c r="B75" s="19" t="s">
        <v>94</v>
      </c>
      <c r="C75" s="19" t="s">
        <v>92</v>
      </c>
      <c r="D75" s="19" t="s">
        <v>93</v>
      </c>
      <c r="E75" s="21" t="s">
        <v>177</v>
      </c>
      <c r="F75" s="21" t="s">
        <v>203</v>
      </c>
      <c r="G75" s="19"/>
      <c r="H75" s="21"/>
      <c r="I75" s="21"/>
      <c r="J75" s="21">
        <v>527</v>
      </c>
    </row>
    <row r="76" spans="1:10" ht="17">
      <c r="A76" s="18">
        <v>42901</v>
      </c>
      <c r="B76" s="19" t="s">
        <v>94</v>
      </c>
      <c r="C76" s="19" t="s">
        <v>92</v>
      </c>
      <c r="D76" s="19" t="s">
        <v>93</v>
      </c>
      <c r="E76" s="21" t="s">
        <v>184</v>
      </c>
      <c r="F76" s="21" t="s">
        <v>203</v>
      </c>
      <c r="G76" s="19"/>
      <c r="H76" s="21"/>
      <c r="I76" s="21"/>
      <c r="J76" s="21">
        <v>528</v>
      </c>
    </row>
    <row r="77" spans="1:10" ht="17">
      <c r="A77" s="18">
        <v>42903</v>
      </c>
      <c r="B77" s="19" t="s">
        <v>120</v>
      </c>
      <c r="C77" s="19" t="s">
        <v>92</v>
      </c>
      <c r="D77" s="19" t="s">
        <v>93</v>
      </c>
      <c r="E77" s="21" t="s">
        <v>186</v>
      </c>
      <c r="F77" s="21" t="s">
        <v>203</v>
      </c>
      <c r="G77" s="19"/>
      <c r="H77" s="21"/>
      <c r="I77" s="21"/>
      <c r="J77" s="21">
        <v>529</v>
      </c>
    </row>
    <row r="78" spans="1:10" ht="17">
      <c r="A78" s="18">
        <v>42876</v>
      </c>
      <c r="B78" s="19" t="s">
        <v>98</v>
      </c>
      <c r="C78" s="19" t="s">
        <v>99</v>
      </c>
      <c r="D78" s="19" t="s">
        <v>93</v>
      </c>
      <c r="E78" s="21" t="s">
        <v>122</v>
      </c>
      <c r="F78" s="21" t="s">
        <v>203</v>
      </c>
      <c r="G78" s="19"/>
      <c r="H78" s="21"/>
      <c r="I78" s="21"/>
      <c r="J78" s="21">
        <v>561</v>
      </c>
    </row>
    <row r="79" spans="1:10" ht="17">
      <c r="A79" s="18">
        <v>42878</v>
      </c>
      <c r="B79" s="19" t="s">
        <v>98</v>
      </c>
      <c r="C79" s="19" t="s">
        <v>99</v>
      </c>
      <c r="D79" s="19" t="s">
        <v>93</v>
      </c>
      <c r="E79" s="21" t="s">
        <v>127</v>
      </c>
      <c r="F79" s="21" t="s">
        <v>517</v>
      </c>
      <c r="G79" s="19"/>
      <c r="H79" s="21"/>
      <c r="I79" s="21"/>
      <c r="J79" s="21">
        <v>562</v>
      </c>
    </row>
    <row r="80" spans="1:10" ht="17">
      <c r="A80" s="18">
        <v>42879</v>
      </c>
      <c r="B80" s="19" t="s">
        <v>98</v>
      </c>
      <c r="C80" s="19" t="s">
        <v>99</v>
      </c>
      <c r="D80" s="19" t="s">
        <v>93</v>
      </c>
      <c r="E80" s="21" t="s">
        <v>131</v>
      </c>
      <c r="F80" s="21" t="s">
        <v>517</v>
      </c>
      <c r="G80" s="19"/>
      <c r="H80" s="21"/>
      <c r="I80" s="21"/>
      <c r="J80" s="21">
        <v>563</v>
      </c>
    </row>
    <row r="81" spans="1:10" ht="17">
      <c r="A81" s="82">
        <v>42893</v>
      </c>
      <c r="B81" s="83" t="s">
        <v>98</v>
      </c>
      <c r="C81" s="83" t="s">
        <v>99</v>
      </c>
      <c r="D81" s="83" t="s">
        <v>93</v>
      </c>
      <c r="E81" s="84" t="s">
        <v>168</v>
      </c>
      <c r="F81" s="21"/>
      <c r="G81" s="83"/>
      <c r="H81" s="84"/>
      <c r="I81" s="84"/>
      <c r="J81" s="84">
        <v>564</v>
      </c>
    </row>
    <row r="82" spans="1:10" ht="18" thickBot="1">
      <c r="A82" s="23">
        <v>42896</v>
      </c>
      <c r="B82" s="24" t="s">
        <v>98</v>
      </c>
      <c r="C82" s="24" t="s">
        <v>99</v>
      </c>
      <c r="D82" s="24" t="s">
        <v>93</v>
      </c>
      <c r="E82" s="26" t="s">
        <v>173</v>
      </c>
      <c r="F82" s="21"/>
      <c r="G82" s="24"/>
      <c r="H82" s="26"/>
      <c r="I82" s="26"/>
      <c r="J82" s="26">
        <v>565</v>
      </c>
    </row>
    <row r="83" spans="1:10" ht="17">
      <c r="C83" s="29"/>
    </row>
    <row r="84" spans="1:10" ht="17">
      <c r="C84" s="29"/>
    </row>
    <row r="85" spans="1:10" ht="17">
      <c r="C85" s="29"/>
    </row>
    <row r="86" spans="1:10" ht="17">
      <c r="C86" s="29"/>
    </row>
    <row r="87" spans="1:10" ht="17">
      <c r="C87" s="29"/>
    </row>
    <row r="88" spans="1:10" ht="17">
      <c r="C88" s="29"/>
    </row>
  </sheetData>
  <sortState xmlns:xlrd2="http://schemas.microsoft.com/office/spreadsheetml/2017/richdata2" ref="A2:K118">
    <sortCondition ref="D2:D118"/>
    <sortCondition ref="C2:C118"/>
    <sortCondition ref="A2:A118"/>
  </sortState>
  <dataValidations disablePrompts="1" count="1">
    <dataValidation type="list" allowBlank="1" showInputMessage="1" showErrorMessage="1" promptTitle="Treatment Group" sqref="B2:B82" xr:uid="{8E47FAAF-4426-4448-A895-1829DABF54A6}">
      <formula1>$C$3:$C$3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C092-875C-914C-A39C-993BBD8011B8}">
  <sheetPr>
    <pageSetUpPr fitToPage="1"/>
  </sheetPr>
  <dimension ref="A1:Q47"/>
  <sheetViews>
    <sheetView workbookViewId="0">
      <selection activeCell="A5" sqref="A5:K35"/>
    </sheetView>
  </sheetViews>
  <sheetFormatPr baseColWidth="10" defaultRowHeight="16"/>
  <cols>
    <col min="1" max="1" width="13.33203125" customWidth="1"/>
    <col min="2" max="2" width="13.6640625" customWidth="1"/>
    <col min="3" max="3" width="15.5" customWidth="1"/>
    <col min="4" max="4" width="12.5" customWidth="1"/>
    <col min="5" max="7" width="10.83203125" customWidth="1"/>
    <col min="8" max="8" width="16.83203125" customWidth="1"/>
    <col min="10" max="10" width="12.6640625" customWidth="1"/>
    <col min="11" max="11" width="11.83203125" customWidth="1"/>
    <col min="13" max="13" width="11" customWidth="1"/>
  </cols>
  <sheetData>
    <row r="1" spans="1:17">
      <c r="B1" t="s">
        <v>557</v>
      </c>
    </row>
    <row r="2" spans="1:17">
      <c r="A2" s="269" t="s">
        <v>523</v>
      </c>
      <c r="B2" s="267">
        <v>43804</v>
      </c>
      <c r="C2" s="269" t="s">
        <v>534</v>
      </c>
      <c r="D2">
        <v>28</v>
      </c>
      <c r="F2" s="276" t="s">
        <v>530</v>
      </c>
      <c r="G2" s="276"/>
      <c r="H2" s="276"/>
      <c r="I2" s="276"/>
      <c r="J2" s="276"/>
      <c r="K2" s="276"/>
    </row>
    <row r="3" spans="1:17">
      <c r="A3" s="269" t="s">
        <v>556</v>
      </c>
      <c r="B3" s="267">
        <v>43806</v>
      </c>
      <c r="C3" s="269"/>
      <c r="F3" s="276"/>
      <c r="G3" s="276"/>
      <c r="H3" s="276"/>
      <c r="I3" s="276"/>
      <c r="J3" s="276"/>
      <c r="K3" s="276"/>
    </row>
    <row r="4" spans="1:17">
      <c r="M4" t="s">
        <v>522</v>
      </c>
    </row>
    <row r="5" spans="1:17" s="273" customFormat="1" ht="33" customHeight="1">
      <c r="A5" s="274" t="s">
        <v>531</v>
      </c>
      <c r="B5" s="274" t="s">
        <v>524</v>
      </c>
      <c r="C5" s="274" t="s">
        <v>526</v>
      </c>
      <c r="D5" s="274" t="s">
        <v>525</v>
      </c>
      <c r="E5" s="274" t="s">
        <v>527</v>
      </c>
      <c r="F5" s="274" t="s">
        <v>492</v>
      </c>
      <c r="G5" s="252" t="s">
        <v>496</v>
      </c>
      <c r="H5" s="252" t="s">
        <v>497</v>
      </c>
      <c r="I5" s="252" t="s">
        <v>501</v>
      </c>
      <c r="J5" s="252" t="s">
        <v>502</v>
      </c>
      <c r="K5" s="253" t="s">
        <v>498</v>
      </c>
      <c r="M5" s="277" t="s">
        <v>552</v>
      </c>
      <c r="N5" s="277" t="s">
        <v>536</v>
      </c>
      <c r="O5" s="277" t="s">
        <v>537</v>
      </c>
      <c r="P5" s="277" t="s">
        <v>538</v>
      </c>
      <c r="Q5" s="274" t="s">
        <v>533</v>
      </c>
    </row>
    <row r="6" spans="1:17">
      <c r="A6" s="52">
        <v>1</v>
      </c>
      <c r="B6" s="8">
        <v>328</v>
      </c>
      <c r="C6" s="198">
        <v>156</v>
      </c>
      <c r="D6" s="270">
        <f>350/C6</f>
        <v>2.2435897435897436</v>
      </c>
      <c r="E6" s="270">
        <f t="shared" ref="E6:E12" si="0">5-D6</f>
        <v>2.7564102564102564</v>
      </c>
      <c r="F6" s="52">
        <f t="shared" ref="F6:F12" si="1">D6*C6</f>
        <v>350</v>
      </c>
      <c r="G6" s="309">
        <v>3323</v>
      </c>
      <c r="H6" s="310">
        <f>0.5*G6</f>
        <v>1661.5</v>
      </c>
      <c r="I6" s="252">
        <v>16.510000000000002</v>
      </c>
      <c r="J6" s="252">
        <f>I6-3</f>
        <v>13.510000000000002</v>
      </c>
      <c r="K6" s="253">
        <v>13</v>
      </c>
      <c r="M6" s="52" t="s">
        <v>540</v>
      </c>
      <c r="N6" s="8">
        <v>9.5</v>
      </c>
      <c r="O6" s="8">
        <f t="shared" ref="O6:O11" si="2">(N6*$D$2)*1.15</f>
        <v>305.89999999999998</v>
      </c>
      <c r="P6" s="877">
        <f>(O6+O7)/7</f>
        <v>46</v>
      </c>
      <c r="Q6" s="878">
        <v>10</v>
      </c>
    </row>
    <row r="7" spans="1:17">
      <c r="A7" s="52">
        <v>2</v>
      </c>
      <c r="B7" s="8">
        <v>299</v>
      </c>
      <c r="C7" s="198">
        <v>50.4</v>
      </c>
      <c r="D7" s="270">
        <v>5</v>
      </c>
      <c r="E7" s="270">
        <f t="shared" si="0"/>
        <v>0</v>
      </c>
      <c r="F7" s="52">
        <f t="shared" si="1"/>
        <v>252</v>
      </c>
      <c r="G7" s="52">
        <v>3205</v>
      </c>
      <c r="H7" s="310">
        <f t="shared" ref="H7:H35" si="3">0.5*G7</f>
        <v>1602.5</v>
      </c>
      <c r="I7" s="52">
        <v>18.54</v>
      </c>
      <c r="J7" s="252">
        <f t="shared" ref="J7:J35" si="4">I7-3</f>
        <v>15.54</v>
      </c>
      <c r="K7" s="52">
        <v>15</v>
      </c>
      <c r="M7" s="52" t="s">
        <v>541</v>
      </c>
      <c r="N7" s="8">
        <v>0.5</v>
      </c>
      <c r="O7" s="8">
        <f t="shared" si="2"/>
        <v>16.099999999999998</v>
      </c>
      <c r="P7" s="877"/>
      <c r="Q7" s="878"/>
    </row>
    <row r="8" spans="1:17">
      <c r="A8" s="52">
        <v>3</v>
      </c>
      <c r="B8" s="161">
        <v>301</v>
      </c>
      <c r="C8" s="198">
        <v>75.8</v>
      </c>
      <c r="D8" s="270">
        <f>350/C8</f>
        <v>4.6174142480211087</v>
      </c>
      <c r="E8" s="270">
        <f t="shared" si="0"/>
        <v>0.38258575197889133</v>
      </c>
      <c r="F8" s="52">
        <f t="shared" si="1"/>
        <v>350</v>
      </c>
      <c r="G8" s="52">
        <v>3143</v>
      </c>
      <c r="H8" s="310">
        <f t="shared" si="3"/>
        <v>1571.5</v>
      </c>
      <c r="I8" s="52">
        <v>18.66</v>
      </c>
      <c r="J8" s="252">
        <f t="shared" si="4"/>
        <v>15.66</v>
      </c>
      <c r="K8" s="52">
        <v>15</v>
      </c>
      <c r="M8" s="52" t="s">
        <v>535</v>
      </c>
      <c r="N8" s="8">
        <v>5</v>
      </c>
      <c r="O8" s="8">
        <f t="shared" si="2"/>
        <v>161</v>
      </c>
      <c r="P8" s="278">
        <f>O8/7</f>
        <v>23</v>
      </c>
      <c r="Q8" s="8">
        <v>5</v>
      </c>
    </row>
    <row r="9" spans="1:17">
      <c r="A9" s="52">
        <v>4</v>
      </c>
      <c r="B9" s="8">
        <v>342</v>
      </c>
      <c r="C9" s="198">
        <v>162</v>
      </c>
      <c r="D9" s="270">
        <f>350/C9</f>
        <v>2.1604938271604937</v>
      </c>
      <c r="E9" s="270">
        <f t="shared" si="0"/>
        <v>2.8395061728395063</v>
      </c>
      <c r="F9" s="52">
        <f t="shared" si="1"/>
        <v>350</v>
      </c>
      <c r="G9" s="52">
        <v>3346</v>
      </c>
      <c r="H9" s="310">
        <f t="shared" si="3"/>
        <v>1673</v>
      </c>
      <c r="I9" s="52">
        <v>18.850000000000001</v>
      </c>
      <c r="J9" s="252">
        <f t="shared" si="4"/>
        <v>15.850000000000001</v>
      </c>
      <c r="K9" s="52">
        <v>15</v>
      </c>
      <c r="M9" s="52" t="s">
        <v>539</v>
      </c>
      <c r="N9" s="8">
        <v>10</v>
      </c>
      <c r="O9" s="8">
        <f t="shared" si="2"/>
        <v>322</v>
      </c>
      <c r="P9" s="278">
        <f>O9/7</f>
        <v>46</v>
      </c>
      <c r="Q9" s="8">
        <v>10</v>
      </c>
    </row>
    <row r="10" spans="1:17">
      <c r="A10" s="52">
        <v>5</v>
      </c>
      <c r="B10" s="161">
        <v>331</v>
      </c>
      <c r="C10" s="198">
        <v>42.2</v>
      </c>
      <c r="D10" s="270">
        <v>5</v>
      </c>
      <c r="E10" s="270">
        <f t="shared" si="0"/>
        <v>0</v>
      </c>
      <c r="F10" s="52">
        <f t="shared" si="1"/>
        <v>211</v>
      </c>
      <c r="G10" s="52">
        <v>3143</v>
      </c>
      <c r="H10" s="310">
        <f t="shared" si="3"/>
        <v>1571.5</v>
      </c>
      <c r="I10" s="52">
        <v>18.940000000000001</v>
      </c>
      <c r="J10" s="252">
        <f t="shared" si="4"/>
        <v>15.940000000000001</v>
      </c>
      <c r="K10" s="313">
        <v>16</v>
      </c>
      <c r="M10" s="52" t="s">
        <v>542</v>
      </c>
      <c r="N10" s="8">
        <v>4</v>
      </c>
      <c r="O10" s="8">
        <f t="shared" si="2"/>
        <v>128.79999999999998</v>
      </c>
      <c r="P10" s="877">
        <f>(O10+O11)/7</f>
        <v>22.999999999999996</v>
      </c>
      <c r="Q10" s="878">
        <v>5</v>
      </c>
    </row>
    <row r="11" spans="1:17">
      <c r="A11" s="52">
        <v>6</v>
      </c>
      <c r="B11" s="8">
        <v>307</v>
      </c>
      <c r="C11" s="198">
        <v>89.4</v>
      </c>
      <c r="D11" s="270">
        <f>350/C11</f>
        <v>3.914988814317673</v>
      </c>
      <c r="E11" s="270">
        <f t="shared" si="0"/>
        <v>1.085011185682327</v>
      </c>
      <c r="F11" s="52">
        <f t="shared" si="1"/>
        <v>350</v>
      </c>
      <c r="G11" s="52">
        <v>2002</v>
      </c>
      <c r="H11" s="310">
        <f t="shared" si="3"/>
        <v>1001</v>
      </c>
      <c r="I11" s="52">
        <v>28.77</v>
      </c>
      <c r="J11" s="252">
        <f t="shared" si="4"/>
        <v>25.77</v>
      </c>
      <c r="K11" s="313">
        <v>25</v>
      </c>
      <c r="M11" s="52" t="s">
        <v>543</v>
      </c>
      <c r="N11" s="8">
        <v>1</v>
      </c>
      <c r="O11" s="8">
        <f t="shared" si="2"/>
        <v>32.199999999999996</v>
      </c>
      <c r="P11" s="877"/>
      <c r="Q11" s="878"/>
    </row>
    <row r="12" spans="1:17">
      <c r="A12" s="52">
        <v>7</v>
      </c>
      <c r="B12" s="8">
        <v>295</v>
      </c>
      <c r="C12" s="198">
        <v>34.799999999999997</v>
      </c>
      <c r="D12" s="270">
        <v>5</v>
      </c>
      <c r="E12" s="270">
        <f t="shared" si="0"/>
        <v>0</v>
      </c>
      <c r="F12" s="52">
        <f t="shared" si="1"/>
        <v>174</v>
      </c>
      <c r="G12" s="52">
        <v>2996</v>
      </c>
      <c r="H12" s="310">
        <f t="shared" si="3"/>
        <v>1498</v>
      </c>
      <c r="I12" s="52">
        <v>21.86</v>
      </c>
      <c r="J12" s="252">
        <f t="shared" si="4"/>
        <v>18.86</v>
      </c>
      <c r="K12" s="313">
        <v>18</v>
      </c>
    </row>
    <row r="13" spans="1:17">
      <c r="A13" s="52"/>
      <c r="B13" s="8" t="s">
        <v>569</v>
      </c>
      <c r="C13" s="198"/>
      <c r="D13" s="270"/>
      <c r="E13" s="270"/>
      <c r="F13" s="52"/>
      <c r="G13" s="52">
        <v>2703</v>
      </c>
      <c r="H13" s="310">
        <f t="shared" si="3"/>
        <v>1351.5</v>
      </c>
      <c r="I13" s="52">
        <v>29.1</v>
      </c>
      <c r="J13" s="252">
        <f t="shared" si="4"/>
        <v>26.1</v>
      </c>
      <c r="K13" s="52">
        <v>26</v>
      </c>
    </row>
    <row r="14" spans="1:17">
      <c r="A14" s="52">
        <v>8</v>
      </c>
      <c r="B14" s="8">
        <v>304</v>
      </c>
      <c r="C14" s="198">
        <v>200</v>
      </c>
      <c r="D14" s="270">
        <f>350/C14</f>
        <v>1.75</v>
      </c>
      <c r="E14" s="270">
        <f t="shared" ref="E14:E20" si="5">5-D14</f>
        <v>3.25</v>
      </c>
      <c r="F14" s="52">
        <f t="shared" ref="F14:F20" si="6">D14*C14</f>
        <v>350</v>
      </c>
      <c r="G14" s="52">
        <v>2783</v>
      </c>
      <c r="H14" s="310">
        <f t="shared" si="3"/>
        <v>1391.5</v>
      </c>
      <c r="I14" s="52">
        <v>18.05</v>
      </c>
      <c r="J14" s="252">
        <f t="shared" si="4"/>
        <v>15.05</v>
      </c>
      <c r="K14" s="52">
        <v>15</v>
      </c>
    </row>
    <row r="15" spans="1:17">
      <c r="A15" s="52">
        <v>9</v>
      </c>
      <c r="B15" s="8">
        <v>305</v>
      </c>
      <c r="C15" s="198">
        <v>75.2</v>
      </c>
      <c r="D15" s="270">
        <f>350/C15</f>
        <v>4.6542553191489358</v>
      </c>
      <c r="E15" s="270">
        <f t="shared" si="5"/>
        <v>0.34574468085106425</v>
      </c>
      <c r="F15" s="52">
        <f t="shared" si="6"/>
        <v>350</v>
      </c>
      <c r="G15" s="52">
        <v>2668</v>
      </c>
      <c r="H15" s="310">
        <f t="shared" si="3"/>
        <v>1334</v>
      </c>
      <c r="I15" s="52">
        <v>19.41</v>
      </c>
      <c r="J15" s="252">
        <f t="shared" si="4"/>
        <v>16.41</v>
      </c>
      <c r="K15" s="313">
        <v>16</v>
      </c>
      <c r="M15" t="s">
        <v>556</v>
      </c>
    </row>
    <row r="16" spans="1:17" ht="51">
      <c r="A16" s="52">
        <v>10</v>
      </c>
      <c r="B16" s="161">
        <v>311</v>
      </c>
      <c r="C16" s="198">
        <v>158</v>
      </c>
      <c r="D16" s="270">
        <f>350/C16</f>
        <v>2.2151898734177213</v>
      </c>
      <c r="E16" s="270">
        <f t="shared" si="5"/>
        <v>2.7848101265822787</v>
      </c>
      <c r="F16" s="52">
        <f t="shared" si="6"/>
        <v>349.99999999999994</v>
      </c>
      <c r="G16" s="52">
        <v>2897</v>
      </c>
      <c r="H16" s="310">
        <f t="shared" si="3"/>
        <v>1448.5</v>
      </c>
      <c r="I16" s="52">
        <v>19.09</v>
      </c>
      <c r="J16" s="252">
        <f t="shared" si="4"/>
        <v>16.09</v>
      </c>
      <c r="K16" s="313">
        <v>16</v>
      </c>
      <c r="M16" s="277" t="s">
        <v>552</v>
      </c>
      <c r="N16" s="277" t="s">
        <v>536</v>
      </c>
      <c r="O16" s="277" t="s">
        <v>559</v>
      </c>
      <c r="P16" s="277" t="s">
        <v>538</v>
      </c>
      <c r="Q16" s="274" t="s">
        <v>533</v>
      </c>
    </row>
    <row r="17" spans="1:17">
      <c r="A17" s="52">
        <v>11</v>
      </c>
      <c r="B17" s="52" t="s">
        <v>529</v>
      </c>
      <c r="C17" s="271">
        <v>0</v>
      </c>
      <c r="D17" s="270">
        <v>0</v>
      </c>
      <c r="E17" s="270">
        <f t="shared" si="5"/>
        <v>5</v>
      </c>
      <c r="F17" s="52">
        <f t="shared" si="6"/>
        <v>0</v>
      </c>
      <c r="G17" s="52">
        <v>3041</v>
      </c>
      <c r="H17" s="310">
        <f t="shared" si="3"/>
        <v>1520.5</v>
      </c>
      <c r="I17" s="52">
        <v>25.92</v>
      </c>
      <c r="J17" s="252">
        <f t="shared" si="4"/>
        <v>22.92</v>
      </c>
      <c r="K17" s="52">
        <v>23</v>
      </c>
      <c r="M17" s="52" t="s">
        <v>558</v>
      </c>
      <c r="N17" s="8">
        <v>16</v>
      </c>
      <c r="O17" s="8">
        <f>(N17*$D$2)*1.1</f>
        <v>492.80000000000007</v>
      </c>
      <c r="P17" s="278">
        <f>O17/7</f>
        <v>70.400000000000006</v>
      </c>
      <c r="Q17" s="8">
        <v>16</v>
      </c>
    </row>
    <row r="18" spans="1:17">
      <c r="A18" s="52">
        <v>12</v>
      </c>
      <c r="B18" s="8">
        <v>298</v>
      </c>
      <c r="C18" s="198">
        <v>182</v>
      </c>
      <c r="D18" s="270">
        <f>350/C18</f>
        <v>1.9230769230769231</v>
      </c>
      <c r="E18" s="270">
        <f t="shared" si="5"/>
        <v>3.0769230769230766</v>
      </c>
      <c r="F18" s="52">
        <f t="shared" si="6"/>
        <v>350</v>
      </c>
      <c r="G18" s="52">
        <v>2873</v>
      </c>
      <c r="H18" s="310">
        <f t="shared" si="3"/>
        <v>1436.5</v>
      </c>
      <c r="I18" s="52">
        <v>18.27</v>
      </c>
      <c r="J18" s="52">
        <f t="shared" si="4"/>
        <v>15.27</v>
      </c>
      <c r="K18" s="52">
        <v>15</v>
      </c>
      <c r="M18" s="52" t="s">
        <v>560</v>
      </c>
      <c r="N18" s="8">
        <v>40</v>
      </c>
      <c r="O18" s="8">
        <f>(N18*$D$2)*1.1</f>
        <v>1232</v>
      </c>
      <c r="P18" s="278">
        <f>O18/7</f>
        <v>176</v>
      </c>
      <c r="Q18" s="8">
        <v>40</v>
      </c>
    </row>
    <row r="19" spans="1:17">
      <c r="A19" s="52">
        <v>13</v>
      </c>
      <c r="B19" s="8">
        <v>348</v>
      </c>
      <c r="C19" s="198">
        <v>54.4</v>
      </c>
      <c r="D19" s="270">
        <v>5</v>
      </c>
      <c r="E19" s="270">
        <f t="shared" si="5"/>
        <v>0</v>
      </c>
      <c r="F19" s="52">
        <f t="shared" si="6"/>
        <v>272</v>
      </c>
      <c r="G19" s="52">
        <v>2788</v>
      </c>
      <c r="H19" s="310">
        <f t="shared" si="3"/>
        <v>1394</v>
      </c>
      <c r="I19" s="52">
        <v>19.329999999999998</v>
      </c>
      <c r="J19" s="52">
        <f t="shared" si="4"/>
        <v>16.329999999999998</v>
      </c>
      <c r="K19" s="313">
        <v>16</v>
      </c>
      <c r="M19" s="52" t="s">
        <v>561</v>
      </c>
      <c r="N19" s="8">
        <v>56</v>
      </c>
      <c r="O19" s="8">
        <f>(N19*$D$2)*1.1</f>
        <v>1724.8000000000002</v>
      </c>
      <c r="P19" s="278">
        <f>O19/7</f>
        <v>246.40000000000003</v>
      </c>
      <c r="Q19" s="8">
        <v>56</v>
      </c>
    </row>
    <row r="20" spans="1:17">
      <c r="A20" s="52">
        <v>14</v>
      </c>
      <c r="B20" s="8">
        <v>315</v>
      </c>
      <c r="C20" s="198">
        <v>148</v>
      </c>
      <c r="D20" s="270">
        <f>350/C20</f>
        <v>2.3648648648648649</v>
      </c>
      <c r="E20" s="270">
        <f t="shared" si="5"/>
        <v>2.6351351351351351</v>
      </c>
      <c r="F20" s="52">
        <f t="shared" si="6"/>
        <v>350</v>
      </c>
      <c r="G20" s="52">
        <v>2991</v>
      </c>
      <c r="H20" s="310">
        <f t="shared" si="3"/>
        <v>1495.5</v>
      </c>
      <c r="I20" s="52">
        <v>18.739999999999998</v>
      </c>
      <c r="J20" s="52">
        <f t="shared" si="4"/>
        <v>15.739999999999998</v>
      </c>
      <c r="K20" s="52">
        <v>15</v>
      </c>
      <c r="M20" s="52" t="s">
        <v>562</v>
      </c>
      <c r="N20" s="8">
        <v>120</v>
      </c>
      <c r="O20" s="8">
        <f>(N20*$D$2)*1.1</f>
        <v>3696.0000000000005</v>
      </c>
      <c r="P20" s="278">
        <f>O20/7</f>
        <v>528.00000000000011</v>
      </c>
      <c r="Q20" s="8">
        <v>120</v>
      </c>
    </row>
    <row r="21" spans="1:17">
      <c r="A21" s="52"/>
      <c r="B21" s="8" t="s">
        <v>569</v>
      </c>
      <c r="C21" s="198"/>
      <c r="D21" s="270"/>
      <c r="E21" s="270"/>
      <c r="F21" s="52"/>
      <c r="G21" s="52">
        <v>2966</v>
      </c>
      <c r="H21" s="310">
        <f t="shared" si="3"/>
        <v>1483</v>
      </c>
      <c r="I21" s="52">
        <v>28.23</v>
      </c>
      <c r="J21" s="52">
        <f t="shared" si="4"/>
        <v>25.23</v>
      </c>
      <c r="K21" s="52">
        <v>25</v>
      </c>
      <c r="M21" s="52"/>
      <c r="N21" s="8"/>
      <c r="O21" s="8"/>
      <c r="P21" s="278"/>
      <c r="Q21" s="8"/>
    </row>
    <row r="22" spans="1:17">
      <c r="A22" s="52">
        <v>15</v>
      </c>
      <c r="B22" s="8">
        <v>344</v>
      </c>
      <c r="C22" s="198">
        <v>25</v>
      </c>
      <c r="D22" s="270">
        <v>5</v>
      </c>
      <c r="E22" s="270">
        <f t="shared" ref="E22:E35" si="7">5-D22</f>
        <v>0</v>
      </c>
      <c r="F22" s="52">
        <f t="shared" ref="F22:F35" si="8">D22*C22</f>
        <v>125</v>
      </c>
      <c r="G22" s="52">
        <v>3090</v>
      </c>
      <c r="H22" s="310">
        <f t="shared" si="3"/>
        <v>1545</v>
      </c>
      <c r="I22" s="52">
        <v>18.190000000000001</v>
      </c>
      <c r="J22" s="52">
        <f t="shared" si="4"/>
        <v>15.190000000000001</v>
      </c>
      <c r="K22" s="52">
        <v>15</v>
      </c>
      <c r="M22" s="52" t="s">
        <v>563</v>
      </c>
      <c r="N22" s="8">
        <v>120</v>
      </c>
      <c r="O22" s="8">
        <f>(N22*$D$2)*1.1</f>
        <v>3696.0000000000005</v>
      </c>
      <c r="P22" s="278">
        <f>O22/7</f>
        <v>528.00000000000011</v>
      </c>
      <c r="Q22" s="8">
        <v>120</v>
      </c>
    </row>
    <row r="23" spans="1:17">
      <c r="A23" s="52">
        <v>16</v>
      </c>
      <c r="B23" s="8">
        <v>325</v>
      </c>
      <c r="C23" s="198">
        <v>180</v>
      </c>
      <c r="D23" s="270">
        <f>350/C23</f>
        <v>1.9444444444444444</v>
      </c>
      <c r="E23" s="270">
        <f t="shared" si="7"/>
        <v>3.0555555555555554</v>
      </c>
      <c r="F23" s="52">
        <f t="shared" si="8"/>
        <v>350</v>
      </c>
      <c r="G23" s="52">
        <v>4057</v>
      </c>
      <c r="H23" s="310">
        <f t="shared" si="3"/>
        <v>2028.5</v>
      </c>
      <c r="I23" s="52">
        <v>17.64</v>
      </c>
      <c r="J23" s="52">
        <f t="shared" si="4"/>
        <v>14.64</v>
      </c>
      <c r="K23" s="52">
        <v>14</v>
      </c>
      <c r="M23" s="52" t="s">
        <v>564</v>
      </c>
      <c r="N23" s="8">
        <v>20</v>
      </c>
      <c r="O23" s="8">
        <f>(N23*$D$2)*1.1</f>
        <v>616</v>
      </c>
      <c r="P23" s="278">
        <f>O23/7</f>
        <v>88</v>
      </c>
      <c r="Q23" s="8">
        <v>20</v>
      </c>
    </row>
    <row r="24" spans="1:17">
      <c r="A24" s="52">
        <v>17</v>
      </c>
      <c r="B24" s="8">
        <v>338</v>
      </c>
      <c r="C24" s="198">
        <v>81.599999999999994</v>
      </c>
      <c r="D24" s="270">
        <f>350/C24</f>
        <v>4.2892156862745097</v>
      </c>
      <c r="E24" s="270">
        <f t="shared" si="7"/>
        <v>0.71078431372549034</v>
      </c>
      <c r="F24" s="52">
        <f t="shared" si="8"/>
        <v>349.99999999999994</v>
      </c>
      <c r="G24" s="52">
        <v>3144</v>
      </c>
      <c r="H24" s="310">
        <f t="shared" si="3"/>
        <v>1572</v>
      </c>
      <c r="I24" s="52">
        <v>19.309999999999999</v>
      </c>
      <c r="J24" s="52">
        <f t="shared" si="4"/>
        <v>16.309999999999999</v>
      </c>
      <c r="K24" s="313">
        <v>16</v>
      </c>
    </row>
    <row r="25" spans="1:17">
      <c r="A25" s="52">
        <v>18</v>
      </c>
      <c r="B25" s="8">
        <v>347</v>
      </c>
      <c r="C25" s="198">
        <v>69</v>
      </c>
      <c r="D25" s="270">
        <v>5</v>
      </c>
      <c r="E25" s="270">
        <f t="shared" si="7"/>
        <v>0</v>
      </c>
      <c r="F25" s="52">
        <f t="shared" si="8"/>
        <v>345</v>
      </c>
      <c r="G25" s="52">
        <v>3094</v>
      </c>
      <c r="H25" s="310">
        <f t="shared" si="3"/>
        <v>1547</v>
      </c>
      <c r="I25" s="52">
        <v>17.899999999999999</v>
      </c>
      <c r="J25" s="52">
        <f t="shared" si="4"/>
        <v>14.899999999999999</v>
      </c>
      <c r="K25" s="52">
        <v>15</v>
      </c>
      <c r="O25" s="122" t="s">
        <v>565</v>
      </c>
      <c r="P25" s="165">
        <f>SUM(O20,O22)</f>
        <v>7392.0000000000009</v>
      </c>
    </row>
    <row r="26" spans="1:17">
      <c r="A26" s="52">
        <v>19</v>
      </c>
      <c r="B26" s="8">
        <v>312</v>
      </c>
      <c r="C26" s="198">
        <v>90.6</v>
      </c>
      <c r="D26" s="270">
        <f>350/C26</f>
        <v>3.8631346578366448</v>
      </c>
      <c r="E26" s="270">
        <f t="shared" si="7"/>
        <v>1.1368653421633552</v>
      </c>
      <c r="F26" s="52">
        <f t="shared" si="8"/>
        <v>350</v>
      </c>
      <c r="G26" s="52">
        <v>3020</v>
      </c>
      <c r="H26" s="310">
        <f t="shared" si="3"/>
        <v>1510</v>
      </c>
      <c r="I26" s="52">
        <v>18.77</v>
      </c>
      <c r="J26" s="52">
        <f t="shared" si="4"/>
        <v>15.77</v>
      </c>
      <c r="K26" s="52">
        <v>15</v>
      </c>
      <c r="O26" s="122" t="s">
        <v>566</v>
      </c>
      <c r="P26" s="287">
        <f>8000*0.8</f>
        <v>6400</v>
      </c>
    </row>
    <row r="27" spans="1:17">
      <c r="A27" s="52">
        <v>20</v>
      </c>
      <c r="B27" s="161">
        <v>321</v>
      </c>
      <c r="C27" s="198">
        <v>148</v>
      </c>
      <c r="D27" s="270">
        <f>350/C27</f>
        <v>2.3648648648648649</v>
      </c>
      <c r="E27" s="270">
        <f t="shared" si="7"/>
        <v>2.6351351351351351</v>
      </c>
      <c r="F27" s="52">
        <f t="shared" si="8"/>
        <v>350</v>
      </c>
      <c r="G27" s="52">
        <v>3122</v>
      </c>
      <c r="H27" s="310">
        <f t="shared" si="3"/>
        <v>1561</v>
      </c>
      <c r="I27" s="52">
        <v>18.03</v>
      </c>
      <c r="J27" s="52">
        <f t="shared" si="4"/>
        <v>15.030000000000001</v>
      </c>
      <c r="K27" s="52">
        <v>15</v>
      </c>
      <c r="O27" s="122" t="s">
        <v>567</v>
      </c>
      <c r="P27" s="287">
        <f>8000*0.2</f>
        <v>1600</v>
      </c>
    </row>
    <row r="28" spans="1:17">
      <c r="A28" s="52">
        <v>21</v>
      </c>
      <c r="B28" s="8">
        <v>333</v>
      </c>
      <c r="C28" s="198">
        <v>78.599999999999994</v>
      </c>
      <c r="D28" s="270">
        <f>350/C28</f>
        <v>4.4529262086513999</v>
      </c>
      <c r="E28" s="270">
        <f t="shared" si="7"/>
        <v>0.54707379134860012</v>
      </c>
      <c r="F28" s="52">
        <f t="shared" si="8"/>
        <v>350</v>
      </c>
      <c r="G28" s="52">
        <v>3301</v>
      </c>
      <c r="H28" s="310">
        <f t="shared" si="3"/>
        <v>1650.5</v>
      </c>
      <c r="I28" s="52">
        <v>18.07</v>
      </c>
      <c r="J28" s="52">
        <f t="shared" si="4"/>
        <v>15.07</v>
      </c>
      <c r="K28" s="52">
        <v>15</v>
      </c>
    </row>
    <row r="29" spans="1:17">
      <c r="A29" s="52">
        <v>22</v>
      </c>
      <c r="B29" s="8">
        <v>291</v>
      </c>
      <c r="C29" s="198">
        <v>158</v>
      </c>
      <c r="D29" s="270">
        <f>350/C29</f>
        <v>2.2151898734177213</v>
      </c>
      <c r="E29" s="270">
        <f t="shared" si="7"/>
        <v>2.7848101265822787</v>
      </c>
      <c r="F29" s="52">
        <f t="shared" si="8"/>
        <v>349.99999999999994</v>
      </c>
      <c r="G29" s="52">
        <v>2529</v>
      </c>
      <c r="H29" s="310">
        <f t="shared" si="3"/>
        <v>1264.5</v>
      </c>
      <c r="I29" s="52">
        <v>18.059999999999999</v>
      </c>
      <c r="J29" s="52">
        <f t="shared" si="4"/>
        <v>15.059999999999999</v>
      </c>
      <c r="K29" s="52">
        <v>15</v>
      </c>
    </row>
    <row r="30" spans="1:17">
      <c r="A30" s="52">
        <v>23</v>
      </c>
      <c r="B30" s="8">
        <v>308</v>
      </c>
      <c r="C30" s="198">
        <v>73.599999999999994</v>
      </c>
      <c r="D30" s="270">
        <f>350/C30</f>
        <v>4.7554347826086962</v>
      </c>
      <c r="E30" s="270">
        <f t="shared" si="7"/>
        <v>0.24456521739130377</v>
      </c>
      <c r="F30" s="52">
        <f t="shared" si="8"/>
        <v>350</v>
      </c>
      <c r="G30" s="52">
        <v>2593</v>
      </c>
      <c r="H30" s="310">
        <f t="shared" si="3"/>
        <v>1296.5</v>
      </c>
      <c r="I30" s="52">
        <v>19.100000000000001</v>
      </c>
      <c r="J30" s="52">
        <f t="shared" si="4"/>
        <v>16.100000000000001</v>
      </c>
      <c r="K30" s="313">
        <v>16</v>
      </c>
    </row>
    <row r="31" spans="1:17">
      <c r="A31" s="52">
        <v>24</v>
      </c>
      <c r="B31" s="52" t="s">
        <v>528</v>
      </c>
      <c r="C31" s="271">
        <v>0</v>
      </c>
      <c r="D31" s="270">
        <v>0</v>
      </c>
      <c r="E31" s="270">
        <f t="shared" si="7"/>
        <v>5</v>
      </c>
      <c r="F31" s="52">
        <f t="shared" si="8"/>
        <v>0</v>
      </c>
      <c r="G31" s="52">
        <v>3075</v>
      </c>
      <c r="H31" s="310">
        <f t="shared" si="3"/>
        <v>1537.5</v>
      </c>
      <c r="I31" s="52">
        <v>25.23</v>
      </c>
      <c r="J31" s="52">
        <f t="shared" si="4"/>
        <v>22.23</v>
      </c>
      <c r="K31" s="52">
        <v>22</v>
      </c>
    </row>
    <row r="32" spans="1:17">
      <c r="A32" s="52">
        <v>25</v>
      </c>
      <c r="B32" s="8">
        <v>335</v>
      </c>
      <c r="C32" s="198">
        <v>180</v>
      </c>
      <c r="D32" s="270">
        <f>350/C32</f>
        <v>1.9444444444444444</v>
      </c>
      <c r="E32" s="270">
        <f t="shared" si="7"/>
        <v>3.0555555555555554</v>
      </c>
      <c r="F32" s="52">
        <f t="shared" si="8"/>
        <v>350</v>
      </c>
      <c r="G32" s="52">
        <v>2898</v>
      </c>
      <c r="H32" s="310">
        <f t="shared" si="3"/>
        <v>1449</v>
      </c>
      <c r="I32" s="52">
        <v>18.86</v>
      </c>
      <c r="J32" s="52">
        <f t="shared" si="4"/>
        <v>15.86</v>
      </c>
      <c r="K32" s="52">
        <v>15</v>
      </c>
    </row>
    <row r="33" spans="1:13">
      <c r="A33" s="52">
        <v>26</v>
      </c>
      <c r="B33" s="8">
        <v>318</v>
      </c>
      <c r="C33" s="198">
        <v>174</v>
      </c>
      <c r="D33" s="270">
        <f>350/C33</f>
        <v>2.0114942528735633</v>
      </c>
      <c r="E33" s="270">
        <f t="shared" si="7"/>
        <v>2.9885057471264367</v>
      </c>
      <c r="F33" s="52">
        <f t="shared" si="8"/>
        <v>350</v>
      </c>
      <c r="G33" s="52">
        <v>3172</v>
      </c>
      <c r="H33" s="310">
        <f t="shared" si="3"/>
        <v>1586</v>
      </c>
      <c r="I33" s="52">
        <v>19.010000000000002</v>
      </c>
      <c r="J33" s="52">
        <f t="shared" si="4"/>
        <v>16.010000000000002</v>
      </c>
      <c r="K33" s="313">
        <v>16</v>
      </c>
    </row>
    <row r="34" spans="1:13">
      <c r="A34" s="52">
        <v>27</v>
      </c>
      <c r="B34" s="8">
        <v>294</v>
      </c>
      <c r="C34" s="198">
        <v>110</v>
      </c>
      <c r="D34" s="270">
        <f>350/C34</f>
        <v>3.1818181818181817</v>
      </c>
      <c r="E34" s="270">
        <f t="shared" si="7"/>
        <v>1.8181818181818183</v>
      </c>
      <c r="F34" s="52">
        <f t="shared" si="8"/>
        <v>350</v>
      </c>
      <c r="G34" s="52">
        <v>2887</v>
      </c>
      <c r="H34" s="310">
        <f t="shared" si="3"/>
        <v>1443.5</v>
      </c>
      <c r="I34" s="52">
        <v>19.3</v>
      </c>
      <c r="J34" s="52">
        <f t="shared" si="4"/>
        <v>16.3</v>
      </c>
      <c r="K34" s="313">
        <v>16</v>
      </c>
    </row>
    <row r="35" spans="1:13">
      <c r="A35" s="52">
        <v>28</v>
      </c>
      <c r="B35" s="8">
        <v>324</v>
      </c>
      <c r="C35" s="198">
        <v>172</v>
      </c>
      <c r="D35" s="270">
        <f>350/C35</f>
        <v>2.0348837209302326</v>
      </c>
      <c r="E35" s="270">
        <f t="shared" si="7"/>
        <v>2.9651162790697674</v>
      </c>
      <c r="F35" s="52">
        <f t="shared" si="8"/>
        <v>350</v>
      </c>
      <c r="G35" s="52">
        <v>3296</v>
      </c>
      <c r="H35" s="310">
        <f t="shared" si="3"/>
        <v>1648</v>
      </c>
      <c r="I35" s="52">
        <v>19.34</v>
      </c>
      <c r="J35" s="52">
        <f t="shared" si="4"/>
        <v>16.34</v>
      </c>
      <c r="K35" s="313">
        <v>16</v>
      </c>
    </row>
    <row r="36" spans="1:13">
      <c r="E36" s="268"/>
      <c r="F36" s="275"/>
      <c r="G36" s="268"/>
      <c r="H36" s="268"/>
    </row>
    <row r="37" spans="1:13">
      <c r="E37" s="268"/>
      <c r="F37" s="269"/>
      <c r="G37" s="268"/>
      <c r="H37" s="268"/>
    </row>
    <row r="38" spans="1:13">
      <c r="A38" s="268" t="s">
        <v>532</v>
      </c>
      <c r="F38" s="269"/>
      <c r="G38" s="268"/>
      <c r="H38" s="268"/>
    </row>
    <row r="39" spans="1:13" ht="23" customHeight="1">
      <c r="A39" s="52"/>
      <c r="B39" s="52">
        <v>1</v>
      </c>
      <c r="C39" s="52">
        <v>2</v>
      </c>
      <c r="D39" s="52">
        <v>3</v>
      </c>
      <c r="E39" s="52">
        <v>4</v>
      </c>
      <c r="F39" s="52">
        <v>5</v>
      </c>
      <c r="G39" s="52">
        <v>6</v>
      </c>
      <c r="H39" s="52">
        <v>7</v>
      </c>
      <c r="I39" s="52">
        <v>8</v>
      </c>
      <c r="J39" s="52">
        <v>9</v>
      </c>
      <c r="K39" s="52">
        <v>10</v>
      </c>
      <c r="L39" s="52">
        <v>11</v>
      </c>
      <c r="M39" s="52">
        <v>12</v>
      </c>
    </row>
    <row r="40" spans="1:13" ht="23" customHeight="1">
      <c r="A40" s="52" t="s">
        <v>544</v>
      </c>
      <c r="B40" s="8">
        <v>328</v>
      </c>
      <c r="C40" s="8">
        <v>299</v>
      </c>
      <c r="D40" s="161">
        <v>301</v>
      </c>
      <c r="E40" s="8">
        <v>342</v>
      </c>
      <c r="F40" s="161">
        <v>331</v>
      </c>
      <c r="G40" s="8">
        <v>307</v>
      </c>
      <c r="H40" s="8">
        <v>295</v>
      </c>
      <c r="I40" s="52"/>
      <c r="J40" s="52"/>
      <c r="K40" s="52"/>
      <c r="L40" s="52"/>
      <c r="M40" s="52"/>
    </row>
    <row r="41" spans="1:13" ht="23" customHeight="1">
      <c r="A41" s="52" t="s">
        <v>545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 ht="23" customHeight="1">
      <c r="A42" s="52" t="s">
        <v>546</v>
      </c>
      <c r="B42" s="8">
        <v>304</v>
      </c>
      <c r="C42" s="8">
        <v>305</v>
      </c>
      <c r="D42" s="161">
        <v>311</v>
      </c>
      <c r="E42" s="8" t="s">
        <v>529</v>
      </c>
      <c r="F42" s="8">
        <v>298</v>
      </c>
      <c r="G42" s="8">
        <v>348</v>
      </c>
      <c r="H42" s="8">
        <v>315</v>
      </c>
      <c r="I42" s="52"/>
      <c r="J42" s="52"/>
      <c r="K42" s="52"/>
      <c r="L42" s="52"/>
      <c r="M42" s="52"/>
    </row>
    <row r="43" spans="1:13" ht="23" customHeight="1">
      <c r="A43" s="52" t="s">
        <v>547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ht="23" customHeight="1">
      <c r="A44" s="52" t="s">
        <v>548</v>
      </c>
      <c r="B44" s="8">
        <v>344</v>
      </c>
      <c r="C44" s="8">
        <v>325</v>
      </c>
      <c r="D44" s="8">
        <v>338</v>
      </c>
      <c r="E44" s="8">
        <v>347</v>
      </c>
      <c r="F44" s="8">
        <v>312</v>
      </c>
      <c r="G44" s="161">
        <v>321</v>
      </c>
      <c r="H44" s="8">
        <v>333</v>
      </c>
      <c r="I44" s="52"/>
      <c r="J44" s="52"/>
      <c r="K44" s="52"/>
      <c r="L44" s="52"/>
      <c r="M44" s="52"/>
    </row>
    <row r="45" spans="1:13" ht="23" customHeight="1">
      <c r="A45" s="52" t="s">
        <v>549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ht="23" customHeight="1">
      <c r="A46" s="52" t="s">
        <v>550</v>
      </c>
      <c r="B46" s="8">
        <v>291</v>
      </c>
      <c r="C46" s="8">
        <v>308</v>
      </c>
      <c r="D46" s="8" t="s">
        <v>528</v>
      </c>
      <c r="E46" s="8">
        <v>335</v>
      </c>
      <c r="F46" s="8">
        <v>318</v>
      </c>
      <c r="G46" s="8">
        <v>294</v>
      </c>
      <c r="H46" s="8">
        <v>324</v>
      </c>
      <c r="I46" s="52"/>
      <c r="J46" s="52"/>
      <c r="K46" s="52"/>
      <c r="L46" s="52"/>
      <c r="M46" s="52"/>
    </row>
    <row r="47" spans="1:13" ht="23" customHeight="1">
      <c r="A47" s="52" t="s">
        <v>551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</sheetData>
  <sortState xmlns:xlrd2="http://schemas.microsoft.com/office/spreadsheetml/2017/richdata2" ref="A6:F35">
    <sortCondition ref="A6:A35"/>
  </sortState>
  <mergeCells count="4">
    <mergeCell ref="P6:P7"/>
    <mergeCell ref="P10:P11"/>
    <mergeCell ref="Q6:Q7"/>
    <mergeCell ref="Q10:Q11"/>
  </mergeCells>
  <pageMargins left="0.7" right="0.7" top="0.75" bottom="0.75" header="0.3" footer="0.3"/>
  <pageSetup scale="56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0DA-1139-0245-AFDC-09DEF3F5283E}">
  <sheetPr>
    <pageSetUpPr fitToPage="1"/>
  </sheetPr>
  <dimension ref="A1:Q44"/>
  <sheetViews>
    <sheetView workbookViewId="0">
      <selection activeCell="E18" sqref="E18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43805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>
        <v>43809</v>
      </c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52">
        <v>1</v>
      </c>
      <c r="B5" s="279">
        <v>343</v>
      </c>
      <c r="C5" s="280">
        <v>114</v>
      </c>
      <c r="D5" s="270">
        <f>350/C5</f>
        <v>3.0701754385964914</v>
      </c>
      <c r="E5" s="270">
        <f>5-D5</f>
        <v>1.9298245614035086</v>
      </c>
      <c r="F5" s="52">
        <f>D5*C5</f>
        <v>350</v>
      </c>
      <c r="G5" s="130">
        <v>3583</v>
      </c>
      <c r="H5" s="130">
        <f>0.5*G5</f>
        <v>1791.5</v>
      </c>
      <c r="I5" s="130">
        <v>16.62</v>
      </c>
      <c r="J5" s="130">
        <f>I5-3</f>
        <v>13.620000000000001</v>
      </c>
      <c r="K5" s="130">
        <v>13</v>
      </c>
      <c r="M5" s="52" t="s">
        <v>540</v>
      </c>
      <c r="N5" s="8">
        <v>9.5</v>
      </c>
      <c r="O5" s="8">
        <f>(N5*$D$1)*1.15</f>
        <v>305.89999999999998</v>
      </c>
      <c r="P5" s="877">
        <f>(O5+O6)/7</f>
        <v>46</v>
      </c>
      <c r="Q5" s="878">
        <v>10</v>
      </c>
    </row>
    <row r="6" spans="1:17">
      <c r="A6" s="52">
        <v>2</v>
      </c>
      <c r="B6" s="8">
        <v>345</v>
      </c>
      <c r="C6" s="198">
        <v>190</v>
      </c>
      <c r="D6" s="270">
        <f t="shared" ref="D6:D32" si="0">350/C6</f>
        <v>1.8421052631578947</v>
      </c>
      <c r="E6" s="270">
        <f t="shared" ref="E6:E32" si="1">5-D6</f>
        <v>3.1578947368421053</v>
      </c>
      <c r="F6" s="52">
        <f t="shared" ref="F6:F32" si="2">D6*C6</f>
        <v>350</v>
      </c>
      <c r="G6" s="130">
        <v>4129</v>
      </c>
      <c r="H6" s="311">
        <f t="shared" ref="H6:H32" si="3">0.5*G6</f>
        <v>2064.5</v>
      </c>
      <c r="I6" s="130">
        <v>17.309999999999999</v>
      </c>
      <c r="J6" s="130">
        <f t="shared" ref="J6:J32" si="4">I6-3</f>
        <v>14.309999999999999</v>
      </c>
      <c r="K6" s="130">
        <v>14</v>
      </c>
      <c r="M6" s="52" t="s">
        <v>541</v>
      </c>
      <c r="N6" s="8">
        <v>0.5</v>
      </c>
      <c r="O6" s="8">
        <f>(N6*$D$1)*1.15</f>
        <v>16.099999999999998</v>
      </c>
      <c r="P6" s="877"/>
      <c r="Q6" s="878"/>
    </row>
    <row r="7" spans="1:17">
      <c r="A7" s="52">
        <v>3</v>
      </c>
      <c r="B7" s="8">
        <v>303</v>
      </c>
      <c r="C7" s="198">
        <v>95.2</v>
      </c>
      <c r="D7" s="270">
        <f t="shared" si="0"/>
        <v>3.6764705882352939</v>
      </c>
      <c r="E7" s="270">
        <f t="shared" si="1"/>
        <v>1.3235294117647061</v>
      </c>
      <c r="F7" s="52">
        <f t="shared" si="2"/>
        <v>350</v>
      </c>
      <c r="G7" s="130">
        <v>3543</v>
      </c>
      <c r="H7" s="311">
        <f t="shared" si="3"/>
        <v>1771.5</v>
      </c>
      <c r="I7" s="130">
        <v>17.28</v>
      </c>
      <c r="J7" s="130">
        <f t="shared" si="4"/>
        <v>14.280000000000001</v>
      </c>
      <c r="K7" s="130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52">
        <v>4</v>
      </c>
      <c r="B8" s="8">
        <v>346</v>
      </c>
      <c r="C8" s="198">
        <v>43.6</v>
      </c>
      <c r="D8" s="270">
        <v>5</v>
      </c>
      <c r="E8" s="270">
        <f t="shared" si="1"/>
        <v>0</v>
      </c>
      <c r="F8" s="52">
        <f t="shared" si="2"/>
        <v>218</v>
      </c>
      <c r="G8" s="130">
        <v>2823</v>
      </c>
      <c r="H8" s="311">
        <f t="shared" si="3"/>
        <v>1411.5</v>
      </c>
      <c r="I8" s="88">
        <v>17.75</v>
      </c>
      <c r="J8" s="130">
        <f t="shared" si="4"/>
        <v>14.75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52">
        <v>5</v>
      </c>
      <c r="B9" s="161">
        <v>302</v>
      </c>
      <c r="C9" s="198">
        <v>62.4</v>
      </c>
      <c r="D9" s="270">
        <v>5</v>
      </c>
      <c r="E9" s="270">
        <f t="shared" si="1"/>
        <v>0</v>
      </c>
      <c r="F9" s="52">
        <f t="shared" si="2"/>
        <v>312</v>
      </c>
      <c r="G9" s="130">
        <v>3153</v>
      </c>
      <c r="H9" s="311">
        <f t="shared" si="3"/>
        <v>1576.5</v>
      </c>
      <c r="I9" s="88">
        <v>16.809999999999999</v>
      </c>
      <c r="J9" s="130">
        <f t="shared" si="4"/>
        <v>13.809999999999999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877">
        <f>(O9+O10)/7</f>
        <v>22.999999999999996</v>
      </c>
      <c r="Q9" s="878">
        <v>5</v>
      </c>
    </row>
    <row r="10" spans="1:17">
      <c r="A10" s="52">
        <v>6</v>
      </c>
      <c r="B10" s="8">
        <v>336</v>
      </c>
      <c r="C10" s="198">
        <v>94.8</v>
      </c>
      <c r="D10" s="270">
        <f t="shared" si="0"/>
        <v>3.6919831223628692</v>
      </c>
      <c r="E10" s="270">
        <f t="shared" si="1"/>
        <v>1.3080168776371308</v>
      </c>
      <c r="F10" s="52">
        <f t="shared" si="2"/>
        <v>350</v>
      </c>
      <c r="G10" s="130">
        <v>3300</v>
      </c>
      <c r="H10" s="311">
        <f t="shared" si="3"/>
        <v>1650</v>
      </c>
      <c r="I10" s="88">
        <v>22.82</v>
      </c>
      <c r="J10" s="130">
        <f t="shared" si="4"/>
        <v>19.82</v>
      </c>
      <c r="K10" s="312">
        <v>19</v>
      </c>
      <c r="M10" s="52" t="s">
        <v>543</v>
      </c>
      <c r="N10" s="8">
        <v>1</v>
      </c>
      <c r="O10" s="8">
        <f>(N10*$D$1)*1.15</f>
        <v>32.199999999999996</v>
      </c>
      <c r="P10" s="877"/>
      <c r="Q10" s="878"/>
    </row>
    <row r="11" spans="1:17">
      <c r="A11" s="52">
        <v>7</v>
      </c>
      <c r="B11" s="8">
        <v>292</v>
      </c>
      <c r="C11" s="198">
        <v>29.6</v>
      </c>
      <c r="D11" s="270">
        <v>5</v>
      </c>
      <c r="E11" s="270">
        <f t="shared" si="1"/>
        <v>0</v>
      </c>
      <c r="F11" s="52">
        <f t="shared" si="2"/>
        <v>148</v>
      </c>
      <c r="G11" s="130">
        <v>3253</v>
      </c>
      <c r="H11" s="311">
        <f t="shared" si="3"/>
        <v>1626.5</v>
      </c>
      <c r="I11" s="88">
        <v>18.600000000000001</v>
      </c>
      <c r="J11" s="130">
        <f t="shared" si="4"/>
        <v>15.600000000000001</v>
      </c>
      <c r="K11" s="88">
        <v>15</v>
      </c>
    </row>
    <row r="12" spans="1:17">
      <c r="A12" s="52">
        <v>8</v>
      </c>
      <c r="B12" s="161" t="s">
        <v>553</v>
      </c>
      <c r="C12" s="199">
        <v>0</v>
      </c>
      <c r="D12" s="270">
        <v>0</v>
      </c>
      <c r="E12" s="270">
        <f t="shared" si="1"/>
        <v>5</v>
      </c>
      <c r="F12" s="52">
        <f t="shared" si="2"/>
        <v>0</v>
      </c>
      <c r="G12" s="130">
        <v>3079</v>
      </c>
      <c r="H12" s="311">
        <f t="shared" si="3"/>
        <v>1539.5</v>
      </c>
      <c r="I12" s="88">
        <v>20.67</v>
      </c>
      <c r="J12" s="130">
        <f t="shared" si="4"/>
        <v>17.670000000000002</v>
      </c>
      <c r="K12" s="312">
        <v>17</v>
      </c>
    </row>
    <row r="13" spans="1:17">
      <c r="A13" s="52">
        <v>9</v>
      </c>
      <c r="B13" s="8">
        <v>317</v>
      </c>
      <c r="C13" s="198">
        <v>158</v>
      </c>
      <c r="D13" s="270">
        <f t="shared" si="0"/>
        <v>2.2151898734177213</v>
      </c>
      <c r="E13" s="270">
        <f t="shared" si="1"/>
        <v>2.7848101265822787</v>
      </c>
      <c r="F13" s="52">
        <f t="shared" si="2"/>
        <v>349.99999999999994</v>
      </c>
      <c r="G13" s="130">
        <v>3576</v>
      </c>
      <c r="H13" s="311">
        <f t="shared" si="3"/>
        <v>1788</v>
      </c>
      <c r="I13" s="88">
        <v>18.8</v>
      </c>
      <c r="J13" s="130">
        <f t="shared" si="4"/>
        <v>15.8</v>
      </c>
      <c r="K13" s="88">
        <v>15</v>
      </c>
      <c r="M13" t="s">
        <v>556</v>
      </c>
    </row>
    <row r="14" spans="1:17" ht="51">
      <c r="A14" s="52">
        <v>10</v>
      </c>
      <c r="B14" s="8">
        <v>322</v>
      </c>
      <c r="C14" s="198">
        <v>44.6</v>
      </c>
      <c r="D14" s="270">
        <v>5</v>
      </c>
      <c r="E14" s="270">
        <f t="shared" si="1"/>
        <v>0</v>
      </c>
      <c r="F14" s="52">
        <f t="shared" si="2"/>
        <v>223</v>
      </c>
      <c r="G14" s="130">
        <v>2540</v>
      </c>
      <c r="H14" s="311">
        <f t="shared" si="3"/>
        <v>1270</v>
      </c>
      <c r="I14" s="88">
        <v>19.309999999999999</v>
      </c>
      <c r="J14" s="130">
        <f t="shared" si="4"/>
        <v>16.309999999999999</v>
      </c>
      <c r="K14" s="312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52">
        <v>11</v>
      </c>
      <c r="B15" s="8">
        <v>332</v>
      </c>
      <c r="C15" s="198">
        <v>65.8</v>
      </c>
      <c r="D15" s="270">
        <v>5</v>
      </c>
      <c r="E15" s="270">
        <f t="shared" si="1"/>
        <v>0</v>
      </c>
      <c r="F15" s="52">
        <f t="shared" si="2"/>
        <v>329</v>
      </c>
      <c r="G15" s="130">
        <v>2689</v>
      </c>
      <c r="H15" s="311">
        <f t="shared" si="3"/>
        <v>1344.5</v>
      </c>
      <c r="I15" s="88">
        <v>20.02</v>
      </c>
      <c r="J15" s="130">
        <f t="shared" si="4"/>
        <v>17.02</v>
      </c>
      <c r="K15" s="312">
        <v>17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52">
        <v>12</v>
      </c>
      <c r="B16" s="8">
        <v>334</v>
      </c>
      <c r="C16" s="198">
        <v>64.8</v>
      </c>
      <c r="D16" s="270">
        <v>5</v>
      </c>
      <c r="E16" s="270">
        <f t="shared" si="1"/>
        <v>0</v>
      </c>
      <c r="F16" s="52">
        <f t="shared" si="2"/>
        <v>324</v>
      </c>
      <c r="G16" s="130">
        <v>2851</v>
      </c>
      <c r="H16" s="311">
        <f t="shared" si="3"/>
        <v>1425.5</v>
      </c>
      <c r="I16" s="88">
        <v>20.78</v>
      </c>
      <c r="J16" s="130">
        <f t="shared" si="4"/>
        <v>17.78</v>
      </c>
      <c r="K16" s="312">
        <v>17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52">
        <v>13</v>
      </c>
      <c r="B17" s="8">
        <v>349</v>
      </c>
      <c r="C17" s="198">
        <v>82</v>
      </c>
      <c r="D17" s="270">
        <f t="shared" si="0"/>
        <v>4.2682926829268295</v>
      </c>
      <c r="E17" s="270">
        <f t="shared" si="1"/>
        <v>0.73170731707317049</v>
      </c>
      <c r="F17" s="52">
        <f t="shared" si="2"/>
        <v>350</v>
      </c>
      <c r="G17" s="130">
        <v>2825</v>
      </c>
      <c r="H17" s="311">
        <f t="shared" si="3"/>
        <v>1412.5</v>
      </c>
      <c r="I17" s="88">
        <v>18.57</v>
      </c>
      <c r="J17" s="130">
        <f t="shared" si="4"/>
        <v>15.57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52">
        <v>14</v>
      </c>
      <c r="B18" s="8">
        <v>337</v>
      </c>
      <c r="C18" s="198">
        <v>194</v>
      </c>
      <c r="D18" s="270">
        <f t="shared" si="0"/>
        <v>1.8041237113402062</v>
      </c>
      <c r="E18" s="270">
        <f t="shared" si="1"/>
        <v>3.195876288659794</v>
      </c>
      <c r="F18" s="52">
        <f t="shared" si="2"/>
        <v>350</v>
      </c>
      <c r="G18" s="130">
        <v>3325</v>
      </c>
      <c r="H18" s="311">
        <f t="shared" si="3"/>
        <v>1662.5</v>
      </c>
      <c r="I18" s="88">
        <v>18.649999999999999</v>
      </c>
      <c r="J18" s="130">
        <f t="shared" si="4"/>
        <v>15.649999999999999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52">
        <v>15</v>
      </c>
      <c r="B19" s="161">
        <v>341</v>
      </c>
      <c r="C19" s="198">
        <v>89.6</v>
      </c>
      <c r="D19" s="270">
        <f t="shared" si="0"/>
        <v>3.9062500000000004</v>
      </c>
      <c r="E19" s="270">
        <f t="shared" si="1"/>
        <v>1.0937499999999996</v>
      </c>
      <c r="F19" s="52">
        <f t="shared" si="2"/>
        <v>350</v>
      </c>
      <c r="G19" s="130">
        <v>3152</v>
      </c>
      <c r="H19" s="311">
        <f t="shared" si="3"/>
        <v>1576</v>
      </c>
      <c r="I19" s="88">
        <v>17.61</v>
      </c>
      <c r="J19" s="130">
        <f t="shared" si="4"/>
        <v>14.61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52">
        <v>16</v>
      </c>
      <c r="B20" s="8">
        <v>313</v>
      </c>
      <c r="C20" s="198">
        <v>72.400000000000006</v>
      </c>
      <c r="D20" s="270">
        <f t="shared" si="0"/>
        <v>4.8342541436464082</v>
      </c>
      <c r="E20" s="270">
        <f t="shared" si="1"/>
        <v>0.16574585635359185</v>
      </c>
      <c r="F20" s="52">
        <f t="shared" si="2"/>
        <v>350</v>
      </c>
      <c r="G20" s="130">
        <v>3184</v>
      </c>
      <c r="H20" s="311">
        <f t="shared" si="3"/>
        <v>1592</v>
      </c>
      <c r="I20" s="88">
        <v>18.47</v>
      </c>
      <c r="J20" s="130">
        <f t="shared" si="4"/>
        <v>15.469999999999999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52">
        <v>17</v>
      </c>
      <c r="B21" s="8">
        <v>309</v>
      </c>
      <c r="C21" s="198">
        <v>170</v>
      </c>
      <c r="D21" s="270">
        <f t="shared" si="0"/>
        <v>2.0588235294117645</v>
      </c>
      <c r="E21" s="270">
        <f t="shared" si="1"/>
        <v>2.9411764705882355</v>
      </c>
      <c r="F21" s="52">
        <f t="shared" si="2"/>
        <v>349.99999999999994</v>
      </c>
      <c r="G21" s="130">
        <v>2962</v>
      </c>
      <c r="H21" s="311">
        <f t="shared" si="3"/>
        <v>1481</v>
      </c>
      <c r="I21" s="88">
        <v>18.05</v>
      </c>
      <c r="J21" s="130">
        <f t="shared" si="4"/>
        <v>15.05</v>
      </c>
      <c r="K21" s="88">
        <v>14</v>
      </c>
    </row>
    <row r="22" spans="1:17">
      <c r="A22" s="52">
        <v>18</v>
      </c>
      <c r="B22" s="8">
        <v>327</v>
      </c>
      <c r="C22" s="198">
        <v>85.2</v>
      </c>
      <c r="D22" s="270">
        <f t="shared" si="0"/>
        <v>4.107981220657277</v>
      </c>
      <c r="E22" s="270">
        <f t="shared" si="1"/>
        <v>0.892018779342723</v>
      </c>
      <c r="F22" s="52">
        <f t="shared" si="2"/>
        <v>350</v>
      </c>
      <c r="G22" s="130">
        <v>2973</v>
      </c>
      <c r="H22" s="311">
        <f t="shared" si="3"/>
        <v>1486.5</v>
      </c>
      <c r="I22" s="88">
        <v>18.89</v>
      </c>
      <c r="J22" s="130">
        <f t="shared" si="4"/>
        <v>15.89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52">
        <v>19</v>
      </c>
      <c r="B23" s="8">
        <v>319</v>
      </c>
      <c r="C23" s="201">
        <v>77.599999999999994</v>
      </c>
      <c r="D23" s="270">
        <f t="shared" si="0"/>
        <v>4.5103092783505154</v>
      </c>
      <c r="E23" s="270">
        <f t="shared" si="1"/>
        <v>0.48969072164948457</v>
      </c>
      <c r="F23" s="52">
        <f t="shared" si="2"/>
        <v>349.99999999999994</v>
      </c>
      <c r="G23" s="130">
        <v>3037</v>
      </c>
      <c r="H23" s="311">
        <f t="shared" si="3"/>
        <v>1518.5</v>
      </c>
      <c r="I23" s="88">
        <v>20.88</v>
      </c>
      <c r="J23" s="130">
        <f t="shared" si="4"/>
        <v>17.88</v>
      </c>
      <c r="K23" s="312">
        <v>16</v>
      </c>
      <c r="O23" s="122" t="s">
        <v>566</v>
      </c>
      <c r="P23" s="287">
        <f>8000*0.8</f>
        <v>6400</v>
      </c>
    </row>
    <row r="24" spans="1:17">
      <c r="A24" s="52">
        <v>20</v>
      </c>
      <c r="B24" s="8">
        <v>326</v>
      </c>
      <c r="C24" s="198">
        <v>130</v>
      </c>
      <c r="D24" s="270">
        <f t="shared" si="0"/>
        <v>2.6923076923076925</v>
      </c>
      <c r="E24" s="270">
        <f t="shared" si="1"/>
        <v>2.3076923076923075</v>
      </c>
      <c r="F24" s="52">
        <f t="shared" si="2"/>
        <v>350</v>
      </c>
      <c r="G24" s="130">
        <v>2810</v>
      </c>
      <c r="H24" s="311">
        <f t="shared" si="3"/>
        <v>1405</v>
      </c>
      <c r="I24" s="88">
        <v>18.12</v>
      </c>
      <c r="J24" s="130">
        <f t="shared" si="4"/>
        <v>15.120000000000001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52">
        <v>21</v>
      </c>
      <c r="B25" s="8">
        <v>306</v>
      </c>
      <c r="C25" s="198">
        <v>136</v>
      </c>
      <c r="D25" s="270">
        <f t="shared" si="0"/>
        <v>2.5735294117647061</v>
      </c>
      <c r="E25" s="270">
        <f t="shared" si="1"/>
        <v>2.4264705882352939</v>
      </c>
      <c r="F25" s="52">
        <f t="shared" si="2"/>
        <v>350</v>
      </c>
      <c r="G25" s="130">
        <v>3698</v>
      </c>
      <c r="H25" s="311">
        <f t="shared" si="3"/>
        <v>1849</v>
      </c>
      <c r="I25" s="88">
        <v>21.19</v>
      </c>
      <c r="J25" s="130">
        <f t="shared" si="4"/>
        <v>18.190000000000001</v>
      </c>
      <c r="K25" s="312">
        <v>18</v>
      </c>
    </row>
    <row r="26" spans="1:17">
      <c r="A26" s="52">
        <v>22</v>
      </c>
      <c r="B26" s="8">
        <v>323</v>
      </c>
      <c r="C26" s="198">
        <v>102</v>
      </c>
      <c r="D26" s="270">
        <f t="shared" si="0"/>
        <v>3.4313725490196076</v>
      </c>
      <c r="E26" s="270">
        <f t="shared" si="1"/>
        <v>1.5686274509803924</v>
      </c>
      <c r="F26" s="52">
        <f t="shared" si="2"/>
        <v>350</v>
      </c>
      <c r="G26" s="130">
        <v>3537</v>
      </c>
      <c r="H26" s="311">
        <f t="shared" si="3"/>
        <v>1768.5</v>
      </c>
      <c r="I26" s="88">
        <v>18.47</v>
      </c>
      <c r="J26" s="130">
        <f t="shared" si="4"/>
        <v>15.469999999999999</v>
      </c>
      <c r="K26" s="88">
        <v>15</v>
      </c>
    </row>
    <row r="27" spans="1:17">
      <c r="A27" s="52">
        <v>23</v>
      </c>
      <c r="B27" s="8">
        <v>314</v>
      </c>
      <c r="C27" s="198">
        <v>42.2</v>
      </c>
      <c r="D27" s="270">
        <v>5</v>
      </c>
      <c r="E27" s="270">
        <f t="shared" si="1"/>
        <v>0</v>
      </c>
      <c r="F27" s="52">
        <f t="shared" si="2"/>
        <v>211</v>
      </c>
      <c r="G27" s="130">
        <v>2996</v>
      </c>
      <c r="H27" s="311">
        <f t="shared" si="3"/>
        <v>1498</v>
      </c>
      <c r="I27" s="88">
        <v>20.58</v>
      </c>
      <c r="J27" s="130">
        <f t="shared" si="4"/>
        <v>17.579999999999998</v>
      </c>
      <c r="K27" s="312">
        <v>17</v>
      </c>
    </row>
    <row r="28" spans="1:17">
      <c r="A28" s="52">
        <v>24</v>
      </c>
      <c r="B28" s="8">
        <v>316</v>
      </c>
      <c r="C28" s="198">
        <v>146</v>
      </c>
      <c r="D28" s="270">
        <f t="shared" si="0"/>
        <v>2.3972602739726026</v>
      </c>
      <c r="E28" s="270">
        <f t="shared" si="1"/>
        <v>2.6027397260273974</v>
      </c>
      <c r="F28" s="52">
        <f t="shared" si="2"/>
        <v>350</v>
      </c>
      <c r="G28" s="130">
        <v>2929</v>
      </c>
      <c r="H28" s="311">
        <f t="shared" si="3"/>
        <v>1464.5</v>
      </c>
      <c r="I28" s="88">
        <v>19.02</v>
      </c>
      <c r="J28" s="130">
        <f t="shared" si="4"/>
        <v>16.02</v>
      </c>
      <c r="K28" s="312">
        <v>16</v>
      </c>
    </row>
    <row r="29" spans="1:17">
      <c r="A29" s="52">
        <v>25</v>
      </c>
      <c r="B29" s="8">
        <v>339</v>
      </c>
      <c r="C29" s="198">
        <v>77.2</v>
      </c>
      <c r="D29" s="270">
        <f t="shared" si="0"/>
        <v>4.5336787564766841</v>
      </c>
      <c r="E29" s="270">
        <f t="shared" si="1"/>
        <v>0.46632124352331594</v>
      </c>
      <c r="F29" s="52">
        <f>D29*C29</f>
        <v>350</v>
      </c>
      <c r="G29" s="130">
        <v>2761</v>
      </c>
      <c r="H29" s="311">
        <f t="shared" si="3"/>
        <v>1380.5</v>
      </c>
      <c r="I29" s="88">
        <v>19.329999999999998</v>
      </c>
      <c r="J29" s="130">
        <f t="shared" si="4"/>
        <v>16.329999999999998</v>
      </c>
      <c r="K29" s="312">
        <v>16</v>
      </c>
    </row>
    <row r="30" spans="1:17">
      <c r="A30" s="52">
        <v>26</v>
      </c>
      <c r="B30" s="8">
        <v>293</v>
      </c>
      <c r="C30" s="198">
        <v>39.6</v>
      </c>
      <c r="D30" s="270">
        <v>5</v>
      </c>
      <c r="E30" s="270">
        <f t="shared" si="1"/>
        <v>0</v>
      </c>
      <c r="F30" s="52">
        <f>D30*C30</f>
        <v>198</v>
      </c>
      <c r="G30" s="130">
        <v>2213</v>
      </c>
      <c r="H30" s="311">
        <f t="shared" si="3"/>
        <v>1106.5</v>
      </c>
      <c r="I30" s="88">
        <v>19.670000000000002</v>
      </c>
      <c r="J30" s="130">
        <f t="shared" si="4"/>
        <v>16.670000000000002</v>
      </c>
      <c r="K30" s="312">
        <v>16</v>
      </c>
    </row>
    <row r="31" spans="1:17">
      <c r="A31" s="52">
        <v>27</v>
      </c>
      <c r="B31" s="8">
        <v>329</v>
      </c>
      <c r="C31" s="198">
        <v>162</v>
      </c>
      <c r="D31" s="270">
        <f t="shared" si="0"/>
        <v>2.1604938271604937</v>
      </c>
      <c r="E31" s="270">
        <f t="shared" si="1"/>
        <v>2.8395061728395063</v>
      </c>
      <c r="F31" s="52">
        <f t="shared" si="2"/>
        <v>350</v>
      </c>
      <c r="G31" s="130">
        <v>2164</v>
      </c>
      <c r="H31" s="311">
        <f t="shared" si="3"/>
        <v>1082</v>
      </c>
      <c r="I31" s="88">
        <v>18.72</v>
      </c>
      <c r="J31" s="130">
        <f t="shared" si="4"/>
        <v>15.719999999999999</v>
      </c>
      <c r="K31" s="88">
        <v>15</v>
      </c>
    </row>
    <row r="32" spans="1:17">
      <c r="A32" s="52">
        <v>28</v>
      </c>
      <c r="B32" s="8">
        <v>296</v>
      </c>
      <c r="C32" s="198">
        <v>180</v>
      </c>
      <c r="D32" s="270">
        <f t="shared" si="0"/>
        <v>1.9444444444444444</v>
      </c>
      <c r="E32" s="270">
        <f t="shared" si="1"/>
        <v>3.0555555555555554</v>
      </c>
      <c r="F32" s="52">
        <f t="shared" si="2"/>
        <v>350</v>
      </c>
      <c r="G32" s="130">
        <v>2182</v>
      </c>
      <c r="H32" s="311">
        <f t="shared" si="3"/>
        <v>1091</v>
      </c>
      <c r="I32" s="88">
        <v>18.100000000000001</v>
      </c>
      <c r="J32" s="130">
        <f t="shared" si="4"/>
        <v>15.100000000000001</v>
      </c>
      <c r="K32" s="88">
        <v>15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279">
        <v>343</v>
      </c>
      <c r="C37" s="8">
        <v>345</v>
      </c>
      <c r="D37" s="8">
        <v>303</v>
      </c>
      <c r="E37" s="8">
        <v>346</v>
      </c>
      <c r="F37" s="161">
        <v>302</v>
      </c>
      <c r="G37" s="8">
        <v>336</v>
      </c>
      <c r="H37" s="8">
        <v>292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285" t="s">
        <v>553</v>
      </c>
      <c r="C39" s="8">
        <v>317</v>
      </c>
      <c r="D39" s="8">
        <v>322</v>
      </c>
      <c r="E39" s="8">
        <v>332</v>
      </c>
      <c r="F39" s="8">
        <v>334</v>
      </c>
      <c r="G39" s="8">
        <v>349</v>
      </c>
      <c r="H39" s="8">
        <v>337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161">
        <v>341</v>
      </c>
      <c r="C41" s="8">
        <v>313</v>
      </c>
      <c r="D41" s="8">
        <v>309</v>
      </c>
      <c r="E41" s="8">
        <v>327</v>
      </c>
      <c r="F41" s="8">
        <v>319</v>
      </c>
      <c r="G41" s="8">
        <v>326</v>
      </c>
      <c r="H41" s="8">
        <v>306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8">
        <v>323</v>
      </c>
      <c r="C43" s="8">
        <v>314</v>
      </c>
      <c r="D43" s="8">
        <v>316</v>
      </c>
      <c r="E43" s="8">
        <v>339</v>
      </c>
      <c r="F43" s="8">
        <v>293</v>
      </c>
      <c r="G43" s="8">
        <v>329</v>
      </c>
      <c r="H43" s="8">
        <v>296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sortState xmlns:xlrd2="http://schemas.microsoft.com/office/spreadsheetml/2017/richdata2" ref="A5:F32">
    <sortCondition ref="A5:A32"/>
  </sortState>
  <mergeCells count="4">
    <mergeCell ref="P5:P6"/>
    <mergeCell ref="Q5:Q6"/>
    <mergeCell ref="P9:P10"/>
    <mergeCell ref="Q9:Q10"/>
  </mergeCells>
  <pageMargins left="0.7" right="0.7" top="0.75" bottom="0.75" header="0.3" footer="0.3"/>
  <pageSetup scale="5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8C6A-8E97-D044-96AD-8A8004048702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410">
        <v>35</v>
      </c>
      <c r="C5" s="412">
        <v>94.4</v>
      </c>
      <c r="D5" s="315">
        <f>350/C5</f>
        <v>3.7076271186440675</v>
      </c>
      <c r="E5" s="315">
        <f>5-D5</f>
        <v>1.2923728813559325</v>
      </c>
      <c r="F5" s="314">
        <f>D5*C5</f>
        <v>350</v>
      </c>
      <c r="G5" s="130">
        <v>3337</v>
      </c>
      <c r="H5" s="311">
        <f>0.5*G5</f>
        <v>1668.5</v>
      </c>
      <c r="I5" s="130">
        <v>22.76</v>
      </c>
      <c r="J5" s="130">
        <f>I5-3</f>
        <v>19.760000000000002</v>
      </c>
      <c r="K5" s="429">
        <v>19</v>
      </c>
      <c r="M5" s="52" t="s">
        <v>540</v>
      </c>
      <c r="N5" s="8">
        <v>9.5</v>
      </c>
      <c r="O5" s="8">
        <f>(N5*$D$1)*1.15</f>
        <v>305.89999999999998</v>
      </c>
      <c r="P5" s="877">
        <f>(O5+O6)/7</f>
        <v>46</v>
      </c>
      <c r="Q5" s="878">
        <v>10</v>
      </c>
    </row>
    <row r="6" spans="1:17">
      <c r="A6" s="314">
        <v>2</v>
      </c>
      <c r="B6" s="410">
        <v>524</v>
      </c>
      <c r="C6" s="412">
        <v>63</v>
      </c>
      <c r="D6" s="315">
        <v>5</v>
      </c>
      <c r="E6" s="315">
        <f t="shared" ref="E6:E32" si="0">5-D6</f>
        <v>0</v>
      </c>
      <c r="F6" s="314">
        <f>D6*C6</f>
        <v>315</v>
      </c>
      <c r="G6" s="130">
        <v>3144</v>
      </c>
      <c r="H6" s="311">
        <f t="shared" ref="H6:H32" si="1">0.5*G6</f>
        <v>1572</v>
      </c>
      <c r="I6" s="130">
        <v>17.510000000000002</v>
      </c>
      <c r="J6" s="130">
        <f t="shared" ref="J6:J32" si="2">I6-3</f>
        <v>14.510000000000002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877"/>
      <c r="Q6" s="878"/>
    </row>
    <row r="7" spans="1:17">
      <c r="A7" s="314">
        <v>3</v>
      </c>
      <c r="B7" s="410">
        <v>453</v>
      </c>
      <c r="C7" s="412">
        <v>196</v>
      </c>
      <c r="D7" s="315">
        <f t="shared" ref="D7:D27" si="3">350/C7</f>
        <v>1.7857142857142858</v>
      </c>
      <c r="E7" s="315">
        <f t="shared" si="0"/>
        <v>3.2142857142857144</v>
      </c>
      <c r="F7" s="314">
        <f t="shared" ref="F7:F32" si="4">D7*C7</f>
        <v>350</v>
      </c>
      <c r="G7" s="130">
        <v>3270</v>
      </c>
      <c r="H7" s="311">
        <f t="shared" si="1"/>
        <v>1635</v>
      </c>
      <c r="I7" s="130">
        <v>17.38</v>
      </c>
      <c r="J7" s="130">
        <f t="shared" si="2"/>
        <v>14.379999999999999</v>
      </c>
      <c r="K7" s="88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410">
        <v>554</v>
      </c>
      <c r="C8" s="412">
        <v>188</v>
      </c>
      <c r="D8" s="315">
        <f t="shared" si="3"/>
        <v>1.8617021276595744</v>
      </c>
      <c r="E8" s="315">
        <f t="shared" si="0"/>
        <v>3.1382978723404253</v>
      </c>
      <c r="F8" s="314">
        <f t="shared" si="4"/>
        <v>350</v>
      </c>
      <c r="G8" s="88">
        <v>3198</v>
      </c>
      <c r="H8" s="311">
        <f t="shared" si="1"/>
        <v>1599</v>
      </c>
      <c r="I8" s="88">
        <v>17.600000000000001</v>
      </c>
      <c r="J8" s="130">
        <f t="shared" si="2"/>
        <v>14.600000000000001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410" t="s">
        <v>257</v>
      </c>
      <c r="C9" s="412">
        <v>69.8</v>
      </c>
      <c r="D9" s="315">
        <v>5</v>
      </c>
      <c r="E9" s="315">
        <f t="shared" si="0"/>
        <v>0</v>
      </c>
      <c r="F9" s="314">
        <f t="shared" si="4"/>
        <v>349</v>
      </c>
      <c r="G9" s="88">
        <v>3162</v>
      </c>
      <c r="H9" s="311">
        <f t="shared" si="1"/>
        <v>1581</v>
      </c>
      <c r="I9" s="88">
        <v>20.39</v>
      </c>
      <c r="J9" s="130">
        <f t="shared" si="2"/>
        <v>17.39</v>
      </c>
      <c r="K9" s="429">
        <v>17</v>
      </c>
      <c r="M9" s="52" t="s">
        <v>542</v>
      </c>
      <c r="N9" s="8">
        <v>4</v>
      </c>
      <c r="O9" s="8">
        <f>(N9*$D$1)*1.15</f>
        <v>128.79999999999998</v>
      </c>
      <c r="P9" s="877">
        <f>(O9+O10)/7</f>
        <v>22.999999999999996</v>
      </c>
      <c r="Q9" s="878">
        <v>5</v>
      </c>
    </row>
    <row r="10" spans="1:17">
      <c r="A10" s="314">
        <v>6</v>
      </c>
      <c r="B10" s="410">
        <v>489</v>
      </c>
      <c r="C10" s="412">
        <v>68</v>
      </c>
      <c r="D10" s="315">
        <v>5</v>
      </c>
      <c r="E10" s="315">
        <f t="shared" si="0"/>
        <v>0</v>
      </c>
      <c r="F10" s="314">
        <f t="shared" si="4"/>
        <v>340</v>
      </c>
      <c r="G10" s="88">
        <v>3220</v>
      </c>
      <c r="H10" s="311">
        <f t="shared" si="1"/>
        <v>1610</v>
      </c>
      <c r="I10" s="88">
        <v>18.149999999999999</v>
      </c>
      <c r="J10" s="130">
        <f>I10-3</f>
        <v>15.149999999999999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877"/>
      <c r="Q10" s="878"/>
    </row>
    <row r="11" spans="1:17">
      <c r="A11" s="314">
        <v>7</v>
      </c>
      <c r="B11" s="410" t="s">
        <v>261</v>
      </c>
      <c r="C11" s="412">
        <v>106</v>
      </c>
      <c r="D11" s="315">
        <f t="shared" si="3"/>
        <v>3.3018867924528301</v>
      </c>
      <c r="E11" s="315">
        <f t="shared" si="0"/>
        <v>1.6981132075471699</v>
      </c>
      <c r="F11" s="314">
        <f t="shared" si="4"/>
        <v>350</v>
      </c>
      <c r="G11" s="88">
        <v>3612</v>
      </c>
      <c r="H11" s="311">
        <f t="shared" si="1"/>
        <v>1806</v>
      </c>
      <c r="I11" s="88">
        <v>19.100000000000001</v>
      </c>
      <c r="J11" s="130">
        <f>I11-3</f>
        <v>16.100000000000001</v>
      </c>
      <c r="K11" s="88">
        <v>16</v>
      </c>
    </row>
    <row r="12" spans="1:17">
      <c r="A12" s="314">
        <v>8</v>
      </c>
      <c r="B12" s="410">
        <v>533</v>
      </c>
      <c r="C12" s="412">
        <v>6.52</v>
      </c>
      <c r="D12" s="315">
        <v>5</v>
      </c>
      <c r="E12" s="315">
        <f t="shared" si="0"/>
        <v>0</v>
      </c>
      <c r="F12" s="314">
        <f t="shared" si="4"/>
        <v>32.599999999999994</v>
      </c>
      <c r="G12" s="88">
        <v>2713</v>
      </c>
      <c r="H12" s="311">
        <f t="shared" si="1"/>
        <v>1356.5</v>
      </c>
      <c r="I12" s="88">
        <v>20.11</v>
      </c>
      <c r="J12" s="130">
        <f>I12-3</f>
        <v>17.11</v>
      </c>
      <c r="K12" s="429">
        <v>17</v>
      </c>
    </row>
    <row r="13" spans="1:17">
      <c r="A13" s="314">
        <v>9</v>
      </c>
      <c r="B13" s="410">
        <v>522</v>
      </c>
      <c r="C13" s="412">
        <v>32.200000000000003</v>
      </c>
      <c r="D13" s="315">
        <v>5</v>
      </c>
      <c r="E13" s="315">
        <f t="shared" si="0"/>
        <v>0</v>
      </c>
      <c r="F13" s="314">
        <f t="shared" si="4"/>
        <v>161</v>
      </c>
      <c r="G13" s="88">
        <v>2469</v>
      </c>
      <c r="H13" s="311">
        <f t="shared" si="1"/>
        <v>1234.5</v>
      </c>
      <c r="I13" s="88">
        <v>19.11</v>
      </c>
      <c r="J13" s="130">
        <f t="shared" si="2"/>
        <v>16.11</v>
      </c>
      <c r="K13" s="88">
        <v>16</v>
      </c>
      <c r="M13" t="s">
        <v>556</v>
      </c>
    </row>
    <row r="14" spans="1:17" ht="51">
      <c r="A14" s="314">
        <v>10</v>
      </c>
      <c r="B14" s="410">
        <v>474</v>
      </c>
      <c r="C14" s="412">
        <v>77.2</v>
      </c>
      <c r="D14" s="315">
        <f t="shared" si="3"/>
        <v>4.5336787564766841</v>
      </c>
      <c r="E14" s="315">
        <f t="shared" si="0"/>
        <v>0.46632124352331594</v>
      </c>
      <c r="F14" s="314">
        <f t="shared" si="4"/>
        <v>350</v>
      </c>
      <c r="G14" s="88">
        <v>3547</v>
      </c>
      <c r="H14" s="311">
        <f t="shared" si="1"/>
        <v>1773.5</v>
      </c>
      <c r="I14" s="88">
        <v>17.579999999999998</v>
      </c>
      <c r="J14" s="130">
        <f t="shared" si="2"/>
        <v>14.579999999999998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410" t="s">
        <v>259</v>
      </c>
      <c r="C15" s="412">
        <v>97.2</v>
      </c>
      <c r="D15" s="315">
        <f t="shared" si="3"/>
        <v>3.6008230452674894</v>
      </c>
      <c r="E15" s="315">
        <f t="shared" si="0"/>
        <v>1.3991769547325106</v>
      </c>
      <c r="F15" s="314">
        <f t="shared" si="4"/>
        <v>350</v>
      </c>
      <c r="G15" s="88">
        <v>2770</v>
      </c>
      <c r="H15" s="311">
        <f t="shared" si="1"/>
        <v>1385</v>
      </c>
      <c r="I15" s="88">
        <v>19.07</v>
      </c>
      <c r="J15" s="130">
        <f t="shared" si="2"/>
        <v>16.07</v>
      </c>
      <c r="K15" s="88">
        <v>16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410">
        <v>443</v>
      </c>
      <c r="C16" s="412">
        <v>60.2</v>
      </c>
      <c r="D16" s="315">
        <v>5</v>
      </c>
      <c r="E16" s="315">
        <f t="shared" si="0"/>
        <v>0</v>
      </c>
      <c r="F16" s="314">
        <f t="shared" si="4"/>
        <v>301</v>
      </c>
      <c r="G16" s="88">
        <v>3799</v>
      </c>
      <c r="H16" s="311">
        <f t="shared" si="1"/>
        <v>1899.5</v>
      </c>
      <c r="I16" s="88">
        <v>18.579999999999998</v>
      </c>
      <c r="J16" s="130">
        <f t="shared" si="2"/>
        <v>15.579999999999998</v>
      </c>
      <c r="K16" s="88">
        <v>15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410">
        <v>477</v>
      </c>
      <c r="C17" s="412">
        <v>164</v>
      </c>
      <c r="D17" s="315">
        <f t="shared" si="3"/>
        <v>2.1341463414634148</v>
      </c>
      <c r="E17" s="315">
        <f t="shared" si="0"/>
        <v>2.8658536585365852</v>
      </c>
      <c r="F17" s="314">
        <f t="shared" si="4"/>
        <v>350</v>
      </c>
      <c r="G17" s="88">
        <v>2498</v>
      </c>
      <c r="H17" s="311">
        <f t="shared" si="1"/>
        <v>1249</v>
      </c>
      <c r="I17" s="88">
        <v>18</v>
      </c>
      <c r="J17" s="130">
        <f t="shared" si="2"/>
        <v>15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410">
        <v>526</v>
      </c>
      <c r="C18" s="412">
        <v>138</v>
      </c>
      <c r="D18" s="315">
        <f t="shared" si="3"/>
        <v>2.5362318840579712</v>
      </c>
      <c r="E18" s="315">
        <f t="shared" si="0"/>
        <v>2.4637681159420288</v>
      </c>
      <c r="F18" s="314">
        <f t="shared" si="4"/>
        <v>350</v>
      </c>
      <c r="G18" s="88">
        <v>3023</v>
      </c>
      <c r="H18" s="311">
        <f t="shared" si="1"/>
        <v>1511.5</v>
      </c>
      <c r="I18" s="88">
        <v>17.68</v>
      </c>
      <c r="J18" s="130">
        <f t="shared" si="2"/>
        <v>14.68</v>
      </c>
      <c r="K18" s="88">
        <v>14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410">
        <v>562</v>
      </c>
      <c r="C19" s="412">
        <v>126</v>
      </c>
      <c r="D19" s="315">
        <f t="shared" si="3"/>
        <v>2.7777777777777777</v>
      </c>
      <c r="E19" s="315">
        <f t="shared" si="0"/>
        <v>2.2222222222222223</v>
      </c>
      <c r="F19" s="314">
        <f t="shared" si="4"/>
        <v>350</v>
      </c>
      <c r="G19" s="88">
        <v>3063</v>
      </c>
      <c r="H19" s="311">
        <f t="shared" si="1"/>
        <v>1531.5</v>
      </c>
      <c r="I19" s="88">
        <v>20.09</v>
      </c>
      <c r="J19" s="130">
        <f t="shared" si="2"/>
        <v>17.09</v>
      </c>
      <c r="K19" s="429">
        <v>17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410">
        <v>432</v>
      </c>
      <c r="C20" s="412">
        <v>74</v>
      </c>
      <c r="D20" s="315">
        <f t="shared" si="3"/>
        <v>4.7297297297297298</v>
      </c>
      <c r="E20" s="315">
        <f t="shared" si="0"/>
        <v>0.27027027027027017</v>
      </c>
      <c r="F20" s="314">
        <f t="shared" si="4"/>
        <v>350</v>
      </c>
      <c r="G20" s="88">
        <v>2742</v>
      </c>
      <c r="H20" s="311">
        <f t="shared" si="1"/>
        <v>1371</v>
      </c>
      <c r="I20" s="88">
        <v>20.59</v>
      </c>
      <c r="J20" s="130">
        <f t="shared" si="2"/>
        <v>17.59</v>
      </c>
      <c r="K20" s="429">
        <v>17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410">
        <v>37</v>
      </c>
      <c r="C21" s="412">
        <v>74.599999999999994</v>
      </c>
      <c r="D21" s="315">
        <f t="shared" si="3"/>
        <v>4.6916890080428955</v>
      </c>
      <c r="E21" s="315">
        <f t="shared" si="0"/>
        <v>0.30831099195710454</v>
      </c>
      <c r="F21" s="314">
        <f t="shared" si="4"/>
        <v>350</v>
      </c>
      <c r="G21" s="88">
        <v>3451</v>
      </c>
      <c r="H21" s="311">
        <f t="shared" si="1"/>
        <v>1725.5</v>
      </c>
      <c r="I21" s="88">
        <v>23.6</v>
      </c>
      <c r="J21" s="130">
        <f t="shared" si="2"/>
        <v>20.6</v>
      </c>
      <c r="K21" s="429">
        <v>20</v>
      </c>
    </row>
    <row r="22" spans="1:17">
      <c r="A22" s="314">
        <v>18</v>
      </c>
      <c r="B22" s="410">
        <v>413</v>
      </c>
      <c r="C22" s="412">
        <v>130</v>
      </c>
      <c r="D22" s="315">
        <f t="shared" si="3"/>
        <v>2.6923076923076925</v>
      </c>
      <c r="E22" s="315">
        <f t="shared" si="0"/>
        <v>2.3076923076923075</v>
      </c>
      <c r="F22" s="314">
        <f t="shared" si="4"/>
        <v>350</v>
      </c>
      <c r="G22" s="88">
        <v>2715</v>
      </c>
      <c r="H22" s="311">
        <f t="shared" si="1"/>
        <v>1357.5</v>
      </c>
      <c r="I22" s="88">
        <v>18.07</v>
      </c>
      <c r="J22" s="130">
        <f t="shared" si="2"/>
        <v>15.07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410">
        <v>45</v>
      </c>
      <c r="C23" s="412">
        <v>25.1</v>
      </c>
      <c r="D23" s="315">
        <v>5</v>
      </c>
      <c r="E23" s="315">
        <f t="shared" si="0"/>
        <v>0</v>
      </c>
      <c r="F23" s="314">
        <f t="shared" si="4"/>
        <v>125.5</v>
      </c>
      <c r="G23" s="88">
        <v>3349</v>
      </c>
      <c r="H23" s="311">
        <f t="shared" si="1"/>
        <v>1674.5</v>
      </c>
      <c r="I23" s="88">
        <v>23.73</v>
      </c>
      <c r="J23" s="130">
        <f t="shared" si="2"/>
        <v>20.73</v>
      </c>
      <c r="K23" s="429">
        <v>20</v>
      </c>
      <c r="O23" s="122" t="s">
        <v>566</v>
      </c>
      <c r="P23" s="287">
        <f>8000*0.8</f>
        <v>6400</v>
      </c>
    </row>
    <row r="24" spans="1:17">
      <c r="A24" s="314">
        <v>20</v>
      </c>
      <c r="B24" s="410">
        <v>561</v>
      </c>
      <c r="C24" s="412">
        <v>28</v>
      </c>
      <c r="D24" s="315">
        <v>5</v>
      </c>
      <c r="E24" s="315">
        <f t="shared" si="0"/>
        <v>0</v>
      </c>
      <c r="F24" s="314">
        <f t="shared" si="4"/>
        <v>140</v>
      </c>
      <c r="G24" s="88">
        <v>2520</v>
      </c>
      <c r="H24" s="311">
        <f t="shared" si="1"/>
        <v>1260</v>
      </c>
      <c r="I24" s="88">
        <v>19.95</v>
      </c>
      <c r="J24" s="130">
        <f t="shared" si="2"/>
        <v>16.95</v>
      </c>
      <c r="K24" s="429">
        <v>17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410">
        <v>542</v>
      </c>
      <c r="C25" s="412">
        <v>32.799999999999997</v>
      </c>
      <c r="D25" s="315">
        <v>5</v>
      </c>
      <c r="E25" s="315">
        <f t="shared" si="0"/>
        <v>0</v>
      </c>
      <c r="F25" s="314">
        <f t="shared" si="4"/>
        <v>164</v>
      </c>
      <c r="G25" s="88">
        <v>2999</v>
      </c>
      <c r="H25" s="311">
        <f t="shared" si="1"/>
        <v>1499.5</v>
      </c>
      <c r="I25" s="88">
        <v>19.66</v>
      </c>
      <c r="J25" s="130">
        <f t="shared" si="2"/>
        <v>16.66</v>
      </c>
      <c r="K25" s="88">
        <v>16</v>
      </c>
    </row>
    <row r="26" spans="1:17">
      <c r="A26" s="314">
        <v>22</v>
      </c>
      <c r="B26" s="410">
        <v>527</v>
      </c>
      <c r="C26" s="412">
        <v>124</v>
      </c>
      <c r="D26" s="315">
        <f t="shared" si="3"/>
        <v>2.8225806451612905</v>
      </c>
      <c r="E26" s="315">
        <f t="shared" si="0"/>
        <v>2.1774193548387095</v>
      </c>
      <c r="F26" s="314">
        <f t="shared" si="4"/>
        <v>350</v>
      </c>
      <c r="G26" s="88">
        <v>3100</v>
      </c>
      <c r="H26" s="311">
        <f t="shared" si="1"/>
        <v>1550</v>
      </c>
      <c r="I26" s="88">
        <v>18.100000000000001</v>
      </c>
      <c r="J26" s="130">
        <f t="shared" si="2"/>
        <v>15.100000000000001</v>
      </c>
      <c r="K26" s="88">
        <v>15</v>
      </c>
    </row>
    <row r="27" spans="1:17">
      <c r="A27" s="314">
        <v>23</v>
      </c>
      <c r="B27" s="410">
        <v>492</v>
      </c>
      <c r="C27" s="412">
        <v>82.6</v>
      </c>
      <c r="D27" s="315">
        <f t="shared" si="3"/>
        <v>4.2372881355932206</v>
      </c>
      <c r="E27" s="315">
        <f t="shared" si="0"/>
        <v>0.76271186440677941</v>
      </c>
      <c r="F27" s="314">
        <f t="shared" si="4"/>
        <v>350</v>
      </c>
      <c r="G27" s="88">
        <v>2747</v>
      </c>
      <c r="H27" s="311">
        <f t="shared" si="1"/>
        <v>1373.5</v>
      </c>
      <c r="I27" s="88">
        <v>18.420000000000002</v>
      </c>
      <c r="J27" s="130">
        <f t="shared" si="2"/>
        <v>15.420000000000002</v>
      </c>
      <c r="K27" s="88">
        <v>15</v>
      </c>
    </row>
    <row r="28" spans="1:17">
      <c r="A28" s="314">
        <v>24</v>
      </c>
      <c r="B28" s="410">
        <v>475</v>
      </c>
      <c r="C28" s="412">
        <v>27.4</v>
      </c>
      <c r="D28" s="315">
        <v>5</v>
      </c>
      <c r="E28" s="315">
        <f t="shared" si="0"/>
        <v>0</v>
      </c>
      <c r="F28" s="314">
        <f t="shared" si="4"/>
        <v>137</v>
      </c>
      <c r="G28" s="88">
        <v>1939</v>
      </c>
      <c r="H28" s="311">
        <f>0.5*G28</f>
        <v>969.5</v>
      </c>
      <c r="I28" s="88">
        <v>17.649999999999999</v>
      </c>
      <c r="J28" s="130">
        <f t="shared" si="2"/>
        <v>14.649999999999999</v>
      </c>
      <c r="K28" s="88">
        <v>14</v>
      </c>
    </row>
    <row r="29" spans="1:17">
      <c r="A29" s="314">
        <v>25</v>
      </c>
      <c r="B29" s="410">
        <v>541</v>
      </c>
      <c r="C29" s="412">
        <v>44.4</v>
      </c>
      <c r="D29" s="315">
        <v>5</v>
      </c>
      <c r="E29" s="315">
        <f t="shared" si="0"/>
        <v>0</v>
      </c>
      <c r="F29" s="314">
        <f>D29*C29</f>
        <v>222</v>
      </c>
      <c r="G29" s="88">
        <v>2387</v>
      </c>
      <c r="H29" s="311">
        <f t="shared" si="1"/>
        <v>1193.5</v>
      </c>
      <c r="I29" s="88">
        <v>18.760000000000002</v>
      </c>
      <c r="J29" s="130">
        <f t="shared" si="2"/>
        <v>15.760000000000002</v>
      </c>
      <c r="K29" s="88">
        <v>15</v>
      </c>
    </row>
    <row r="30" spans="1:17">
      <c r="A30" s="314">
        <v>26</v>
      </c>
      <c r="B30" s="410">
        <v>565</v>
      </c>
      <c r="C30" s="412">
        <v>31.2</v>
      </c>
      <c r="D30" s="315">
        <v>5</v>
      </c>
      <c r="E30" s="315">
        <f t="shared" si="0"/>
        <v>0</v>
      </c>
      <c r="F30" s="314">
        <f>D30*C30</f>
        <v>156</v>
      </c>
      <c r="G30" s="88">
        <v>2907</v>
      </c>
      <c r="H30" s="311">
        <f t="shared" si="1"/>
        <v>1453.5</v>
      </c>
      <c r="I30" s="88">
        <v>20.11</v>
      </c>
      <c r="J30" s="130">
        <f t="shared" si="2"/>
        <v>17.11</v>
      </c>
      <c r="K30" s="429">
        <v>17</v>
      </c>
    </row>
    <row r="31" spans="1:17">
      <c r="A31" s="314">
        <v>27</v>
      </c>
      <c r="B31" s="122" t="s">
        <v>571</v>
      </c>
      <c r="C31" s="413" t="s">
        <v>236</v>
      </c>
      <c r="D31" s="315">
        <v>0</v>
      </c>
      <c r="E31" s="315">
        <f t="shared" si="0"/>
        <v>5</v>
      </c>
      <c r="F31" s="314" t="e">
        <f t="shared" si="4"/>
        <v>#VALUE!</v>
      </c>
      <c r="G31" s="88">
        <v>2959</v>
      </c>
      <c r="H31" s="311">
        <f t="shared" si="1"/>
        <v>1479.5</v>
      </c>
      <c r="I31" s="88">
        <v>26.88</v>
      </c>
      <c r="J31" s="130">
        <f t="shared" si="2"/>
        <v>23.88</v>
      </c>
      <c r="K31" s="88">
        <v>23</v>
      </c>
    </row>
    <row r="32" spans="1:17">
      <c r="A32" s="314">
        <v>28</v>
      </c>
      <c r="B32" s="411" t="s">
        <v>572</v>
      </c>
      <c r="C32" s="413" t="s">
        <v>236</v>
      </c>
      <c r="D32" s="315">
        <v>0</v>
      </c>
      <c r="E32" s="315">
        <f t="shared" si="0"/>
        <v>5</v>
      </c>
      <c r="F32" s="314" t="e">
        <f t="shared" si="4"/>
        <v>#VALUE!</v>
      </c>
      <c r="G32" s="88">
        <v>2933</v>
      </c>
      <c r="H32" s="311">
        <f t="shared" si="1"/>
        <v>1466.5</v>
      </c>
      <c r="I32" s="88">
        <v>26.73</v>
      </c>
      <c r="J32" s="130">
        <f t="shared" si="2"/>
        <v>23.73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35</v>
      </c>
      <c r="C37" s="316">
        <v>524</v>
      </c>
      <c r="D37" s="316">
        <v>453</v>
      </c>
      <c r="E37" s="316">
        <v>554</v>
      </c>
      <c r="F37" s="316" t="s">
        <v>257</v>
      </c>
      <c r="G37" s="316">
        <v>489</v>
      </c>
      <c r="H37" s="316" t="s">
        <v>261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533</v>
      </c>
      <c r="C39" s="316">
        <v>522</v>
      </c>
      <c r="D39" s="316">
        <v>474</v>
      </c>
      <c r="E39" s="316" t="s">
        <v>259</v>
      </c>
      <c r="F39" s="316">
        <v>443</v>
      </c>
      <c r="G39" s="316">
        <v>477</v>
      </c>
      <c r="H39" s="316">
        <v>526</v>
      </c>
      <c r="I39" s="52"/>
      <c r="J39" s="52"/>
      <c r="K39" s="52"/>
      <c r="L39" s="52"/>
      <c r="M39" s="52"/>
    </row>
    <row r="40" spans="1:13">
      <c r="A40" s="210" t="s">
        <v>547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210" t="s">
        <v>548</v>
      </c>
      <c r="B41" s="316">
        <v>562</v>
      </c>
      <c r="C41" s="316">
        <v>432</v>
      </c>
      <c r="D41" s="316">
        <v>37</v>
      </c>
      <c r="E41" s="316">
        <v>413</v>
      </c>
      <c r="F41" s="316">
        <v>45</v>
      </c>
      <c r="G41" s="316">
        <v>561</v>
      </c>
      <c r="H41" s="316">
        <v>542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527</v>
      </c>
      <c r="C43" s="316">
        <v>492</v>
      </c>
      <c r="D43" s="316">
        <v>475</v>
      </c>
      <c r="E43" s="316">
        <v>541</v>
      </c>
      <c r="F43" s="316">
        <v>565</v>
      </c>
      <c r="G43" s="254" t="s">
        <v>571</v>
      </c>
      <c r="H43" s="318" t="s">
        <v>572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0FC5-8D4C-FD4B-99FE-132E76BCB6DB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571</v>
      </c>
      <c r="C5" s="143" t="s">
        <v>244</v>
      </c>
      <c r="D5" s="416">
        <v>5</v>
      </c>
      <c r="E5" s="416">
        <v>0</v>
      </c>
      <c r="F5" s="417" t="s">
        <v>236</v>
      </c>
      <c r="G5" s="130">
        <v>3035</v>
      </c>
      <c r="H5" s="311">
        <f>0.5*G5</f>
        <v>1517.5</v>
      </c>
      <c r="I5" s="130">
        <v>21.65</v>
      </c>
      <c r="J5" s="130">
        <f>I5-3</f>
        <v>18.649999999999999</v>
      </c>
      <c r="K5" s="430">
        <v>18</v>
      </c>
      <c r="M5" s="52" t="s">
        <v>540</v>
      </c>
      <c r="N5" s="8">
        <v>9.5</v>
      </c>
      <c r="O5" s="8">
        <f>(N5*$D$1)*1.15</f>
        <v>305.89999999999998</v>
      </c>
      <c r="P5" s="877">
        <f>(O5+O6)/7</f>
        <v>46</v>
      </c>
      <c r="Q5" s="878">
        <v>10</v>
      </c>
    </row>
    <row r="6" spans="1:17">
      <c r="A6" s="314">
        <v>2</v>
      </c>
      <c r="B6" s="316">
        <v>525</v>
      </c>
      <c r="C6" s="148">
        <v>140</v>
      </c>
      <c r="D6" s="416">
        <f t="shared" ref="D6:D31" si="0">350/C6</f>
        <v>2.5</v>
      </c>
      <c r="E6" s="416">
        <f t="shared" ref="E6:E32" si="1">5-D6</f>
        <v>2.5</v>
      </c>
      <c r="F6" s="417">
        <f t="shared" ref="F6:F31" si="2">D6*C6</f>
        <v>350</v>
      </c>
      <c r="G6" s="130">
        <v>3283</v>
      </c>
      <c r="H6" s="311">
        <f t="shared" ref="H6:H32" si="3">0.5*G6</f>
        <v>1641.5</v>
      </c>
      <c r="I6" s="130">
        <v>17.05</v>
      </c>
      <c r="J6" s="130">
        <f t="shared" ref="J6:J32" si="4">I6-3</f>
        <v>14.05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877"/>
      <c r="Q6" s="878"/>
    </row>
    <row r="7" spans="1:17">
      <c r="A7" s="314">
        <v>3</v>
      </c>
      <c r="B7" s="316">
        <v>563</v>
      </c>
      <c r="C7" s="148">
        <v>47</v>
      </c>
      <c r="D7" s="416">
        <v>5</v>
      </c>
      <c r="E7" s="416">
        <f t="shared" si="1"/>
        <v>0</v>
      </c>
      <c r="F7" s="417">
        <f t="shared" si="2"/>
        <v>235</v>
      </c>
      <c r="G7" s="130">
        <v>3233</v>
      </c>
      <c r="H7" s="311">
        <f t="shared" si="3"/>
        <v>1616.5</v>
      </c>
      <c r="I7" s="130">
        <v>18.41</v>
      </c>
      <c r="J7" s="130">
        <f t="shared" si="4"/>
        <v>15.41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404</v>
      </c>
      <c r="C8" s="148">
        <v>112</v>
      </c>
      <c r="D8" s="416">
        <f t="shared" si="0"/>
        <v>3.125</v>
      </c>
      <c r="E8" s="416">
        <f t="shared" si="1"/>
        <v>1.875</v>
      </c>
      <c r="F8" s="417">
        <f t="shared" si="2"/>
        <v>350</v>
      </c>
      <c r="G8" s="130">
        <v>2712</v>
      </c>
      <c r="H8" s="311">
        <f t="shared" si="3"/>
        <v>1356</v>
      </c>
      <c r="I8" s="88">
        <v>18.16</v>
      </c>
      <c r="J8" s="130">
        <f t="shared" si="4"/>
        <v>15.16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484</v>
      </c>
      <c r="C9" s="148">
        <v>58.4</v>
      </c>
      <c r="D9" s="416">
        <v>5</v>
      </c>
      <c r="E9" s="416">
        <f t="shared" si="1"/>
        <v>0</v>
      </c>
      <c r="F9" s="417">
        <f t="shared" si="2"/>
        <v>292</v>
      </c>
      <c r="G9" s="130">
        <v>2968</v>
      </c>
      <c r="H9" s="311">
        <f t="shared" si="3"/>
        <v>1484</v>
      </c>
      <c r="I9" s="88">
        <v>18.59</v>
      </c>
      <c r="J9" s="130">
        <f t="shared" si="4"/>
        <v>15.59</v>
      </c>
      <c r="K9" s="88">
        <v>15</v>
      </c>
      <c r="M9" s="52" t="s">
        <v>542</v>
      </c>
      <c r="N9" s="8">
        <v>4</v>
      </c>
      <c r="O9" s="8">
        <f>(N9*$D$1)*1.15</f>
        <v>128.79999999999998</v>
      </c>
      <c r="P9" s="877">
        <f>(O9+O10)/7</f>
        <v>22.999999999999996</v>
      </c>
      <c r="Q9" s="878">
        <v>5</v>
      </c>
    </row>
    <row r="10" spans="1:17">
      <c r="A10" s="314">
        <v>6</v>
      </c>
      <c r="B10" s="316">
        <v>531</v>
      </c>
      <c r="C10" s="148">
        <v>95.4</v>
      </c>
      <c r="D10" s="416">
        <f t="shared" si="0"/>
        <v>3.6687631027253667</v>
      </c>
      <c r="E10" s="416">
        <f t="shared" si="1"/>
        <v>1.3312368972746333</v>
      </c>
      <c r="F10" s="417">
        <f t="shared" si="2"/>
        <v>350</v>
      </c>
      <c r="G10" s="130">
        <v>2434</v>
      </c>
      <c r="H10" s="311">
        <f t="shared" si="3"/>
        <v>1217</v>
      </c>
      <c r="I10" s="88">
        <v>18.239999999999998</v>
      </c>
      <c r="J10" s="130">
        <f t="shared" si="4"/>
        <v>15.239999999999998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877"/>
      <c r="Q10" s="878"/>
    </row>
    <row r="11" spans="1:17">
      <c r="A11" s="314">
        <v>7</v>
      </c>
      <c r="B11" s="316">
        <v>34</v>
      </c>
      <c r="C11" s="148">
        <v>104</v>
      </c>
      <c r="D11" s="416">
        <f t="shared" si="0"/>
        <v>3.3653846153846154</v>
      </c>
      <c r="E11" s="416">
        <f t="shared" si="1"/>
        <v>1.6346153846153846</v>
      </c>
      <c r="F11" s="417">
        <f t="shared" si="2"/>
        <v>350</v>
      </c>
      <c r="G11" s="130">
        <v>2831</v>
      </c>
      <c r="H11" s="311">
        <f t="shared" si="3"/>
        <v>1415.5</v>
      </c>
      <c r="I11" s="88">
        <v>21.25</v>
      </c>
      <c r="J11" s="130">
        <f t="shared" si="4"/>
        <v>18.25</v>
      </c>
      <c r="K11" s="430">
        <v>18</v>
      </c>
    </row>
    <row r="12" spans="1:17">
      <c r="A12" s="314">
        <v>8</v>
      </c>
      <c r="B12" s="316">
        <v>490</v>
      </c>
      <c r="C12" s="148">
        <v>186</v>
      </c>
      <c r="D12" s="416">
        <f t="shared" si="0"/>
        <v>1.881720430107527</v>
      </c>
      <c r="E12" s="416">
        <f t="shared" si="1"/>
        <v>3.118279569892473</v>
      </c>
      <c r="F12" s="417">
        <f t="shared" si="2"/>
        <v>350</v>
      </c>
      <c r="G12" s="130">
        <v>2913</v>
      </c>
      <c r="H12" s="311">
        <f t="shared" si="3"/>
        <v>1456.5</v>
      </c>
      <c r="I12" s="88">
        <v>17.12</v>
      </c>
      <c r="J12" s="130">
        <f t="shared" si="4"/>
        <v>14.120000000000001</v>
      </c>
      <c r="K12" s="88">
        <v>14</v>
      </c>
    </row>
    <row r="13" spans="1:17">
      <c r="A13" s="314">
        <v>9</v>
      </c>
      <c r="B13" s="316">
        <v>523</v>
      </c>
      <c r="C13" s="148">
        <v>71.400000000000006</v>
      </c>
      <c r="D13" s="416">
        <f t="shared" si="0"/>
        <v>4.901960784313725</v>
      </c>
      <c r="E13" s="416">
        <f t="shared" si="1"/>
        <v>9.803921568627505E-2</v>
      </c>
      <c r="F13" s="417">
        <f t="shared" si="2"/>
        <v>350</v>
      </c>
      <c r="G13" s="130">
        <v>2733</v>
      </c>
      <c r="H13" s="311">
        <f t="shared" si="3"/>
        <v>1366.5</v>
      </c>
      <c r="I13" s="88">
        <v>19.79</v>
      </c>
      <c r="J13" s="130">
        <f t="shared" si="4"/>
        <v>16.79</v>
      </c>
      <c r="K13" s="88">
        <v>16</v>
      </c>
      <c r="M13" t="s">
        <v>556</v>
      </c>
    </row>
    <row r="14" spans="1:17" ht="51">
      <c r="A14" s="314">
        <v>10</v>
      </c>
      <c r="B14" s="316">
        <v>473</v>
      </c>
      <c r="C14" s="148">
        <v>124</v>
      </c>
      <c r="D14" s="416">
        <f t="shared" si="0"/>
        <v>2.8225806451612905</v>
      </c>
      <c r="E14" s="416">
        <f t="shared" si="1"/>
        <v>2.1774193548387095</v>
      </c>
      <c r="F14" s="417">
        <f t="shared" si="2"/>
        <v>350</v>
      </c>
      <c r="G14" s="130">
        <v>3055</v>
      </c>
      <c r="H14" s="311">
        <f t="shared" si="3"/>
        <v>1527.5</v>
      </c>
      <c r="I14" s="88">
        <v>17.63</v>
      </c>
      <c r="J14" s="130">
        <f t="shared" si="4"/>
        <v>14.629999999999999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485</v>
      </c>
      <c r="C15" s="148">
        <v>19.100000000000001</v>
      </c>
      <c r="D15" s="416">
        <v>5</v>
      </c>
      <c r="E15" s="416">
        <f t="shared" si="1"/>
        <v>0</v>
      </c>
      <c r="F15" s="417">
        <f t="shared" si="2"/>
        <v>95.5</v>
      </c>
      <c r="G15" s="130">
        <v>3053</v>
      </c>
      <c r="H15" s="311">
        <f t="shared" si="3"/>
        <v>1526.5</v>
      </c>
      <c r="I15" s="88">
        <v>17.079999999999998</v>
      </c>
      <c r="J15" s="130">
        <f t="shared" si="4"/>
        <v>14.079999999999998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402</v>
      </c>
      <c r="C16" s="148">
        <v>114</v>
      </c>
      <c r="D16" s="416">
        <f t="shared" si="0"/>
        <v>3.0701754385964914</v>
      </c>
      <c r="E16" s="416">
        <f t="shared" si="1"/>
        <v>1.9298245614035086</v>
      </c>
      <c r="F16" s="417">
        <f t="shared" si="2"/>
        <v>350</v>
      </c>
      <c r="G16" s="130">
        <v>3246</v>
      </c>
      <c r="H16" s="311">
        <f t="shared" si="3"/>
        <v>1623</v>
      </c>
      <c r="I16" s="88">
        <v>19.16</v>
      </c>
      <c r="J16" s="130">
        <f t="shared" si="4"/>
        <v>16.16</v>
      </c>
      <c r="K16" s="88">
        <v>16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487</v>
      </c>
      <c r="C17" s="148">
        <v>118</v>
      </c>
      <c r="D17" s="416">
        <f t="shared" si="0"/>
        <v>2.9661016949152543</v>
      </c>
      <c r="E17" s="416">
        <f t="shared" si="1"/>
        <v>2.0338983050847457</v>
      </c>
      <c r="F17" s="417">
        <f t="shared" si="2"/>
        <v>350</v>
      </c>
      <c r="G17" s="130">
        <v>2730</v>
      </c>
      <c r="H17" s="311">
        <f t="shared" si="3"/>
        <v>1365</v>
      </c>
      <c r="I17" s="88">
        <v>19.84</v>
      </c>
      <c r="J17" s="130">
        <f t="shared" si="4"/>
        <v>16.84</v>
      </c>
      <c r="K17" s="88">
        <v>16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476</v>
      </c>
      <c r="C18" s="148">
        <v>39.200000000000003</v>
      </c>
      <c r="D18" s="416">
        <v>5</v>
      </c>
      <c r="E18" s="416">
        <f t="shared" si="1"/>
        <v>0</v>
      </c>
      <c r="F18" s="417">
        <f t="shared" si="2"/>
        <v>196</v>
      </c>
      <c r="G18" s="130">
        <v>2546</v>
      </c>
      <c r="H18" s="311">
        <f t="shared" si="3"/>
        <v>1273</v>
      </c>
      <c r="I18" s="88">
        <v>16.7</v>
      </c>
      <c r="J18" s="130">
        <f t="shared" si="4"/>
        <v>13.7</v>
      </c>
      <c r="K18" s="88">
        <v>13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>
        <v>421</v>
      </c>
      <c r="C19" s="148">
        <v>57.6</v>
      </c>
      <c r="D19" s="416">
        <v>5</v>
      </c>
      <c r="E19" s="416">
        <f t="shared" si="1"/>
        <v>0</v>
      </c>
      <c r="F19" s="417">
        <f t="shared" si="2"/>
        <v>288</v>
      </c>
      <c r="G19" s="130">
        <v>2504</v>
      </c>
      <c r="H19" s="311">
        <f t="shared" si="3"/>
        <v>1252</v>
      </c>
      <c r="I19" s="88">
        <v>17.3</v>
      </c>
      <c r="J19" s="130">
        <f t="shared" si="4"/>
        <v>14.3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553</v>
      </c>
      <c r="C20" s="148">
        <v>186</v>
      </c>
      <c r="D20" s="416">
        <f t="shared" si="0"/>
        <v>1.881720430107527</v>
      </c>
      <c r="E20" s="416">
        <f t="shared" si="1"/>
        <v>3.118279569892473</v>
      </c>
      <c r="F20" s="417">
        <f t="shared" si="2"/>
        <v>350</v>
      </c>
      <c r="G20" s="130">
        <v>2588</v>
      </c>
      <c r="H20" s="311">
        <f t="shared" si="3"/>
        <v>1294</v>
      </c>
      <c r="I20" s="88">
        <v>17.23</v>
      </c>
      <c r="J20" s="130">
        <f t="shared" si="4"/>
        <v>14.23</v>
      </c>
      <c r="K20" s="88">
        <v>14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41</v>
      </c>
      <c r="C21" s="148">
        <v>108</v>
      </c>
      <c r="D21" s="416">
        <f t="shared" si="0"/>
        <v>3.2407407407407409</v>
      </c>
      <c r="E21" s="416">
        <f t="shared" si="1"/>
        <v>1.7592592592592591</v>
      </c>
      <c r="F21" s="417">
        <f t="shared" si="2"/>
        <v>350</v>
      </c>
      <c r="G21" s="130">
        <v>2820</v>
      </c>
      <c r="H21" s="311">
        <f t="shared" si="3"/>
        <v>1410</v>
      </c>
      <c r="I21" s="88">
        <v>20.61</v>
      </c>
      <c r="J21" s="130">
        <f t="shared" si="4"/>
        <v>17.61</v>
      </c>
      <c r="K21" s="430">
        <v>17</v>
      </c>
    </row>
    <row r="22" spans="1:17">
      <c r="A22" s="314">
        <v>18</v>
      </c>
      <c r="B22" s="316">
        <v>46</v>
      </c>
      <c r="C22" s="148">
        <v>98.6</v>
      </c>
      <c r="D22" s="416">
        <f t="shared" si="0"/>
        <v>3.5496957403651117</v>
      </c>
      <c r="E22" s="416">
        <f t="shared" si="1"/>
        <v>1.4503042596348883</v>
      </c>
      <c r="F22" s="417">
        <f t="shared" si="2"/>
        <v>350</v>
      </c>
      <c r="G22" s="130">
        <v>2998</v>
      </c>
      <c r="H22" s="311">
        <f t="shared" si="3"/>
        <v>1499</v>
      </c>
      <c r="I22" s="88">
        <v>21.83</v>
      </c>
      <c r="J22" s="130">
        <f t="shared" si="4"/>
        <v>18.829999999999998</v>
      </c>
      <c r="K22" s="430">
        <v>18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551</v>
      </c>
      <c r="C23" s="148">
        <v>96.4</v>
      </c>
      <c r="D23" s="416">
        <f t="shared" si="0"/>
        <v>3.6307053941908713</v>
      </c>
      <c r="E23" s="416">
        <f t="shared" si="1"/>
        <v>1.3692946058091287</v>
      </c>
      <c r="F23" s="417">
        <f t="shared" si="2"/>
        <v>350</v>
      </c>
      <c r="G23" s="130">
        <v>3222</v>
      </c>
      <c r="H23" s="311">
        <f t="shared" si="3"/>
        <v>1611</v>
      </c>
      <c r="I23" s="88">
        <v>17.45</v>
      </c>
      <c r="J23" s="130">
        <f t="shared" si="4"/>
        <v>14.45</v>
      </c>
      <c r="K23" s="88">
        <v>14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264</v>
      </c>
      <c r="C24" s="148">
        <v>148</v>
      </c>
      <c r="D24" s="416">
        <f t="shared" si="0"/>
        <v>2.3648648648648649</v>
      </c>
      <c r="E24" s="416">
        <f t="shared" si="1"/>
        <v>2.6351351351351351</v>
      </c>
      <c r="F24" s="417">
        <f t="shared" si="2"/>
        <v>350</v>
      </c>
      <c r="G24" s="130">
        <v>3150</v>
      </c>
      <c r="H24" s="311">
        <f t="shared" si="3"/>
        <v>1575</v>
      </c>
      <c r="I24" s="88">
        <v>19.350000000000001</v>
      </c>
      <c r="J24" s="130">
        <f t="shared" si="4"/>
        <v>16.350000000000001</v>
      </c>
      <c r="K24" s="88">
        <v>16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445</v>
      </c>
      <c r="C25" s="148">
        <v>160</v>
      </c>
      <c r="D25" s="416">
        <f t="shared" si="0"/>
        <v>2.1875</v>
      </c>
      <c r="E25" s="416">
        <f t="shared" si="1"/>
        <v>2.8125</v>
      </c>
      <c r="F25" s="417">
        <f t="shared" si="2"/>
        <v>350</v>
      </c>
      <c r="G25" s="130">
        <v>3349</v>
      </c>
      <c r="H25" s="311">
        <f t="shared" si="3"/>
        <v>1674.5</v>
      </c>
      <c r="I25" s="88">
        <v>18.27</v>
      </c>
      <c r="J25" s="130">
        <f t="shared" si="4"/>
        <v>15.27</v>
      </c>
      <c r="K25" s="88">
        <v>15</v>
      </c>
    </row>
    <row r="26" spans="1:17">
      <c r="A26" s="314">
        <v>22</v>
      </c>
      <c r="B26" s="316">
        <v>43</v>
      </c>
      <c r="C26" s="148">
        <v>156</v>
      </c>
      <c r="D26" s="416">
        <f t="shared" si="0"/>
        <v>2.2435897435897436</v>
      </c>
      <c r="E26" s="416">
        <f t="shared" si="1"/>
        <v>2.7564102564102564</v>
      </c>
      <c r="F26" s="417">
        <f t="shared" si="2"/>
        <v>350</v>
      </c>
      <c r="G26" s="130">
        <v>3271</v>
      </c>
      <c r="H26" s="311">
        <f t="shared" si="3"/>
        <v>1635.5</v>
      </c>
      <c r="I26" s="88">
        <v>17.920000000000002</v>
      </c>
      <c r="J26" s="130">
        <f t="shared" si="4"/>
        <v>14.920000000000002</v>
      </c>
      <c r="K26" s="88">
        <v>15</v>
      </c>
    </row>
    <row r="27" spans="1:17">
      <c r="A27" s="314">
        <v>23</v>
      </c>
      <c r="B27" s="316">
        <v>506</v>
      </c>
      <c r="C27" s="148">
        <v>29.2</v>
      </c>
      <c r="D27" s="416">
        <v>5</v>
      </c>
      <c r="E27" s="416">
        <f t="shared" si="1"/>
        <v>0</v>
      </c>
      <c r="F27" s="417">
        <f t="shared" si="2"/>
        <v>146</v>
      </c>
      <c r="G27" s="130">
        <v>2556</v>
      </c>
      <c r="H27" s="311">
        <f t="shared" si="3"/>
        <v>1278</v>
      </c>
      <c r="I27" s="88">
        <v>18.510000000000002</v>
      </c>
      <c r="J27" s="130">
        <f t="shared" si="4"/>
        <v>15.510000000000002</v>
      </c>
      <c r="K27" s="88">
        <v>15</v>
      </c>
    </row>
    <row r="28" spans="1:17">
      <c r="A28" s="314">
        <v>24</v>
      </c>
      <c r="B28" s="316">
        <v>482</v>
      </c>
      <c r="C28" s="148">
        <v>22.2</v>
      </c>
      <c r="D28" s="416">
        <v>5</v>
      </c>
      <c r="E28" s="416">
        <f t="shared" si="1"/>
        <v>0</v>
      </c>
      <c r="F28" s="417">
        <f t="shared" si="2"/>
        <v>111</v>
      </c>
      <c r="G28" s="130">
        <v>2830</v>
      </c>
      <c r="H28" s="311">
        <f t="shared" si="3"/>
        <v>1415</v>
      </c>
      <c r="I28" s="88">
        <v>17.88</v>
      </c>
      <c r="J28" s="130">
        <f t="shared" si="4"/>
        <v>14.879999999999999</v>
      </c>
      <c r="K28" s="88">
        <v>14</v>
      </c>
    </row>
    <row r="29" spans="1:17">
      <c r="A29" s="314">
        <v>25</v>
      </c>
      <c r="B29" s="316">
        <v>412</v>
      </c>
      <c r="C29" s="148">
        <v>31.2</v>
      </c>
      <c r="D29" s="416">
        <v>5</v>
      </c>
      <c r="E29" s="416">
        <f t="shared" si="1"/>
        <v>0</v>
      </c>
      <c r="F29" s="417">
        <f>D29*C29</f>
        <v>156</v>
      </c>
      <c r="G29" s="130">
        <v>3599</v>
      </c>
      <c r="H29" s="311">
        <f t="shared" si="3"/>
        <v>1799.5</v>
      </c>
      <c r="I29" s="88">
        <v>20.56</v>
      </c>
      <c r="J29" s="130">
        <f t="shared" si="4"/>
        <v>17.559999999999999</v>
      </c>
      <c r="K29" s="430">
        <v>17</v>
      </c>
    </row>
    <row r="30" spans="1:17">
      <c r="A30" s="314">
        <v>26</v>
      </c>
      <c r="B30" s="316">
        <v>488</v>
      </c>
      <c r="C30" s="148">
        <v>60</v>
      </c>
      <c r="D30" s="416">
        <v>5</v>
      </c>
      <c r="E30" s="416">
        <f t="shared" si="1"/>
        <v>0</v>
      </c>
      <c r="F30" s="417">
        <f>D30*C30</f>
        <v>300</v>
      </c>
      <c r="G30" s="130">
        <v>3447</v>
      </c>
      <c r="H30" s="311">
        <f t="shared" si="3"/>
        <v>1723.5</v>
      </c>
      <c r="I30" s="88">
        <v>17.850000000000001</v>
      </c>
      <c r="J30" s="130">
        <f t="shared" si="4"/>
        <v>14.850000000000001</v>
      </c>
      <c r="K30" s="88">
        <v>14</v>
      </c>
    </row>
    <row r="31" spans="1:17">
      <c r="A31" s="314">
        <v>27</v>
      </c>
      <c r="B31" s="316">
        <v>47</v>
      </c>
      <c r="C31" s="148">
        <v>128</v>
      </c>
      <c r="D31" s="416">
        <f t="shared" si="0"/>
        <v>2.734375</v>
      </c>
      <c r="E31" s="416">
        <f t="shared" si="1"/>
        <v>2.265625</v>
      </c>
      <c r="F31" s="417">
        <f t="shared" si="2"/>
        <v>350</v>
      </c>
      <c r="G31" s="130">
        <v>2863</v>
      </c>
      <c r="H31" s="311">
        <f t="shared" si="3"/>
        <v>1431.5</v>
      </c>
      <c r="I31" s="88">
        <v>20.010000000000002</v>
      </c>
      <c r="J31" s="130">
        <f t="shared" si="4"/>
        <v>17.010000000000002</v>
      </c>
      <c r="K31" s="430">
        <v>17</v>
      </c>
    </row>
    <row r="32" spans="1:17">
      <c r="A32" s="314">
        <v>28</v>
      </c>
      <c r="B32" s="318" t="s">
        <v>570</v>
      </c>
      <c r="C32" s="143" t="s">
        <v>236</v>
      </c>
      <c r="D32" s="416">
        <v>0</v>
      </c>
      <c r="E32" s="416">
        <f t="shared" si="1"/>
        <v>5</v>
      </c>
      <c r="F32" s="417">
        <v>0</v>
      </c>
      <c r="G32" s="130">
        <v>3554</v>
      </c>
      <c r="H32" s="311">
        <f t="shared" si="3"/>
        <v>1777</v>
      </c>
      <c r="I32" s="88">
        <v>25.29</v>
      </c>
      <c r="J32" s="130">
        <f t="shared" si="4"/>
        <v>22.29</v>
      </c>
      <c r="K32" s="430">
        <v>22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571</v>
      </c>
      <c r="C37" s="316">
        <v>525</v>
      </c>
      <c r="D37" s="316">
        <v>563</v>
      </c>
      <c r="E37" s="316">
        <v>404</v>
      </c>
      <c r="F37" s="316">
        <v>484</v>
      </c>
      <c r="G37" s="8">
        <v>531</v>
      </c>
      <c r="H37" s="8">
        <v>34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490</v>
      </c>
      <c r="C39" s="316">
        <v>523</v>
      </c>
      <c r="D39" s="316">
        <v>473</v>
      </c>
      <c r="E39" s="316">
        <v>485</v>
      </c>
      <c r="F39" s="316">
        <v>402</v>
      </c>
      <c r="G39" s="316">
        <v>487</v>
      </c>
      <c r="H39" s="316">
        <v>476</v>
      </c>
      <c r="I39" s="52"/>
      <c r="J39" s="52"/>
      <c r="K39" s="52"/>
      <c r="L39" s="52"/>
      <c r="M39" s="52"/>
    </row>
    <row r="40" spans="1:13">
      <c r="A40" s="210" t="s">
        <v>547</v>
      </c>
      <c r="I40" s="52"/>
      <c r="J40" s="52"/>
      <c r="K40" s="52"/>
      <c r="L40" s="52"/>
      <c r="M40" s="52"/>
    </row>
    <row r="41" spans="1:13">
      <c r="A41" s="210" t="s">
        <v>548</v>
      </c>
      <c r="B41" s="316">
        <v>421</v>
      </c>
      <c r="C41" s="316">
        <v>553</v>
      </c>
      <c r="D41" s="316">
        <v>41</v>
      </c>
      <c r="E41" s="316">
        <v>46</v>
      </c>
      <c r="F41" s="316">
        <v>551</v>
      </c>
      <c r="G41" s="316" t="s">
        <v>264</v>
      </c>
      <c r="H41" s="316">
        <v>445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43</v>
      </c>
      <c r="C43" s="316">
        <v>506</v>
      </c>
      <c r="D43" s="316">
        <v>482</v>
      </c>
      <c r="E43" s="316">
        <v>412</v>
      </c>
      <c r="F43" s="316">
        <v>488</v>
      </c>
      <c r="G43" s="316">
        <v>47</v>
      </c>
      <c r="H43" s="318" t="s">
        <v>570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361-99D1-7C44-94CF-512DE9F5DC72}">
  <sheetPr>
    <pageSetUpPr fitToPage="1"/>
  </sheetPr>
  <dimension ref="A1:Q44"/>
  <sheetViews>
    <sheetView workbookViewId="0">
      <selection activeCell="I20" sqref="I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451</v>
      </c>
      <c r="C5" s="414">
        <v>68.400000000000006</v>
      </c>
      <c r="D5" s="315">
        <f>350/C5</f>
        <v>5.1169590643274852</v>
      </c>
      <c r="E5" s="315">
        <f>5-D5</f>
        <v>-0.11695906432748515</v>
      </c>
      <c r="F5" s="314">
        <f>D5*C5</f>
        <v>350</v>
      </c>
      <c r="G5" s="130">
        <v>2895</v>
      </c>
      <c r="H5" s="311">
        <f>0.5*G5</f>
        <v>1447.5</v>
      </c>
      <c r="I5" s="130">
        <v>17.73</v>
      </c>
      <c r="J5" s="130">
        <f>I5-3</f>
        <v>14.73</v>
      </c>
      <c r="K5" s="88">
        <v>14</v>
      </c>
      <c r="M5" s="52" t="s">
        <v>540</v>
      </c>
      <c r="N5" s="8">
        <v>9.5</v>
      </c>
      <c r="O5" s="8">
        <f>(N5*$D$1)*1.15</f>
        <v>305.89999999999998</v>
      </c>
      <c r="P5" s="877">
        <f>(O5+O6)/7</f>
        <v>46</v>
      </c>
      <c r="Q5" s="878">
        <v>10</v>
      </c>
    </row>
    <row r="6" spans="1:17">
      <c r="A6" s="314">
        <v>2</v>
      </c>
      <c r="B6" s="316">
        <v>572</v>
      </c>
      <c r="C6" s="415" t="s">
        <v>244</v>
      </c>
      <c r="D6" s="315">
        <v>0</v>
      </c>
      <c r="E6" s="315">
        <f t="shared" ref="E6:E32" si="0">5-D6</f>
        <v>5</v>
      </c>
      <c r="F6" s="314" t="s">
        <v>236</v>
      </c>
      <c r="G6" s="130">
        <v>2734</v>
      </c>
      <c r="H6" s="311">
        <f t="shared" ref="H6:H32" si="1">0.5*G6</f>
        <v>1367</v>
      </c>
      <c r="I6" s="130">
        <v>26.54</v>
      </c>
      <c r="J6" s="130">
        <f t="shared" ref="J6:J32" si="2">I6-3</f>
        <v>23.54</v>
      </c>
      <c r="K6" s="430">
        <v>23</v>
      </c>
      <c r="M6" s="52" t="s">
        <v>541</v>
      </c>
      <c r="N6" s="8">
        <v>0.5</v>
      </c>
      <c r="O6" s="8">
        <f>(N6*$D$1)*1.15</f>
        <v>16.099999999999998</v>
      </c>
      <c r="P6" s="877"/>
      <c r="Q6" s="878"/>
    </row>
    <row r="7" spans="1:17">
      <c r="A7" s="314">
        <v>3</v>
      </c>
      <c r="B7" s="316" t="s">
        <v>263</v>
      </c>
      <c r="C7" s="414">
        <v>97</v>
      </c>
      <c r="D7" s="315">
        <f t="shared" ref="D7:D29" si="3">350/C7</f>
        <v>3.6082474226804124</v>
      </c>
      <c r="E7" s="315">
        <f t="shared" si="0"/>
        <v>1.3917525773195876</v>
      </c>
      <c r="F7" s="314">
        <f t="shared" ref="F6:F32" si="4">D7*C7</f>
        <v>350</v>
      </c>
      <c r="G7" s="130">
        <v>2718</v>
      </c>
      <c r="H7" s="311">
        <f t="shared" si="1"/>
        <v>1359</v>
      </c>
      <c r="I7" s="130">
        <v>18.059999999999999</v>
      </c>
      <c r="J7" s="130">
        <f t="shared" si="2"/>
        <v>15.059999999999999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414</v>
      </c>
      <c r="C8" s="414">
        <v>168</v>
      </c>
      <c r="D8" s="315">
        <f t="shared" si="3"/>
        <v>2.0833333333333335</v>
      </c>
      <c r="E8" s="315">
        <f t="shared" si="0"/>
        <v>2.9166666666666665</v>
      </c>
      <c r="F8" s="314">
        <f t="shared" si="4"/>
        <v>350</v>
      </c>
      <c r="G8" s="130">
        <v>2951</v>
      </c>
      <c r="H8" s="311">
        <f t="shared" si="1"/>
        <v>1475.5</v>
      </c>
      <c r="I8" s="88">
        <v>18.420000000000002</v>
      </c>
      <c r="J8" s="130">
        <f t="shared" si="2"/>
        <v>15.420000000000002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528</v>
      </c>
      <c r="C9" s="414">
        <v>87.6</v>
      </c>
      <c r="D9" s="315">
        <f t="shared" si="3"/>
        <v>3.9954337899543382</v>
      </c>
      <c r="E9" s="315">
        <f t="shared" si="0"/>
        <v>1.0045662100456618</v>
      </c>
      <c r="F9" s="314">
        <f t="shared" si="4"/>
        <v>350</v>
      </c>
      <c r="G9" s="130">
        <v>3299</v>
      </c>
      <c r="H9" s="311">
        <f t="shared" si="1"/>
        <v>1649.5</v>
      </c>
      <c r="I9" s="88">
        <v>16.23</v>
      </c>
      <c r="J9" s="130">
        <f t="shared" si="2"/>
        <v>13.23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877">
        <f>(O9+O10)/7</f>
        <v>22.999999999999996</v>
      </c>
      <c r="Q9" s="878">
        <v>5</v>
      </c>
    </row>
    <row r="10" spans="1:17">
      <c r="A10" s="314">
        <v>6</v>
      </c>
      <c r="B10" s="316">
        <v>483</v>
      </c>
      <c r="C10" s="414">
        <v>99</v>
      </c>
      <c r="D10" s="315">
        <f t="shared" si="3"/>
        <v>3.5353535353535355</v>
      </c>
      <c r="E10" s="315">
        <f t="shared" si="0"/>
        <v>1.4646464646464645</v>
      </c>
      <c r="F10" s="314">
        <f t="shared" si="4"/>
        <v>350</v>
      </c>
      <c r="G10" s="130">
        <v>2845</v>
      </c>
      <c r="H10" s="311">
        <f t="shared" si="1"/>
        <v>1422.5</v>
      </c>
      <c r="I10" s="88">
        <v>19.190000000000001</v>
      </c>
      <c r="J10" s="130">
        <f t="shared" si="2"/>
        <v>16.190000000000001</v>
      </c>
      <c r="K10" s="88">
        <v>16</v>
      </c>
      <c r="M10" s="52" t="s">
        <v>543</v>
      </c>
      <c r="N10" s="8">
        <v>1</v>
      </c>
      <c r="O10" s="8">
        <f>(N10*$D$1)*1.15</f>
        <v>32.199999999999996</v>
      </c>
      <c r="P10" s="877"/>
      <c r="Q10" s="878"/>
    </row>
    <row r="11" spans="1:17">
      <c r="A11" s="314">
        <v>7</v>
      </c>
      <c r="B11" s="316">
        <v>543</v>
      </c>
      <c r="C11" s="414">
        <v>162</v>
      </c>
      <c r="D11" s="315">
        <f t="shared" si="3"/>
        <v>2.1604938271604937</v>
      </c>
      <c r="E11" s="315">
        <f t="shared" si="0"/>
        <v>2.8395061728395063</v>
      </c>
      <c r="F11" s="314">
        <f t="shared" si="4"/>
        <v>350</v>
      </c>
      <c r="G11" s="130">
        <v>3984</v>
      </c>
      <c r="H11" s="311">
        <f t="shared" si="1"/>
        <v>1992</v>
      </c>
      <c r="I11" s="88">
        <v>17.22</v>
      </c>
      <c r="J11" s="130">
        <f t="shared" si="2"/>
        <v>14.219999999999999</v>
      </c>
      <c r="K11" s="88">
        <v>14</v>
      </c>
    </row>
    <row r="12" spans="1:17">
      <c r="A12" s="314">
        <v>8</v>
      </c>
      <c r="B12" s="316">
        <v>403</v>
      </c>
      <c r="C12" s="414">
        <v>136</v>
      </c>
      <c r="D12" s="315">
        <f t="shared" si="3"/>
        <v>2.5735294117647061</v>
      </c>
      <c r="E12" s="315">
        <f t="shared" si="0"/>
        <v>2.4264705882352939</v>
      </c>
      <c r="F12" s="314">
        <f t="shared" si="4"/>
        <v>350</v>
      </c>
      <c r="G12" s="130">
        <v>3065</v>
      </c>
      <c r="H12" s="311">
        <f t="shared" si="1"/>
        <v>1532.5</v>
      </c>
      <c r="I12" s="88">
        <v>17.5</v>
      </c>
      <c r="J12" s="130">
        <f t="shared" si="2"/>
        <v>14.5</v>
      </c>
      <c r="K12" s="88">
        <v>14</v>
      </c>
    </row>
    <row r="13" spans="1:17">
      <c r="A13" s="314">
        <v>9</v>
      </c>
      <c r="B13" s="316" t="s">
        <v>260</v>
      </c>
      <c r="C13" s="414">
        <v>84</v>
      </c>
      <c r="D13" s="315">
        <f t="shared" si="3"/>
        <v>4.166666666666667</v>
      </c>
      <c r="E13" s="315">
        <f t="shared" si="0"/>
        <v>0.83333333333333304</v>
      </c>
      <c r="F13" s="314">
        <f t="shared" si="4"/>
        <v>350</v>
      </c>
      <c r="G13" s="130">
        <v>2122</v>
      </c>
      <c r="H13" s="311">
        <f t="shared" si="1"/>
        <v>1061</v>
      </c>
      <c r="I13" s="88">
        <v>17.57</v>
      </c>
      <c r="J13" s="130">
        <f t="shared" si="2"/>
        <v>14.57</v>
      </c>
      <c r="K13" s="88">
        <v>14</v>
      </c>
      <c r="M13" t="s">
        <v>556</v>
      </c>
    </row>
    <row r="14" spans="1:17" ht="51">
      <c r="A14" s="314">
        <v>10</v>
      </c>
      <c r="B14" s="316" t="s">
        <v>255</v>
      </c>
      <c r="C14" s="414">
        <v>83</v>
      </c>
      <c r="D14" s="315">
        <f t="shared" si="3"/>
        <v>4.2168674698795181</v>
      </c>
      <c r="E14" s="315">
        <f t="shared" si="0"/>
        <v>0.7831325301204819</v>
      </c>
      <c r="F14" s="314">
        <f t="shared" si="4"/>
        <v>350</v>
      </c>
      <c r="G14" s="130">
        <v>3181</v>
      </c>
      <c r="H14" s="311">
        <f t="shared" si="1"/>
        <v>1590.5</v>
      </c>
      <c r="I14" s="88">
        <v>19.239999999999998</v>
      </c>
      <c r="J14" s="130">
        <f t="shared" si="2"/>
        <v>16.239999999999998</v>
      </c>
      <c r="K14" s="88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564</v>
      </c>
      <c r="C15" s="414">
        <v>152</v>
      </c>
      <c r="D15" s="315">
        <f t="shared" si="3"/>
        <v>2.3026315789473686</v>
      </c>
      <c r="E15" s="315">
        <f t="shared" si="0"/>
        <v>2.6973684210526314</v>
      </c>
      <c r="F15" s="314">
        <f t="shared" si="4"/>
        <v>350</v>
      </c>
      <c r="G15" s="130">
        <v>3101</v>
      </c>
      <c r="H15" s="311">
        <f t="shared" si="1"/>
        <v>1550.5</v>
      </c>
      <c r="I15" s="88">
        <v>17.55</v>
      </c>
      <c r="J15" s="130">
        <f t="shared" si="2"/>
        <v>14.55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532</v>
      </c>
      <c r="C16" s="414">
        <v>93.6</v>
      </c>
      <c r="D16" s="315">
        <f t="shared" si="3"/>
        <v>3.7393162393162394</v>
      </c>
      <c r="E16" s="315">
        <f t="shared" si="0"/>
        <v>1.2606837606837606</v>
      </c>
      <c r="F16" s="314">
        <f t="shared" si="4"/>
        <v>350</v>
      </c>
      <c r="G16" s="130">
        <v>3494</v>
      </c>
      <c r="H16" s="311">
        <f t="shared" si="1"/>
        <v>1747</v>
      </c>
      <c r="I16" s="88">
        <v>17.47</v>
      </c>
      <c r="J16" s="130">
        <f t="shared" si="2"/>
        <v>14.469999999999999</v>
      </c>
      <c r="K16" s="88">
        <v>14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481</v>
      </c>
      <c r="C17" s="414">
        <v>89.2</v>
      </c>
      <c r="D17" s="315">
        <f t="shared" si="3"/>
        <v>3.9237668161434978</v>
      </c>
      <c r="E17" s="315">
        <f t="shared" si="0"/>
        <v>1.0762331838565022</v>
      </c>
      <c r="F17" s="314">
        <f t="shared" si="4"/>
        <v>350</v>
      </c>
      <c r="G17" s="130">
        <v>1949</v>
      </c>
      <c r="H17" s="311">
        <f t="shared" si="1"/>
        <v>974.5</v>
      </c>
      <c r="I17" s="88">
        <v>17.760000000000002</v>
      </c>
      <c r="J17" s="130">
        <f t="shared" si="2"/>
        <v>14.760000000000002</v>
      </c>
      <c r="K17" s="88">
        <v>14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491</v>
      </c>
      <c r="C18" s="414">
        <v>58.4</v>
      </c>
      <c r="D18" s="315">
        <v>5</v>
      </c>
      <c r="E18" s="315">
        <f t="shared" si="0"/>
        <v>0</v>
      </c>
      <c r="F18" s="314">
        <f t="shared" si="4"/>
        <v>292</v>
      </c>
      <c r="G18" s="130">
        <v>3545</v>
      </c>
      <c r="H18" s="311">
        <f t="shared" si="1"/>
        <v>1772.5</v>
      </c>
      <c r="I18" s="88">
        <v>18.23</v>
      </c>
      <c r="J18" s="130">
        <f t="shared" si="2"/>
        <v>15.23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 t="s">
        <v>262</v>
      </c>
      <c r="C19" s="414">
        <v>108</v>
      </c>
      <c r="D19" s="315">
        <f t="shared" si="3"/>
        <v>3.2407407407407409</v>
      </c>
      <c r="E19" s="315">
        <f t="shared" si="0"/>
        <v>1.7592592592592591</v>
      </c>
      <c r="F19" s="314">
        <f t="shared" si="4"/>
        <v>350</v>
      </c>
      <c r="G19" s="130">
        <v>2470</v>
      </c>
      <c r="H19" s="311">
        <f t="shared" si="1"/>
        <v>1235</v>
      </c>
      <c r="I19" s="88">
        <v>18.52</v>
      </c>
      <c r="J19" s="130">
        <f t="shared" si="2"/>
        <v>15.52</v>
      </c>
      <c r="K19" s="88">
        <v>15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39</v>
      </c>
      <c r="C20" s="414">
        <v>89.8</v>
      </c>
      <c r="D20" s="315">
        <f t="shared" si="3"/>
        <v>3.8975501113585747</v>
      </c>
      <c r="E20" s="315">
        <f t="shared" si="0"/>
        <v>1.1024498886414253</v>
      </c>
      <c r="F20" s="314">
        <f t="shared" si="4"/>
        <v>350</v>
      </c>
      <c r="G20" s="130">
        <v>2458</v>
      </c>
      <c r="H20" s="311">
        <f t="shared" si="1"/>
        <v>1229</v>
      </c>
      <c r="I20" s="88">
        <v>18.27</v>
      </c>
      <c r="J20" s="130">
        <f t="shared" si="2"/>
        <v>15.27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521</v>
      </c>
      <c r="C21" s="414">
        <v>66.599999999999994</v>
      </c>
      <c r="D21" s="315">
        <v>5</v>
      </c>
      <c r="E21" s="315">
        <f t="shared" si="0"/>
        <v>0</v>
      </c>
      <c r="F21" s="314">
        <f t="shared" si="4"/>
        <v>333</v>
      </c>
      <c r="G21" s="130">
        <v>4101</v>
      </c>
      <c r="H21" s="311">
        <f t="shared" si="1"/>
        <v>2050.5</v>
      </c>
      <c r="I21" s="88">
        <v>20.440000000000001</v>
      </c>
      <c r="J21" s="130">
        <f t="shared" si="2"/>
        <v>17.440000000000001</v>
      </c>
      <c r="K21" s="430">
        <v>17</v>
      </c>
    </row>
    <row r="22" spans="1:17">
      <c r="A22" s="314">
        <v>18</v>
      </c>
      <c r="B22" s="316">
        <v>411</v>
      </c>
      <c r="C22" s="414">
        <v>72.599999999999994</v>
      </c>
      <c r="D22" s="315">
        <f t="shared" si="3"/>
        <v>4.8209366391184574</v>
      </c>
      <c r="E22" s="315">
        <f t="shared" si="0"/>
        <v>0.17906336088154262</v>
      </c>
      <c r="F22" s="314">
        <f t="shared" si="4"/>
        <v>350</v>
      </c>
      <c r="G22" s="130">
        <v>3563</v>
      </c>
      <c r="H22" s="311">
        <f t="shared" si="1"/>
        <v>1781.5</v>
      </c>
      <c r="I22" s="88">
        <v>19.5</v>
      </c>
      <c r="J22" s="130">
        <f t="shared" si="2"/>
        <v>16.5</v>
      </c>
      <c r="K22" s="88">
        <v>16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529</v>
      </c>
      <c r="C23" s="414">
        <v>56.8</v>
      </c>
      <c r="D23" s="315">
        <v>5</v>
      </c>
      <c r="E23" s="315">
        <f t="shared" si="0"/>
        <v>0</v>
      </c>
      <c r="F23" s="314">
        <f t="shared" si="4"/>
        <v>284</v>
      </c>
      <c r="G23" s="130">
        <v>4097</v>
      </c>
      <c r="H23" s="311">
        <f t="shared" si="1"/>
        <v>2048.5</v>
      </c>
      <c r="I23" s="88">
        <v>18.649999999999999</v>
      </c>
      <c r="J23" s="130">
        <f t="shared" si="2"/>
        <v>15.649999999999999</v>
      </c>
      <c r="K23" s="88">
        <v>15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268</v>
      </c>
      <c r="C24" s="414">
        <v>74.599999999999994</v>
      </c>
      <c r="D24" s="315">
        <f t="shared" si="3"/>
        <v>4.6916890080428955</v>
      </c>
      <c r="E24" s="315">
        <f t="shared" si="0"/>
        <v>0.30831099195710454</v>
      </c>
      <c r="F24" s="314">
        <f t="shared" si="4"/>
        <v>350</v>
      </c>
      <c r="G24" s="130">
        <v>2970</v>
      </c>
      <c r="H24" s="311">
        <f t="shared" si="1"/>
        <v>1485</v>
      </c>
      <c r="I24" s="88">
        <v>18.79</v>
      </c>
      <c r="J24" s="130">
        <f t="shared" si="2"/>
        <v>15.79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434</v>
      </c>
      <c r="C25" s="414">
        <v>162</v>
      </c>
      <c r="D25" s="315">
        <f t="shared" si="3"/>
        <v>2.1604938271604937</v>
      </c>
      <c r="E25" s="315">
        <f t="shared" si="0"/>
        <v>2.8395061728395063</v>
      </c>
      <c r="F25" s="314">
        <f t="shared" si="4"/>
        <v>350</v>
      </c>
      <c r="G25" s="130">
        <v>3580</v>
      </c>
      <c r="H25" s="311">
        <f t="shared" si="1"/>
        <v>1790</v>
      </c>
      <c r="I25" s="88">
        <v>18.04</v>
      </c>
      <c r="J25" s="130">
        <f t="shared" si="2"/>
        <v>15.04</v>
      </c>
      <c r="K25" s="88">
        <v>15</v>
      </c>
    </row>
    <row r="26" spans="1:17">
      <c r="A26" s="314">
        <v>22</v>
      </c>
      <c r="B26" s="316">
        <v>401</v>
      </c>
      <c r="C26" s="414">
        <v>93.4</v>
      </c>
      <c r="D26" s="315">
        <f t="shared" si="3"/>
        <v>3.7473233404710919</v>
      </c>
      <c r="E26" s="315">
        <f t="shared" si="0"/>
        <v>1.2526766595289081</v>
      </c>
      <c r="F26" s="314">
        <f t="shared" si="4"/>
        <v>350</v>
      </c>
      <c r="G26" s="130">
        <v>394</v>
      </c>
      <c r="H26" s="311">
        <f t="shared" si="1"/>
        <v>197</v>
      </c>
      <c r="I26" s="88">
        <v>19.260000000000002</v>
      </c>
      <c r="J26" s="130">
        <f t="shared" si="2"/>
        <v>16.260000000000002</v>
      </c>
      <c r="K26" s="88">
        <v>16</v>
      </c>
    </row>
    <row r="27" spans="1:17">
      <c r="A27" s="314">
        <v>23</v>
      </c>
      <c r="B27" s="316">
        <v>513</v>
      </c>
      <c r="C27" s="414">
        <v>142</v>
      </c>
      <c r="D27" s="315">
        <f t="shared" si="3"/>
        <v>2.464788732394366</v>
      </c>
      <c r="E27" s="315">
        <f t="shared" si="0"/>
        <v>2.535211267605634</v>
      </c>
      <c r="F27" s="314">
        <f t="shared" si="4"/>
        <v>350</v>
      </c>
      <c r="G27" s="130">
        <v>3093</v>
      </c>
      <c r="H27" s="311">
        <f t="shared" si="1"/>
        <v>1546.5</v>
      </c>
      <c r="I27" s="88">
        <v>18.38</v>
      </c>
      <c r="J27" s="130">
        <f t="shared" si="2"/>
        <v>15.379999999999999</v>
      </c>
      <c r="K27" s="88">
        <v>15</v>
      </c>
    </row>
    <row r="28" spans="1:17">
      <c r="A28" s="314">
        <v>24</v>
      </c>
      <c r="B28" s="316">
        <v>441</v>
      </c>
      <c r="C28" s="414">
        <v>16.2</v>
      </c>
      <c r="D28" s="315">
        <v>5</v>
      </c>
      <c r="E28" s="315">
        <f t="shared" si="0"/>
        <v>0</v>
      </c>
      <c r="F28" s="314">
        <f t="shared" si="4"/>
        <v>81</v>
      </c>
      <c r="G28" s="130">
        <v>3462</v>
      </c>
      <c r="H28" s="311">
        <f t="shared" si="1"/>
        <v>1731</v>
      </c>
      <c r="I28" s="88">
        <v>18.8</v>
      </c>
      <c r="J28" s="130">
        <f t="shared" si="2"/>
        <v>15.8</v>
      </c>
      <c r="K28" s="88">
        <v>15</v>
      </c>
    </row>
    <row r="29" spans="1:17">
      <c r="A29" s="314">
        <v>25</v>
      </c>
      <c r="B29" s="316">
        <v>444</v>
      </c>
      <c r="C29" s="414">
        <v>70.599999999999994</v>
      </c>
      <c r="D29" s="315">
        <f t="shared" si="3"/>
        <v>4.9575070821529748</v>
      </c>
      <c r="E29" s="315">
        <f t="shared" si="0"/>
        <v>4.2492917847025247E-2</v>
      </c>
      <c r="F29" s="314">
        <f>D29*C29</f>
        <v>350</v>
      </c>
      <c r="G29" s="130">
        <v>2871</v>
      </c>
      <c r="H29" s="311">
        <f t="shared" si="1"/>
        <v>1435.5</v>
      </c>
      <c r="I29" s="88">
        <v>17.489999999999998</v>
      </c>
      <c r="J29" s="130">
        <f t="shared" si="2"/>
        <v>14.489999999999998</v>
      </c>
      <c r="K29" s="428">
        <v>14</v>
      </c>
    </row>
    <row r="30" spans="1:17">
      <c r="A30" s="314">
        <v>26</v>
      </c>
      <c r="B30" s="316">
        <v>44</v>
      </c>
      <c r="C30" s="414">
        <v>41.4</v>
      </c>
      <c r="D30" s="315">
        <v>5</v>
      </c>
      <c r="E30" s="315">
        <f t="shared" si="0"/>
        <v>0</v>
      </c>
      <c r="F30" s="314">
        <f>D30*C30</f>
        <v>207</v>
      </c>
      <c r="G30" s="130">
        <v>3613</v>
      </c>
      <c r="H30" s="311">
        <f t="shared" si="1"/>
        <v>1806.5</v>
      </c>
      <c r="I30" s="88">
        <v>26.73</v>
      </c>
      <c r="J30" s="130">
        <f t="shared" si="2"/>
        <v>23.73</v>
      </c>
      <c r="K30" s="88">
        <v>23</v>
      </c>
    </row>
    <row r="31" spans="1:17">
      <c r="A31" s="314">
        <v>27</v>
      </c>
      <c r="B31" s="316" t="s">
        <v>573</v>
      </c>
      <c r="C31" s="415" t="s">
        <v>236</v>
      </c>
      <c r="D31" s="315">
        <v>0</v>
      </c>
      <c r="E31" s="315">
        <f t="shared" si="0"/>
        <v>5</v>
      </c>
      <c r="F31" s="314" t="s">
        <v>236</v>
      </c>
      <c r="G31" s="130">
        <v>3253</v>
      </c>
      <c r="H31" s="311">
        <f t="shared" si="1"/>
        <v>1626.5</v>
      </c>
      <c r="I31" s="88">
        <v>26.72</v>
      </c>
      <c r="J31" s="130">
        <f t="shared" si="2"/>
        <v>23.72</v>
      </c>
      <c r="K31" s="88">
        <v>23</v>
      </c>
    </row>
    <row r="32" spans="1:17">
      <c r="A32" s="314">
        <v>28</v>
      </c>
      <c r="B32" s="318" t="s">
        <v>574</v>
      </c>
      <c r="C32" s="415" t="s">
        <v>236</v>
      </c>
      <c r="D32" s="315">
        <v>0</v>
      </c>
      <c r="E32" s="315">
        <f t="shared" si="0"/>
        <v>5</v>
      </c>
      <c r="F32" s="314" t="s">
        <v>236</v>
      </c>
      <c r="G32" s="130">
        <v>783</v>
      </c>
      <c r="H32" s="311">
        <f t="shared" si="1"/>
        <v>391.5</v>
      </c>
      <c r="I32" s="88">
        <v>28.34</v>
      </c>
      <c r="J32" s="130">
        <f t="shared" si="2"/>
        <v>25.34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316">
        <v>451</v>
      </c>
      <c r="C37" s="316">
        <v>572</v>
      </c>
      <c r="D37" s="316" t="s">
        <v>263</v>
      </c>
      <c r="E37" s="316">
        <v>414</v>
      </c>
      <c r="F37" s="316">
        <v>528</v>
      </c>
      <c r="G37" s="316">
        <v>483</v>
      </c>
      <c r="H37" s="316">
        <v>543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316">
        <v>403</v>
      </c>
      <c r="C39" s="316" t="s">
        <v>260</v>
      </c>
      <c r="D39" s="316" t="s">
        <v>255</v>
      </c>
      <c r="E39" s="316">
        <v>564</v>
      </c>
      <c r="F39" s="316">
        <v>532</v>
      </c>
      <c r="G39" s="316">
        <v>481</v>
      </c>
      <c r="H39" s="316">
        <v>491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316" t="s">
        <v>262</v>
      </c>
      <c r="C41" s="316">
        <v>39</v>
      </c>
      <c r="D41" s="316">
        <v>521</v>
      </c>
      <c r="E41" s="316">
        <v>411</v>
      </c>
      <c r="F41" s="316">
        <v>529</v>
      </c>
      <c r="G41" s="316" t="s">
        <v>268</v>
      </c>
      <c r="H41" s="316">
        <v>434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316">
        <v>401</v>
      </c>
      <c r="C43" s="316">
        <v>513</v>
      </c>
      <c r="D43" s="316">
        <v>441</v>
      </c>
      <c r="E43" s="316">
        <v>444</v>
      </c>
      <c r="F43" s="316">
        <v>44</v>
      </c>
      <c r="G43" s="316" t="s">
        <v>573</v>
      </c>
      <c r="H43" s="318" t="s">
        <v>574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58C-7817-0F45-8AF3-0BB23DA28B2F}">
  <dimension ref="A1:O31"/>
  <sheetViews>
    <sheetView topLeftCell="A11" zoomScale="110" zoomScaleNormal="110" workbookViewId="0">
      <selection activeCell="B22" sqref="B22:N31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(28*2)+2</f>
        <v>58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406</v>
      </c>
      <c r="D4" s="293">
        <f>C4*1.1</f>
        <v>446.6</v>
      </c>
    </row>
    <row r="5" spans="1:10">
      <c r="A5" s="292" t="s">
        <v>489</v>
      </c>
      <c r="B5" s="294">
        <v>5</v>
      </c>
      <c r="C5" s="8">
        <f>B5*$C$3</f>
        <v>290</v>
      </c>
      <c r="D5" s="293">
        <f>C5*1.1</f>
        <v>319</v>
      </c>
    </row>
    <row r="6" spans="1:10">
      <c r="A6" s="292" t="s">
        <v>475</v>
      </c>
      <c r="B6" s="294">
        <v>1</v>
      </c>
      <c r="C6" s="8">
        <f>B6*$C$3</f>
        <v>58</v>
      </c>
      <c r="D6" s="293">
        <f>C6*1.1</f>
        <v>63.800000000000004</v>
      </c>
    </row>
    <row r="7" spans="1:10" ht="34">
      <c r="A7" s="295" t="s">
        <v>476</v>
      </c>
      <c r="B7" s="294">
        <v>1.2</v>
      </c>
      <c r="C7" s="8">
        <f>B7*$C$3</f>
        <v>69.599999999999994</v>
      </c>
      <c r="D7" s="293">
        <f>C7*1.1</f>
        <v>76.56</v>
      </c>
    </row>
    <row r="8" spans="1:10">
      <c r="A8" s="292" t="s">
        <v>491</v>
      </c>
      <c r="B8" s="294">
        <v>14.1</v>
      </c>
      <c r="C8" s="8">
        <f>B8*$C$3</f>
        <v>817.8</v>
      </c>
      <c r="D8" s="293">
        <f>C8*1.1</f>
        <v>899.58</v>
      </c>
    </row>
    <row r="9" spans="1:10">
      <c r="A9" s="296" t="s">
        <v>480</v>
      </c>
      <c r="B9" s="297">
        <f>SUM(B4:B8)</f>
        <v>28.299999999999997</v>
      </c>
      <c r="C9" s="298">
        <f>SUM(C4:C8)</f>
        <v>1641.4</v>
      </c>
      <c r="D9" s="299">
        <f>SUM(D4:D8)</f>
        <v>1805.54</v>
      </c>
    </row>
    <row r="10" spans="1:10" s="291" customFormat="1">
      <c r="A10" s="300" t="s">
        <v>473</v>
      </c>
      <c r="B10" s="301">
        <v>1.7</v>
      </c>
      <c r="C10" s="161">
        <f>B10*$C$3</f>
        <v>98.6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80</v>
      </c>
    </row>
    <row r="17" spans="1:15">
      <c r="A17" s="305" t="s">
        <v>485</v>
      </c>
      <c r="B17" s="308">
        <f>(B15*B16)/B14</f>
        <v>2</v>
      </c>
      <c r="D17" s="245"/>
    </row>
    <row r="18" spans="1:15">
      <c r="A18" s="305" t="s">
        <v>486</v>
      </c>
      <c r="B18" s="308">
        <f>B16-B17</f>
        <v>78</v>
      </c>
    </row>
    <row r="19" spans="1:15">
      <c r="A19" s="306" t="s">
        <v>488</v>
      </c>
      <c r="B19" s="307">
        <f>B17/B16</f>
        <v>2.5000000000000001E-2</v>
      </c>
      <c r="D19" s="288"/>
    </row>
    <row r="20" spans="1:15">
      <c r="A20" s="306" t="s">
        <v>487</v>
      </c>
      <c r="B20" s="307">
        <f>(B17*B14)/B16</f>
        <v>2.5</v>
      </c>
    </row>
    <row r="22" spans="1:15">
      <c r="B22" s="233" t="s">
        <v>607</v>
      </c>
    </row>
    <row r="23" spans="1:15">
      <c r="B23" s="52"/>
      <c r="C23" s="52">
        <v>1</v>
      </c>
      <c r="D23" s="52">
        <v>2</v>
      </c>
      <c r="E23" s="52">
        <v>3</v>
      </c>
      <c r="F23" s="52">
        <v>4</v>
      </c>
      <c r="G23" s="52">
        <v>5</v>
      </c>
      <c r="H23" s="52">
        <v>6</v>
      </c>
      <c r="I23" s="52">
        <v>7</v>
      </c>
      <c r="J23" s="52">
        <v>8</v>
      </c>
      <c r="K23" s="52">
        <v>9</v>
      </c>
      <c r="L23" s="52">
        <v>10</v>
      </c>
      <c r="M23" s="52">
        <v>11</v>
      </c>
      <c r="N23" s="52">
        <v>12</v>
      </c>
    </row>
    <row r="24" spans="1:15">
      <c r="B24" s="52" t="s">
        <v>544</v>
      </c>
      <c r="C24" s="8">
        <v>328</v>
      </c>
      <c r="D24" s="8">
        <v>299</v>
      </c>
      <c r="E24" s="161">
        <v>301</v>
      </c>
      <c r="F24" s="8">
        <v>342</v>
      </c>
      <c r="G24" s="161">
        <v>331</v>
      </c>
      <c r="H24" s="8">
        <v>307</v>
      </c>
      <c r="I24" s="8">
        <v>295</v>
      </c>
      <c r="J24" s="52" t="s">
        <v>608</v>
      </c>
      <c r="K24" s="52"/>
      <c r="L24" s="52"/>
      <c r="M24" s="52"/>
      <c r="N24" s="52"/>
      <c r="O24" s="123"/>
    </row>
    <row r="25" spans="1:15">
      <c r="B25" s="52" t="s">
        <v>545</v>
      </c>
      <c r="C25" s="8">
        <v>304</v>
      </c>
      <c r="D25" s="8">
        <v>305</v>
      </c>
      <c r="E25" s="161">
        <v>311</v>
      </c>
      <c r="F25" s="8" t="s">
        <v>529</v>
      </c>
      <c r="G25" s="8">
        <v>298</v>
      </c>
      <c r="H25" s="8">
        <v>348</v>
      </c>
      <c r="I25" s="8">
        <v>315</v>
      </c>
      <c r="J25" s="52" t="s">
        <v>609</v>
      </c>
      <c r="K25" s="52"/>
      <c r="L25" s="52"/>
      <c r="M25" s="52"/>
      <c r="N25" s="52"/>
    </row>
    <row r="26" spans="1:15">
      <c r="B26" s="52" t="s">
        <v>546</v>
      </c>
      <c r="C26" s="8">
        <v>344</v>
      </c>
      <c r="D26" s="8">
        <v>325</v>
      </c>
      <c r="E26" s="8">
        <v>338</v>
      </c>
      <c r="F26" s="8">
        <v>347</v>
      </c>
      <c r="G26" s="8">
        <v>312</v>
      </c>
      <c r="H26" s="161">
        <v>321</v>
      </c>
      <c r="I26" s="8">
        <v>333</v>
      </c>
      <c r="J26" s="52"/>
      <c r="K26" s="52"/>
      <c r="L26" s="52"/>
      <c r="M26" s="52"/>
      <c r="N26" s="52"/>
    </row>
    <row r="27" spans="1:15">
      <c r="B27" s="52" t="s">
        <v>547</v>
      </c>
      <c r="C27" s="8">
        <v>291</v>
      </c>
      <c r="D27" s="8">
        <v>308</v>
      </c>
      <c r="E27" s="8" t="s">
        <v>528</v>
      </c>
      <c r="F27" s="8">
        <v>335</v>
      </c>
      <c r="G27" s="8">
        <v>318</v>
      </c>
      <c r="H27" s="8">
        <v>294</v>
      </c>
      <c r="I27" s="8">
        <v>324</v>
      </c>
      <c r="J27" s="52"/>
      <c r="K27" s="52"/>
      <c r="L27" s="52"/>
      <c r="M27" s="52"/>
      <c r="N27" s="52"/>
    </row>
    <row r="28" spans="1:15">
      <c r="B28" s="52" t="s">
        <v>548</v>
      </c>
      <c r="C28" s="279">
        <v>343</v>
      </c>
      <c r="D28" s="8">
        <v>345</v>
      </c>
      <c r="E28" s="8">
        <v>303</v>
      </c>
      <c r="F28" s="8">
        <v>346</v>
      </c>
      <c r="G28" s="161">
        <v>302</v>
      </c>
      <c r="H28" s="8">
        <v>336</v>
      </c>
      <c r="I28" s="8">
        <v>292</v>
      </c>
      <c r="J28" s="52"/>
      <c r="K28" s="52"/>
      <c r="L28" s="52"/>
      <c r="M28" s="52"/>
      <c r="N28" s="52"/>
    </row>
    <row r="29" spans="1:15">
      <c r="B29" s="52" t="s">
        <v>549</v>
      </c>
      <c r="C29" s="285" t="s">
        <v>553</v>
      </c>
      <c r="D29" s="8">
        <v>317</v>
      </c>
      <c r="E29" s="8">
        <v>322</v>
      </c>
      <c r="F29" s="8">
        <v>332</v>
      </c>
      <c r="G29" s="8">
        <v>334</v>
      </c>
      <c r="H29" s="8">
        <v>349</v>
      </c>
      <c r="I29" s="8">
        <v>337</v>
      </c>
      <c r="J29" s="52"/>
      <c r="K29" s="52"/>
      <c r="L29" s="52"/>
      <c r="M29" s="52"/>
      <c r="N29" s="52"/>
    </row>
    <row r="30" spans="1:15">
      <c r="B30" s="52" t="s">
        <v>550</v>
      </c>
      <c r="C30" s="161">
        <v>341</v>
      </c>
      <c r="D30" s="8">
        <v>313</v>
      </c>
      <c r="E30" s="8">
        <v>309</v>
      </c>
      <c r="F30" s="8">
        <v>327</v>
      </c>
      <c r="G30" s="8">
        <v>319</v>
      </c>
      <c r="H30" s="8">
        <v>326</v>
      </c>
      <c r="I30" s="8">
        <v>306</v>
      </c>
      <c r="J30" s="52"/>
      <c r="K30" s="52"/>
      <c r="L30" s="52"/>
      <c r="M30" s="52"/>
      <c r="N30" s="52"/>
    </row>
    <row r="31" spans="1:15">
      <c r="B31" s="52" t="s">
        <v>551</v>
      </c>
      <c r="C31" s="8">
        <v>323</v>
      </c>
      <c r="D31" s="8">
        <v>314</v>
      </c>
      <c r="E31" s="8">
        <v>316</v>
      </c>
      <c r="F31" s="8">
        <v>339</v>
      </c>
      <c r="G31" s="8">
        <v>293</v>
      </c>
      <c r="H31" s="8">
        <v>329</v>
      </c>
      <c r="I31" s="8">
        <v>296</v>
      </c>
      <c r="J31" s="52"/>
      <c r="K31" s="52"/>
      <c r="L31" s="52"/>
      <c r="M31" s="52"/>
      <c r="N31" s="52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ctenidia</vt:lpstr>
      <vt:lpstr>larvae</vt:lpstr>
      <vt:lpstr>Lipid</vt:lpstr>
      <vt:lpstr>Library prep Batch 1 - ctenidia</vt:lpstr>
      <vt:lpstr>Library prep Batch 2 - ctenidia</vt:lpstr>
      <vt:lpstr>Library prep Batch 3 - larvae</vt:lpstr>
      <vt:lpstr>Library prep Batch 4 - larvae</vt:lpstr>
      <vt:lpstr>Library prep Batch 5 - larvae</vt:lpstr>
      <vt:lpstr>qPCR assay calcs, batch 1 and 2</vt:lpstr>
      <vt:lpstr>qPCR assay calcs, batches 3-5</vt:lpstr>
      <vt:lpstr>End Point PCR - organization</vt:lpstr>
      <vt:lpstr>Library prep test-run</vt:lpstr>
      <vt:lpstr>qPCR Master Mix calcs</vt:lpstr>
      <vt:lpstr>qPCR Round I</vt:lpstr>
      <vt:lpstr>qPCR Round II</vt:lpstr>
      <vt:lpstr>qPCR Round III</vt:lpstr>
      <vt:lpstr>qPCR Round IV</vt:lpstr>
      <vt:lpstr>DNAse Batch 1 RNA</vt:lpstr>
      <vt:lpstr>xtra sheet for random calcs,git</vt:lpstr>
      <vt:lpstr>'End Point PCR - organization'!Print_Area</vt:lpstr>
      <vt:lpstr>larvae!Print_Area</vt:lpstr>
      <vt:lpstr>larvae!Print_Titles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2020-01-04T22:11:06Z</cp:lastPrinted>
  <dcterms:created xsi:type="dcterms:W3CDTF">2019-07-10T20:28:34Z</dcterms:created>
  <dcterms:modified xsi:type="dcterms:W3CDTF">2020-01-06T19:11:14Z</dcterms:modified>
</cp:coreProperties>
</file>