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\OneDrive\PhD Thesis\02 Literature\04 Books and ebooks\Book #1 Statistical Methods for Mineral Engineers\Excel-spreadsheets\Chapter 6 examples\Case Studies Chapter 6\"/>
    </mc:Choice>
  </mc:AlternateContent>
  <xr:revisionPtr revIDLastSave="0" documentId="ACC57E4A9C9FB9CA2F9E031C66286E59AF2AEA30" xr6:coauthVersionLast="23" xr6:coauthVersionMax="23" xr10:uidLastSave="{00000000-0000-0000-0000-000000000000}"/>
  <bookViews>
    <workbookView xWindow="0" yWindow="90" windowWidth="19065" windowHeight="9045" activeTab="1" xr2:uid="{00000000-000D-0000-FFFF-FFFF00000000}"/>
  </bookViews>
  <sheets>
    <sheet name="Regressions" sheetId="1" r:id="rId1"/>
    <sheet name="CIs" sheetId="2" r:id="rId2"/>
  </sheets>
  <calcPr calcId="171027"/>
</workbook>
</file>

<file path=xl/calcChain.xml><?xml version="1.0" encoding="utf-8"?>
<calcChain xmlns="http://schemas.openxmlformats.org/spreadsheetml/2006/main">
  <c r="F5" i="2" l="1"/>
  <c r="F2" i="2"/>
  <c r="F20" i="2" s="1"/>
  <c r="F19" i="2" s="1"/>
  <c r="F3" i="2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CQ31" i="1"/>
  <c r="CQ32" i="1" s="1"/>
  <c r="CQ33" i="1" s="1"/>
  <c r="CQ34" i="1" s="1"/>
  <c r="CQ35" i="1" s="1"/>
  <c r="CQ36" i="1" s="1"/>
  <c r="CQ37" i="1" s="1"/>
  <c r="CQ38" i="1" s="1"/>
  <c r="CQ39" i="1" s="1"/>
  <c r="CQ40" i="1" s="1"/>
  <c r="BE2" i="1"/>
  <c r="BF2" i="1"/>
  <c r="BG2" i="1"/>
  <c r="BH2" i="1"/>
  <c r="BI2" i="1"/>
  <c r="BE3" i="1"/>
  <c r="BF3" i="1"/>
  <c r="BG3" i="1"/>
  <c r="BH3" i="1"/>
  <c r="BI3" i="1"/>
  <c r="BE4" i="1"/>
  <c r="BF4" i="1"/>
  <c r="BG4" i="1"/>
  <c r="BH4" i="1"/>
  <c r="BI4" i="1"/>
  <c r="BE5" i="1"/>
  <c r="BF5" i="1"/>
  <c r="BG5" i="1"/>
  <c r="BH5" i="1"/>
  <c r="BI5" i="1"/>
  <c r="BE6" i="1"/>
  <c r="BF6" i="1"/>
  <c r="BG6" i="1"/>
  <c r="BH6" i="1"/>
  <c r="BI6" i="1"/>
  <c r="BE7" i="1"/>
  <c r="BF7" i="1"/>
  <c r="BG7" i="1"/>
  <c r="BH7" i="1"/>
  <c r="BI7" i="1"/>
  <c r="BE8" i="1"/>
  <c r="BF8" i="1"/>
  <c r="BG8" i="1"/>
  <c r="BH8" i="1"/>
  <c r="BI8" i="1"/>
  <c r="BE9" i="1"/>
  <c r="BF9" i="1"/>
  <c r="BG9" i="1"/>
  <c r="BH9" i="1"/>
  <c r="BI9" i="1"/>
  <c r="BE10" i="1"/>
  <c r="BF10" i="1"/>
  <c r="BG10" i="1"/>
  <c r="BH10" i="1"/>
  <c r="BI10" i="1"/>
  <c r="BE11" i="1"/>
  <c r="BF11" i="1"/>
  <c r="BG11" i="1"/>
  <c r="BH11" i="1"/>
  <c r="BI11" i="1"/>
  <c r="BE12" i="1"/>
  <c r="BF12" i="1"/>
  <c r="BG12" i="1"/>
  <c r="BH12" i="1"/>
  <c r="BI12" i="1"/>
  <c r="BE13" i="1"/>
  <c r="BF13" i="1"/>
  <c r="BG13" i="1"/>
  <c r="BH13" i="1"/>
  <c r="BI13" i="1"/>
  <c r="BE14" i="1"/>
  <c r="BF14" i="1"/>
  <c r="BG14" i="1"/>
  <c r="BH14" i="1"/>
  <c r="BI14" i="1"/>
  <c r="BE15" i="1"/>
  <c r="BF15" i="1"/>
  <c r="BG15" i="1"/>
  <c r="BH15" i="1"/>
  <c r="BI15" i="1"/>
  <c r="BE16" i="1"/>
  <c r="BF16" i="1"/>
  <c r="BG16" i="1"/>
  <c r="BH16" i="1"/>
  <c r="BI16" i="1"/>
  <c r="BE17" i="1"/>
  <c r="BF17" i="1"/>
  <c r="BG17" i="1"/>
  <c r="BH17" i="1"/>
  <c r="BI17" i="1"/>
  <c r="BE18" i="1"/>
  <c r="BF18" i="1"/>
  <c r="BG18" i="1"/>
  <c r="BH18" i="1"/>
  <c r="BI18" i="1"/>
  <c r="BE19" i="1"/>
  <c r="BF19" i="1"/>
  <c r="BG19" i="1"/>
  <c r="BH19" i="1"/>
  <c r="BI19" i="1"/>
  <c r="BE20" i="1"/>
  <c r="BF20" i="1"/>
  <c r="BG20" i="1"/>
  <c r="BH20" i="1"/>
  <c r="BI20" i="1"/>
  <c r="BE21" i="1"/>
  <c r="BF21" i="1"/>
  <c r="BG21" i="1"/>
  <c r="BH21" i="1"/>
  <c r="BI21" i="1"/>
  <c r="BE22" i="1"/>
  <c r="BF22" i="1"/>
  <c r="BG22" i="1"/>
  <c r="BH22" i="1"/>
  <c r="BI22" i="1"/>
  <c r="BE23" i="1"/>
  <c r="BF23" i="1"/>
  <c r="BG23" i="1"/>
  <c r="BH23" i="1"/>
  <c r="BI23" i="1"/>
  <c r="BE24" i="1"/>
  <c r="BF24" i="1"/>
  <c r="BG24" i="1"/>
  <c r="BH24" i="1"/>
  <c r="BI24" i="1"/>
  <c r="BE25" i="1"/>
  <c r="BF25" i="1"/>
  <c r="BG25" i="1"/>
  <c r="BH25" i="1"/>
  <c r="BI25" i="1"/>
  <c r="BE26" i="1"/>
  <c r="BF26" i="1"/>
  <c r="BG26" i="1"/>
  <c r="BH26" i="1"/>
  <c r="BI26" i="1"/>
  <c r="BE27" i="1"/>
  <c r="BF27" i="1"/>
  <c r="BG27" i="1"/>
  <c r="BH27" i="1"/>
  <c r="BI27" i="1"/>
  <c r="BE28" i="1"/>
  <c r="BF28" i="1"/>
  <c r="BG28" i="1"/>
  <c r="BH28" i="1"/>
  <c r="BI28" i="1"/>
  <c r="BE29" i="1"/>
  <c r="BF29" i="1"/>
  <c r="BG29" i="1"/>
  <c r="BH29" i="1"/>
  <c r="BI29" i="1"/>
  <c r="BE30" i="1"/>
  <c r="BF30" i="1"/>
  <c r="BG30" i="1"/>
  <c r="BH30" i="1"/>
  <c r="BI30" i="1"/>
  <c r="BE31" i="1"/>
  <c r="BF31" i="1"/>
  <c r="BG31" i="1"/>
  <c r="BH31" i="1"/>
  <c r="BI31" i="1"/>
  <c r="BE32" i="1"/>
  <c r="BF32" i="1"/>
  <c r="BG32" i="1"/>
  <c r="BH32" i="1"/>
  <c r="BI32" i="1"/>
  <c r="BE33" i="1"/>
  <c r="BF33" i="1"/>
  <c r="BG33" i="1"/>
  <c r="BH33" i="1"/>
  <c r="BI33" i="1"/>
  <c r="BE34" i="1"/>
  <c r="BF34" i="1"/>
  <c r="BG34" i="1"/>
  <c r="BH34" i="1"/>
  <c r="BI34" i="1"/>
  <c r="BE35" i="1"/>
  <c r="BF35" i="1"/>
  <c r="BG35" i="1"/>
  <c r="BH35" i="1"/>
  <c r="BI35" i="1"/>
  <c r="BE36" i="1"/>
  <c r="BF36" i="1"/>
  <c r="BG36" i="1"/>
  <c r="BH36" i="1"/>
  <c r="BI36" i="1"/>
  <c r="BE37" i="1"/>
  <c r="BF37" i="1"/>
  <c r="BG37" i="1"/>
  <c r="BH37" i="1"/>
  <c r="BI37" i="1"/>
  <c r="BE38" i="1"/>
  <c r="BF38" i="1"/>
  <c r="BG38" i="1"/>
  <c r="BH38" i="1"/>
  <c r="BI38" i="1"/>
  <c r="BE39" i="1"/>
  <c r="BF39" i="1"/>
  <c r="BG39" i="1"/>
  <c r="BH39" i="1"/>
  <c r="BI39" i="1"/>
  <c r="BS39" i="1"/>
  <c r="BR39" i="1"/>
  <c r="BQ39" i="1"/>
  <c r="BP39" i="1"/>
  <c r="BO39" i="1"/>
  <c r="BN39" i="1"/>
  <c r="BM39" i="1"/>
  <c r="BL39" i="1"/>
  <c r="BK39" i="1"/>
  <c r="BJ39" i="1"/>
  <c r="BS38" i="1"/>
  <c r="BR38" i="1"/>
  <c r="BQ38" i="1"/>
  <c r="BP38" i="1"/>
  <c r="BO38" i="1"/>
  <c r="BN38" i="1"/>
  <c r="BM38" i="1"/>
  <c r="BL38" i="1"/>
  <c r="BK38" i="1"/>
  <c r="BJ38" i="1"/>
  <c r="BS37" i="1"/>
  <c r="BR37" i="1"/>
  <c r="BQ37" i="1"/>
  <c r="BP37" i="1"/>
  <c r="BO37" i="1"/>
  <c r="BN37" i="1"/>
  <c r="BM37" i="1"/>
  <c r="BL37" i="1"/>
  <c r="BK37" i="1"/>
  <c r="BJ37" i="1"/>
  <c r="BS36" i="1"/>
  <c r="BR36" i="1"/>
  <c r="BQ36" i="1"/>
  <c r="BP36" i="1"/>
  <c r="BO36" i="1"/>
  <c r="BN36" i="1"/>
  <c r="BM36" i="1"/>
  <c r="BL36" i="1"/>
  <c r="BK36" i="1"/>
  <c r="BJ36" i="1"/>
  <c r="BS35" i="1"/>
  <c r="BR35" i="1"/>
  <c r="BQ35" i="1"/>
  <c r="BP35" i="1"/>
  <c r="BO35" i="1"/>
  <c r="BN35" i="1"/>
  <c r="BM35" i="1"/>
  <c r="BL35" i="1"/>
  <c r="BK35" i="1"/>
  <c r="BJ35" i="1"/>
  <c r="BS34" i="1"/>
  <c r="BR34" i="1"/>
  <c r="BQ34" i="1"/>
  <c r="BP34" i="1"/>
  <c r="BO34" i="1"/>
  <c r="BN34" i="1"/>
  <c r="BM34" i="1"/>
  <c r="BL34" i="1"/>
  <c r="BK34" i="1"/>
  <c r="BJ34" i="1"/>
  <c r="BS33" i="1"/>
  <c r="BR33" i="1"/>
  <c r="BQ33" i="1"/>
  <c r="BP33" i="1"/>
  <c r="BO33" i="1"/>
  <c r="BN33" i="1"/>
  <c r="BM33" i="1"/>
  <c r="BL33" i="1"/>
  <c r="BK33" i="1"/>
  <c r="BJ33" i="1"/>
  <c r="BS32" i="1"/>
  <c r="BR32" i="1"/>
  <c r="BQ32" i="1"/>
  <c r="BP32" i="1"/>
  <c r="BO32" i="1"/>
  <c r="BN32" i="1"/>
  <c r="BM32" i="1"/>
  <c r="BL32" i="1"/>
  <c r="BK32" i="1"/>
  <c r="BJ32" i="1"/>
  <c r="BS31" i="1"/>
  <c r="BR31" i="1"/>
  <c r="BQ31" i="1"/>
  <c r="BP31" i="1"/>
  <c r="BO31" i="1"/>
  <c r="BN31" i="1"/>
  <c r="BM31" i="1"/>
  <c r="BL31" i="1"/>
  <c r="BK31" i="1"/>
  <c r="BJ31" i="1"/>
  <c r="BS30" i="1"/>
  <c r="BR30" i="1"/>
  <c r="BQ30" i="1"/>
  <c r="BP30" i="1"/>
  <c r="BO30" i="1"/>
  <c r="BN30" i="1"/>
  <c r="BM30" i="1"/>
  <c r="BL30" i="1"/>
  <c r="BK30" i="1"/>
  <c r="BJ30" i="1"/>
  <c r="BS29" i="1"/>
  <c r="BR29" i="1"/>
  <c r="BQ29" i="1"/>
  <c r="BP29" i="1"/>
  <c r="BO29" i="1"/>
  <c r="BN29" i="1"/>
  <c r="BM29" i="1"/>
  <c r="BL29" i="1"/>
  <c r="BK29" i="1"/>
  <c r="BJ29" i="1"/>
  <c r="BS28" i="1"/>
  <c r="BR28" i="1"/>
  <c r="BQ28" i="1"/>
  <c r="BP28" i="1"/>
  <c r="BO28" i="1"/>
  <c r="BN28" i="1"/>
  <c r="BM28" i="1"/>
  <c r="BL28" i="1"/>
  <c r="BK28" i="1"/>
  <c r="BJ28" i="1"/>
  <c r="BS27" i="1"/>
  <c r="BR27" i="1"/>
  <c r="BQ27" i="1"/>
  <c r="BP27" i="1"/>
  <c r="BO27" i="1"/>
  <c r="BN27" i="1"/>
  <c r="BM27" i="1"/>
  <c r="BL27" i="1"/>
  <c r="BK27" i="1"/>
  <c r="BJ27" i="1"/>
  <c r="BS26" i="1"/>
  <c r="BR26" i="1"/>
  <c r="BQ26" i="1"/>
  <c r="BP26" i="1"/>
  <c r="BO26" i="1"/>
  <c r="BN26" i="1"/>
  <c r="BM26" i="1"/>
  <c r="BL26" i="1"/>
  <c r="BK26" i="1"/>
  <c r="BJ26" i="1"/>
  <c r="BS25" i="1"/>
  <c r="BR25" i="1"/>
  <c r="BQ25" i="1"/>
  <c r="BP25" i="1"/>
  <c r="BO25" i="1"/>
  <c r="BN25" i="1"/>
  <c r="BM25" i="1"/>
  <c r="BL25" i="1"/>
  <c r="BK25" i="1"/>
  <c r="BJ25" i="1"/>
  <c r="BS24" i="1"/>
  <c r="BR24" i="1"/>
  <c r="BQ24" i="1"/>
  <c r="BP24" i="1"/>
  <c r="BO24" i="1"/>
  <c r="BN24" i="1"/>
  <c r="BM24" i="1"/>
  <c r="BL24" i="1"/>
  <c r="BK24" i="1"/>
  <c r="BJ24" i="1"/>
  <c r="BS23" i="1"/>
  <c r="BR23" i="1"/>
  <c r="BQ23" i="1"/>
  <c r="BP23" i="1"/>
  <c r="BO23" i="1"/>
  <c r="BN23" i="1"/>
  <c r="BM23" i="1"/>
  <c r="BL23" i="1"/>
  <c r="BK23" i="1"/>
  <c r="BJ23" i="1"/>
  <c r="BS22" i="1"/>
  <c r="BR22" i="1"/>
  <c r="BQ22" i="1"/>
  <c r="BP22" i="1"/>
  <c r="BO22" i="1"/>
  <c r="BN22" i="1"/>
  <c r="BM22" i="1"/>
  <c r="BL22" i="1"/>
  <c r="BK22" i="1"/>
  <c r="BJ22" i="1"/>
  <c r="BS21" i="1"/>
  <c r="BR21" i="1"/>
  <c r="BQ21" i="1"/>
  <c r="BP21" i="1"/>
  <c r="BO21" i="1"/>
  <c r="BN21" i="1"/>
  <c r="BM21" i="1"/>
  <c r="BL21" i="1"/>
  <c r="BK21" i="1"/>
  <c r="BJ21" i="1"/>
  <c r="BS20" i="1"/>
  <c r="BR20" i="1"/>
  <c r="BQ20" i="1"/>
  <c r="BP20" i="1"/>
  <c r="BO20" i="1"/>
  <c r="BN20" i="1"/>
  <c r="BM20" i="1"/>
  <c r="BL20" i="1"/>
  <c r="BK20" i="1"/>
  <c r="BJ20" i="1"/>
  <c r="BS19" i="1"/>
  <c r="BR19" i="1"/>
  <c r="BQ19" i="1"/>
  <c r="BP19" i="1"/>
  <c r="BO19" i="1"/>
  <c r="BN19" i="1"/>
  <c r="BM19" i="1"/>
  <c r="BL19" i="1"/>
  <c r="BK19" i="1"/>
  <c r="BJ19" i="1"/>
  <c r="BS18" i="1"/>
  <c r="BR18" i="1"/>
  <c r="BQ18" i="1"/>
  <c r="BP18" i="1"/>
  <c r="BO18" i="1"/>
  <c r="BN18" i="1"/>
  <c r="BM18" i="1"/>
  <c r="BL18" i="1"/>
  <c r="BK18" i="1"/>
  <c r="BJ18" i="1"/>
  <c r="BS17" i="1"/>
  <c r="BR17" i="1"/>
  <c r="BQ17" i="1"/>
  <c r="BP17" i="1"/>
  <c r="BO17" i="1"/>
  <c r="BN17" i="1"/>
  <c r="BM17" i="1"/>
  <c r="BL17" i="1"/>
  <c r="BK17" i="1"/>
  <c r="BJ17" i="1"/>
  <c r="BS16" i="1"/>
  <c r="BR16" i="1"/>
  <c r="BQ16" i="1"/>
  <c r="BP16" i="1"/>
  <c r="BO16" i="1"/>
  <c r="BN16" i="1"/>
  <c r="BM16" i="1"/>
  <c r="BL16" i="1"/>
  <c r="BK16" i="1"/>
  <c r="BJ16" i="1"/>
  <c r="BS15" i="1"/>
  <c r="BR15" i="1"/>
  <c r="BQ15" i="1"/>
  <c r="BP15" i="1"/>
  <c r="BO15" i="1"/>
  <c r="BN15" i="1"/>
  <c r="BM15" i="1"/>
  <c r="BL15" i="1"/>
  <c r="BK15" i="1"/>
  <c r="BJ15" i="1"/>
  <c r="BS14" i="1"/>
  <c r="BR14" i="1"/>
  <c r="BQ14" i="1"/>
  <c r="BP14" i="1"/>
  <c r="BO14" i="1"/>
  <c r="BN14" i="1"/>
  <c r="BM14" i="1"/>
  <c r="BL14" i="1"/>
  <c r="BK14" i="1"/>
  <c r="BJ14" i="1"/>
  <c r="BS13" i="1"/>
  <c r="BR13" i="1"/>
  <c r="BQ13" i="1"/>
  <c r="BP13" i="1"/>
  <c r="BO13" i="1"/>
  <c r="BN13" i="1"/>
  <c r="BM13" i="1"/>
  <c r="BL13" i="1"/>
  <c r="BK13" i="1"/>
  <c r="BJ13" i="1"/>
  <c r="BS12" i="1"/>
  <c r="BR12" i="1"/>
  <c r="BQ12" i="1"/>
  <c r="BP12" i="1"/>
  <c r="BO12" i="1"/>
  <c r="BN12" i="1"/>
  <c r="BM12" i="1"/>
  <c r="BL12" i="1"/>
  <c r="BK12" i="1"/>
  <c r="BJ12" i="1"/>
  <c r="BS11" i="1"/>
  <c r="BR11" i="1"/>
  <c r="BQ11" i="1"/>
  <c r="BP11" i="1"/>
  <c r="BO11" i="1"/>
  <c r="BN11" i="1"/>
  <c r="BM11" i="1"/>
  <c r="BL11" i="1"/>
  <c r="BK11" i="1"/>
  <c r="BJ11" i="1"/>
  <c r="BS10" i="1"/>
  <c r="BR10" i="1"/>
  <c r="BQ10" i="1"/>
  <c r="BP10" i="1"/>
  <c r="BO10" i="1"/>
  <c r="BN10" i="1"/>
  <c r="BM10" i="1"/>
  <c r="BL10" i="1"/>
  <c r="BK10" i="1"/>
  <c r="BJ10" i="1"/>
  <c r="BS9" i="1"/>
  <c r="BR9" i="1"/>
  <c r="BQ9" i="1"/>
  <c r="BP9" i="1"/>
  <c r="BO9" i="1"/>
  <c r="BN9" i="1"/>
  <c r="BM9" i="1"/>
  <c r="BL9" i="1"/>
  <c r="BK9" i="1"/>
  <c r="BJ9" i="1"/>
  <c r="BS8" i="1"/>
  <c r="BR8" i="1"/>
  <c r="BQ8" i="1"/>
  <c r="BP8" i="1"/>
  <c r="BO8" i="1"/>
  <c r="BN8" i="1"/>
  <c r="BM8" i="1"/>
  <c r="BL8" i="1"/>
  <c r="BK8" i="1"/>
  <c r="BJ8" i="1"/>
  <c r="BS7" i="1"/>
  <c r="BR7" i="1"/>
  <c r="BQ7" i="1"/>
  <c r="BP7" i="1"/>
  <c r="BO7" i="1"/>
  <c r="BN7" i="1"/>
  <c r="BM7" i="1"/>
  <c r="BL7" i="1"/>
  <c r="BK7" i="1"/>
  <c r="BJ7" i="1"/>
  <c r="BS6" i="1"/>
  <c r="BR6" i="1"/>
  <c r="BQ6" i="1"/>
  <c r="BP6" i="1"/>
  <c r="BO6" i="1"/>
  <c r="BN6" i="1"/>
  <c r="BM6" i="1"/>
  <c r="BL6" i="1"/>
  <c r="BK6" i="1"/>
  <c r="BJ6" i="1"/>
  <c r="BS5" i="1"/>
  <c r="BR5" i="1"/>
  <c r="BQ5" i="1"/>
  <c r="BP5" i="1"/>
  <c r="BO5" i="1"/>
  <c r="BN5" i="1"/>
  <c r="BM5" i="1"/>
  <c r="BL5" i="1"/>
  <c r="BK5" i="1"/>
  <c r="BJ5" i="1"/>
  <c r="BS4" i="1"/>
  <c r="BR4" i="1"/>
  <c r="BQ4" i="1"/>
  <c r="BP4" i="1"/>
  <c r="BO4" i="1"/>
  <c r="BN4" i="1"/>
  <c r="BM4" i="1"/>
  <c r="BL4" i="1"/>
  <c r="BK4" i="1"/>
  <c r="BJ4" i="1"/>
  <c r="BS3" i="1"/>
  <c r="BR3" i="1"/>
  <c r="BQ3" i="1"/>
  <c r="BP3" i="1"/>
  <c r="BO3" i="1"/>
  <c r="BN3" i="1"/>
  <c r="BM3" i="1"/>
  <c r="BL3" i="1"/>
  <c r="BK3" i="1"/>
  <c r="BJ3" i="1"/>
  <c r="BS2" i="1"/>
  <c r="BR2" i="1"/>
  <c r="BQ2" i="1"/>
  <c r="BP2" i="1"/>
  <c r="BO2" i="1"/>
  <c r="BN2" i="1"/>
  <c r="BM2" i="1"/>
  <c r="BL2" i="1"/>
  <c r="BK2" i="1"/>
  <c r="BJ2" i="1"/>
  <c r="Z3" i="1"/>
  <c r="AA3" i="1"/>
  <c r="AB3" i="1"/>
  <c r="AC3" i="1"/>
  <c r="Z4" i="1"/>
  <c r="AA4" i="1"/>
  <c r="AB4" i="1"/>
  <c r="AC4" i="1"/>
  <c r="Z5" i="1"/>
  <c r="AA5" i="1"/>
  <c r="AB5" i="1"/>
  <c r="AC5" i="1"/>
  <c r="Z6" i="1"/>
  <c r="AA6" i="1"/>
  <c r="AB6" i="1"/>
  <c r="AC6" i="1"/>
  <c r="Z7" i="1"/>
  <c r="AA7" i="1"/>
  <c r="AB7" i="1"/>
  <c r="AC7" i="1"/>
  <c r="Z8" i="1"/>
  <c r="AA8" i="1"/>
  <c r="AB8" i="1"/>
  <c r="AC8" i="1"/>
  <c r="Z9" i="1"/>
  <c r="AA9" i="1"/>
  <c r="AB9" i="1"/>
  <c r="AC9" i="1"/>
  <c r="Z10" i="1"/>
  <c r="AA10" i="1"/>
  <c r="AB10" i="1"/>
  <c r="AC10" i="1"/>
  <c r="Z11" i="1"/>
  <c r="AA11" i="1"/>
  <c r="AB11" i="1"/>
  <c r="AC11" i="1"/>
  <c r="Z12" i="1"/>
  <c r="AA12" i="1"/>
  <c r="AB12" i="1"/>
  <c r="AC12" i="1"/>
  <c r="Z13" i="1"/>
  <c r="AA13" i="1"/>
  <c r="AB13" i="1"/>
  <c r="AC13" i="1"/>
  <c r="Z14" i="1"/>
  <c r="AA14" i="1"/>
  <c r="AB14" i="1"/>
  <c r="AC14" i="1"/>
  <c r="Z15" i="1"/>
  <c r="AA15" i="1"/>
  <c r="AB15" i="1"/>
  <c r="AC15" i="1"/>
  <c r="Z16" i="1"/>
  <c r="AA16" i="1"/>
  <c r="AB16" i="1"/>
  <c r="AC16" i="1"/>
  <c r="Z17" i="1"/>
  <c r="AA17" i="1"/>
  <c r="AB17" i="1"/>
  <c r="AC17" i="1"/>
  <c r="Z18" i="1"/>
  <c r="AA18" i="1"/>
  <c r="AB18" i="1"/>
  <c r="AC18" i="1"/>
  <c r="Z19" i="1"/>
  <c r="AA19" i="1"/>
  <c r="AB19" i="1"/>
  <c r="AC19" i="1"/>
  <c r="Z20" i="1"/>
  <c r="AA20" i="1"/>
  <c r="AB20" i="1"/>
  <c r="AC20" i="1"/>
  <c r="Z21" i="1"/>
  <c r="AA21" i="1"/>
  <c r="AB21" i="1"/>
  <c r="AC21" i="1"/>
  <c r="Z22" i="1"/>
  <c r="AA22" i="1"/>
  <c r="AB22" i="1"/>
  <c r="AC22" i="1"/>
  <c r="Z23" i="1"/>
  <c r="AA23" i="1"/>
  <c r="AB23" i="1"/>
  <c r="AC23" i="1"/>
  <c r="Z24" i="1"/>
  <c r="AA24" i="1"/>
  <c r="AB24" i="1"/>
  <c r="AC24" i="1"/>
  <c r="Z25" i="1"/>
  <c r="AA25" i="1"/>
  <c r="AB25" i="1"/>
  <c r="AC25" i="1"/>
  <c r="Z26" i="1"/>
  <c r="AA26" i="1"/>
  <c r="AB26" i="1"/>
  <c r="AC26" i="1"/>
  <c r="Z27" i="1"/>
  <c r="AA27" i="1"/>
  <c r="AB27" i="1"/>
  <c r="AC27" i="1"/>
  <c r="Z28" i="1"/>
  <c r="AA28" i="1"/>
  <c r="AB28" i="1"/>
  <c r="AC28" i="1"/>
  <c r="Z29" i="1"/>
  <c r="AA29" i="1"/>
  <c r="AB29" i="1"/>
  <c r="AC29" i="1"/>
  <c r="Z30" i="1"/>
  <c r="AA30" i="1"/>
  <c r="AB30" i="1"/>
  <c r="AC30" i="1"/>
  <c r="Z31" i="1"/>
  <c r="AA31" i="1"/>
  <c r="AB31" i="1"/>
  <c r="AC31" i="1"/>
  <c r="Z32" i="1"/>
  <c r="AA32" i="1"/>
  <c r="AB32" i="1"/>
  <c r="AC32" i="1"/>
  <c r="Z33" i="1"/>
  <c r="AA33" i="1"/>
  <c r="AB33" i="1"/>
  <c r="AC33" i="1"/>
  <c r="Z34" i="1"/>
  <c r="AA34" i="1"/>
  <c r="AB34" i="1"/>
  <c r="AC34" i="1"/>
  <c r="Z35" i="1"/>
  <c r="AA35" i="1"/>
  <c r="AB35" i="1"/>
  <c r="AC35" i="1"/>
  <c r="Z36" i="1"/>
  <c r="AA36" i="1"/>
  <c r="AB36" i="1"/>
  <c r="AC36" i="1"/>
  <c r="Z37" i="1"/>
  <c r="AA37" i="1"/>
  <c r="AB37" i="1"/>
  <c r="AC37" i="1"/>
  <c r="Z38" i="1"/>
  <c r="AA38" i="1"/>
  <c r="AB38" i="1"/>
  <c r="AC38" i="1"/>
  <c r="Z39" i="1"/>
  <c r="AA39" i="1"/>
  <c r="AB39" i="1"/>
  <c r="AC39" i="1"/>
  <c r="Z40" i="1"/>
  <c r="AA40" i="1"/>
  <c r="AB40" i="1"/>
  <c r="AC40" i="1"/>
  <c r="AA2" i="1"/>
  <c r="AB2" i="1"/>
  <c r="AC2" i="1"/>
  <c r="Z2" i="1"/>
  <c r="AD2" i="1"/>
  <c r="AE2" i="1"/>
  <c r="AF2" i="1"/>
  <c r="AG2" i="1"/>
  <c r="AH2" i="1"/>
  <c r="AI2" i="1"/>
  <c r="AJ2" i="1"/>
  <c r="AK2" i="1"/>
  <c r="AL2" i="1"/>
  <c r="AM2" i="1"/>
  <c r="Y2" i="1"/>
  <c r="AD3" i="1"/>
  <c r="AE3" i="1"/>
  <c r="AF3" i="1"/>
  <c r="AG3" i="1"/>
  <c r="AH3" i="1"/>
  <c r="AI3" i="1"/>
  <c r="AJ3" i="1"/>
  <c r="AK3" i="1"/>
  <c r="AL3" i="1"/>
  <c r="AM3" i="1"/>
  <c r="Y3" i="1"/>
  <c r="AD4" i="1"/>
  <c r="AE4" i="1"/>
  <c r="AF4" i="1"/>
  <c r="AG4" i="1"/>
  <c r="AH4" i="1"/>
  <c r="AI4" i="1"/>
  <c r="AJ4" i="1"/>
  <c r="AK4" i="1"/>
  <c r="AL4" i="1"/>
  <c r="AM4" i="1"/>
  <c r="Y4" i="1"/>
  <c r="AD5" i="1"/>
  <c r="AE5" i="1"/>
  <c r="AF5" i="1"/>
  <c r="AG5" i="1"/>
  <c r="AH5" i="1"/>
  <c r="AI5" i="1"/>
  <c r="AJ5" i="1"/>
  <c r="AK5" i="1"/>
  <c r="AL5" i="1"/>
  <c r="AM5" i="1"/>
  <c r="Y5" i="1"/>
  <c r="AD6" i="1"/>
  <c r="AE6" i="1"/>
  <c r="AF6" i="1"/>
  <c r="AG6" i="1"/>
  <c r="AH6" i="1"/>
  <c r="AI6" i="1"/>
  <c r="AJ6" i="1"/>
  <c r="AK6" i="1"/>
  <c r="AL6" i="1"/>
  <c r="AM6" i="1"/>
  <c r="Y6" i="1"/>
  <c r="AD7" i="1"/>
  <c r="AE7" i="1"/>
  <c r="AF7" i="1"/>
  <c r="AG7" i="1"/>
  <c r="AH7" i="1"/>
  <c r="AI7" i="1"/>
  <c r="AJ7" i="1"/>
  <c r="AK7" i="1"/>
  <c r="AL7" i="1"/>
  <c r="AM7" i="1"/>
  <c r="Y7" i="1"/>
  <c r="AD8" i="1"/>
  <c r="AE8" i="1"/>
  <c r="AF8" i="1"/>
  <c r="AG8" i="1"/>
  <c r="AH8" i="1"/>
  <c r="AI8" i="1"/>
  <c r="AJ8" i="1"/>
  <c r="AK8" i="1"/>
  <c r="AL8" i="1"/>
  <c r="AM8" i="1"/>
  <c r="Y8" i="1"/>
  <c r="AD9" i="1"/>
  <c r="AE9" i="1"/>
  <c r="AF9" i="1"/>
  <c r="AG9" i="1"/>
  <c r="AH9" i="1"/>
  <c r="AI9" i="1"/>
  <c r="AJ9" i="1"/>
  <c r="AK9" i="1"/>
  <c r="AL9" i="1"/>
  <c r="AM9" i="1"/>
  <c r="Y9" i="1"/>
  <c r="AD10" i="1"/>
  <c r="AE10" i="1"/>
  <c r="AF10" i="1"/>
  <c r="AG10" i="1"/>
  <c r="AH10" i="1"/>
  <c r="AI10" i="1"/>
  <c r="AJ10" i="1"/>
  <c r="AK10" i="1"/>
  <c r="AL10" i="1"/>
  <c r="AM10" i="1"/>
  <c r="Y10" i="1"/>
  <c r="AD11" i="1"/>
  <c r="AE11" i="1"/>
  <c r="AF11" i="1"/>
  <c r="AG11" i="1"/>
  <c r="AH11" i="1"/>
  <c r="AI11" i="1"/>
  <c r="AJ11" i="1"/>
  <c r="AK11" i="1"/>
  <c r="AL11" i="1"/>
  <c r="AM11" i="1"/>
  <c r="Y11" i="1"/>
  <c r="AD12" i="1"/>
  <c r="AE12" i="1"/>
  <c r="AF12" i="1"/>
  <c r="AG12" i="1"/>
  <c r="AH12" i="1"/>
  <c r="AI12" i="1"/>
  <c r="AJ12" i="1"/>
  <c r="AK12" i="1"/>
  <c r="AL12" i="1"/>
  <c r="AM12" i="1"/>
  <c r="Y12" i="1"/>
  <c r="AD13" i="1"/>
  <c r="AE13" i="1"/>
  <c r="AF13" i="1"/>
  <c r="AG13" i="1"/>
  <c r="AH13" i="1"/>
  <c r="AI13" i="1"/>
  <c r="AJ13" i="1"/>
  <c r="AK13" i="1"/>
  <c r="AL13" i="1"/>
  <c r="AM13" i="1"/>
  <c r="Y13" i="1"/>
  <c r="AD14" i="1"/>
  <c r="AE14" i="1"/>
  <c r="AF14" i="1"/>
  <c r="AG14" i="1"/>
  <c r="AH14" i="1"/>
  <c r="AI14" i="1"/>
  <c r="AJ14" i="1"/>
  <c r="AK14" i="1"/>
  <c r="AL14" i="1"/>
  <c r="AM14" i="1"/>
  <c r="Y14" i="1"/>
  <c r="AD15" i="1"/>
  <c r="AE15" i="1"/>
  <c r="AF15" i="1"/>
  <c r="AG15" i="1"/>
  <c r="AH15" i="1"/>
  <c r="AI15" i="1"/>
  <c r="AJ15" i="1"/>
  <c r="AK15" i="1"/>
  <c r="AL15" i="1"/>
  <c r="AM15" i="1"/>
  <c r="Y15" i="1"/>
  <c r="AD16" i="1"/>
  <c r="AE16" i="1"/>
  <c r="AF16" i="1"/>
  <c r="AG16" i="1"/>
  <c r="AH16" i="1"/>
  <c r="AI16" i="1"/>
  <c r="AJ16" i="1"/>
  <c r="AK16" i="1"/>
  <c r="AL16" i="1"/>
  <c r="AM16" i="1"/>
  <c r="Y16" i="1"/>
  <c r="AD17" i="1"/>
  <c r="AE17" i="1"/>
  <c r="AF17" i="1"/>
  <c r="AG17" i="1"/>
  <c r="AH17" i="1"/>
  <c r="AI17" i="1"/>
  <c r="AJ17" i="1"/>
  <c r="AK17" i="1"/>
  <c r="AL17" i="1"/>
  <c r="AM17" i="1"/>
  <c r="Y17" i="1"/>
  <c r="AD18" i="1"/>
  <c r="AE18" i="1"/>
  <c r="AF18" i="1"/>
  <c r="AG18" i="1"/>
  <c r="AH18" i="1"/>
  <c r="AI18" i="1"/>
  <c r="AJ18" i="1"/>
  <c r="AK18" i="1"/>
  <c r="AL18" i="1"/>
  <c r="AM18" i="1"/>
  <c r="Y18" i="1"/>
  <c r="AD19" i="1"/>
  <c r="AE19" i="1"/>
  <c r="AF19" i="1"/>
  <c r="AG19" i="1"/>
  <c r="AH19" i="1"/>
  <c r="AI19" i="1"/>
  <c r="AJ19" i="1"/>
  <c r="AK19" i="1"/>
  <c r="AL19" i="1"/>
  <c r="AM19" i="1"/>
  <c r="Y19" i="1"/>
  <c r="AD20" i="1"/>
  <c r="AE20" i="1"/>
  <c r="AF20" i="1"/>
  <c r="AG20" i="1"/>
  <c r="AH20" i="1"/>
  <c r="AI20" i="1"/>
  <c r="AJ20" i="1"/>
  <c r="AK20" i="1"/>
  <c r="AL20" i="1"/>
  <c r="AM20" i="1"/>
  <c r="Y20" i="1"/>
  <c r="AD21" i="1"/>
  <c r="AE21" i="1"/>
  <c r="AF21" i="1"/>
  <c r="AG21" i="1"/>
  <c r="AH21" i="1"/>
  <c r="AI21" i="1"/>
  <c r="AJ21" i="1"/>
  <c r="AK21" i="1"/>
  <c r="AL21" i="1"/>
  <c r="AM21" i="1"/>
  <c r="Y21" i="1"/>
  <c r="AD22" i="1"/>
  <c r="AE22" i="1"/>
  <c r="AF22" i="1"/>
  <c r="AG22" i="1"/>
  <c r="AH22" i="1"/>
  <c r="AI22" i="1"/>
  <c r="AJ22" i="1"/>
  <c r="AK22" i="1"/>
  <c r="AL22" i="1"/>
  <c r="AM22" i="1"/>
  <c r="Y22" i="1"/>
  <c r="AD23" i="1"/>
  <c r="AE23" i="1"/>
  <c r="AF23" i="1"/>
  <c r="AG23" i="1"/>
  <c r="AH23" i="1"/>
  <c r="AI23" i="1"/>
  <c r="AJ23" i="1"/>
  <c r="AK23" i="1"/>
  <c r="AL23" i="1"/>
  <c r="AM23" i="1"/>
  <c r="Y23" i="1"/>
  <c r="AD24" i="1"/>
  <c r="AE24" i="1"/>
  <c r="AF24" i="1"/>
  <c r="AG24" i="1"/>
  <c r="AH24" i="1"/>
  <c r="AI24" i="1"/>
  <c r="AJ24" i="1"/>
  <c r="AK24" i="1"/>
  <c r="AL24" i="1"/>
  <c r="AM24" i="1"/>
  <c r="Y24" i="1"/>
  <c r="AD25" i="1"/>
  <c r="AE25" i="1"/>
  <c r="AF25" i="1"/>
  <c r="AG25" i="1"/>
  <c r="AH25" i="1"/>
  <c r="AI25" i="1"/>
  <c r="AJ25" i="1"/>
  <c r="AK25" i="1"/>
  <c r="AL25" i="1"/>
  <c r="AM25" i="1"/>
  <c r="Y25" i="1"/>
  <c r="AD26" i="1"/>
  <c r="AE26" i="1"/>
  <c r="AF26" i="1"/>
  <c r="AG26" i="1"/>
  <c r="AH26" i="1"/>
  <c r="AI26" i="1"/>
  <c r="AJ26" i="1"/>
  <c r="AK26" i="1"/>
  <c r="AL26" i="1"/>
  <c r="AM26" i="1"/>
  <c r="Y26" i="1"/>
  <c r="AD27" i="1"/>
  <c r="AE27" i="1"/>
  <c r="AF27" i="1"/>
  <c r="AG27" i="1"/>
  <c r="AH27" i="1"/>
  <c r="AI27" i="1"/>
  <c r="AJ27" i="1"/>
  <c r="AK27" i="1"/>
  <c r="AL27" i="1"/>
  <c r="AM27" i="1"/>
  <c r="Y27" i="1"/>
  <c r="AD28" i="1"/>
  <c r="AE28" i="1"/>
  <c r="AF28" i="1"/>
  <c r="AG28" i="1"/>
  <c r="AH28" i="1"/>
  <c r="AI28" i="1"/>
  <c r="AJ28" i="1"/>
  <c r="AK28" i="1"/>
  <c r="AL28" i="1"/>
  <c r="AM28" i="1"/>
  <c r="Y28" i="1"/>
  <c r="AD29" i="1"/>
  <c r="AE29" i="1"/>
  <c r="AF29" i="1"/>
  <c r="AG29" i="1"/>
  <c r="AH29" i="1"/>
  <c r="AI29" i="1"/>
  <c r="AJ29" i="1"/>
  <c r="AK29" i="1"/>
  <c r="AL29" i="1"/>
  <c r="AM29" i="1"/>
  <c r="Y29" i="1"/>
  <c r="AD30" i="1"/>
  <c r="AE30" i="1"/>
  <c r="AF30" i="1"/>
  <c r="AG30" i="1"/>
  <c r="AH30" i="1"/>
  <c r="AI30" i="1"/>
  <c r="AJ30" i="1"/>
  <c r="AK30" i="1"/>
  <c r="AL30" i="1"/>
  <c r="AM30" i="1"/>
  <c r="Y30" i="1"/>
  <c r="AD31" i="1"/>
  <c r="AE31" i="1"/>
  <c r="AF31" i="1"/>
  <c r="AG31" i="1"/>
  <c r="AH31" i="1"/>
  <c r="AI31" i="1"/>
  <c r="AJ31" i="1"/>
  <c r="AK31" i="1"/>
  <c r="AL31" i="1"/>
  <c r="AM31" i="1"/>
  <c r="Y31" i="1"/>
  <c r="AD32" i="1"/>
  <c r="AE32" i="1"/>
  <c r="AF32" i="1"/>
  <c r="AG32" i="1"/>
  <c r="AH32" i="1"/>
  <c r="AI32" i="1"/>
  <c r="AJ32" i="1"/>
  <c r="AK32" i="1"/>
  <c r="AL32" i="1"/>
  <c r="AM32" i="1"/>
  <c r="Y32" i="1"/>
  <c r="AD33" i="1"/>
  <c r="AE33" i="1"/>
  <c r="AF33" i="1"/>
  <c r="AG33" i="1"/>
  <c r="AH33" i="1"/>
  <c r="AI33" i="1"/>
  <c r="AJ33" i="1"/>
  <c r="AK33" i="1"/>
  <c r="AL33" i="1"/>
  <c r="AM33" i="1"/>
  <c r="Y33" i="1"/>
  <c r="AD34" i="1"/>
  <c r="AE34" i="1"/>
  <c r="AF34" i="1"/>
  <c r="AG34" i="1"/>
  <c r="AH34" i="1"/>
  <c r="AI34" i="1"/>
  <c r="AJ34" i="1"/>
  <c r="AK34" i="1"/>
  <c r="AL34" i="1"/>
  <c r="AM34" i="1"/>
  <c r="Y34" i="1"/>
  <c r="AD35" i="1"/>
  <c r="AE35" i="1"/>
  <c r="AF35" i="1"/>
  <c r="AG35" i="1"/>
  <c r="AH35" i="1"/>
  <c r="AI35" i="1"/>
  <c r="AJ35" i="1"/>
  <c r="AK35" i="1"/>
  <c r="AL35" i="1"/>
  <c r="AM35" i="1"/>
  <c r="Y35" i="1"/>
  <c r="AD36" i="1"/>
  <c r="AE36" i="1"/>
  <c r="AF36" i="1"/>
  <c r="AG36" i="1"/>
  <c r="AH36" i="1"/>
  <c r="AI36" i="1"/>
  <c r="AJ36" i="1"/>
  <c r="AK36" i="1"/>
  <c r="AL36" i="1"/>
  <c r="AM36" i="1"/>
  <c r="Y36" i="1"/>
  <c r="AD37" i="1"/>
  <c r="AE37" i="1"/>
  <c r="AF37" i="1"/>
  <c r="AG37" i="1"/>
  <c r="AH37" i="1"/>
  <c r="AI37" i="1"/>
  <c r="AJ37" i="1"/>
  <c r="AK37" i="1"/>
  <c r="AL37" i="1"/>
  <c r="AM37" i="1"/>
  <c r="Y37" i="1"/>
  <c r="AD38" i="1"/>
  <c r="AE38" i="1"/>
  <c r="AF38" i="1"/>
  <c r="AG38" i="1"/>
  <c r="AH38" i="1"/>
  <c r="AI38" i="1"/>
  <c r="AJ38" i="1"/>
  <c r="AK38" i="1"/>
  <c r="AL38" i="1"/>
  <c r="AM38" i="1"/>
  <c r="Y38" i="1"/>
  <c r="AD39" i="1"/>
  <c r="AE39" i="1"/>
  <c r="AF39" i="1"/>
  <c r="AG39" i="1"/>
  <c r="AH39" i="1"/>
  <c r="AI39" i="1"/>
  <c r="AJ39" i="1"/>
  <c r="AK39" i="1"/>
  <c r="AL39" i="1"/>
  <c r="AM39" i="1"/>
  <c r="Y39" i="1"/>
  <c r="AD40" i="1"/>
  <c r="AE40" i="1"/>
  <c r="AF40" i="1"/>
  <c r="AG40" i="1"/>
  <c r="AH40" i="1"/>
  <c r="AI40" i="1"/>
  <c r="AJ40" i="1"/>
  <c r="AK40" i="1"/>
  <c r="AL40" i="1"/>
  <c r="AM40" i="1"/>
  <c r="Y40" i="1"/>
  <c r="F9" i="2" l="1" a="1"/>
  <c r="F9" i="2" s="1"/>
  <c r="F6" i="2"/>
  <c r="H13" i="2"/>
  <c r="F4" i="2"/>
  <c r="F8" i="2" a="1"/>
  <c r="F8" i="2" s="1"/>
  <c r="G20" i="2" s="1"/>
  <c r="F7" i="2" a="1"/>
  <c r="F7" i="2" s="1"/>
  <c r="F13" i="2" l="1"/>
  <c r="F14" i="2" s="1"/>
  <c r="H14" i="2" s="1"/>
  <c r="F12" i="2"/>
  <c r="F11" i="2" s="1"/>
  <c r="L22" i="2" s="1"/>
  <c r="L16" i="2"/>
  <c r="O24" i="2"/>
  <c r="G19" i="2"/>
  <c r="H19" i="2" s="1"/>
  <c r="L18" i="2" l="1"/>
  <c r="O4" i="2"/>
  <c r="O22" i="2"/>
  <c r="Q22" i="2" s="1"/>
  <c r="O10" i="2"/>
  <c r="P10" i="2" s="1"/>
  <c r="O11" i="2"/>
  <c r="P11" i="2" s="1"/>
  <c r="O17" i="2"/>
  <c r="O25" i="2"/>
  <c r="L8" i="2"/>
  <c r="O6" i="2"/>
  <c r="L23" i="2"/>
  <c r="N23" i="2" s="1"/>
  <c r="L5" i="2"/>
  <c r="M5" i="2" s="1"/>
  <c r="L26" i="2"/>
  <c r="N26" i="2" s="1"/>
  <c r="O5" i="2"/>
  <c r="O14" i="2"/>
  <c r="L6" i="2"/>
  <c r="O8" i="2"/>
  <c r="P8" i="2" s="1"/>
  <c r="O16" i="2"/>
  <c r="Q16" i="2" s="1"/>
  <c r="O9" i="2"/>
  <c r="L9" i="2"/>
  <c r="O18" i="2"/>
  <c r="O13" i="2"/>
  <c r="Q13" i="2" s="1"/>
  <c r="L15" i="2"/>
  <c r="N15" i="2" s="1"/>
  <c r="O23" i="2"/>
  <c r="P23" i="2" s="1"/>
  <c r="L17" i="2"/>
  <c r="N17" i="2" s="1"/>
  <c r="L10" i="2"/>
  <c r="O19" i="2"/>
  <c r="L19" i="2"/>
  <c r="L11" i="2"/>
  <c r="M11" i="2" s="1"/>
  <c r="L25" i="2"/>
  <c r="N25" i="2" s="1"/>
  <c r="L24" i="2"/>
  <c r="L14" i="2"/>
  <c r="O26" i="2"/>
  <c r="L20" i="2"/>
  <c r="G18" i="2"/>
  <c r="H18" i="2" s="1"/>
  <c r="I18" i="2" s="1"/>
  <c r="I19" i="2" s="1"/>
  <c r="L7" i="2"/>
  <c r="N7" i="2" s="1"/>
  <c r="L13" i="2"/>
  <c r="N13" i="2" s="1"/>
  <c r="O21" i="2"/>
  <c r="O7" i="2"/>
  <c r="O12" i="2"/>
  <c r="P12" i="2" s="1"/>
  <c r="L21" i="2"/>
  <c r="M21" i="2" s="1"/>
  <c r="L12" i="2"/>
  <c r="N12" i="2" s="1"/>
  <c r="O20" i="2"/>
  <c r="L4" i="2"/>
  <c r="N4" i="2" s="1"/>
  <c r="O15" i="2"/>
  <c r="Q15" i="2" s="1"/>
  <c r="Q21" i="2"/>
  <c r="P21" i="2"/>
  <c r="P7" i="2"/>
  <c r="Q7" i="2"/>
  <c r="Q20" i="2"/>
  <c r="P20" i="2"/>
  <c r="P15" i="2"/>
  <c r="N22" i="2"/>
  <c r="M22" i="2"/>
  <c r="P4" i="2"/>
  <c r="Q4" i="2"/>
  <c r="Q5" i="2"/>
  <c r="P5" i="2"/>
  <c r="N24" i="2"/>
  <c r="M24" i="2"/>
  <c r="M8" i="2"/>
  <c r="N8" i="2"/>
  <c r="P14" i="2"/>
  <c r="Q14" i="2"/>
  <c r="Q23" i="2"/>
  <c r="N14" i="2"/>
  <c r="M14" i="2"/>
  <c r="P22" i="2"/>
  <c r="M6" i="2"/>
  <c r="N6" i="2"/>
  <c r="Q17" i="2"/>
  <c r="P17" i="2"/>
  <c r="P6" i="2"/>
  <c r="Q6" i="2"/>
  <c r="Q8" i="2"/>
  <c r="Q24" i="2"/>
  <c r="P24" i="2"/>
  <c r="N10" i="2"/>
  <c r="M10" i="2"/>
  <c r="N16" i="2"/>
  <c r="M16" i="2"/>
  <c r="Q9" i="2"/>
  <c r="P9" i="2"/>
  <c r="Q19" i="2"/>
  <c r="P19" i="2"/>
  <c r="P26" i="2"/>
  <c r="Q26" i="2"/>
  <c r="E23" i="2"/>
  <c r="H12" i="2"/>
  <c r="I12" i="2" s="1"/>
  <c r="H11" i="2"/>
  <c r="I11" i="2" s="1"/>
  <c r="N9" i="2"/>
  <c r="M9" i="2"/>
  <c r="N19" i="2"/>
  <c r="M19" i="2"/>
  <c r="P25" i="2"/>
  <c r="Q25" i="2"/>
  <c r="P18" i="2"/>
  <c r="Q18" i="2"/>
  <c r="N11" i="2"/>
  <c r="N18" i="2"/>
  <c r="M18" i="2"/>
  <c r="M26" i="2"/>
  <c r="N20" i="2"/>
  <c r="M20" i="2"/>
  <c r="P16" i="2" l="1"/>
  <c r="M25" i="2"/>
  <c r="Q11" i="2"/>
  <c r="Q10" i="2"/>
  <c r="M13" i="2"/>
  <c r="P13" i="2"/>
  <c r="M12" i="2"/>
  <c r="M23" i="2"/>
  <c r="M17" i="2"/>
  <c r="M15" i="2"/>
  <c r="N5" i="2"/>
  <c r="N21" i="2"/>
  <c r="M4" i="2"/>
  <c r="Q12" i="2"/>
  <c r="M7" i="2"/>
</calcChain>
</file>

<file path=xl/sharedStrings.xml><?xml version="1.0" encoding="utf-8"?>
<sst xmlns="http://schemas.openxmlformats.org/spreadsheetml/2006/main" count="315" uniqueCount="126">
  <si>
    <t>Test</t>
  </si>
  <si>
    <t>Cyclone Diam (mm)</t>
  </si>
  <si>
    <t>Head</t>
  </si>
  <si>
    <t>Med:Coal ratio v/v</t>
  </si>
  <si>
    <t>% near gravity</t>
  </si>
  <si>
    <t>Medium SG</t>
  </si>
  <si>
    <t>4/1mm SG50</t>
  </si>
  <si>
    <t>4/1mm Ep</t>
  </si>
  <si>
    <t>SUMMARY OUTPUT</t>
  </si>
  <si>
    <t>D</t>
  </si>
  <si>
    <t>H</t>
  </si>
  <si>
    <t>M:C</t>
  </si>
  <si>
    <t>NG</t>
  </si>
  <si>
    <t>D*H/100</t>
  </si>
  <si>
    <t>D*M:C</t>
  </si>
  <si>
    <t>D*NG/1000</t>
  </si>
  <si>
    <t>D*SG</t>
  </si>
  <si>
    <t>H*M:C</t>
  </si>
  <si>
    <t>H*NG</t>
  </si>
  <si>
    <t>H*SG</t>
  </si>
  <si>
    <t>M:C*NG</t>
  </si>
  <si>
    <t>M:C*SG</t>
  </si>
  <si>
    <t>NG*SG</t>
  </si>
  <si>
    <t>D^2/1000</t>
  </si>
  <si>
    <t>SG50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</si>
  <si>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</si>
  <si>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</si>
  <si>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</si>
  <si>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</si>
  <si>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</si>
  <si>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</si>
  <si>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</si>
  <si>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</si>
  <si>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</si>
  <si>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</si>
  <si>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</si>
  <si>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</si>
  <si>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</si>
  <si>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</si>
  <si>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</si>
  <si>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</si>
  <si>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</si>
  <si>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</si>
  <si>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</si>
  <si>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</si>
  <si>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</si>
  <si>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</si>
  <si>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Observation</t>
  </si>
  <si>
    <t>Predicted 4/1mm SG50</t>
  </si>
  <si>
    <t>Residuals</t>
  </si>
  <si>
    <t>Standard Residuals</t>
  </si>
  <si>
    <t>Predicted SG50</t>
  </si>
  <si>
    <t xml:space="preserve"> Proc. 9th Aust. Coal Prep. Conf., Yeppoon, Oct. 2002 (Aust. Coal Prep.Soc.), 68-89.</t>
  </si>
  <si>
    <t>Variable             N     Mean    StDev  Minimum   Median  Maximum    Range</t>
  </si>
  <si>
    <t>4/1mm SG50          39   1.4808   0.0791   1.3800   1.4500   1.7100   0.3300</t>
  </si>
  <si>
    <t>4/1mm Ep            39  0.04056  0.01756  0.02000  0.03400  0.09000  0.07000</t>
  </si>
  <si>
    <t>Cyclone Diam (mm)   39   1073.1    181.7    700.0   1000.0   1300.0    600.0</t>
  </si>
  <si>
    <t>Med:Coal ratio v/v  39    4.587    1.957    1.700    4.000    8.200    6.500</t>
  </si>
  <si>
    <t>% near gravity      39    17.33    15.03     1.00    13.00    53.00    52.00</t>
  </si>
  <si>
    <t>Medium SG           39   1.3677   0.0699   1.2400   1.3600   1.5200   0.2800</t>
  </si>
  <si>
    <t>Head (D)            39    9.710    1.382    7.800    9.000   13.500    5.700</t>
  </si>
  <si>
    <t xml:space="preserve">Data from Clarkson C.J., Edward D.J., Davidson J., Lahey A.E., 2002.  </t>
  </si>
  <si>
    <t xml:space="preserve">Analysis of large diameter cyclone plant performance. </t>
  </si>
  <si>
    <t>SG</t>
  </si>
  <si>
    <t>H^2</t>
  </si>
  <si>
    <t>M:C^2</t>
  </si>
  <si>
    <t>NG^2</t>
  </si>
  <si>
    <t>SG^2</t>
  </si>
  <si>
    <t>Eliminate outlier 34</t>
  </si>
  <si>
    <t>Std. Error</t>
  </si>
  <si>
    <t>Sig. F</t>
  </si>
  <si>
    <t>Adjusted R Sq.</t>
  </si>
  <si>
    <t>Lower 90.0%</t>
  </si>
  <si>
    <t>Upper 90.0%</t>
  </si>
  <si>
    <t>Without intercept</t>
  </si>
  <si>
    <t>Stepwise model</t>
  </si>
  <si>
    <t>without 34</t>
  </si>
  <si>
    <t>Bins</t>
  </si>
  <si>
    <t>More</t>
  </si>
  <si>
    <t>Frequency</t>
  </si>
  <si>
    <t>Bin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</si>
  <si>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</si>
  <si>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</si>
  <si>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</si>
  <si>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</si>
  <si>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</si>
  <si>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</si>
  <si>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</si>
  <si>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</si>
  <si>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</si>
  <si>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</si>
  <si>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</si>
  <si>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</si>
  <si>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Statistic</t>
  </si>
  <si>
    <t>N</t>
  </si>
  <si>
    <t>Mean X</t>
  </si>
  <si>
    <t>Mean Y</t>
  </si>
  <si>
    <t>Ao =</t>
  </si>
  <si>
    <t>A1 =</t>
  </si>
  <si>
    <t>Source</t>
  </si>
  <si>
    <t>D.F</t>
  </si>
  <si>
    <t>F (p)</t>
  </si>
  <si>
    <t>Regre</t>
  </si>
  <si>
    <t>-</t>
  </si>
  <si>
    <t>Value</t>
  </si>
  <si>
    <t>Analysis of Variance for Regression</t>
  </si>
  <si>
    <t>V(A1) =</t>
  </si>
  <si>
    <t xml:space="preserve">V(Ao) = </t>
  </si>
  <si>
    <t>Residual Standard Error</t>
  </si>
  <si>
    <t>R =</t>
  </si>
  <si>
    <t>D.f.(R) =</t>
  </si>
  <si>
    <t>t(R) =</t>
  </si>
  <si>
    <t>p(t{R}) =</t>
  </si>
  <si>
    <t>Prediction of Line</t>
  </si>
  <si>
    <t>Pred. Y</t>
  </si>
  <si>
    <t>Lower Y</t>
  </si>
  <si>
    <t>Upper Y</t>
  </si>
  <si>
    <t>Prediction of Values Y</t>
  </si>
  <si>
    <t>Choose X</t>
  </si>
  <si>
    <t>Conf. Level %</t>
  </si>
  <si>
    <t>SE</t>
  </si>
  <si>
    <r>
      <t>å</t>
    </r>
    <r>
      <rPr>
        <sz val="8"/>
        <rFont val="Geneva"/>
      </rPr>
      <t xml:space="preserve"> X</t>
    </r>
  </si>
  <si>
    <r>
      <t>å</t>
    </r>
    <r>
      <rPr>
        <sz val="8"/>
        <rFont val="Geneva"/>
      </rPr>
      <t xml:space="preserve"> Y</t>
    </r>
  </si>
  <si>
    <r>
      <t>å</t>
    </r>
    <r>
      <rPr>
        <sz val="8"/>
        <rFont val="Geneva"/>
      </rPr>
      <t xml:space="preserve"> x^2</t>
    </r>
  </si>
  <si>
    <r>
      <t>å</t>
    </r>
    <r>
      <rPr>
        <sz val="8"/>
        <rFont val="Geneva"/>
      </rPr>
      <t xml:space="preserve"> y^2</t>
    </r>
  </si>
  <si>
    <r>
      <t>å</t>
    </r>
    <r>
      <rPr>
        <sz val="8"/>
        <rFont val="Geneva"/>
      </rPr>
      <t xml:space="preserve"> xy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</si>
</sst>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9"/>
      <name val="Courier New"/>
      <family val="3"/>
    </font>
    <font>
      <sz val="9"/>
      <name val="Courier New"/>
      <family val="3"/>
    </font>
    <font>
      <b/>
      <i/>
      <sz val="10"/>
      <name val="Arial"/>
      <family val="2"/>
    </font>
    <font>
      <b/>
      <sz val="8"/>
      <name val="Geneva"/>
    </font>
    <font>
      <sz val="8"/>
      <name val="Geneva"/>
    </font>
    <font>
      <sz val="8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Border="1" applyAlignment="1">
      <alignment horizontal="right"/>
    </xf>
    <xf numFmtId="0" fontId="0" fillId="0" borderId="0" xfId="0" applyNumberFormat="1" applyFill="1" applyBorder="1" applyAlignment="1"/>
    <xf numFmtId="0" fontId="8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7" xfId="0" applyFont="1" applyBorder="1"/>
    <xf numFmtId="0" fontId="9" fillId="0" borderId="8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/>
    <xf numFmtId="0" fontId="9" fillId="0" borderId="9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left"/>
    </xf>
    <xf numFmtId="2" fontId="4" fillId="0" borderId="1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2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0" fontId="9" fillId="0" borderId="0" xfId="0" quotePrefix="1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5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66362500744815"/>
          <c:y val="0.12462061565267465"/>
          <c:w val="0.74514235334254708"/>
          <c:h val="0.52887773472110711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C0C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Regressions!$CR$30:$CR$41</c:f>
              <c:strCache>
                <c:ptCount val="12"/>
                <c:pt idx="0">
                  <c:v>-0.05</c:v>
                </c:pt>
                <c:pt idx="1">
                  <c:v>-0.04</c:v>
                </c:pt>
                <c:pt idx="2">
                  <c:v>-0.03</c:v>
                </c:pt>
                <c:pt idx="3">
                  <c:v>-0.02</c:v>
                </c:pt>
                <c:pt idx="4">
                  <c:v>-0.01</c:v>
                </c:pt>
                <c:pt idx="5">
                  <c:v>0</c:v>
                </c:pt>
                <c:pt idx="6">
                  <c:v>0.01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  <c:pt idx="10">
                  <c:v>0.05</c:v>
                </c:pt>
                <c:pt idx="11">
                  <c:v>More</c:v>
                </c:pt>
              </c:strCache>
            </c:strRef>
          </c:cat>
          <c:val>
            <c:numRef>
              <c:f>Regressions!$CS$30:$CS$41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9-4766-AED9-546C0298A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0979072"/>
        <c:axId val="61800448"/>
      </c:barChart>
      <c:catAx>
        <c:axId val="6097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Residuals</a:t>
                </a:r>
              </a:p>
            </c:rich>
          </c:tx>
          <c:layout>
            <c:manualLayout>
              <c:xMode val="edge"/>
              <c:yMode val="edge"/>
              <c:x val="0.46868374108792094"/>
              <c:y val="0.863225727935600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8004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61800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Frequency</a:t>
                </a:r>
              </a:p>
            </c:rich>
          </c:tx>
          <c:layout>
            <c:manualLayout>
              <c:xMode val="edge"/>
              <c:yMode val="edge"/>
              <c:x val="3.0237660715349737E-2"/>
              <c:y val="0.218845959194940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09790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94847488920134"/>
          <c:y val="7.2507980716464762E-2"/>
          <c:w val="0.70022181098626823"/>
          <c:h val="0.66767765576411309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Regressions!$CN$29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Regressions!$CM$30:$CM$67</c:f>
              <c:numCache>
                <c:formatCode>General</c:formatCode>
                <c:ptCount val="38"/>
                <c:pt idx="0">
                  <c:v>1.4105284529048707</c:v>
                </c:pt>
                <c:pt idx="1">
                  <c:v>1.4003165742645818</c:v>
                </c:pt>
                <c:pt idx="2">
                  <c:v>1.4384549386299157</c:v>
                </c:pt>
                <c:pt idx="3">
                  <c:v>1.4482589758630038</c:v>
                </c:pt>
                <c:pt idx="4">
                  <c:v>1.4072604763181156</c:v>
                </c:pt>
                <c:pt idx="5">
                  <c:v>1.4278324625794871</c:v>
                </c:pt>
                <c:pt idx="6">
                  <c:v>1.532017239710556</c:v>
                </c:pt>
                <c:pt idx="7">
                  <c:v>1.4556140942556806</c:v>
                </c:pt>
                <c:pt idx="8">
                  <c:v>1.399065824523263</c:v>
                </c:pt>
                <c:pt idx="9">
                  <c:v>1.39833831178262</c:v>
                </c:pt>
                <c:pt idx="10">
                  <c:v>1.4579053962522197</c:v>
                </c:pt>
                <c:pt idx="11">
                  <c:v>1.4487670330030484</c:v>
                </c:pt>
                <c:pt idx="12">
                  <c:v>1.4114707106068507</c:v>
                </c:pt>
                <c:pt idx="13">
                  <c:v>1.39431839057511</c:v>
                </c:pt>
                <c:pt idx="14">
                  <c:v>1.4289987414040366</c:v>
                </c:pt>
                <c:pt idx="15">
                  <c:v>1.4400294286222628</c:v>
                </c:pt>
                <c:pt idx="16">
                  <c:v>1.6207239921446526</c:v>
                </c:pt>
                <c:pt idx="17">
                  <c:v>1.5021302835326444</c:v>
                </c:pt>
                <c:pt idx="18">
                  <c:v>1.4627870725260115</c:v>
                </c:pt>
                <c:pt idx="19">
                  <c:v>1.5122355088266861</c:v>
                </c:pt>
                <c:pt idx="20">
                  <c:v>1.5137796769504057</c:v>
                </c:pt>
                <c:pt idx="21">
                  <c:v>1.6911191345551968</c:v>
                </c:pt>
                <c:pt idx="22">
                  <c:v>1.3833035887327174</c:v>
                </c:pt>
                <c:pt idx="23">
                  <c:v>1.4270970617696033</c:v>
                </c:pt>
                <c:pt idx="24">
                  <c:v>1.5055427612381342</c:v>
                </c:pt>
                <c:pt idx="25">
                  <c:v>1.473150898819058</c:v>
                </c:pt>
                <c:pt idx="26">
                  <c:v>1.483751747491282</c:v>
                </c:pt>
                <c:pt idx="27">
                  <c:v>1.5617245539713305</c:v>
                </c:pt>
                <c:pt idx="28">
                  <c:v>1.5493895761439012</c:v>
                </c:pt>
                <c:pt idx="29">
                  <c:v>1.534577888004975</c:v>
                </c:pt>
                <c:pt idx="30">
                  <c:v>1.5244443206450304</c:v>
                </c:pt>
                <c:pt idx="31">
                  <c:v>1.4492073308251894</c:v>
                </c:pt>
                <c:pt idx="32">
                  <c:v>1.4559348536891219</c:v>
                </c:pt>
                <c:pt idx="33">
                  <c:v>1.5668936098895327</c:v>
                </c:pt>
                <c:pt idx="34">
                  <c:v>1.5012503886452198</c:v>
                </c:pt>
                <c:pt idx="35">
                  <c:v>1.5987424039189877</c:v>
                </c:pt>
                <c:pt idx="36">
                  <c:v>1.4415181481923287</c:v>
                </c:pt>
                <c:pt idx="37">
                  <c:v>1.4415181481923287</c:v>
                </c:pt>
              </c:numCache>
            </c:numRef>
          </c:xVal>
          <c:yVal>
            <c:numRef>
              <c:f>Regressions!$CN$30:$CN$67</c:f>
              <c:numCache>
                <c:formatCode>General</c:formatCode>
                <c:ptCount val="38"/>
                <c:pt idx="0">
                  <c:v>-2.052845290487082E-2</c:v>
                </c:pt>
                <c:pt idx="1">
                  <c:v>-3.1657426458187032E-4</c:v>
                </c:pt>
                <c:pt idx="2">
                  <c:v>-1.8454938629915763E-2</c:v>
                </c:pt>
                <c:pt idx="3">
                  <c:v>1.7410241369961721E-3</c:v>
                </c:pt>
                <c:pt idx="4">
                  <c:v>-1.726047631811567E-2</c:v>
                </c:pt>
                <c:pt idx="5">
                  <c:v>-4.7832462579487256E-2</c:v>
                </c:pt>
                <c:pt idx="6">
                  <c:v>1.7982760289444011E-2</c:v>
                </c:pt>
                <c:pt idx="7">
                  <c:v>-5.6140942556806017E-3</c:v>
                </c:pt>
                <c:pt idx="8">
                  <c:v>4.0934175476736945E-2</c:v>
                </c:pt>
                <c:pt idx="9">
                  <c:v>4.1661688217379922E-2</c:v>
                </c:pt>
                <c:pt idx="10">
                  <c:v>4.209460374778029E-2</c:v>
                </c:pt>
                <c:pt idx="11">
                  <c:v>1.2329669969515233E-3</c:v>
                </c:pt>
                <c:pt idx="12">
                  <c:v>2.8529289393149249E-2</c:v>
                </c:pt>
                <c:pt idx="13">
                  <c:v>2.5681609424889951E-2</c:v>
                </c:pt>
                <c:pt idx="14">
                  <c:v>1.1001258595963348E-2</c:v>
                </c:pt>
                <c:pt idx="15">
                  <c:v>-2.9428622262850368E-5</c:v>
                </c:pt>
                <c:pt idx="16">
                  <c:v>-2.0723992144652481E-2</c:v>
                </c:pt>
                <c:pt idx="17">
                  <c:v>1.7869716467355579E-2</c:v>
                </c:pt>
                <c:pt idx="18">
                  <c:v>-2.7870725260115137E-3</c:v>
                </c:pt>
                <c:pt idx="19">
                  <c:v>2.7764491173313921E-2</c:v>
                </c:pt>
                <c:pt idx="20">
                  <c:v>-3.3779676950405735E-2</c:v>
                </c:pt>
                <c:pt idx="21">
                  <c:v>1.8880865444803163E-2</c:v>
                </c:pt>
                <c:pt idx="22">
                  <c:v>2.6696411267282505E-2</c:v>
                </c:pt>
                <c:pt idx="23">
                  <c:v>-4.7097061769603377E-2</c:v>
                </c:pt>
                <c:pt idx="24">
                  <c:v>-5.5427612381342417E-3</c:v>
                </c:pt>
                <c:pt idx="25">
                  <c:v>-3.3150898819058083E-2</c:v>
                </c:pt>
                <c:pt idx="26">
                  <c:v>2.6248252508717984E-2</c:v>
                </c:pt>
                <c:pt idx="27">
                  <c:v>5.8275446028669631E-2</c:v>
                </c:pt>
                <c:pt idx="28">
                  <c:v>-3.938957614390115E-2</c:v>
                </c:pt>
                <c:pt idx="29">
                  <c:v>-2.4577888004974957E-2</c:v>
                </c:pt>
                <c:pt idx="30">
                  <c:v>-1.4444320645030428E-2</c:v>
                </c:pt>
                <c:pt idx="31">
                  <c:v>7.9266917481057853E-4</c:v>
                </c:pt>
                <c:pt idx="32">
                  <c:v>-5.9348536891219439E-3</c:v>
                </c:pt>
                <c:pt idx="33">
                  <c:v>-1.6893609889532701E-2</c:v>
                </c:pt>
                <c:pt idx="34">
                  <c:v>3.8749611354780278E-2</c:v>
                </c:pt>
                <c:pt idx="35">
                  <c:v>1.12575960810124E-2</c:v>
                </c:pt>
                <c:pt idx="36">
                  <c:v>-5.1518148192328805E-2</c:v>
                </c:pt>
                <c:pt idx="37">
                  <c:v>-3.1518148192328788E-2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11-48C2-9B29-FF6EB1C4A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32992"/>
        <c:axId val="62148608"/>
      </c:scatterChart>
      <c:valAx>
        <c:axId val="62132992"/>
        <c:scaling>
          <c:orientation val="minMax"/>
          <c:max val="1.7"/>
          <c:min val="1.3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Predicted SG50</a:t>
                </a:r>
              </a:p>
            </c:rich>
          </c:tx>
          <c:layout>
            <c:manualLayout>
              <c:xMode val="edge"/>
              <c:yMode val="edge"/>
              <c:x val="0.41575670027309675"/>
              <c:y val="0.870095768597577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48608"/>
        <c:crossesAt val="-0.06"/>
        <c:crossBetween val="midCat"/>
      </c:valAx>
      <c:valAx>
        <c:axId val="62148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Residual</a:t>
                </a:r>
              </a:p>
            </c:rich>
          </c:tx>
          <c:layout>
            <c:manualLayout>
              <c:xMode val="edge"/>
              <c:yMode val="edge"/>
              <c:x val="1.7505545274656704E-2"/>
              <c:y val="0.274926093549928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3299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102990033222592"/>
          <c:y val="9.3199107071477327E-2"/>
          <c:w val="0.73920265780730898"/>
          <c:h val="0.64987485471462569"/>
        </c:manualLayout>
      </c:layout>
      <c:scatterChart>
        <c:scatterStyle val="lineMarker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F5-47E5-8DD2-F016034ABB64}"/>
            </c:ext>
          </c:extLst>
        </c:ser>
        <c:ser>
          <c:idx val="2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F5-47E5-8DD2-F016034ABB64}"/>
            </c:ext>
          </c:extLst>
        </c:ser>
        <c:ser>
          <c:idx val="3"/>
          <c:order val="2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"/>
              </a:ln>
            </c:spPr>
            <c:trendlineType val="linear"/>
            <c:forward val="3"/>
            <c:backward val="12"/>
            <c:dispRSqr val="0"/>
            <c:dispEq val="0"/>
          </c:trendline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F5-47E5-8DD2-F016034ABB64}"/>
            </c:ext>
          </c:extLst>
        </c:ser>
        <c:ser>
          <c:idx val="0"/>
          <c:order val="3"/>
          <c:tx>
            <c:strRef>
              <c:f>CIs!$C$1</c:f>
              <c:strCache>
                <c:ptCount val="1"/>
                <c:pt idx="0">
                  <c:v>SG50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(CIs!$B$2:$B$78,CIs!$L$24:$L$26)</c:f>
              <c:numCache>
                <c:formatCode>0.00</c:formatCode>
                <c:ptCount val="80"/>
                <c:pt idx="0">
                  <c:v>1.3984276536813294</c:v>
                </c:pt>
                <c:pt idx="1">
                  <c:v>1.3912541222020778</c:v>
                </c:pt>
                <c:pt idx="2">
                  <c:v>1.4489769919786504</c:v>
                </c:pt>
                <c:pt idx="3">
                  <c:v>1.4514430350272107</c:v>
                </c:pt>
                <c:pt idx="4">
                  <c:v>1.385816091889108</c:v>
                </c:pt>
                <c:pt idx="5">
                  <c:v>1.4201699818451772</c:v>
                </c:pt>
                <c:pt idx="6">
                  <c:v>1.5508823013179267</c:v>
                </c:pt>
                <c:pt idx="7">
                  <c:v>1.4596221688456783</c:v>
                </c:pt>
                <c:pt idx="8">
                  <c:v>1.3979834916816039</c:v>
                </c:pt>
                <c:pt idx="9">
                  <c:v>1.417364132666739</c:v>
                </c:pt>
                <c:pt idx="10">
                  <c:v>1.4562163648368482</c:v>
                </c:pt>
                <c:pt idx="11">
                  <c:v>1.4586406730046892</c:v>
                </c:pt>
                <c:pt idx="12">
                  <c:v>1.4183408594080982</c:v>
                </c:pt>
                <c:pt idx="13">
                  <c:v>1.3726982046639744</c:v>
                </c:pt>
                <c:pt idx="14">
                  <c:v>1.4328987639032338</c:v>
                </c:pt>
                <c:pt idx="15">
                  <c:v>1.4751344572421274</c:v>
                </c:pt>
                <c:pt idx="16">
                  <c:v>1.6013540275417952</c:v>
                </c:pt>
                <c:pt idx="17">
                  <c:v>1.5103885982397696</c:v>
                </c:pt>
                <c:pt idx="18">
                  <c:v>1.4737581985582136</c:v>
                </c:pt>
                <c:pt idx="19">
                  <c:v>1.4861262915945819</c:v>
                </c:pt>
                <c:pt idx="20">
                  <c:v>1.5170401264114322</c:v>
                </c:pt>
                <c:pt idx="21">
                  <c:v>1.6891943386930635</c:v>
                </c:pt>
                <c:pt idx="22">
                  <c:v>1.3877348502549509</c:v>
                </c:pt>
                <c:pt idx="23">
                  <c:v>1.4288224180354803</c:v>
                </c:pt>
                <c:pt idx="24">
                  <c:v>1.5124088442053907</c:v>
                </c:pt>
                <c:pt idx="25">
                  <c:v>1.4513080099099529</c:v>
                </c:pt>
                <c:pt idx="26">
                  <c:v>1.5027653319305845</c:v>
                </c:pt>
                <c:pt idx="27">
                  <c:v>1.5551528145990332</c:v>
                </c:pt>
                <c:pt idx="28">
                  <c:v>1.5357786313582729</c:v>
                </c:pt>
                <c:pt idx="29">
                  <c:v>1.5057971361918465</c:v>
                </c:pt>
                <c:pt idx="30">
                  <c:v>1.5020057412123471</c:v>
                </c:pt>
                <c:pt idx="31">
                  <c:v>1.4480668008408077</c:v>
                </c:pt>
                <c:pt idx="32">
                  <c:v>1.4478978957864932</c:v>
                </c:pt>
                <c:pt idx="33">
                  <c:v>1.5355312730500383</c:v>
                </c:pt>
                <c:pt idx="34">
                  <c:v>1.5099438824597939</c:v>
                </c:pt>
                <c:pt idx="35">
                  <c:v>1.6183507749183477</c:v>
                </c:pt>
                <c:pt idx="36">
                  <c:v>1.4723523600067132</c:v>
                </c:pt>
                <c:pt idx="37">
                  <c:v>1.4723523600067132</c:v>
                </c:pt>
                <c:pt idx="77" formatCode="General">
                  <c:v>1.7099999999999789</c:v>
                </c:pt>
                <c:pt idx="78" formatCode="General">
                  <c:v>1.7299999999999771</c:v>
                </c:pt>
                <c:pt idx="79" formatCode="General">
                  <c:v>1.7499999999999756</c:v>
                </c:pt>
              </c:numCache>
            </c:numRef>
          </c:xVal>
          <c:yVal>
            <c:numRef>
              <c:f>CIs!$C$2:$C$78</c:f>
              <c:numCache>
                <c:formatCode>0.00</c:formatCode>
                <c:ptCount val="77"/>
                <c:pt idx="0">
                  <c:v>1.39</c:v>
                </c:pt>
                <c:pt idx="1">
                  <c:v>1.4</c:v>
                </c:pt>
                <c:pt idx="2">
                  <c:v>1.42</c:v>
                </c:pt>
                <c:pt idx="3">
                  <c:v>1.45</c:v>
                </c:pt>
                <c:pt idx="4">
                  <c:v>1.39</c:v>
                </c:pt>
                <c:pt idx="5">
                  <c:v>1.38</c:v>
                </c:pt>
                <c:pt idx="6">
                  <c:v>1.55</c:v>
                </c:pt>
                <c:pt idx="7">
                  <c:v>1.45</c:v>
                </c:pt>
                <c:pt idx="8">
                  <c:v>1.44</c:v>
                </c:pt>
                <c:pt idx="9">
                  <c:v>1.44</c:v>
                </c:pt>
                <c:pt idx="10">
                  <c:v>1.5</c:v>
                </c:pt>
                <c:pt idx="11">
                  <c:v>1.45</c:v>
                </c:pt>
                <c:pt idx="12">
                  <c:v>1.44</c:v>
                </c:pt>
                <c:pt idx="13">
                  <c:v>1.42</c:v>
                </c:pt>
                <c:pt idx="14">
                  <c:v>1.44</c:v>
                </c:pt>
                <c:pt idx="15">
                  <c:v>1.44</c:v>
                </c:pt>
                <c:pt idx="16">
                  <c:v>1.6</c:v>
                </c:pt>
                <c:pt idx="17">
                  <c:v>1.52</c:v>
                </c:pt>
                <c:pt idx="18">
                  <c:v>1.46</c:v>
                </c:pt>
                <c:pt idx="19">
                  <c:v>1.54</c:v>
                </c:pt>
                <c:pt idx="20">
                  <c:v>1.48</c:v>
                </c:pt>
                <c:pt idx="21">
                  <c:v>1.71</c:v>
                </c:pt>
                <c:pt idx="22">
                  <c:v>1.41</c:v>
                </c:pt>
                <c:pt idx="23">
                  <c:v>1.38</c:v>
                </c:pt>
                <c:pt idx="24">
                  <c:v>1.5</c:v>
                </c:pt>
                <c:pt idx="25">
                  <c:v>1.44</c:v>
                </c:pt>
                <c:pt idx="26">
                  <c:v>1.51</c:v>
                </c:pt>
                <c:pt idx="27">
                  <c:v>1.62</c:v>
                </c:pt>
                <c:pt idx="28">
                  <c:v>1.51</c:v>
                </c:pt>
                <c:pt idx="29">
                  <c:v>1.51</c:v>
                </c:pt>
                <c:pt idx="30">
                  <c:v>1.51</c:v>
                </c:pt>
                <c:pt idx="31">
                  <c:v>1.45</c:v>
                </c:pt>
                <c:pt idx="32">
                  <c:v>1.45</c:v>
                </c:pt>
                <c:pt idx="33">
                  <c:v>1.55</c:v>
                </c:pt>
                <c:pt idx="34">
                  <c:v>1.54</c:v>
                </c:pt>
                <c:pt idx="35">
                  <c:v>1.61</c:v>
                </c:pt>
                <c:pt idx="36">
                  <c:v>1.39</c:v>
                </c:pt>
                <c:pt idx="37">
                  <c:v>1.41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F5-47E5-8DD2-F016034ABB64}"/>
            </c:ext>
          </c:extLst>
        </c:ser>
        <c:ser>
          <c:idx val="4"/>
          <c:order val="4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(CIs!$L$4:$L$24,CIs!$L$24:$L$26)</c:f>
              <c:numCache>
                <c:formatCode>General</c:formatCode>
                <c:ptCount val="24"/>
                <c:pt idx="0">
                  <c:v>1.3100000000000114</c:v>
                </c:pt>
                <c:pt idx="1">
                  <c:v>1.3300000000000098</c:v>
                </c:pt>
                <c:pt idx="2">
                  <c:v>1.3500000000000081</c:v>
                </c:pt>
                <c:pt idx="3">
                  <c:v>1.3700000000000065</c:v>
                </c:pt>
                <c:pt idx="4">
                  <c:v>1.3900000000000048</c:v>
                </c:pt>
                <c:pt idx="5">
                  <c:v>1.4100000000000033</c:v>
                </c:pt>
                <c:pt idx="6">
                  <c:v>1.4300000000000015</c:v>
                </c:pt>
                <c:pt idx="7">
                  <c:v>1.45</c:v>
                </c:pt>
                <c:pt idx="8">
                  <c:v>1.4699999999999984</c:v>
                </c:pt>
                <c:pt idx="9">
                  <c:v>1.4899999999999967</c:v>
                </c:pt>
                <c:pt idx="10">
                  <c:v>1.5099999999999951</c:v>
                </c:pt>
                <c:pt idx="11">
                  <c:v>1.5299999999999934</c:v>
                </c:pt>
                <c:pt idx="12">
                  <c:v>1.5499999999999918</c:v>
                </c:pt>
                <c:pt idx="13">
                  <c:v>1.5699999999999903</c:v>
                </c:pt>
                <c:pt idx="14">
                  <c:v>1.5899999999999885</c:v>
                </c:pt>
                <c:pt idx="15">
                  <c:v>1.609999999999987</c:v>
                </c:pt>
                <c:pt idx="16">
                  <c:v>1.6299999999999852</c:v>
                </c:pt>
                <c:pt idx="17">
                  <c:v>1.6499999999999837</c:v>
                </c:pt>
                <c:pt idx="18">
                  <c:v>1.6699999999999819</c:v>
                </c:pt>
                <c:pt idx="19">
                  <c:v>1.6899999999999804</c:v>
                </c:pt>
                <c:pt idx="20">
                  <c:v>1.7099999999999789</c:v>
                </c:pt>
                <c:pt idx="21">
                  <c:v>1.7099999999999789</c:v>
                </c:pt>
                <c:pt idx="22">
                  <c:v>1.7299999999999771</c:v>
                </c:pt>
                <c:pt idx="23">
                  <c:v>1.7499999999999756</c:v>
                </c:pt>
              </c:numCache>
            </c:numRef>
          </c:xVal>
          <c:yVal>
            <c:numRef>
              <c:f>(CIs!$M$4:$M$24,CIs!$M$24:$M$26)</c:f>
              <c:numCache>
                <c:formatCode>General</c:formatCode>
                <c:ptCount val="24"/>
                <c:pt idx="0">
                  <c:v>1.2822939974059082</c:v>
                </c:pt>
                <c:pt idx="1">
                  <c:v>1.3051290142051253</c:v>
                </c:pt>
                <c:pt idx="2">
                  <c:v>1.3278961426513569</c:v>
                </c:pt>
                <c:pt idx="3">
                  <c:v>1.3505663614939278</c:v>
                </c:pt>
                <c:pt idx="4">
                  <c:v>1.3730936898734383</c:v>
                </c:pt>
                <c:pt idx="5">
                  <c:v>1.3954037141977313</c:v>
                </c:pt>
                <c:pt idx="6">
                  <c:v>1.4173765687325992</c:v>
                </c:pt>
                <c:pt idx="7">
                  <c:v>1.438832113211564</c:v>
                </c:pt>
                <c:pt idx="8">
                  <c:v>1.4595518616830025</c:v>
                </c:pt>
                <c:pt idx="9">
                  <c:v>1.4793850711788459</c:v>
                </c:pt>
                <c:pt idx="10">
                  <c:v>1.4983698214080565</c:v>
                </c:pt>
                <c:pt idx="11">
                  <c:v>1.5166989994775539</c:v>
                </c:pt>
                <c:pt idx="12">
                  <c:v>1.5345843133032939</c:v>
                </c:pt>
                <c:pt idx="13">
                  <c:v>1.5521831147958129</c:v>
                </c:pt>
                <c:pt idx="14">
                  <c:v>1.5695963086417519</c:v>
                </c:pt>
                <c:pt idx="15">
                  <c:v>1.5868861283139024</c:v>
                </c:pt>
                <c:pt idx="16">
                  <c:v>1.6040912615472034</c:v>
                </c:pt>
                <c:pt idx="17">
                  <c:v>1.6212363838725945</c:v>
                </c:pt>
                <c:pt idx="18">
                  <c:v>1.6383377240576527</c:v>
                </c:pt>
                <c:pt idx="19">
                  <c:v>1.6554062860682865</c:v>
                </c:pt>
                <c:pt idx="20">
                  <c:v>1.6724497458071934</c:v>
                </c:pt>
                <c:pt idx="21">
                  <c:v>1.6724497458071934</c:v>
                </c:pt>
                <c:pt idx="22">
                  <c:v>1.6894735967927714</c:v>
                </c:pt>
                <c:pt idx="23">
                  <c:v>1.7064818618906945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3F5-47E5-8DD2-F016034ABB64}"/>
            </c:ext>
          </c:extLst>
        </c:ser>
        <c:ser>
          <c:idx val="5"/>
          <c:order val="5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(CIs!$L$4:$L$24,CIs!$L$24:$L$26)</c:f>
              <c:numCache>
                <c:formatCode>General</c:formatCode>
                <c:ptCount val="24"/>
                <c:pt idx="0">
                  <c:v>1.3100000000000114</c:v>
                </c:pt>
                <c:pt idx="1">
                  <c:v>1.3300000000000098</c:v>
                </c:pt>
                <c:pt idx="2">
                  <c:v>1.3500000000000081</c:v>
                </c:pt>
                <c:pt idx="3">
                  <c:v>1.3700000000000065</c:v>
                </c:pt>
                <c:pt idx="4">
                  <c:v>1.3900000000000048</c:v>
                </c:pt>
                <c:pt idx="5">
                  <c:v>1.4100000000000033</c:v>
                </c:pt>
                <c:pt idx="6">
                  <c:v>1.4300000000000015</c:v>
                </c:pt>
                <c:pt idx="7">
                  <c:v>1.45</c:v>
                </c:pt>
                <c:pt idx="8">
                  <c:v>1.4699999999999984</c:v>
                </c:pt>
                <c:pt idx="9">
                  <c:v>1.4899999999999967</c:v>
                </c:pt>
                <c:pt idx="10">
                  <c:v>1.5099999999999951</c:v>
                </c:pt>
                <c:pt idx="11">
                  <c:v>1.5299999999999934</c:v>
                </c:pt>
                <c:pt idx="12">
                  <c:v>1.5499999999999918</c:v>
                </c:pt>
                <c:pt idx="13">
                  <c:v>1.5699999999999903</c:v>
                </c:pt>
                <c:pt idx="14">
                  <c:v>1.5899999999999885</c:v>
                </c:pt>
                <c:pt idx="15">
                  <c:v>1.609999999999987</c:v>
                </c:pt>
                <c:pt idx="16">
                  <c:v>1.6299999999999852</c:v>
                </c:pt>
                <c:pt idx="17">
                  <c:v>1.6499999999999837</c:v>
                </c:pt>
                <c:pt idx="18">
                  <c:v>1.6699999999999819</c:v>
                </c:pt>
                <c:pt idx="19">
                  <c:v>1.6899999999999804</c:v>
                </c:pt>
                <c:pt idx="20">
                  <c:v>1.7099999999999789</c:v>
                </c:pt>
                <c:pt idx="21">
                  <c:v>1.7099999999999789</c:v>
                </c:pt>
                <c:pt idx="22">
                  <c:v>1.7299999999999771</c:v>
                </c:pt>
                <c:pt idx="23">
                  <c:v>1.7499999999999756</c:v>
                </c:pt>
              </c:numCache>
            </c:numRef>
          </c:xVal>
          <c:yVal>
            <c:numRef>
              <c:f>(CIs!$N$4:$N$24,CIs!$N$24:$N$26)</c:f>
              <c:numCache>
                <c:formatCode>General</c:formatCode>
                <c:ptCount val="24"/>
                <c:pt idx="0">
                  <c:v>1.3377060025941145</c:v>
                </c:pt>
                <c:pt idx="1">
                  <c:v>1.3548709857948944</c:v>
                </c:pt>
                <c:pt idx="2">
                  <c:v>1.3721038573486593</c:v>
                </c:pt>
                <c:pt idx="3">
                  <c:v>1.3894336385060853</c:v>
                </c:pt>
                <c:pt idx="4">
                  <c:v>1.4069063101265713</c:v>
                </c:pt>
                <c:pt idx="5">
                  <c:v>1.4245962858022752</c:v>
                </c:pt>
                <c:pt idx="6">
                  <c:v>1.4426234312674038</c:v>
                </c:pt>
                <c:pt idx="7">
                  <c:v>1.4611678867884359</c:v>
                </c:pt>
                <c:pt idx="8">
                  <c:v>1.4804481383169943</c:v>
                </c:pt>
                <c:pt idx="9">
                  <c:v>1.5006149288211474</c:v>
                </c:pt>
                <c:pt idx="10">
                  <c:v>1.5216301785919337</c:v>
                </c:pt>
                <c:pt idx="11">
                  <c:v>1.5433010005224328</c:v>
                </c:pt>
                <c:pt idx="12">
                  <c:v>1.5654156866966897</c:v>
                </c:pt>
                <c:pt idx="13">
                  <c:v>1.5878168852041676</c:v>
                </c:pt>
                <c:pt idx="14">
                  <c:v>1.6104036913582251</c:v>
                </c:pt>
                <c:pt idx="15">
                  <c:v>1.6331138716860716</c:v>
                </c:pt>
                <c:pt idx="16">
                  <c:v>1.6559087384527671</c:v>
                </c:pt>
                <c:pt idx="17">
                  <c:v>1.6787636161273729</c:v>
                </c:pt>
                <c:pt idx="18">
                  <c:v>1.7016622759423112</c:v>
                </c:pt>
                <c:pt idx="19">
                  <c:v>1.7245937139316743</c:v>
                </c:pt>
                <c:pt idx="20">
                  <c:v>1.7475502541927643</c:v>
                </c:pt>
                <c:pt idx="21">
                  <c:v>1.7475502541927643</c:v>
                </c:pt>
                <c:pt idx="22">
                  <c:v>1.7705264032071828</c:v>
                </c:pt>
                <c:pt idx="23">
                  <c:v>1.7935181381092566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3F5-47E5-8DD2-F016034ABB64}"/>
            </c:ext>
          </c:extLst>
        </c:ser>
        <c:ser>
          <c:idx val="6"/>
          <c:order val="6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CIs!$O$4:$O$26</c:f>
              <c:numCache>
                <c:formatCode>General</c:formatCode>
                <c:ptCount val="23"/>
                <c:pt idx="0">
                  <c:v>1.3100000000000114</c:v>
                </c:pt>
                <c:pt idx="1">
                  <c:v>1.3300000000000098</c:v>
                </c:pt>
                <c:pt idx="2">
                  <c:v>1.3500000000000081</c:v>
                </c:pt>
                <c:pt idx="3">
                  <c:v>1.3700000000000065</c:v>
                </c:pt>
                <c:pt idx="4">
                  <c:v>1.3900000000000048</c:v>
                </c:pt>
                <c:pt idx="5">
                  <c:v>1.4100000000000033</c:v>
                </c:pt>
                <c:pt idx="6">
                  <c:v>1.4300000000000015</c:v>
                </c:pt>
                <c:pt idx="7">
                  <c:v>1.45</c:v>
                </c:pt>
                <c:pt idx="8">
                  <c:v>1.4699999999999984</c:v>
                </c:pt>
                <c:pt idx="9">
                  <c:v>1.4899999999999967</c:v>
                </c:pt>
                <c:pt idx="10">
                  <c:v>1.5099999999999951</c:v>
                </c:pt>
                <c:pt idx="11">
                  <c:v>1.5299999999999934</c:v>
                </c:pt>
                <c:pt idx="12">
                  <c:v>1.5499999999999918</c:v>
                </c:pt>
                <c:pt idx="13">
                  <c:v>1.5699999999999903</c:v>
                </c:pt>
                <c:pt idx="14">
                  <c:v>1.5899999999999885</c:v>
                </c:pt>
                <c:pt idx="15">
                  <c:v>1.609999999999987</c:v>
                </c:pt>
                <c:pt idx="16">
                  <c:v>1.6299999999999852</c:v>
                </c:pt>
                <c:pt idx="17">
                  <c:v>1.6499999999999837</c:v>
                </c:pt>
                <c:pt idx="18">
                  <c:v>1.6699999999999819</c:v>
                </c:pt>
                <c:pt idx="19">
                  <c:v>1.6899999999999804</c:v>
                </c:pt>
                <c:pt idx="20">
                  <c:v>1.7099999999999789</c:v>
                </c:pt>
                <c:pt idx="21">
                  <c:v>1.7299999999999771</c:v>
                </c:pt>
                <c:pt idx="22">
                  <c:v>1.7499999999999756</c:v>
                </c:pt>
              </c:numCache>
            </c:numRef>
          </c:xVal>
          <c:yVal>
            <c:numRef>
              <c:f>CIs!$P$4:$P$26</c:f>
              <c:numCache>
                <c:formatCode>General</c:formatCode>
                <c:ptCount val="23"/>
                <c:pt idx="0">
                  <c:v>1.240145120295858</c:v>
                </c:pt>
                <c:pt idx="1">
                  <c:v>1.2612202967937103</c:v>
                </c:pt>
                <c:pt idx="2">
                  <c:v>1.2821718189214415</c:v>
                </c:pt>
                <c:pt idx="3">
                  <c:v>1.3029944185584412</c:v>
                </c:pt>
                <c:pt idx="4">
                  <c:v>1.3236832980250652</c:v>
                </c:pt>
                <c:pt idx="5">
                  <c:v>1.3442342551326416</c:v>
                </c:pt>
                <c:pt idx="6">
                  <c:v>1.364643801704047</c:v>
                </c:pt>
                <c:pt idx="7">
                  <c:v>1.3849092684473694</c:v>
                </c:pt>
                <c:pt idx="8">
                  <c:v>1.4050288892427674</c:v>
                </c:pt>
                <c:pt idx="9">
                  <c:v>1.4250018588526114</c:v>
                </c:pt>
                <c:pt idx="10">
                  <c:v>1.4448283597504381</c:v>
                </c:pt>
                <c:pt idx="11">
                  <c:v>1.4645095560128341</c:v>
                </c:pt>
                <c:pt idx="12">
                  <c:v>1.4840475547453384</c:v>
                </c:pt>
                <c:pt idx="13">
                  <c:v>1.5034453379760859</c:v>
                </c:pt>
                <c:pt idx="14">
                  <c:v>1.5227066700201199</c:v>
                </c:pt>
                <c:pt idx="15">
                  <c:v>1.5418359867447649</c:v>
                </c:pt>
                <c:pt idx="16">
                  <c:v>1.5608382738289883</c:v>
                </c:pt>
                <c:pt idx="17">
                  <c:v>1.579718941019195</c:v>
                </c:pt>
                <c:pt idx="18">
                  <c:v>1.5984836986653526</c:v>
                </c:pt>
                <c:pt idx="19">
                  <c:v>1.6171384416696428</c:v>
                </c:pt>
                <c:pt idx="20">
                  <c:v>1.6356891446107418</c:v>
                </c:pt>
                <c:pt idx="21">
                  <c:v>1.6541417704157697</c:v>
                </c:pt>
                <c:pt idx="22">
                  <c:v>1.6725021936875659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3F5-47E5-8DD2-F016034ABB64}"/>
            </c:ext>
          </c:extLst>
        </c:ser>
        <c:ser>
          <c:idx val="7"/>
          <c:order val="7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CIs!$O$4:$O$26</c:f>
              <c:numCache>
                <c:formatCode>General</c:formatCode>
                <c:ptCount val="23"/>
                <c:pt idx="0">
                  <c:v>1.3100000000000114</c:v>
                </c:pt>
                <c:pt idx="1">
                  <c:v>1.3300000000000098</c:v>
                </c:pt>
                <c:pt idx="2">
                  <c:v>1.3500000000000081</c:v>
                </c:pt>
                <c:pt idx="3">
                  <c:v>1.3700000000000065</c:v>
                </c:pt>
                <c:pt idx="4">
                  <c:v>1.3900000000000048</c:v>
                </c:pt>
                <c:pt idx="5">
                  <c:v>1.4100000000000033</c:v>
                </c:pt>
                <c:pt idx="6">
                  <c:v>1.4300000000000015</c:v>
                </c:pt>
                <c:pt idx="7">
                  <c:v>1.45</c:v>
                </c:pt>
                <c:pt idx="8">
                  <c:v>1.4699999999999984</c:v>
                </c:pt>
                <c:pt idx="9">
                  <c:v>1.4899999999999967</c:v>
                </c:pt>
                <c:pt idx="10">
                  <c:v>1.5099999999999951</c:v>
                </c:pt>
                <c:pt idx="11">
                  <c:v>1.5299999999999934</c:v>
                </c:pt>
                <c:pt idx="12">
                  <c:v>1.5499999999999918</c:v>
                </c:pt>
                <c:pt idx="13">
                  <c:v>1.5699999999999903</c:v>
                </c:pt>
                <c:pt idx="14">
                  <c:v>1.5899999999999885</c:v>
                </c:pt>
                <c:pt idx="15">
                  <c:v>1.609999999999987</c:v>
                </c:pt>
                <c:pt idx="16">
                  <c:v>1.6299999999999852</c:v>
                </c:pt>
                <c:pt idx="17">
                  <c:v>1.6499999999999837</c:v>
                </c:pt>
                <c:pt idx="18">
                  <c:v>1.6699999999999819</c:v>
                </c:pt>
                <c:pt idx="19">
                  <c:v>1.6899999999999804</c:v>
                </c:pt>
                <c:pt idx="20">
                  <c:v>1.7099999999999789</c:v>
                </c:pt>
                <c:pt idx="21">
                  <c:v>1.7299999999999771</c:v>
                </c:pt>
                <c:pt idx="22">
                  <c:v>1.7499999999999756</c:v>
                </c:pt>
              </c:numCache>
            </c:numRef>
          </c:xVal>
          <c:yVal>
            <c:numRef>
              <c:f>CIs!$Q$4:$Q$26</c:f>
              <c:numCache>
                <c:formatCode>General</c:formatCode>
                <c:ptCount val="23"/>
                <c:pt idx="0">
                  <c:v>1.3798548797041648</c:v>
                </c:pt>
                <c:pt idx="1">
                  <c:v>1.3987797032063094</c:v>
                </c:pt>
                <c:pt idx="2">
                  <c:v>1.4178281810785747</c:v>
                </c:pt>
                <c:pt idx="3">
                  <c:v>1.4370055814415719</c:v>
                </c:pt>
                <c:pt idx="4">
                  <c:v>1.4563167019749443</c:v>
                </c:pt>
                <c:pt idx="5">
                  <c:v>1.4757657448673649</c:v>
                </c:pt>
                <c:pt idx="6">
                  <c:v>1.495356198295956</c:v>
                </c:pt>
                <c:pt idx="7">
                  <c:v>1.5150907315526305</c:v>
                </c:pt>
                <c:pt idx="8">
                  <c:v>1.5349711107572295</c:v>
                </c:pt>
                <c:pt idx="9">
                  <c:v>1.5549981411473819</c:v>
                </c:pt>
                <c:pt idx="10">
                  <c:v>1.5751716402495521</c:v>
                </c:pt>
                <c:pt idx="11">
                  <c:v>1.5954904439871527</c:v>
                </c:pt>
                <c:pt idx="12">
                  <c:v>1.6159524452546452</c:v>
                </c:pt>
                <c:pt idx="13">
                  <c:v>1.6365546620238947</c:v>
                </c:pt>
                <c:pt idx="14">
                  <c:v>1.6572933299798571</c:v>
                </c:pt>
                <c:pt idx="15">
                  <c:v>1.6781640132552091</c:v>
                </c:pt>
                <c:pt idx="16">
                  <c:v>1.6991617261709822</c:v>
                </c:pt>
                <c:pt idx="17">
                  <c:v>1.7202810589807724</c:v>
                </c:pt>
                <c:pt idx="18">
                  <c:v>1.7415163013346113</c:v>
                </c:pt>
                <c:pt idx="19">
                  <c:v>1.762861558330318</c:v>
                </c:pt>
                <c:pt idx="20">
                  <c:v>1.784310855389216</c:v>
                </c:pt>
                <c:pt idx="21">
                  <c:v>1.8058582295841845</c:v>
                </c:pt>
                <c:pt idx="22">
                  <c:v>1.8274978063123852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3F5-47E5-8DD2-F016034AB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25920"/>
        <c:axId val="70228224"/>
      </c:scatterChart>
      <c:valAx>
        <c:axId val="70225920"/>
        <c:scaling>
          <c:orientation val="minMax"/>
          <c:max val="1.75"/>
          <c:min val="1.3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Predicted SG50</a:t>
                </a:r>
              </a:p>
            </c:rich>
          </c:tx>
          <c:layout>
            <c:manualLayout>
              <c:xMode val="edge"/>
              <c:yMode val="edge"/>
              <c:x val="0.43355481727574752"/>
              <c:y val="0.856424227143305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228224"/>
        <c:crosses val="autoZero"/>
        <c:crossBetween val="midCat"/>
      </c:valAx>
      <c:valAx>
        <c:axId val="70228224"/>
        <c:scaling>
          <c:orientation val="minMax"/>
          <c:max val="1.75"/>
          <c:min val="1.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Observed SG50</a:t>
                </a:r>
              </a:p>
            </c:rich>
          </c:tx>
          <c:layout>
            <c:manualLayout>
              <c:xMode val="edge"/>
              <c:yMode val="edge"/>
              <c:x val="3.6544850498338874E-2"/>
              <c:y val="0.224181635928688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225920"/>
        <c:crosses val="autoZero"/>
        <c:crossBetween val="midCat"/>
        <c:majorUnit val="0.0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90</xdr:col>
      <xdr:colOff>38100</xdr:colOff>
      <xdr:row>33</xdr:row>
      <xdr:rowOff>133350</xdr:rowOff>
    </xdr:from>
    <xdr:to>
      <xdr:col>94</xdr:col>
      <xdr:colOff>558800</xdr:colOff>
      <xdr:row>46</xdr:row>
      <xdr:rowOff>146050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95</xdr:col>
      <xdr:colOff>57150</xdr:colOff>
      <xdr:row>34</xdr:row>
      <xdr:rowOff>19050</xdr:rowOff>
    </xdr:from>
    <xdr:to>
      <xdr:col>99</xdr:col>
      <xdr:colOff>469900</xdr:colOff>
      <xdr:row>47</xdr:row>
      <xdr:rowOff>38100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0.20083</cdr:x>
      <cdr:y>0.46169</cdr:y>
    </cdr:from>
    <cdr:to>
      <cdr:x>0.95382</cdr:x>
      <cdr:y>0.46169</cdr:y>
    </cdr:to>
    <cdr:sp macro="" textlink="">
      <cdr:nvSpPr>
        <cdr:cNvPr id="307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84073" y="973334"/>
          <a:ext cx="2189928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254000</xdr:colOff>
      <xdr:row>11</xdr:row>
      <xdr:rowOff>38100</xdr:rowOff>
    </xdr:from>
    <xdr:to>
      <xdr:col>16</xdr:col>
      <xdr:colOff>139700</xdr:colOff>
      <xdr:row>27</xdr:row>
      <xdr:rowOff>6350</xdr:rowOff>
    </xdr:to>
    <xdr:graphicFrame macro="">
      <xdr:nvGraphicFramePr>
        <xdr:cNvPr id="7171" name="Chart 3">
          <a:extLst>
            <a:ext uri="{FF2B5EF4-FFF2-40B4-BE49-F238E27FC236}">
              <a16:creationId xmlns:a16="http://schemas.microsoft.com/office/drawing/2014/main" id="{00000000-0008-0000-0100-0000031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0.34936</cdr:x>
      <cdr:y>0.09257</cdr:y>
    </cdr:from>
    <cdr:to>
      <cdr:x>0.67449</cdr:x>
      <cdr:y>0.17055</cdr:y>
    </cdr:to>
    <cdr:sp macro="" textlink="">
      <cdr:nvSpPr>
        <cdr:cNvPr id="153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37702" y="233940"/>
          <a:ext cx="1244968" cy="1970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95% CI of predictions</a:t>
          </a:r>
        </a:p>
      </cdr:txBody>
    </cdr:sp>
  </cdr:relSizeAnchor>
  <cdr:relSizeAnchor xmlns:cdr="http://schemas.openxmlformats.org/drawingml/2006/chartDrawing">
    <cdr:from>
      <cdr:x>0.24154</cdr:x>
      <cdr:y>0.12328</cdr:y>
    </cdr:from>
    <cdr:to>
      <cdr:x>0.34936</cdr:x>
      <cdr:y>0.12328</cdr:y>
    </cdr:to>
    <cdr:sp macro="" textlink="">
      <cdr:nvSpPr>
        <cdr:cNvPr id="15362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924887" y="311563"/>
          <a:ext cx="412815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0.35228</cdr:x>
      <cdr:y>0.17199</cdr:y>
    </cdr:from>
    <cdr:to>
      <cdr:x>0.35228</cdr:x>
      <cdr:y>0.17199</cdr:y>
    </cdr:to>
    <cdr:sp macro="" textlink="">
      <cdr:nvSpPr>
        <cdr:cNvPr id="1536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8884" y="434667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95% CI of line</a:t>
          </a:r>
        </a:p>
      </cdr:txBody>
    </cdr:sp>
  </cdr:relSizeAnchor>
  <cdr:relSizeAnchor xmlns:cdr="http://schemas.openxmlformats.org/drawingml/2006/chartDrawing">
    <cdr:from>
      <cdr:x>0.24154</cdr:x>
      <cdr:y>0.19838</cdr:y>
    </cdr:from>
    <cdr:to>
      <cdr:x>0.34936</cdr:x>
      <cdr:y>0.19838</cdr:y>
    </cdr:to>
    <cdr:sp macro="" textlink="">
      <cdr:nvSpPr>
        <cdr:cNvPr id="15364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924887" y="501374"/>
          <a:ext cx="412815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0.19068</cdr:x>
      <cdr:y>0.09664</cdr:y>
    </cdr:from>
    <cdr:to>
      <cdr:x>0.931</cdr:x>
      <cdr:y>0.74115</cdr:y>
    </cdr:to>
    <cdr:sp macro="" textlink="">
      <cdr:nvSpPr>
        <cdr:cNvPr id="15365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730128" y="244250"/>
          <a:ext cx="2834725" cy="162885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8"/>
  <sheetViews>
    <sheetView workbookViewId="0">
      <selection activeCell="B1" sqref="B1"/>
    </sheetView>
  </sheetViews>
  <sheetFormatPr defaultRowHeight="12.75"/>
  <cols>
    <col min="1" max="1" width="77" customWidth="1"/>
    <col min="3" max="3" width="7.42578125" style="7" customWidth="1"/>
    <col min="4" max="4" width="20.140625" style="7" customWidth="1"/>
    <col min="5" max="5" width="8" style="8" customWidth="1"/>
    <col min="6" max="6" width="17.7109375" style="11" bestFit="1" customWidth="1"/>
    <col min="7" max="7" width="14" style="23" bestFit="1" customWidth="1"/>
    <col min="8" max="8" width="11.5703125" style="9" bestFit="1" customWidth="1"/>
    <col min="9" max="9" width="14.140625" style="9" bestFit="1" customWidth="1"/>
    <col min="10" max="10" width="11.5703125" style="10" bestFit="1" customWidth="1"/>
    <col min="12" max="12" width="13" customWidth="1"/>
    <col min="13" max="13" width="11.28515625" style="6" customWidth="1"/>
    <col min="14" max="14" width="9.140625" style="6" customWidth="1"/>
    <col min="15" max="15" width="8.28515625" style="6" customWidth="1"/>
    <col min="16" max="16" width="7.7109375" style="6" customWidth="1"/>
    <col min="17" max="17" width="9.85546875" style="6" customWidth="1"/>
    <col min="18" max="18" width="10" style="6" customWidth="1"/>
    <col min="19" max="19" width="7.28515625" style="8" customWidth="1"/>
    <col min="20" max="20" width="7.140625" style="7" customWidth="1"/>
    <col min="21" max="21" width="7.28515625" style="8" customWidth="1"/>
    <col min="22" max="22" width="7.5703125" style="11" customWidth="1"/>
    <col min="23" max="23" width="6.5703125" style="23" customWidth="1"/>
    <col min="24" max="24" width="7.5703125" style="9" customWidth="1"/>
    <col min="25" max="25" width="9.140625" style="7" customWidth="1"/>
    <col min="26" max="27" width="7.28515625" style="7" customWidth="1"/>
    <col min="28" max="29" width="7.28515625" style="19" customWidth="1"/>
    <col min="30" max="31" width="9.140625" style="7" customWidth="1"/>
    <col min="32" max="32" width="10.28515625" style="7" bestFit="1" customWidth="1"/>
    <col min="33" max="33" width="7.85546875" style="7" customWidth="1"/>
    <col min="34" max="34" width="9.140625" style="7" customWidth="1"/>
    <col min="35" max="35" width="7.7109375" style="7" customWidth="1"/>
    <col min="36" max="36" width="7.42578125" style="7" customWidth="1"/>
    <col min="37" max="39" width="9.140625" style="7" customWidth="1"/>
    <col min="40" max="40" width="7.7109375" style="9" customWidth="1"/>
    <col min="42" max="42" width="13.28515625" customWidth="1"/>
    <col min="43" max="43" width="11.28515625" customWidth="1"/>
    <col min="45" max="45" width="6.42578125" customWidth="1"/>
    <col min="46" max="46" width="7.85546875" style="6" customWidth="1"/>
    <col min="47" max="47" width="9.42578125" customWidth="1"/>
    <col min="48" max="48" width="9.5703125" style="6" customWidth="1"/>
    <col min="49" max="50" width="9.140625" style="6" customWidth="1"/>
    <col min="51" max="51" width="11.140625" style="6" bestFit="1" customWidth="1"/>
    <col min="52" max="52" width="7.140625" style="7" customWidth="1"/>
    <col min="53" max="53" width="7.28515625" style="8" customWidth="1"/>
    <col min="54" max="54" width="7.5703125" style="11" customWidth="1"/>
    <col min="55" max="55" width="6.5703125" style="23" customWidth="1"/>
    <col min="56" max="56" width="7.5703125" style="9" customWidth="1"/>
    <col min="57" max="57" width="9.140625" style="7" customWidth="1"/>
    <col min="58" max="59" width="7.28515625" style="7" customWidth="1"/>
    <col min="60" max="61" width="7.28515625" style="19" customWidth="1"/>
    <col min="62" max="63" width="9.140625" style="7" customWidth="1"/>
    <col min="64" max="64" width="10.28515625" style="7" bestFit="1" customWidth="1"/>
    <col min="65" max="65" width="7.85546875" style="7" customWidth="1"/>
    <col min="66" max="66" width="9.140625" style="7" customWidth="1"/>
    <col min="67" max="67" width="7.7109375" style="7" customWidth="1"/>
    <col min="68" max="68" width="7.42578125" style="7" customWidth="1"/>
    <col min="69" max="71" width="9.140625" style="7" customWidth="1"/>
    <col min="72" max="72" width="7.7109375" style="9" customWidth="1"/>
    <col min="74" max="74" width="13.28515625" customWidth="1"/>
    <col min="75" max="75" width="10.85546875" customWidth="1"/>
    <col min="77" max="77" width="7.85546875" customWidth="1"/>
    <col min="78" max="78" width="8.42578125" customWidth="1"/>
    <col min="79" max="79" width="9.85546875" customWidth="1"/>
    <col min="80" max="80" width="9.7109375" customWidth="1"/>
    <col min="81" max="81" width="9.140625" style="6" customWidth="1"/>
    <col min="82" max="82" width="7.140625" style="7" customWidth="1"/>
    <col min="83" max="83" width="6.5703125" style="23" customWidth="1"/>
    <col min="84" max="84" width="9.140625" style="7" customWidth="1"/>
    <col min="85" max="85" width="7.28515625" style="19" customWidth="1"/>
    <col min="86" max="86" width="7.85546875" style="7" customWidth="1"/>
    <col min="87" max="87" width="9.140625" style="7" customWidth="1"/>
    <col min="88" max="88" width="7.7109375" style="9" customWidth="1"/>
    <col min="90" max="90" width="13" customWidth="1"/>
    <col min="91" max="91" width="10.5703125" customWidth="1"/>
    <col min="93" max="93" width="7.5703125" customWidth="1"/>
    <col min="94" max="94" width="7.85546875" customWidth="1"/>
    <col min="95" max="95" width="9.7109375" customWidth="1"/>
    <col min="96" max="96" width="9.42578125" customWidth="1"/>
  </cols>
  <sheetData>
    <row r="1" spans="1:109" s="5" customFormat="1">
      <c r="A1" t="s">
        <v>61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3" t="s">
        <v>5</v>
      </c>
      <c r="I1" s="3" t="s">
        <v>6</v>
      </c>
      <c r="J1" s="4" t="s">
        <v>7</v>
      </c>
      <c r="L1" t="s">
        <v>8</v>
      </c>
      <c r="M1"/>
      <c r="N1"/>
      <c r="O1"/>
      <c r="P1"/>
      <c r="Q1"/>
      <c r="R1"/>
      <c r="S1" s="2"/>
      <c r="T1" s="1" t="s">
        <v>9</v>
      </c>
      <c r="U1" s="2" t="s">
        <v>10</v>
      </c>
      <c r="V1" s="2" t="s">
        <v>11</v>
      </c>
      <c r="W1" s="1" t="s">
        <v>12</v>
      </c>
      <c r="X1" s="3" t="s">
        <v>63</v>
      </c>
      <c r="Y1" s="1" t="s">
        <v>23</v>
      </c>
      <c r="Z1" s="1" t="s">
        <v>64</v>
      </c>
      <c r="AA1" s="1" t="s">
        <v>65</v>
      </c>
      <c r="AB1" s="20" t="s">
        <v>66</v>
      </c>
      <c r="AC1" s="21" t="s">
        <v>67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3" t="s">
        <v>24</v>
      </c>
      <c r="AP1" t="s">
        <v>8</v>
      </c>
      <c r="AQ1"/>
      <c r="AR1"/>
      <c r="AS1"/>
      <c r="AT1"/>
      <c r="AW1" s="25"/>
      <c r="AX1" s="25" t="s">
        <v>68</v>
      </c>
      <c r="AY1" s="15" t="s">
        <v>47</v>
      </c>
      <c r="AZ1" s="1" t="s">
        <v>9</v>
      </c>
      <c r="BA1" s="2" t="s">
        <v>10</v>
      </c>
      <c r="BB1" s="2" t="s">
        <v>11</v>
      </c>
      <c r="BC1" s="1" t="s">
        <v>12</v>
      </c>
      <c r="BD1" s="3" t="s">
        <v>63</v>
      </c>
      <c r="BE1" s="1" t="s">
        <v>23</v>
      </c>
      <c r="BF1" s="1" t="s">
        <v>64</v>
      </c>
      <c r="BG1" s="1" t="s">
        <v>65</v>
      </c>
      <c r="BH1" s="20" t="s">
        <v>66</v>
      </c>
      <c r="BI1" s="21" t="s">
        <v>67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3" t="s">
        <v>24</v>
      </c>
      <c r="BV1" t="s">
        <v>8</v>
      </c>
      <c r="BW1"/>
      <c r="BX1"/>
      <c r="BY1"/>
      <c r="BZ1"/>
      <c r="CA1"/>
      <c r="CB1"/>
      <c r="CC1" s="27" t="s">
        <v>75</v>
      </c>
      <c r="CD1" s="1" t="s">
        <v>9</v>
      </c>
      <c r="CE1" s="1" t="s">
        <v>12</v>
      </c>
      <c r="CF1" s="1" t="s">
        <v>23</v>
      </c>
      <c r="CG1" s="21" t="s">
        <v>67</v>
      </c>
      <c r="CH1" s="1" t="s">
        <v>16</v>
      </c>
      <c r="CI1" s="1" t="s">
        <v>22</v>
      </c>
      <c r="CJ1" s="3" t="s">
        <v>24</v>
      </c>
      <c r="CL1" t="s">
        <v>8</v>
      </c>
      <c r="CM1"/>
      <c r="CN1"/>
      <c r="CO1"/>
      <c r="CP1"/>
      <c r="CQ1"/>
      <c r="CR1"/>
      <c r="CS1"/>
      <c r="CT1"/>
      <c r="CU1"/>
      <c r="CV1" s="25" t="s">
        <v>74</v>
      </c>
      <c r="CW1" t="s">
        <v>8</v>
      </c>
      <c r="CX1"/>
      <c r="CY1"/>
      <c r="CZ1"/>
      <c r="DA1"/>
      <c r="DB1"/>
      <c r="DC1"/>
      <c r="DD1"/>
      <c r="DE1"/>
    </row>
    <row r="2" spans="1:109" ht="13.5" thickBot="1">
      <c r="A2" t="s">
        <v>62</v>
      </c>
      <c r="C2" s="7">
        <v>1</v>
      </c>
      <c r="D2" s="7">
        <v>1250</v>
      </c>
      <c r="E2" s="8">
        <v>9</v>
      </c>
      <c r="F2" s="8">
        <v>4.3</v>
      </c>
      <c r="G2" s="23">
        <v>34</v>
      </c>
      <c r="H2" s="9">
        <v>1.28</v>
      </c>
      <c r="I2" s="9">
        <v>1.39</v>
      </c>
      <c r="J2" s="10">
        <v>2.5000000000000001E-2</v>
      </c>
      <c r="M2"/>
      <c r="N2"/>
      <c r="O2"/>
      <c r="P2"/>
      <c r="Q2"/>
      <c r="R2"/>
      <c r="T2" s="7">
        <v>1250</v>
      </c>
      <c r="U2" s="8">
        <v>9</v>
      </c>
      <c r="V2" s="8">
        <v>4.3</v>
      </c>
      <c r="W2" s="23">
        <v>34</v>
      </c>
      <c r="X2" s="9">
        <v>1.28</v>
      </c>
      <c r="Y2" s="7">
        <f t="shared" ref="Y2:Y40" si="0">T2^2/1000</f>
        <v>1562.5</v>
      </c>
      <c r="Z2" s="11">
        <f t="shared" ref="Z2:Z40" si="1">U2^2</f>
        <v>81</v>
      </c>
      <c r="AA2" s="11">
        <f t="shared" ref="AA2:AA40" si="2">V2^2</f>
        <v>18.489999999999998</v>
      </c>
      <c r="AB2" s="11">
        <f t="shared" ref="AB2:AB40" si="3">W2^2</f>
        <v>1156</v>
      </c>
      <c r="AC2" s="11">
        <f t="shared" ref="AC2:AC40" si="4">X2^2</f>
        <v>1.6384000000000001</v>
      </c>
      <c r="AD2" s="7">
        <f t="shared" ref="AD2:AD40" si="5">T2*U2/1000</f>
        <v>11.25</v>
      </c>
      <c r="AE2" s="7">
        <f t="shared" ref="AE2:AE40" si="6">T2*V2</f>
        <v>5375</v>
      </c>
      <c r="AF2" s="7">
        <f t="shared" ref="AF2:AF40" si="7">T2*W2/1000</f>
        <v>42.5</v>
      </c>
      <c r="AG2" s="7">
        <f t="shared" ref="AG2:AG40" si="8">T2*X2</f>
        <v>1600</v>
      </c>
      <c r="AH2" s="7">
        <f t="shared" ref="AH2:AH40" si="9">U2*V2</f>
        <v>38.699999999999996</v>
      </c>
      <c r="AI2" s="7">
        <f t="shared" ref="AI2:AI40" si="10">U2*W2</f>
        <v>306</v>
      </c>
      <c r="AJ2" s="7">
        <f t="shared" ref="AJ2:AJ40" si="11">U2*X2</f>
        <v>11.52</v>
      </c>
      <c r="AK2" s="7">
        <f t="shared" ref="AK2:AK40" si="12">V2*W2</f>
        <v>146.19999999999999</v>
      </c>
      <c r="AL2" s="7">
        <f t="shared" ref="AL2:AL40" si="13">V2*X2</f>
        <v>5.5039999999999996</v>
      </c>
      <c r="AM2" s="7">
        <f t="shared" ref="AM2:AM40" si="14">W2*X2</f>
        <v>43.52</v>
      </c>
      <c r="AN2" s="9">
        <v>1.39</v>
      </c>
      <c r="AT2"/>
      <c r="AV2"/>
      <c r="AW2"/>
      <c r="AX2"/>
      <c r="AY2" s="22">
        <v>1</v>
      </c>
      <c r="AZ2" s="7">
        <v>1250</v>
      </c>
      <c r="BA2" s="8">
        <v>9</v>
      </c>
      <c r="BB2" s="8">
        <v>4.3</v>
      </c>
      <c r="BC2" s="23">
        <v>34</v>
      </c>
      <c r="BD2" s="9">
        <v>1.28</v>
      </c>
      <c r="BE2" s="7">
        <f t="shared" ref="BE2:BE39" si="15">AZ2^2/1000</f>
        <v>1562.5</v>
      </c>
      <c r="BF2" s="11">
        <f t="shared" ref="BF2:BF39" si="16">BA2^2</f>
        <v>81</v>
      </c>
      <c r="BG2" s="11">
        <f t="shared" ref="BG2:BG39" si="17">BB2^2</f>
        <v>18.489999999999998</v>
      </c>
      <c r="BH2" s="11">
        <f t="shared" ref="BH2:BH39" si="18">BC2^2</f>
        <v>1156</v>
      </c>
      <c r="BI2" s="11">
        <f t="shared" ref="BI2:BI39" si="19">BD2^2</f>
        <v>1.6384000000000001</v>
      </c>
      <c r="BJ2" s="7">
        <f t="shared" ref="BJ2:BJ39" si="20">AZ2*BA2/1000</f>
        <v>11.25</v>
      </c>
      <c r="BK2" s="7">
        <f t="shared" ref="BK2:BK39" si="21">AZ2*BB2</f>
        <v>5375</v>
      </c>
      <c r="BL2" s="7">
        <f t="shared" ref="BL2:BL39" si="22">AZ2*BC2/1000</f>
        <v>42.5</v>
      </c>
      <c r="BM2" s="7">
        <f t="shared" ref="BM2:BM39" si="23">AZ2*BD2</f>
        <v>1600</v>
      </c>
      <c r="BN2" s="7">
        <f t="shared" ref="BN2:BN39" si="24">BA2*BB2</f>
        <v>38.699999999999996</v>
      </c>
      <c r="BO2" s="7">
        <f t="shared" ref="BO2:BO39" si="25">BA2*BC2</f>
        <v>306</v>
      </c>
      <c r="BP2" s="7">
        <f t="shared" ref="BP2:BP39" si="26">BA2*BD2</f>
        <v>11.52</v>
      </c>
      <c r="BQ2" s="7">
        <f t="shared" ref="BQ2:BQ39" si="27">BB2*BC2</f>
        <v>146.19999999999999</v>
      </c>
      <c r="BR2" s="7">
        <f t="shared" ref="BR2:BR39" si="28">BB2*BD2</f>
        <v>5.5039999999999996</v>
      </c>
      <c r="BS2" s="7">
        <f t="shared" ref="BS2:BS39" si="29">BC2*BD2</f>
        <v>43.52</v>
      </c>
      <c r="BT2" s="9">
        <v>1.39</v>
      </c>
      <c r="CC2" s="27" t="s">
        <v>76</v>
      </c>
      <c r="CD2" s="7">
        <v>1250</v>
      </c>
      <c r="CE2" s="23">
        <v>34</v>
      </c>
      <c r="CF2" s="7">
        <v>1562.5</v>
      </c>
      <c r="CG2" s="11">
        <v>1.6384000000000001</v>
      </c>
      <c r="CH2" s="7">
        <v>1600</v>
      </c>
      <c r="CI2" s="7">
        <v>43.52</v>
      </c>
      <c r="CJ2" s="9">
        <v>1.39</v>
      </c>
    </row>
    <row r="3" spans="1:109">
      <c r="A3" t="s">
        <v>52</v>
      </c>
      <c r="C3" s="7">
        <v>2</v>
      </c>
      <c r="D3" s="7">
        <v>1300</v>
      </c>
      <c r="E3" s="8">
        <v>9</v>
      </c>
      <c r="F3" s="11">
        <v>6.1</v>
      </c>
      <c r="G3" s="23">
        <v>34</v>
      </c>
      <c r="H3" s="9">
        <v>1.28</v>
      </c>
      <c r="I3" s="9">
        <v>1.4</v>
      </c>
      <c r="J3" s="10">
        <v>2.5999999999999999E-2</v>
      </c>
      <c r="L3" s="12" t="s">
        <v>25</v>
      </c>
      <c r="M3" s="12"/>
      <c r="N3"/>
      <c r="O3"/>
      <c r="P3"/>
      <c r="Q3"/>
      <c r="R3"/>
      <c r="T3" s="7">
        <v>1300</v>
      </c>
      <c r="U3" s="8">
        <v>9</v>
      </c>
      <c r="V3" s="11">
        <v>6.1</v>
      </c>
      <c r="W3" s="23">
        <v>34</v>
      </c>
      <c r="X3" s="9">
        <v>1.28</v>
      </c>
      <c r="Y3" s="7">
        <f t="shared" si="0"/>
        <v>1690</v>
      </c>
      <c r="Z3" s="11">
        <f t="shared" si="1"/>
        <v>81</v>
      </c>
      <c r="AA3" s="11">
        <f t="shared" si="2"/>
        <v>37.209999999999994</v>
      </c>
      <c r="AB3" s="11">
        <f t="shared" si="3"/>
        <v>1156</v>
      </c>
      <c r="AC3" s="11">
        <f t="shared" si="4"/>
        <v>1.6384000000000001</v>
      </c>
      <c r="AD3" s="7">
        <f t="shared" si="5"/>
        <v>11.7</v>
      </c>
      <c r="AE3" s="7">
        <f t="shared" si="6"/>
        <v>7929.9999999999991</v>
      </c>
      <c r="AF3" s="7">
        <f t="shared" si="7"/>
        <v>44.2</v>
      </c>
      <c r="AG3" s="7">
        <f t="shared" si="8"/>
        <v>1664</v>
      </c>
      <c r="AH3" s="7">
        <f t="shared" si="9"/>
        <v>54.9</v>
      </c>
      <c r="AI3" s="7">
        <f t="shared" si="10"/>
        <v>306</v>
      </c>
      <c r="AJ3" s="7">
        <f t="shared" si="11"/>
        <v>11.52</v>
      </c>
      <c r="AK3" s="7">
        <f t="shared" si="12"/>
        <v>207.39999999999998</v>
      </c>
      <c r="AL3" s="7">
        <f t="shared" si="13"/>
        <v>7.8079999999999998</v>
      </c>
      <c r="AM3" s="7">
        <f t="shared" si="14"/>
        <v>43.52</v>
      </c>
      <c r="AN3" s="9">
        <v>1.4</v>
      </c>
      <c r="AP3" s="12" t="s">
        <v>25</v>
      </c>
      <c r="AQ3" s="12"/>
      <c r="AT3"/>
      <c r="AV3"/>
      <c r="AW3"/>
      <c r="AX3"/>
      <c r="AY3" s="22">
        <v>2</v>
      </c>
      <c r="AZ3" s="7">
        <v>1300</v>
      </c>
      <c r="BA3" s="8">
        <v>9</v>
      </c>
      <c r="BB3" s="11">
        <v>6.1</v>
      </c>
      <c r="BC3" s="23">
        <v>34</v>
      </c>
      <c r="BD3" s="9">
        <v>1.28</v>
      </c>
      <c r="BE3" s="7">
        <f t="shared" si="15"/>
        <v>1690</v>
      </c>
      <c r="BF3" s="11">
        <f t="shared" si="16"/>
        <v>81</v>
      </c>
      <c r="BG3" s="11">
        <f t="shared" si="17"/>
        <v>37.209999999999994</v>
      </c>
      <c r="BH3" s="11">
        <f t="shared" si="18"/>
        <v>1156</v>
      </c>
      <c r="BI3" s="11">
        <f t="shared" si="19"/>
        <v>1.6384000000000001</v>
      </c>
      <c r="BJ3" s="7">
        <f t="shared" si="20"/>
        <v>11.7</v>
      </c>
      <c r="BK3" s="7">
        <f t="shared" si="21"/>
        <v>7929.9999999999991</v>
      </c>
      <c r="BL3" s="7">
        <f t="shared" si="22"/>
        <v>44.2</v>
      </c>
      <c r="BM3" s="7">
        <f t="shared" si="23"/>
        <v>1664</v>
      </c>
      <c r="BN3" s="7">
        <f t="shared" si="24"/>
        <v>54.9</v>
      </c>
      <c r="BO3" s="7">
        <f t="shared" si="25"/>
        <v>306</v>
      </c>
      <c r="BP3" s="7">
        <f t="shared" si="26"/>
        <v>11.52</v>
      </c>
      <c r="BQ3" s="7">
        <f t="shared" si="27"/>
        <v>207.39999999999998</v>
      </c>
      <c r="BR3" s="7">
        <f t="shared" si="28"/>
        <v>7.8079999999999998</v>
      </c>
      <c r="BS3" s="7">
        <f t="shared" si="29"/>
        <v>43.52</v>
      </c>
      <c r="BT3" s="9">
        <v>1.4</v>
      </c>
      <c r="BV3" s="12" t="s">
        <v>25</v>
      </c>
      <c r="BW3" s="12"/>
      <c r="CD3" s="7">
        <v>1300</v>
      </c>
      <c r="CE3" s="23">
        <v>34</v>
      </c>
      <c r="CF3" s="7">
        <v>1690</v>
      </c>
      <c r="CG3" s="11">
        <v>1.6384000000000001</v>
      </c>
      <c r="CH3" s="7">
        <v>1664</v>
      </c>
      <c r="CI3" s="7">
        <v>43.52</v>
      </c>
      <c r="CJ3" s="9">
        <v>1.4</v>
      </c>
      <c r="CL3" s="12" t="s">
        <v>25</v>
      </c>
      <c r="CM3" s="12"/>
      <c r="CW3" s="12" t="s">
        <v>25</v>
      </c>
      <c r="CX3" s="12"/>
    </row>
    <row r="4" spans="1:109">
      <c r="C4" s="7">
        <v>3</v>
      </c>
      <c r="D4" s="7">
        <v>1000</v>
      </c>
      <c r="E4" s="8">
        <v>9</v>
      </c>
      <c r="F4" s="11">
        <v>7.4</v>
      </c>
      <c r="G4" s="23">
        <v>24</v>
      </c>
      <c r="H4" s="9">
        <v>1.32</v>
      </c>
      <c r="I4" s="9">
        <v>1.42</v>
      </c>
      <c r="J4" s="10">
        <v>2.7E-2</v>
      </c>
      <c r="L4" s="13" t="s">
        <v>26</v>
      </c>
      <c r="M4" s="13">
        <v>0.82194615710652696</v>
      </c>
      <c r="N4"/>
      <c r="O4"/>
      <c r="P4"/>
      <c r="Q4"/>
      <c r="R4"/>
      <c r="T4" s="7">
        <v>1000</v>
      </c>
      <c r="U4" s="8">
        <v>9</v>
      </c>
      <c r="V4" s="11">
        <v>7.4</v>
      </c>
      <c r="W4" s="23">
        <v>24</v>
      </c>
      <c r="X4" s="9">
        <v>1.32</v>
      </c>
      <c r="Y4" s="7">
        <f t="shared" si="0"/>
        <v>1000</v>
      </c>
      <c r="Z4" s="11">
        <f t="shared" si="1"/>
        <v>81</v>
      </c>
      <c r="AA4" s="11">
        <f t="shared" si="2"/>
        <v>54.760000000000005</v>
      </c>
      <c r="AB4" s="11">
        <f t="shared" si="3"/>
        <v>576</v>
      </c>
      <c r="AC4" s="11">
        <f t="shared" si="4"/>
        <v>1.7424000000000002</v>
      </c>
      <c r="AD4" s="7">
        <f t="shared" si="5"/>
        <v>9</v>
      </c>
      <c r="AE4" s="7">
        <f t="shared" si="6"/>
        <v>7400</v>
      </c>
      <c r="AF4" s="7">
        <f t="shared" si="7"/>
        <v>24</v>
      </c>
      <c r="AG4" s="7">
        <f t="shared" si="8"/>
        <v>1320</v>
      </c>
      <c r="AH4" s="7">
        <f t="shared" si="9"/>
        <v>66.600000000000009</v>
      </c>
      <c r="AI4" s="7">
        <f t="shared" si="10"/>
        <v>216</v>
      </c>
      <c r="AJ4" s="7">
        <f t="shared" si="11"/>
        <v>11.88</v>
      </c>
      <c r="AK4" s="7">
        <f t="shared" si="12"/>
        <v>177.60000000000002</v>
      </c>
      <c r="AL4" s="7">
        <f t="shared" si="13"/>
        <v>9.7680000000000007</v>
      </c>
      <c r="AM4" s="7">
        <f t="shared" si="14"/>
        <v>31.68</v>
      </c>
      <c r="AN4" s="9">
        <v>1.42</v>
      </c>
      <c r="AP4" s="13" t="s">
        <v>26</v>
      </c>
      <c r="AQ4" s="13">
        <v>0.88702204415711594</v>
      </c>
      <c r="AT4"/>
      <c r="AV4"/>
      <c r="AW4"/>
      <c r="AX4"/>
      <c r="AY4" s="22">
        <v>3</v>
      </c>
      <c r="AZ4" s="7">
        <v>1000</v>
      </c>
      <c r="BA4" s="8">
        <v>9</v>
      </c>
      <c r="BB4" s="11">
        <v>7.4</v>
      </c>
      <c r="BC4" s="23">
        <v>24</v>
      </c>
      <c r="BD4" s="9">
        <v>1.32</v>
      </c>
      <c r="BE4" s="7">
        <f t="shared" si="15"/>
        <v>1000</v>
      </c>
      <c r="BF4" s="11">
        <f t="shared" si="16"/>
        <v>81</v>
      </c>
      <c r="BG4" s="11">
        <f t="shared" si="17"/>
        <v>54.760000000000005</v>
      </c>
      <c r="BH4" s="11">
        <f t="shared" si="18"/>
        <v>576</v>
      </c>
      <c r="BI4" s="11">
        <f t="shared" si="19"/>
        <v>1.7424000000000002</v>
      </c>
      <c r="BJ4" s="7">
        <f t="shared" si="20"/>
        <v>9</v>
      </c>
      <c r="BK4" s="7">
        <f t="shared" si="21"/>
        <v>7400</v>
      </c>
      <c r="BL4" s="7">
        <f t="shared" si="22"/>
        <v>24</v>
      </c>
      <c r="BM4" s="7">
        <f t="shared" si="23"/>
        <v>1320</v>
      </c>
      <c r="BN4" s="7">
        <f t="shared" si="24"/>
        <v>66.600000000000009</v>
      </c>
      <c r="BO4" s="7">
        <f t="shared" si="25"/>
        <v>216</v>
      </c>
      <c r="BP4" s="7">
        <f t="shared" si="26"/>
        <v>11.88</v>
      </c>
      <c r="BQ4" s="7">
        <f t="shared" si="27"/>
        <v>177.60000000000002</v>
      </c>
      <c r="BR4" s="7">
        <f t="shared" si="28"/>
        <v>9.7680000000000007</v>
      </c>
      <c r="BS4" s="7">
        <f t="shared" si="29"/>
        <v>31.68</v>
      </c>
      <c r="BT4" s="9">
        <v>1.42</v>
      </c>
      <c r="BV4" s="13" t="s">
        <v>26</v>
      </c>
      <c r="BW4" s="13">
        <v>0.90959911239264246</v>
      </c>
      <c r="CD4" s="7">
        <v>1000</v>
      </c>
      <c r="CE4" s="23">
        <v>24</v>
      </c>
      <c r="CF4" s="7">
        <v>1000</v>
      </c>
      <c r="CG4" s="11">
        <v>1.7424000000000002</v>
      </c>
      <c r="CH4" s="7">
        <v>1320</v>
      </c>
      <c r="CI4" s="7">
        <v>31.68</v>
      </c>
      <c r="CJ4" s="9">
        <v>1.42</v>
      </c>
      <c r="CL4" s="13" t="s">
        <v>26</v>
      </c>
      <c r="CM4" s="13">
        <v>0.92625125023251775</v>
      </c>
      <c r="CW4" s="13" t="s">
        <v>26</v>
      </c>
      <c r="CX4" s="13">
        <v>0.99982023589679625</v>
      </c>
    </row>
    <row r="5" spans="1:109" ht="13.5">
      <c r="A5" s="17" t="s">
        <v>53</v>
      </c>
      <c r="C5" s="7">
        <v>4</v>
      </c>
      <c r="D5" s="7">
        <v>1000</v>
      </c>
      <c r="E5" s="8">
        <v>9</v>
      </c>
      <c r="F5" s="11">
        <v>6.8</v>
      </c>
      <c r="G5" s="23">
        <v>22</v>
      </c>
      <c r="H5" s="9">
        <v>1.34</v>
      </c>
      <c r="I5" s="9">
        <v>1.45</v>
      </c>
      <c r="J5" s="10">
        <v>3.5000000000000003E-2</v>
      </c>
      <c r="L5" s="13" t="s">
        <v>27</v>
      </c>
      <c r="M5" s="13">
        <v>0.67559548518218748</v>
      </c>
      <c r="N5"/>
      <c r="O5"/>
      <c r="P5"/>
      <c r="Q5"/>
      <c r="R5"/>
      <c r="T5" s="7">
        <v>1000</v>
      </c>
      <c r="U5" s="8">
        <v>9</v>
      </c>
      <c r="V5" s="11">
        <v>6.8</v>
      </c>
      <c r="W5" s="23">
        <v>22</v>
      </c>
      <c r="X5" s="9">
        <v>1.34</v>
      </c>
      <c r="Y5" s="7">
        <f t="shared" si="0"/>
        <v>1000</v>
      </c>
      <c r="Z5" s="11">
        <f t="shared" si="1"/>
        <v>81</v>
      </c>
      <c r="AA5" s="11">
        <f t="shared" si="2"/>
        <v>46.239999999999995</v>
      </c>
      <c r="AB5" s="11">
        <f t="shared" si="3"/>
        <v>484</v>
      </c>
      <c r="AC5" s="11">
        <f t="shared" si="4"/>
        <v>1.7956000000000003</v>
      </c>
      <c r="AD5" s="7">
        <f t="shared" si="5"/>
        <v>9</v>
      </c>
      <c r="AE5" s="7">
        <f t="shared" si="6"/>
        <v>6800</v>
      </c>
      <c r="AF5" s="7">
        <f t="shared" si="7"/>
        <v>22</v>
      </c>
      <c r="AG5" s="7">
        <f t="shared" si="8"/>
        <v>1340</v>
      </c>
      <c r="AH5" s="7">
        <f t="shared" si="9"/>
        <v>61.199999999999996</v>
      </c>
      <c r="AI5" s="7">
        <f t="shared" si="10"/>
        <v>198</v>
      </c>
      <c r="AJ5" s="7">
        <f t="shared" si="11"/>
        <v>12.06</v>
      </c>
      <c r="AK5" s="7">
        <f t="shared" si="12"/>
        <v>149.6</v>
      </c>
      <c r="AL5" s="7">
        <f t="shared" si="13"/>
        <v>9.1120000000000001</v>
      </c>
      <c r="AM5" s="7">
        <f t="shared" si="14"/>
        <v>29.48</v>
      </c>
      <c r="AN5" s="9">
        <v>1.45</v>
      </c>
      <c r="AP5" s="13" t="s">
        <v>27</v>
      </c>
      <c r="AQ5" s="13">
        <v>0.78680810682066848</v>
      </c>
      <c r="AT5"/>
      <c r="AV5"/>
      <c r="AW5"/>
      <c r="AX5"/>
      <c r="AY5" s="22">
        <v>4</v>
      </c>
      <c r="AZ5" s="7">
        <v>1000</v>
      </c>
      <c r="BA5" s="8">
        <v>9</v>
      </c>
      <c r="BB5" s="11">
        <v>6.8</v>
      </c>
      <c r="BC5" s="23">
        <v>22</v>
      </c>
      <c r="BD5" s="9">
        <v>1.34</v>
      </c>
      <c r="BE5" s="7">
        <f t="shared" si="15"/>
        <v>1000</v>
      </c>
      <c r="BF5" s="11">
        <f t="shared" si="16"/>
        <v>81</v>
      </c>
      <c r="BG5" s="11">
        <f t="shared" si="17"/>
        <v>46.239999999999995</v>
      </c>
      <c r="BH5" s="11">
        <f t="shared" si="18"/>
        <v>484</v>
      </c>
      <c r="BI5" s="11">
        <f t="shared" si="19"/>
        <v>1.7956000000000003</v>
      </c>
      <c r="BJ5" s="7">
        <f t="shared" si="20"/>
        <v>9</v>
      </c>
      <c r="BK5" s="7">
        <f t="shared" si="21"/>
        <v>6800</v>
      </c>
      <c r="BL5" s="7">
        <f t="shared" si="22"/>
        <v>22</v>
      </c>
      <c r="BM5" s="7">
        <f t="shared" si="23"/>
        <v>1340</v>
      </c>
      <c r="BN5" s="7">
        <f t="shared" si="24"/>
        <v>61.199999999999996</v>
      </c>
      <c r="BO5" s="7">
        <f t="shared" si="25"/>
        <v>198</v>
      </c>
      <c r="BP5" s="7">
        <f t="shared" si="26"/>
        <v>12.06</v>
      </c>
      <c r="BQ5" s="7">
        <f t="shared" si="27"/>
        <v>149.6</v>
      </c>
      <c r="BR5" s="7">
        <f t="shared" si="28"/>
        <v>9.1120000000000001</v>
      </c>
      <c r="BS5" s="7">
        <f t="shared" si="29"/>
        <v>29.48</v>
      </c>
      <c r="BT5" s="9">
        <v>1.45</v>
      </c>
      <c r="BV5" s="13" t="s">
        <v>27</v>
      </c>
      <c r="BW5" s="13">
        <v>0.82737054526548293</v>
      </c>
      <c r="CD5" s="7">
        <v>1000</v>
      </c>
      <c r="CE5" s="23">
        <v>22</v>
      </c>
      <c r="CF5" s="7">
        <v>1000</v>
      </c>
      <c r="CG5" s="11">
        <v>1.7956000000000003</v>
      </c>
      <c r="CH5" s="7">
        <v>1340</v>
      </c>
      <c r="CI5" s="7">
        <v>29.48</v>
      </c>
      <c r="CJ5" s="9">
        <v>1.45</v>
      </c>
      <c r="CL5" s="13" t="s">
        <v>27</v>
      </c>
      <c r="CM5" s="13">
        <v>0.85794137855730224</v>
      </c>
      <c r="CW5" s="13" t="s">
        <v>27</v>
      </c>
      <c r="CX5" s="13">
        <v>0.99964050410872529</v>
      </c>
    </row>
    <row r="6" spans="1:109">
      <c r="A6" s="18" t="s">
        <v>54</v>
      </c>
      <c r="C6" s="7">
        <v>5</v>
      </c>
      <c r="D6" s="7">
        <v>1300</v>
      </c>
      <c r="E6" s="8">
        <v>9</v>
      </c>
      <c r="F6" s="11">
        <v>7</v>
      </c>
      <c r="G6" s="23">
        <v>42</v>
      </c>
      <c r="H6" s="9">
        <v>1.27</v>
      </c>
      <c r="I6" s="9">
        <v>1.39</v>
      </c>
      <c r="J6" s="10">
        <v>2.1999999999999999E-2</v>
      </c>
      <c r="L6" s="13" t="s">
        <v>71</v>
      </c>
      <c r="M6" s="13">
        <v>0.62644328596736731</v>
      </c>
      <c r="N6"/>
      <c r="O6"/>
      <c r="P6"/>
      <c r="Q6"/>
      <c r="R6"/>
      <c r="T6" s="7">
        <v>1300</v>
      </c>
      <c r="U6" s="8">
        <v>9</v>
      </c>
      <c r="V6" s="11">
        <v>7</v>
      </c>
      <c r="W6" s="23">
        <v>42</v>
      </c>
      <c r="X6" s="9">
        <v>1.27</v>
      </c>
      <c r="Y6" s="7">
        <f t="shared" si="0"/>
        <v>1690</v>
      </c>
      <c r="Z6" s="11">
        <f t="shared" si="1"/>
        <v>81</v>
      </c>
      <c r="AA6" s="11">
        <f t="shared" si="2"/>
        <v>49</v>
      </c>
      <c r="AB6" s="11">
        <f t="shared" si="3"/>
        <v>1764</v>
      </c>
      <c r="AC6" s="11">
        <f t="shared" si="4"/>
        <v>1.6129</v>
      </c>
      <c r="AD6" s="7">
        <f t="shared" si="5"/>
        <v>11.7</v>
      </c>
      <c r="AE6" s="7">
        <f t="shared" si="6"/>
        <v>9100</v>
      </c>
      <c r="AF6" s="7">
        <f t="shared" si="7"/>
        <v>54.6</v>
      </c>
      <c r="AG6" s="7">
        <f t="shared" si="8"/>
        <v>1651</v>
      </c>
      <c r="AH6" s="7">
        <f t="shared" si="9"/>
        <v>63</v>
      </c>
      <c r="AI6" s="7">
        <f t="shared" si="10"/>
        <v>378</v>
      </c>
      <c r="AJ6" s="7">
        <f t="shared" si="11"/>
        <v>11.43</v>
      </c>
      <c r="AK6" s="7">
        <f t="shared" si="12"/>
        <v>294</v>
      </c>
      <c r="AL6" s="7">
        <f t="shared" si="13"/>
        <v>8.89</v>
      </c>
      <c r="AM6" s="7">
        <f t="shared" si="14"/>
        <v>53.34</v>
      </c>
      <c r="AN6" s="9">
        <v>1.39</v>
      </c>
      <c r="AP6" s="13" t="s">
        <v>71</v>
      </c>
      <c r="AQ6" s="13">
        <v>0.71066814497090725</v>
      </c>
      <c r="AT6"/>
      <c r="AV6"/>
      <c r="AW6"/>
      <c r="AX6"/>
      <c r="AY6" s="22">
        <v>5</v>
      </c>
      <c r="AZ6" s="7">
        <v>1300</v>
      </c>
      <c r="BA6" s="8">
        <v>9</v>
      </c>
      <c r="BB6" s="11">
        <v>7</v>
      </c>
      <c r="BC6" s="23">
        <v>42</v>
      </c>
      <c r="BD6" s="9">
        <v>1.27</v>
      </c>
      <c r="BE6" s="7">
        <f t="shared" si="15"/>
        <v>1690</v>
      </c>
      <c r="BF6" s="11">
        <f t="shared" si="16"/>
        <v>81</v>
      </c>
      <c r="BG6" s="11">
        <f t="shared" si="17"/>
        <v>49</v>
      </c>
      <c r="BH6" s="11">
        <f t="shared" si="18"/>
        <v>1764</v>
      </c>
      <c r="BI6" s="11">
        <f t="shared" si="19"/>
        <v>1.6129</v>
      </c>
      <c r="BJ6" s="7">
        <f t="shared" si="20"/>
        <v>11.7</v>
      </c>
      <c r="BK6" s="7">
        <f t="shared" si="21"/>
        <v>9100</v>
      </c>
      <c r="BL6" s="7">
        <f t="shared" si="22"/>
        <v>54.6</v>
      </c>
      <c r="BM6" s="7">
        <f t="shared" si="23"/>
        <v>1651</v>
      </c>
      <c r="BN6" s="7">
        <f t="shared" si="24"/>
        <v>63</v>
      </c>
      <c r="BO6" s="7">
        <f t="shared" si="25"/>
        <v>378</v>
      </c>
      <c r="BP6" s="7">
        <f t="shared" si="26"/>
        <v>11.43</v>
      </c>
      <c r="BQ6" s="7">
        <f t="shared" si="27"/>
        <v>294</v>
      </c>
      <c r="BR6" s="7">
        <f t="shared" si="28"/>
        <v>8.89</v>
      </c>
      <c r="BS6" s="7">
        <f t="shared" si="29"/>
        <v>53.34</v>
      </c>
      <c r="BT6" s="9">
        <v>1.39</v>
      </c>
      <c r="BV6" s="13" t="s">
        <v>71</v>
      </c>
      <c r="BW6" s="13">
        <v>0.76343371017862482</v>
      </c>
      <c r="CD6" s="7">
        <v>1300</v>
      </c>
      <c r="CE6" s="23">
        <v>42</v>
      </c>
      <c r="CF6" s="7">
        <v>1690</v>
      </c>
      <c r="CG6" s="11">
        <v>1.6129</v>
      </c>
      <c r="CH6" s="7">
        <v>1651</v>
      </c>
      <c r="CI6" s="7">
        <v>53.34</v>
      </c>
      <c r="CJ6" s="9">
        <v>1.39</v>
      </c>
      <c r="CL6" s="13" t="s">
        <v>71</v>
      </c>
      <c r="CM6" s="13">
        <v>0.83044616150387685</v>
      </c>
      <c r="CW6" s="13" t="s">
        <v>28</v>
      </c>
      <c r="CX6" s="13">
        <v>0.96833433287571369</v>
      </c>
    </row>
    <row r="7" spans="1:109">
      <c r="A7" s="18" t="s">
        <v>55</v>
      </c>
      <c r="C7" s="7">
        <v>6</v>
      </c>
      <c r="D7" s="7">
        <v>1300</v>
      </c>
      <c r="E7" s="8">
        <v>9.8000000000000007</v>
      </c>
      <c r="F7" s="11">
        <v>7.3</v>
      </c>
      <c r="G7" s="23">
        <v>45</v>
      </c>
      <c r="H7" s="9">
        <v>1.24</v>
      </c>
      <c r="I7" s="9">
        <v>1.38</v>
      </c>
      <c r="J7" s="10">
        <v>0.02</v>
      </c>
      <c r="L7" s="13" t="s">
        <v>29</v>
      </c>
      <c r="M7" s="13">
        <v>4.8357365337010183E-2</v>
      </c>
      <c r="N7"/>
      <c r="O7"/>
      <c r="P7"/>
      <c r="Q7"/>
      <c r="R7"/>
      <c r="T7" s="7">
        <v>1300</v>
      </c>
      <c r="U7" s="8">
        <v>9.8000000000000007</v>
      </c>
      <c r="V7" s="11">
        <v>7.3</v>
      </c>
      <c r="W7" s="23">
        <v>45</v>
      </c>
      <c r="X7" s="9">
        <v>1.24</v>
      </c>
      <c r="Y7" s="7">
        <f t="shared" si="0"/>
        <v>1690</v>
      </c>
      <c r="Z7" s="11">
        <f t="shared" si="1"/>
        <v>96.04000000000002</v>
      </c>
      <c r="AA7" s="11">
        <f t="shared" si="2"/>
        <v>53.29</v>
      </c>
      <c r="AB7" s="11">
        <f t="shared" si="3"/>
        <v>2025</v>
      </c>
      <c r="AC7" s="11">
        <f t="shared" si="4"/>
        <v>1.5376000000000001</v>
      </c>
      <c r="AD7" s="7">
        <f t="shared" si="5"/>
        <v>12.740000000000002</v>
      </c>
      <c r="AE7" s="7">
        <f t="shared" si="6"/>
        <v>9490</v>
      </c>
      <c r="AF7" s="7">
        <f t="shared" si="7"/>
        <v>58.5</v>
      </c>
      <c r="AG7" s="7">
        <f t="shared" si="8"/>
        <v>1612</v>
      </c>
      <c r="AH7" s="7">
        <f t="shared" si="9"/>
        <v>71.540000000000006</v>
      </c>
      <c r="AI7" s="7">
        <f t="shared" si="10"/>
        <v>441.00000000000006</v>
      </c>
      <c r="AJ7" s="7">
        <f t="shared" si="11"/>
        <v>12.152000000000001</v>
      </c>
      <c r="AK7" s="7">
        <f t="shared" si="12"/>
        <v>328.5</v>
      </c>
      <c r="AL7" s="7">
        <f t="shared" si="13"/>
        <v>9.0519999999999996</v>
      </c>
      <c r="AM7" s="7">
        <f t="shared" si="14"/>
        <v>55.8</v>
      </c>
      <c r="AN7" s="9">
        <v>1.38</v>
      </c>
      <c r="AP7" s="13" t="s">
        <v>29</v>
      </c>
      <c r="AQ7" s="13">
        <v>4.2558124780135154E-2</v>
      </c>
      <c r="AT7"/>
      <c r="AV7"/>
      <c r="AW7"/>
      <c r="AX7"/>
      <c r="AY7" s="22">
        <v>6</v>
      </c>
      <c r="AZ7" s="7">
        <v>1300</v>
      </c>
      <c r="BA7" s="8">
        <v>9.8000000000000007</v>
      </c>
      <c r="BB7" s="11">
        <v>7.3</v>
      </c>
      <c r="BC7" s="23">
        <v>45</v>
      </c>
      <c r="BD7" s="9">
        <v>1.24</v>
      </c>
      <c r="BE7" s="7">
        <f t="shared" si="15"/>
        <v>1690</v>
      </c>
      <c r="BF7" s="11">
        <f t="shared" si="16"/>
        <v>96.04000000000002</v>
      </c>
      <c r="BG7" s="11">
        <f t="shared" si="17"/>
        <v>53.29</v>
      </c>
      <c r="BH7" s="11">
        <f t="shared" si="18"/>
        <v>2025</v>
      </c>
      <c r="BI7" s="11">
        <f t="shared" si="19"/>
        <v>1.5376000000000001</v>
      </c>
      <c r="BJ7" s="7">
        <f t="shared" si="20"/>
        <v>12.740000000000002</v>
      </c>
      <c r="BK7" s="7">
        <f t="shared" si="21"/>
        <v>9490</v>
      </c>
      <c r="BL7" s="7">
        <f t="shared" si="22"/>
        <v>58.5</v>
      </c>
      <c r="BM7" s="7">
        <f t="shared" si="23"/>
        <v>1612</v>
      </c>
      <c r="BN7" s="7">
        <f t="shared" si="24"/>
        <v>71.540000000000006</v>
      </c>
      <c r="BO7" s="7">
        <f t="shared" si="25"/>
        <v>441.00000000000006</v>
      </c>
      <c r="BP7" s="7">
        <f t="shared" si="26"/>
        <v>12.152000000000001</v>
      </c>
      <c r="BQ7" s="7">
        <f t="shared" si="27"/>
        <v>328.5</v>
      </c>
      <c r="BR7" s="7">
        <f t="shared" si="28"/>
        <v>9.0519999999999996</v>
      </c>
      <c r="BS7" s="7">
        <f t="shared" si="29"/>
        <v>55.8</v>
      </c>
      <c r="BT7" s="9">
        <v>1.38</v>
      </c>
      <c r="BV7" s="13" t="s">
        <v>29</v>
      </c>
      <c r="BW7" s="13">
        <v>3.6510026823647908E-2</v>
      </c>
      <c r="CD7" s="7">
        <v>1300</v>
      </c>
      <c r="CE7" s="23">
        <v>45</v>
      </c>
      <c r="CF7" s="7">
        <v>1690</v>
      </c>
      <c r="CG7" s="11">
        <v>1.5376000000000001</v>
      </c>
      <c r="CH7" s="7">
        <v>1612</v>
      </c>
      <c r="CI7" s="7">
        <v>55.8</v>
      </c>
      <c r="CJ7" s="9">
        <v>1.38</v>
      </c>
      <c r="CL7" s="13" t="s">
        <v>29</v>
      </c>
      <c r="CM7" s="13">
        <v>3.0909326048495164E-2</v>
      </c>
      <c r="CW7" s="13" t="s">
        <v>29</v>
      </c>
      <c r="CX7" s="13">
        <v>3.0541402203284263E-2</v>
      </c>
    </row>
    <row r="8" spans="1:109" ht="13.5" thickBot="1">
      <c r="A8" s="18" t="s">
        <v>56</v>
      </c>
      <c r="C8" s="7">
        <v>7</v>
      </c>
      <c r="D8" s="7">
        <v>1000</v>
      </c>
      <c r="E8" s="8">
        <v>12.9</v>
      </c>
      <c r="F8" s="11">
        <v>7</v>
      </c>
      <c r="G8" s="23">
        <v>10</v>
      </c>
      <c r="H8" s="9">
        <v>1.42</v>
      </c>
      <c r="I8" s="9">
        <v>1.55</v>
      </c>
      <c r="J8" s="10">
        <v>0.03</v>
      </c>
      <c r="L8" s="14" t="s">
        <v>30</v>
      </c>
      <c r="M8" s="14">
        <v>39</v>
      </c>
      <c r="N8"/>
      <c r="O8"/>
      <c r="P8"/>
      <c r="Q8"/>
      <c r="R8"/>
      <c r="T8" s="7">
        <v>1000</v>
      </c>
      <c r="U8" s="8">
        <v>12.9</v>
      </c>
      <c r="V8" s="11">
        <v>7</v>
      </c>
      <c r="W8" s="23">
        <v>10</v>
      </c>
      <c r="X8" s="9">
        <v>1.42</v>
      </c>
      <c r="Y8" s="7">
        <f t="shared" si="0"/>
        <v>1000</v>
      </c>
      <c r="Z8" s="11">
        <f t="shared" si="1"/>
        <v>166.41</v>
      </c>
      <c r="AA8" s="11">
        <f t="shared" si="2"/>
        <v>49</v>
      </c>
      <c r="AB8" s="11">
        <f t="shared" si="3"/>
        <v>100</v>
      </c>
      <c r="AC8" s="11">
        <f t="shared" si="4"/>
        <v>2.0164</v>
      </c>
      <c r="AD8" s="7">
        <f t="shared" si="5"/>
        <v>12.9</v>
      </c>
      <c r="AE8" s="7">
        <f t="shared" si="6"/>
        <v>7000</v>
      </c>
      <c r="AF8" s="7">
        <f t="shared" si="7"/>
        <v>10</v>
      </c>
      <c r="AG8" s="7">
        <f t="shared" si="8"/>
        <v>1420</v>
      </c>
      <c r="AH8" s="7">
        <f t="shared" si="9"/>
        <v>90.3</v>
      </c>
      <c r="AI8" s="7">
        <f t="shared" si="10"/>
        <v>129</v>
      </c>
      <c r="AJ8" s="7">
        <f t="shared" si="11"/>
        <v>18.317999999999998</v>
      </c>
      <c r="AK8" s="7">
        <f t="shared" si="12"/>
        <v>70</v>
      </c>
      <c r="AL8" s="7">
        <f t="shared" si="13"/>
        <v>9.94</v>
      </c>
      <c r="AM8" s="7">
        <f t="shared" si="14"/>
        <v>14.2</v>
      </c>
      <c r="AN8" s="9">
        <v>1.55</v>
      </c>
      <c r="AP8" s="14" t="s">
        <v>30</v>
      </c>
      <c r="AQ8" s="14">
        <v>39</v>
      </c>
      <c r="AT8"/>
      <c r="AV8"/>
      <c r="AW8"/>
      <c r="AX8"/>
      <c r="AY8" s="22">
        <v>7</v>
      </c>
      <c r="AZ8" s="7">
        <v>1000</v>
      </c>
      <c r="BA8" s="8">
        <v>12.9</v>
      </c>
      <c r="BB8" s="11">
        <v>7</v>
      </c>
      <c r="BC8" s="23">
        <v>10</v>
      </c>
      <c r="BD8" s="9">
        <v>1.42</v>
      </c>
      <c r="BE8" s="7">
        <f t="shared" si="15"/>
        <v>1000</v>
      </c>
      <c r="BF8" s="11">
        <f t="shared" si="16"/>
        <v>166.41</v>
      </c>
      <c r="BG8" s="11">
        <f t="shared" si="17"/>
        <v>49</v>
      </c>
      <c r="BH8" s="11">
        <f t="shared" si="18"/>
        <v>100</v>
      </c>
      <c r="BI8" s="11">
        <f t="shared" si="19"/>
        <v>2.0164</v>
      </c>
      <c r="BJ8" s="7">
        <f t="shared" si="20"/>
        <v>12.9</v>
      </c>
      <c r="BK8" s="7">
        <f t="shared" si="21"/>
        <v>7000</v>
      </c>
      <c r="BL8" s="7">
        <f t="shared" si="22"/>
        <v>10</v>
      </c>
      <c r="BM8" s="7">
        <f t="shared" si="23"/>
        <v>1420</v>
      </c>
      <c r="BN8" s="7">
        <f t="shared" si="24"/>
        <v>90.3</v>
      </c>
      <c r="BO8" s="7">
        <f t="shared" si="25"/>
        <v>129</v>
      </c>
      <c r="BP8" s="7">
        <f t="shared" si="26"/>
        <v>18.317999999999998</v>
      </c>
      <c r="BQ8" s="7">
        <f t="shared" si="27"/>
        <v>70</v>
      </c>
      <c r="BR8" s="7">
        <f t="shared" si="28"/>
        <v>9.94</v>
      </c>
      <c r="BS8" s="7">
        <f t="shared" si="29"/>
        <v>14.2</v>
      </c>
      <c r="BT8" s="9">
        <v>1.55</v>
      </c>
      <c r="BV8" s="14" t="s">
        <v>30</v>
      </c>
      <c r="BW8" s="14">
        <v>38</v>
      </c>
      <c r="CD8" s="7">
        <v>1000</v>
      </c>
      <c r="CE8" s="23">
        <v>10</v>
      </c>
      <c r="CF8" s="7">
        <v>1000</v>
      </c>
      <c r="CG8" s="11">
        <v>2.0164</v>
      </c>
      <c r="CH8" s="7">
        <v>1420</v>
      </c>
      <c r="CI8" s="7">
        <v>14.2</v>
      </c>
      <c r="CJ8" s="9">
        <v>1.55</v>
      </c>
      <c r="CL8" s="14" t="s">
        <v>30</v>
      </c>
      <c r="CM8" s="14">
        <v>38</v>
      </c>
      <c r="CW8" s="14" t="s">
        <v>30</v>
      </c>
      <c r="CX8" s="14">
        <v>38</v>
      </c>
    </row>
    <row r="9" spans="1:109">
      <c r="A9" s="18" t="s">
        <v>57</v>
      </c>
      <c r="C9" s="7">
        <v>8</v>
      </c>
      <c r="D9" s="7">
        <v>1000</v>
      </c>
      <c r="E9" s="8">
        <v>10.5</v>
      </c>
      <c r="F9" s="11">
        <v>6.3</v>
      </c>
      <c r="G9" s="23">
        <v>28</v>
      </c>
      <c r="H9" s="9">
        <v>1.4</v>
      </c>
      <c r="I9" s="9">
        <v>1.45</v>
      </c>
      <c r="J9" s="10">
        <v>2.4E-2</v>
      </c>
      <c r="M9"/>
      <c r="N9"/>
      <c r="O9"/>
      <c r="P9"/>
      <c r="Q9"/>
      <c r="R9"/>
      <c r="T9" s="7">
        <v>1000</v>
      </c>
      <c r="U9" s="8">
        <v>10.5</v>
      </c>
      <c r="V9" s="11">
        <v>6.3</v>
      </c>
      <c r="W9" s="23">
        <v>28</v>
      </c>
      <c r="X9" s="9">
        <v>1.4</v>
      </c>
      <c r="Y9" s="7">
        <f t="shared" si="0"/>
        <v>1000</v>
      </c>
      <c r="Z9" s="11">
        <f t="shared" si="1"/>
        <v>110.25</v>
      </c>
      <c r="AA9" s="11">
        <f t="shared" si="2"/>
        <v>39.69</v>
      </c>
      <c r="AB9" s="11">
        <f t="shared" si="3"/>
        <v>784</v>
      </c>
      <c r="AC9" s="11">
        <f t="shared" si="4"/>
        <v>1.9599999999999997</v>
      </c>
      <c r="AD9" s="7">
        <f t="shared" si="5"/>
        <v>10.5</v>
      </c>
      <c r="AE9" s="7">
        <f t="shared" si="6"/>
        <v>6300</v>
      </c>
      <c r="AF9" s="7">
        <f t="shared" si="7"/>
        <v>28</v>
      </c>
      <c r="AG9" s="7">
        <f t="shared" si="8"/>
        <v>1400</v>
      </c>
      <c r="AH9" s="7">
        <f t="shared" si="9"/>
        <v>66.149999999999991</v>
      </c>
      <c r="AI9" s="7">
        <f t="shared" si="10"/>
        <v>294</v>
      </c>
      <c r="AJ9" s="7">
        <f t="shared" si="11"/>
        <v>14.7</v>
      </c>
      <c r="AK9" s="7">
        <f t="shared" si="12"/>
        <v>176.4</v>
      </c>
      <c r="AL9" s="7">
        <f t="shared" si="13"/>
        <v>8.8199999999999985</v>
      </c>
      <c r="AM9" s="7">
        <f t="shared" si="14"/>
        <v>39.199999999999996</v>
      </c>
      <c r="AN9" s="9">
        <v>1.45</v>
      </c>
      <c r="AT9"/>
      <c r="AV9"/>
      <c r="AW9"/>
      <c r="AX9"/>
      <c r="AY9" s="22">
        <v>8</v>
      </c>
      <c r="AZ9" s="7">
        <v>1000</v>
      </c>
      <c r="BA9" s="8">
        <v>10.5</v>
      </c>
      <c r="BB9" s="11">
        <v>6.3</v>
      </c>
      <c r="BC9" s="23">
        <v>28</v>
      </c>
      <c r="BD9" s="9">
        <v>1.4</v>
      </c>
      <c r="BE9" s="7">
        <f t="shared" si="15"/>
        <v>1000</v>
      </c>
      <c r="BF9" s="11">
        <f t="shared" si="16"/>
        <v>110.25</v>
      </c>
      <c r="BG9" s="11">
        <f t="shared" si="17"/>
        <v>39.69</v>
      </c>
      <c r="BH9" s="11">
        <f t="shared" si="18"/>
        <v>784</v>
      </c>
      <c r="BI9" s="11">
        <f t="shared" si="19"/>
        <v>1.9599999999999997</v>
      </c>
      <c r="BJ9" s="7">
        <f t="shared" si="20"/>
        <v>10.5</v>
      </c>
      <c r="BK9" s="7">
        <f t="shared" si="21"/>
        <v>6300</v>
      </c>
      <c r="BL9" s="7">
        <f t="shared" si="22"/>
        <v>28</v>
      </c>
      <c r="BM9" s="7">
        <f t="shared" si="23"/>
        <v>1400</v>
      </c>
      <c r="BN9" s="7">
        <f t="shared" si="24"/>
        <v>66.149999999999991</v>
      </c>
      <c r="BO9" s="7">
        <f t="shared" si="25"/>
        <v>294</v>
      </c>
      <c r="BP9" s="7">
        <f t="shared" si="26"/>
        <v>14.7</v>
      </c>
      <c r="BQ9" s="7">
        <f t="shared" si="27"/>
        <v>176.4</v>
      </c>
      <c r="BR9" s="7">
        <f t="shared" si="28"/>
        <v>8.8199999999999985</v>
      </c>
      <c r="BS9" s="7">
        <f t="shared" si="29"/>
        <v>39.199999999999996</v>
      </c>
      <c r="BT9" s="9">
        <v>1.45</v>
      </c>
      <c r="CD9" s="7">
        <v>1000</v>
      </c>
      <c r="CE9" s="23">
        <v>28</v>
      </c>
      <c r="CF9" s="7">
        <v>1000</v>
      </c>
      <c r="CG9" s="11">
        <v>1.96</v>
      </c>
      <c r="CH9" s="7">
        <v>1400</v>
      </c>
      <c r="CI9" s="7">
        <v>39.200000000000003</v>
      </c>
      <c r="CJ9" s="9">
        <v>1.45</v>
      </c>
    </row>
    <row r="10" spans="1:109" ht="13.5" thickBot="1">
      <c r="A10" s="18" t="s">
        <v>58</v>
      </c>
      <c r="C10" s="7">
        <v>9</v>
      </c>
      <c r="D10" s="7">
        <v>1300</v>
      </c>
      <c r="E10" s="8">
        <v>8.1</v>
      </c>
      <c r="F10" s="11">
        <v>6.1</v>
      </c>
      <c r="G10" s="23">
        <v>23</v>
      </c>
      <c r="H10" s="9">
        <v>1.3</v>
      </c>
      <c r="I10" s="9">
        <v>1.44</v>
      </c>
      <c r="J10" s="10">
        <v>4.8000000000000001E-2</v>
      </c>
      <c r="L10" t="s">
        <v>31</v>
      </c>
      <c r="M10"/>
      <c r="N10"/>
      <c r="O10"/>
      <c r="P10"/>
      <c r="Q10"/>
      <c r="R10"/>
      <c r="T10" s="7">
        <v>1300</v>
      </c>
      <c r="U10" s="8">
        <v>8.1</v>
      </c>
      <c r="V10" s="11">
        <v>6.1</v>
      </c>
      <c r="W10" s="23">
        <v>23</v>
      </c>
      <c r="X10" s="9">
        <v>1.3</v>
      </c>
      <c r="Y10" s="7">
        <f t="shared" si="0"/>
        <v>1690</v>
      </c>
      <c r="Z10" s="11">
        <f t="shared" si="1"/>
        <v>65.61</v>
      </c>
      <c r="AA10" s="11">
        <f t="shared" si="2"/>
        <v>37.209999999999994</v>
      </c>
      <c r="AB10" s="11">
        <f t="shared" si="3"/>
        <v>529</v>
      </c>
      <c r="AC10" s="11">
        <f t="shared" si="4"/>
        <v>1.6900000000000002</v>
      </c>
      <c r="AD10" s="7">
        <f t="shared" si="5"/>
        <v>10.53</v>
      </c>
      <c r="AE10" s="7">
        <f t="shared" si="6"/>
        <v>7929.9999999999991</v>
      </c>
      <c r="AF10" s="7">
        <f t="shared" si="7"/>
        <v>29.9</v>
      </c>
      <c r="AG10" s="7">
        <f t="shared" si="8"/>
        <v>1690</v>
      </c>
      <c r="AH10" s="7">
        <f t="shared" si="9"/>
        <v>49.41</v>
      </c>
      <c r="AI10" s="7">
        <f t="shared" si="10"/>
        <v>186.29999999999998</v>
      </c>
      <c r="AJ10" s="7">
        <f t="shared" si="11"/>
        <v>10.53</v>
      </c>
      <c r="AK10" s="7">
        <f t="shared" si="12"/>
        <v>140.29999999999998</v>
      </c>
      <c r="AL10" s="7">
        <f t="shared" si="13"/>
        <v>7.93</v>
      </c>
      <c r="AM10" s="7">
        <f t="shared" si="14"/>
        <v>29.900000000000002</v>
      </c>
      <c r="AN10" s="9">
        <v>1.44</v>
      </c>
      <c r="AP10" t="s">
        <v>31</v>
      </c>
      <c r="AT10"/>
      <c r="AV10"/>
      <c r="AW10"/>
      <c r="AX10"/>
      <c r="AY10" s="22">
        <v>9</v>
      </c>
      <c r="AZ10" s="7">
        <v>1300</v>
      </c>
      <c r="BA10" s="8">
        <v>8.1</v>
      </c>
      <c r="BB10" s="11">
        <v>6.1</v>
      </c>
      <c r="BC10" s="23">
        <v>23</v>
      </c>
      <c r="BD10" s="9">
        <v>1.3</v>
      </c>
      <c r="BE10" s="7">
        <f t="shared" si="15"/>
        <v>1690</v>
      </c>
      <c r="BF10" s="11">
        <f t="shared" si="16"/>
        <v>65.61</v>
      </c>
      <c r="BG10" s="11">
        <f t="shared" si="17"/>
        <v>37.209999999999994</v>
      </c>
      <c r="BH10" s="11">
        <f t="shared" si="18"/>
        <v>529</v>
      </c>
      <c r="BI10" s="11">
        <f t="shared" si="19"/>
        <v>1.6900000000000002</v>
      </c>
      <c r="BJ10" s="7">
        <f t="shared" si="20"/>
        <v>10.53</v>
      </c>
      <c r="BK10" s="7">
        <f t="shared" si="21"/>
        <v>7929.9999999999991</v>
      </c>
      <c r="BL10" s="7">
        <f t="shared" si="22"/>
        <v>29.9</v>
      </c>
      <c r="BM10" s="7">
        <f t="shared" si="23"/>
        <v>1690</v>
      </c>
      <c r="BN10" s="7">
        <f t="shared" si="24"/>
        <v>49.41</v>
      </c>
      <c r="BO10" s="7">
        <f t="shared" si="25"/>
        <v>186.29999999999998</v>
      </c>
      <c r="BP10" s="7">
        <f t="shared" si="26"/>
        <v>10.53</v>
      </c>
      <c r="BQ10" s="7">
        <f t="shared" si="27"/>
        <v>140.29999999999998</v>
      </c>
      <c r="BR10" s="7">
        <f t="shared" si="28"/>
        <v>7.93</v>
      </c>
      <c r="BS10" s="7">
        <f t="shared" si="29"/>
        <v>29.900000000000002</v>
      </c>
      <c r="BT10" s="9">
        <v>1.44</v>
      </c>
      <c r="BV10" t="s">
        <v>31</v>
      </c>
      <c r="CD10" s="7">
        <v>1300</v>
      </c>
      <c r="CE10" s="23">
        <v>23</v>
      </c>
      <c r="CF10" s="7">
        <v>1690</v>
      </c>
      <c r="CG10" s="11">
        <v>1.69</v>
      </c>
      <c r="CH10" s="7">
        <v>1690</v>
      </c>
      <c r="CI10" s="7">
        <v>29.9</v>
      </c>
      <c r="CJ10" s="9">
        <v>1.44</v>
      </c>
      <c r="CL10" t="s">
        <v>31</v>
      </c>
      <c r="CW10" t="s">
        <v>31</v>
      </c>
    </row>
    <row r="11" spans="1:109">
      <c r="A11" s="18" t="s">
        <v>59</v>
      </c>
      <c r="C11" s="7">
        <v>10</v>
      </c>
      <c r="D11" s="7">
        <v>1300</v>
      </c>
      <c r="E11" s="8">
        <v>10.1</v>
      </c>
      <c r="F11" s="11">
        <v>6.8</v>
      </c>
      <c r="G11" s="23">
        <v>25</v>
      </c>
      <c r="H11" s="9">
        <v>1.28</v>
      </c>
      <c r="I11" s="9">
        <v>1.44</v>
      </c>
      <c r="J11" s="10">
        <v>2.8000000000000001E-2</v>
      </c>
      <c r="L11" s="15"/>
      <c r="M11" s="15" t="s">
        <v>32</v>
      </c>
      <c r="N11" s="15" t="s">
        <v>33</v>
      </c>
      <c r="O11" s="15" t="s">
        <v>34</v>
      </c>
      <c r="P11" s="15" t="s">
        <v>35</v>
      </c>
      <c r="Q11" s="15" t="s">
        <v>70</v>
      </c>
      <c r="R11"/>
      <c r="T11" s="7">
        <v>1300</v>
      </c>
      <c r="U11" s="8">
        <v>10.1</v>
      </c>
      <c r="V11" s="11">
        <v>6.8</v>
      </c>
      <c r="W11" s="23">
        <v>25</v>
      </c>
      <c r="X11" s="9">
        <v>1.28</v>
      </c>
      <c r="Y11" s="7">
        <f t="shared" si="0"/>
        <v>1690</v>
      </c>
      <c r="Z11" s="11">
        <f t="shared" si="1"/>
        <v>102.00999999999999</v>
      </c>
      <c r="AA11" s="11">
        <f t="shared" si="2"/>
        <v>46.239999999999995</v>
      </c>
      <c r="AB11" s="11">
        <f t="shared" si="3"/>
        <v>625</v>
      </c>
      <c r="AC11" s="11">
        <f t="shared" si="4"/>
        <v>1.6384000000000001</v>
      </c>
      <c r="AD11" s="7">
        <f t="shared" si="5"/>
        <v>13.13</v>
      </c>
      <c r="AE11" s="7">
        <f t="shared" si="6"/>
        <v>8840</v>
      </c>
      <c r="AF11" s="7">
        <f t="shared" si="7"/>
        <v>32.5</v>
      </c>
      <c r="AG11" s="7">
        <f t="shared" si="8"/>
        <v>1664</v>
      </c>
      <c r="AH11" s="7">
        <f t="shared" si="9"/>
        <v>68.679999999999993</v>
      </c>
      <c r="AI11" s="7">
        <f t="shared" si="10"/>
        <v>252.5</v>
      </c>
      <c r="AJ11" s="7">
        <f t="shared" si="11"/>
        <v>12.927999999999999</v>
      </c>
      <c r="AK11" s="7">
        <f t="shared" si="12"/>
        <v>170</v>
      </c>
      <c r="AL11" s="7">
        <f t="shared" si="13"/>
        <v>8.7040000000000006</v>
      </c>
      <c r="AM11" s="7">
        <f t="shared" si="14"/>
        <v>32</v>
      </c>
      <c r="AN11" s="9">
        <v>1.44</v>
      </c>
      <c r="AP11" s="15"/>
      <c r="AQ11" s="15" t="s">
        <v>32</v>
      </c>
      <c r="AR11" s="15" t="s">
        <v>33</v>
      </c>
      <c r="AS11" s="15" t="s">
        <v>34</v>
      </c>
      <c r="AT11" s="15" t="s">
        <v>35</v>
      </c>
      <c r="AU11" s="15" t="s">
        <v>70</v>
      </c>
      <c r="AV11"/>
      <c r="AW11"/>
      <c r="AX11"/>
      <c r="AY11" s="22">
        <v>10</v>
      </c>
      <c r="AZ11" s="7">
        <v>1300</v>
      </c>
      <c r="BA11" s="8">
        <v>10.1</v>
      </c>
      <c r="BB11" s="11">
        <v>6.8</v>
      </c>
      <c r="BC11" s="23">
        <v>25</v>
      </c>
      <c r="BD11" s="9">
        <v>1.28</v>
      </c>
      <c r="BE11" s="7">
        <f t="shared" si="15"/>
        <v>1690</v>
      </c>
      <c r="BF11" s="11">
        <f t="shared" si="16"/>
        <v>102.00999999999999</v>
      </c>
      <c r="BG11" s="11">
        <f t="shared" si="17"/>
        <v>46.239999999999995</v>
      </c>
      <c r="BH11" s="11">
        <f t="shared" si="18"/>
        <v>625</v>
      </c>
      <c r="BI11" s="11">
        <f t="shared" si="19"/>
        <v>1.6384000000000001</v>
      </c>
      <c r="BJ11" s="7">
        <f t="shared" si="20"/>
        <v>13.13</v>
      </c>
      <c r="BK11" s="7">
        <f t="shared" si="21"/>
        <v>8840</v>
      </c>
      <c r="BL11" s="7">
        <f t="shared" si="22"/>
        <v>32.5</v>
      </c>
      <c r="BM11" s="7">
        <f t="shared" si="23"/>
        <v>1664</v>
      </c>
      <c r="BN11" s="7">
        <f t="shared" si="24"/>
        <v>68.679999999999993</v>
      </c>
      <c r="BO11" s="7">
        <f t="shared" si="25"/>
        <v>252.5</v>
      </c>
      <c r="BP11" s="7">
        <f t="shared" si="26"/>
        <v>12.927999999999999</v>
      </c>
      <c r="BQ11" s="7">
        <f t="shared" si="27"/>
        <v>170</v>
      </c>
      <c r="BR11" s="7">
        <f t="shared" si="28"/>
        <v>8.7040000000000006</v>
      </c>
      <c r="BS11" s="7">
        <f t="shared" si="29"/>
        <v>32</v>
      </c>
      <c r="BT11" s="9">
        <v>1.44</v>
      </c>
      <c r="BV11" s="15"/>
      <c r="BW11" s="15" t="s">
        <v>32</v>
      </c>
      <c r="BX11" s="15" t="s">
        <v>33</v>
      </c>
      <c r="BY11" s="15" t="s">
        <v>34</v>
      </c>
      <c r="BZ11" s="15" t="s">
        <v>35</v>
      </c>
      <c r="CA11" s="15" t="s">
        <v>70</v>
      </c>
      <c r="CD11" s="7">
        <v>1300</v>
      </c>
      <c r="CE11" s="23">
        <v>25</v>
      </c>
      <c r="CF11" s="7">
        <v>1690</v>
      </c>
      <c r="CG11" s="11">
        <v>1.6384000000000001</v>
      </c>
      <c r="CH11" s="7">
        <v>1664</v>
      </c>
      <c r="CI11" s="7">
        <v>32</v>
      </c>
      <c r="CJ11" s="9">
        <v>1.44</v>
      </c>
      <c r="CL11" s="15"/>
      <c r="CM11" s="15" t="s">
        <v>32</v>
      </c>
      <c r="CN11" s="15" t="s">
        <v>33</v>
      </c>
      <c r="CO11" s="15" t="s">
        <v>34</v>
      </c>
      <c r="CP11" s="15" t="s">
        <v>35</v>
      </c>
      <c r="CQ11" s="15" t="s">
        <v>70</v>
      </c>
      <c r="CW11" s="15"/>
      <c r="CX11" s="15" t="s">
        <v>32</v>
      </c>
      <c r="CY11" s="15" t="s">
        <v>33</v>
      </c>
      <c r="CZ11" s="15" t="s">
        <v>34</v>
      </c>
      <c r="DA11" s="15" t="s">
        <v>35</v>
      </c>
      <c r="DB11" s="15" t="s">
        <v>36</v>
      </c>
    </row>
    <row r="12" spans="1:109">
      <c r="A12" s="18" t="s">
        <v>60</v>
      </c>
      <c r="C12" s="7">
        <v>11</v>
      </c>
      <c r="D12" s="7">
        <v>1000</v>
      </c>
      <c r="E12" s="8">
        <v>8.5</v>
      </c>
      <c r="F12" s="11">
        <v>7</v>
      </c>
      <c r="G12" s="23">
        <v>19</v>
      </c>
      <c r="H12" s="9">
        <v>1.35</v>
      </c>
      <c r="I12" s="9">
        <v>1.5</v>
      </c>
      <c r="J12" s="10">
        <v>2.8000000000000001E-2</v>
      </c>
      <c r="L12" s="13" t="s">
        <v>37</v>
      </c>
      <c r="M12" s="13">
        <v>5</v>
      </c>
      <c r="N12" s="13">
        <v>0.16070857525979987</v>
      </c>
      <c r="O12" s="13">
        <v>3.2141715051959972E-2</v>
      </c>
      <c r="P12" s="13">
        <v>13.744969624441252</v>
      </c>
      <c r="Q12" s="13">
        <v>2.7877520028008618E-7</v>
      </c>
      <c r="R12"/>
      <c r="T12" s="7">
        <v>1000</v>
      </c>
      <c r="U12" s="8">
        <v>8.5</v>
      </c>
      <c r="V12" s="11">
        <v>7</v>
      </c>
      <c r="W12" s="23">
        <v>19</v>
      </c>
      <c r="X12" s="9">
        <v>1.35</v>
      </c>
      <c r="Y12" s="7">
        <f t="shared" si="0"/>
        <v>1000</v>
      </c>
      <c r="Z12" s="11">
        <f t="shared" si="1"/>
        <v>72.25</v>
      </c>
      <c r="AA12" s="11">
        <f t="shared" si="2"/>
        <v>49</v>
      </c>
      <c r="AB12" s="11">
        <f t="shared" si="3"/>
        <v>361</v>
      </c>
      <c r="AC12" s="11">
        <f t="shared" si="4"/>
        <v>1.8225000000000002</v>
      </c>
      <c r="AD12" s="7">
        <f t="shared" si="5"/>
        <v>8.5</v>
      </c>
      <c r="AE12" s="7">
        <f t="shared" si="6"/>
        <v>7000</v>
      </c>
      <c r="AF12" s="7">
        <f t="shared" si="7"/>
        <v>19</v>
      </c>
      <c r="AG12" s="7">
        <f t="shared" si="8"/>
        <v>1350</v>
      </c>
      <c r="AH12" s="7">
        <f t="shared" si="9"/>
        <v>59.5</v>
      </c>
      <c r="AI12" s="7">
        <f t="shared" si="10"/>
        <v>161.5</v>
      </c>
      <c r="AJ12" s="7">
        <f t="shared" si="11"/>
        <v>11.475000000000001</v>
      </c>
      <c r="AK12" s="7">
        <f t="shared" si="12"/>
        <v>133</v>
      </c>
      <c r="AL12" s="7">
        <f t="shared" si="13"/>
        <v>9.4500000000000011</v>
      </c>
      <c r="AM12" s="7">
        <f t="shared" si="14"/>
        <v>25.650000000000002</v>
      </c>
      <c r="AN12" s="9">
        <v>1.5</v>
      </c>
      <c r="AP12" s="13" t="s">
        <v>37</v>
      </c>
      <c r="AQ12" s="13">
        <v>10</v>
      </c>
      <c r="AR12" s="13">
        <v>0.1871634915024798</v>
      </c>
      <c r="AS12" s="13">
        <v>1.8716349150247981E-2</v>
      </c>
      <c r="AT12" s="13">
        <v>10.333707657658032</v>
      </c>
      <c r="AU12" s="13">
        <v>5.0561136446409709E-7</v>
      </c>
      <c r="AV12"/>
      <c r="AW12"/>
      <c r="AX12"/>
      <c r="AY12" s="22">
        <v>11</v>
      </c>
      <c r="AZ12" s="7">
        <v>1000</v>
      </c>
      <c r="BA12" s="8">
        <v>8.5</v>
      </c>
      <c r="BB12" s="11">
        <v>7</v>
      </c>
      <c r="BC12" s="23">
        <v>19</v>
      </c>
      <c r="BD12" s="9">
        <v>1.35</v>
      </c>
      <c r="BE12" s="7">
        <f t="shared" si="15"/>
        <v>1000</v>
      </c>
      <c r="BF12" s="11">
        <f t="shared" si="16"/>
        <v>72.25</v>
      </c>
      <c r="BG12" s="11">
        <f t="shared" si="17"/>
        <v>49</v>
      </c>
      <c r="BH12" s="11">
        <f t="shared" si="18"/>
        <v>361</v>
      </c>
      <c r="BI12" s="11">
        <f t="shared" si="19"/>
        <v>1.8225000000000002</v>
      </c>
      <c r="BJ12" s="7">
        <f t="shared" si="20"/>
        <v>8.5</v>
      </c>
      <c r="BK12" s="7">
        <f t="shared" si="21"/>
        <v>7000</v>
      </c>
      <c r="BL12" s="7">
        <f t="shared" si="22"/>
        <v>19</v>
      </c>
      <c r="BM12" s="7">
        <f t="shared" si="23"/>
        <v>1350</v>
      </c>
      <c r="BN12" s="7">
        <f t="shared" si="24"/>
        <v>59.5</v>
      </c>
      <c r="BO12" s="7">
        <f t="shared" si="25"/>
        <v>161.5</v>
      </c>
      <c r="BP12" s="7">
        <f t="shared" si="26"/>
        <v>11.475000000000001</v>
      </c>
      <c r="BQ12" s="7">
        <f t="shared" si="27"/>
        <v>133</v>
      </c>
      <c r="BR12" s="7">
        <f t="shared" si="28"/>
        <v>9.4500000000000011</v>
      </c>
      <c r="BS12" s="7">
        <f t="shared" si="29"/>
        <v>25.650000000000002</v>
      </c>
      <c r="BT12" s="9">
        <v>1.5</v>
      </c>
      <c r="BV12" s="13" t="s">
        <v>37</v>
      </c>
      <c r="BW12" s="13">
        <v>10</v>
      </c>
      <c r="BX12" s="13">
        <v>0.17249369494240191</v>
      </c>
      <c r="BY12" s="13">
        <v>1.7249369494240191E-2</v>
      </c>
      <c r="BZ12" s="13">
        <v>12.940436356311666</v>
      </c>
      <c r="CA12" s="13">
        <v>6.7475160414688986E-8</v>
      </c>
      <c r="CD12" s="7">
        <v>1000</v>
      </c>
      <c r="CE12" s="23">
        <v>19</v>
      </c>
      <c r="CF12" s="7">
        <v>1000</v>
      </c>
      <c r="CG12" s="11">
        <v>1.8225</v>
      </c>
      <c r="CH12" s="7">
        <v>1350</v>
      </c>
      <c r="CI12" s="7">
        <v>25.65</v>
      </c>
      <c r="CJ12" s="9">
        <v>1.5</v>
      </c>
      <c r="CL12" s="13" t="s">
        <v>37</v>
      </c>
      <c r="CM12" s="13">
        <v>6</v>
      </c>
      <c r="CN12" s="13">
        <v>0.17886723098637849</v>
      </c>
      <c r="CO12" s="13">
        <v>2.9811205164396417E-2</v>
      </c>
      <c r="CP12" s="13">
        <v>31.203295354615864</v>
      </c>
      <c r="CQ12" s="13">
        <v>7.913451609846584E-12</v>
      </c>
      <c r="CW12" s="13" t="s">
        <v>37</v>
      </c>
      <c r="CX12" s="13">
        <v>6</v>
      </c>
      <c r="CY12" s="13">
        <v>82.999951128046675</v>
      </c>
      <c r="CZ12" s="13">
        <v>13.833325188007779</v>
      </c>
      <c r="DA12" s="13">
        <v>14830.255786811664</v>
      </c>
      <c r="DB12" s="13">
        <v>3.6209366964664167E-52</v>
      </c>
    </row>
    <row r="13" spans="1:109">
      <c r="C13" s="7">
        <v>12</v>
      </c>
      <c r="D13" s="7">
        <v>1000</v>
      </c>
      <c r="E13" s="8">
        <v>11</v>
      </c>
      <c r="F13" s="11">
        <v>7.1</v>
      </c>
      <c r="G13" s="23">
        <v>24</v>
      </c>
      <c r="H13" s="9">
        <v>1.35</v>
      </c>
      <c r="I13" s="9">
        <v>1.45</v>
      </c>
      <c r="J13" s="10">
        <v>2.3E-2</v>
      </c>
      <c r="L13" s="13" t="s">
        <v>38</v>
      </c>
      <c r="M13" s="13">
        <v>33</v>
      </c>
      <c r="N13" s="13">
        <v>7.7168347817123437E-2</v>
      </c>
      <c r="O13" s="13">
        <v>2.3384347823370739E-3</v>
      </c>
      <c r="P13" s="13"/>
      <c r="Q13" s="13"/>
      <c r="R13"/>
      <c r="T13" s="7">
        <v>1000</v>
      </c>
      <c r="U13" s="8">
        <v>11</v>
      </c>
      <c r="V13" s="11">
        <v>7.1</v>
      </c>
      <c r="W13" s="23">
        <v>24</v>
      </c>
      <c r="X13" s="9">
        <v>1.35</v>
      </c>
      <c r="Y13" s="7">
        <f t="shared" si="0"/>
        <v>1000</v>
      </c>
      <c r="Z13" s="11">
        <f t="shared" si="1"/>
        <v>121</v>
      </c>
      <c r="AA13" s="11">
        <f t="shared" si="2"/>
        <v>50.41</v>
      </c>
      <c r="AB13" s="11">
        <f t="shared" si="3"/>
        <v>576</v>
      </c>
      <c r="AC13" s="11">
        <f t="shared" si="4"/>
        <v>1.8225000000000002</v>
      </c>
      <c r="AD13" s="7">
        <f t="shared" si="5"/>
        <v>11</v>
      </c>
      <c r="AE13" s="7">
        <f t="shared" si="6"/>
        <v>7100</v>
      </c>
      <c r="AF13" s="7">
        <f t="shared" si="7"/>
        <v>24</v>
      </c>
      <c r="AG13" s="7">
        <f t="shared" si="8"/>
        <v>1350</v>
      </c>
      <c r="AH13" s="7">
        <f t="shared" si="9"/>
        <v>78.099999999999994</v>
      </c>
      <c r="AI13" s="7">
        <f t="shared" si="10"/>
        <v>264</v>
      </c>
      <c r="AJ13" s="7">
        <f t="shared" si="11"/>
        <v>14.850000000000001</v>
      </c>
      <c r="AK13" s="7">
        <f t="shared" si="12"/>
        <v>170.39999999999998</v>
      </c>
      <c r="AL13" s="7">
        <f t="shared" si="13"/>
        <v>9.5850000000000009</v>
      </c>
      <c r="AM13" s="7">
        <f t="shared" si="14"/>
        <v>32.400000000000006</v>
      </c>
      <c r="AN13" s="9">
        <v>1.45</v>
      </c>
      <c r="AP13" s="13" t="s">
        <v>38</v>
      </c>
      <c r="AQ13" s="13">
        <v>28</v>
      </c>
      <c r="AR13" s="13">
        <v>5.0713431574443503E-2</v>
      </c>
      <c r="AS13" s="13">
        <v>1.8111939848015537E-3</v>
      </c>
      <c r="AT13" s="13"/>
      <c r="AU13" s="13"/>
      <c r="AV13"/>
      <c r="AW13"/>
      <c r="AX13"/>
      <c r="AY13" s="22">
        <v>12</v>
      </c>
      <c r="AZ13" s="7">
        <v>1000</v>
      </c>
      <c r="BA13" s="8">
        <v>11</v>
      </c>
      <c r="BB13" s="11">
        <v>7.1</v>
      </c>
      <c r="BC13" s="23">
        <v>24</v>
      </c>
      <c r="BD13" s="9">
        <v>1.35</v>
      </c>
      <c r="BE13" s="7">
        <f t="shared" si="15"/>
        <v>1000</v>
      </c>
      <c r="BF13" s="11">
        <f t="shared" si="16"/>
        <v>121</v>
      </c>
      <c r="BG13" s="11">
        <f t="shared" si="17"/>
        <v>50.41</v>
      </c>
      <c r="BH13" s="11">
        <f t="shared" si="18"/>
        <v>576</v>
      </c>
      <c r="BI13" s="11">
        <f t="shared" si="19"/>
        <v>1.8225000000000002</v>
      </c>
      <c r="BJ13" s="7">
        <f t="shared" si="20"/>
        <v>11</v>
      </c>
      <c r="BK13" s="7">
        <f t="shared" si="21"/>
        <v>7100</v>
      </c>
      <c r="BL13" s="7">
        <f t="shared" si="22"/>
        <v>24</v>
      </c>
      <c r="BM13" s="7">
        <f t="shared" si="23"/>
        <v>1350</v>
      </c>
      <c r="BN13" s="7">
        <f t="shared" si="24"/>
        <v>78.099999999999994</v>
      </c>
      <c r="BO13" s="7">
        <f t="shared" si="25"/>
        <v>264</v>
      </c>
      <c r="BP13" s="7">
        <f t="shared" si="26"/>
        <v>14.850000000000001</v>
      </c>
      <c r="BQ13" s="7">
        <f t="shared" si="27"/>
        <v>170.39999999999998</v>
      </c>
      <c r="BR13" s="7">
        <f t="shared" si="28"/>
        <v>9.5850000000000009</v>
      </c>
      <c r="BS13" s="7">
        <f t="shared" si="29"/>
        <v>32.400000000000006</v>
      </c>
      <c r="BT13" s="9">
        <v>1.45</v>
      </c>
      <c r="BV13" s="13" t="s">
        <v>38</v>
      </c>
      <c r="BW13" s="13">
        <v>27</v>
      </c>
      <c r="BX13" s="13">
        <v>3.5990515583914216E-2</v>
      </c>
      <c r="BY13" s="13">
        <v>1.3329820586634896E-3</v>
      </c>
      <c r="BZ13" s="13"/>
      <c r="CA13" s="13"/>
      <c r="CD13" s="7">
        <v>1000</v>
      </c>
      <c r="CE13" s="23">
        <v>24</v>
      </c>
      <c r="CF13" s="7">
        <v>1000</v>
      </c>
      <c r="CG13" s="11">
        <v>1.8225</v>
      </c>
      <c r="CH13" s="7">
        <v>1350</v>
      </c>
      <c r="CI13" s="7">
        <v>32.4</v>
      </c>
      <c r="CJ13" s="9">
        <v>1.45</v>
      </c>
      <c r="CL13" s="13" t="s">
        <v>38</v>
      </c>
      <c r="CM13" s="13">
        <v>31</v>
      </c>
      <c r="CN13" s="13">
        <v>2.9616979539937631E-2</v>
      </c>
      <c r="CO13" s="13">
        <v>9.5538643677218159E-4</v>
      </c>
      <c r="CP13" s="13"/>
      <c r="CQ13" s="13"/>
      <c r="CW13" s="13" t="s">
        <v>38</v>
      </c>
      <c r="CX13" s="13">
        <v>32</v>
      </c>
      <c r="CY13" s="13">
        <v>2.9848871953368862E-2</v>
      </c>
      <c r="CZ13" s="13">
        <v>9.3277724854277694E-4</v>
      </c>
      <c r="DA13" s="13"/>
      <c r="DB13" s="13"/>
    </row>
    <row r="14" spans="1:109" ht="13.5" thickBot="1">
      <c r="C14" s="7">
        <v>13</v>
      </c>
      <c r="D14" s="7">
        <v>1300</v>
      </c>
      <c r="E14" s="8">
        <v>9</v>
      </c>
      <c r="F14" s="11">
        <v>6.4</v>
      </c>
      <c r="G14" s="23">
        <v>36</v>
      </c>
      <c r="H14" s="9">
        <v>1.25</v>
      </c>
      <c r="I14" s="9">
        <v>1.44</v>
      </c>
      <c r="J14" s="10">
        <v>2.8000000000000001E-2</v>
      </c>
      <c r="L14" s="14" t="s">
        <v>39</v>
      </c>
      <c r="M14" s="14">
        <v>38</v>
      </c>
      <c r="N14" s="14">
        <v>0.23787692307692332</v>
      </c>
      <c r="O14" s="14"/>
      <c r="P14" s="14"/>
      <c r="Q14" s="14"/>
      <c r="R14"/>
      <c r="T14" s="7">
        <v>1300</v>
      </c>
      <c r="U14" s="8">
        <v>9</v>
      </c>
      <c r="V14" s="11">
        <v>6.4</v>
      </c>
      <c r="W14" s="23">
        <v>36</v>
      </c>
      <c r="X14" s="9">
        <v>1.25</v>
      </c>
      <c r="Y14" s="7">
        <f t="shared" si="0"/>
        <v>1690</v>
      </c>
      <c r="Z14" s="11">
        <f t="shared" si="1"/>
        <v>81</v>
      </c>
      <c r="AA14" s="11">
        <f t="shared" si="2"/>
        <v>40.960000000000008</v>
      </c>
      <c r="AB14" s="11">
        <f t="shared" si="3"/>
        <v>1296</v>
      </c>
      <c r="AC14" s="11">
        <f t="shared" si="4"/>
        <v>1.5625</v>
      </c>
      <c r="AD14" s="7">
        <f t="shared" si="5"/>
        <v>11.7</v>
      </c>
      <c r="AE14" s="7">
        <f t="shared" si="6"/>
        <v>8320</v>
      </c>
      <c r="AF14" s="7">
        <f t="shared" si="7"/>
        <v>46.8</v>
      </c>
      <c r="AG14" s="7">
        <f t="shared" si="8"/>
        <v>1625</v>
      </c>
      <c r="AH14" s="7">
        <f t="shared" si="9"/>
        <v>57.6</v>
      </c>
      <c r="AI14" s="7">
        <f t="shared" si="10"/>
        <v>324</v>
      </c>
      <c r="AJ14" s="7">
        <f t="shared" si="11"/>
        <v>11.25</v>
      </c>
      <c r="AK14" s="7">
        <f t="shared" si="12"/>
        <v>230.4</v>
      </c>
      <c r="AL14" s="7">
        <f t="shared" si="13"/>
        <v>8</v>
      </c>
      <c r="AM14" s="7">
        <f t="shared" si="14"/>
        <v>45</v>
      </c>
      <c r="AN14" s="9">
        <v>1.44</v>
      </c>
      <c r="AP14" s="14" t="s">
        <v>39</v>
      </c>
      <c r="AQ14" s="14">
        <v>38</v>
      </c>
      <c r="AR14" s="14">
        <v>0.23787692307692329</v>
      </c>
      <c r="AS14" s="14"/>
      <c r="AT14" s="14"/>
      <c r="AU14" s="14"/>
      <c r="AV14"/>
      <c r="AW14"/>
      <c r="AX14"/>
      <c r="AY14" s="22">
        <v>13</v>
      </c>
      <c r="AZ14" s="7">
        <v>1300</v>
      </c>
      <c r="BA14" s="8">
        <v>9</v>
      </c>
      <c r="BB14" s="11">
        <v>6.4</v>
      </c>
      <c r="BC14" s="23">
        <v>36</v>
      </c>
      <c r="BD14" s="9">
        <v>1.25</v>
      </c>
      <c r="BE14" s="7">
        <f t="shared" si="15"/>
        <v>1690</v>
      </c>
      <c r="BF14" s="11">
        <f t="shared" si="16"/>
        <v>81</v>
      </c>
      <c r="BG14" s="11">
        <f t="shared" si="17"/>
        <v>40.960000000000008</v>
      </c>
      <c r="BH14" s="11">
        <f t="shared" si="18"/>
        <v>1296</v>
      </c>
      <c r="BI14" s="11">
        <f t="shared" si="19"/>
        <v>1.5625</v>
      </c>
      <c r="BJ14" s="7">
        <f t="shared" si="20"/>
        <v>11.7</v>
      </c>
      <c r="BK14" s="7">
        <f t="shared" si="21"/>
        <v>8320</v>
      </c>
      <c r="BL14" s="7">
        <f t="shared" si="22"/>
        <v>46.8</v>
      </c>
      <c r="BM14" s="7">
        <f t="shared" si="23"/>
        <v>1625</v>
      </c>
      <c r="BN14" s="7">
        <f t="shared" si="24"/>
        <v>57.6</v>
      </c>
      <c r="BO14" s="7">
        <f t="shared" si="25"/>
        <v>324</v>
      </c>
      <c r="BP14" s="7">
        <f t="shared" si="26"/>
        <v>11.25</v>
      </c>
      <c r="BQ14" s="7">
        <f t="shared" si="27"/>
        <v>230.4</v>
      </c>
      <c r="BR14" s="7">
        <f t="shared" si="28"/>
        <v>8</v>
      </c>
      <c r="BS14" s="7">
        <f t="shared" si="29"/>
        <v>45</v>
      </c>
      <c r="BT14" s="9">
        <v>1.44</v>
      </c>
      <c r="BV14" s="14" t="s">
        <v>39</v>
      </c>
      <c r="BW14" s="14">
        <v>37</v>
      </c>
      <c r="BX14" s="14">
        <v>0.20848421052631613</v>
      </c>
      <c r="BY14" s="14"/>
      <c r="BZ14" s="14"/>
      <c r="CA14" s="14"/>
      <c r="CD14" s="7">
        <v>1300</v>
      </c>
      <c r="CE14" s="23">
        <v>36</v>
      </c>
      <c r="CF14" s="7">
        <v>1690</v>
      </c>
      <c r="CG14" s="11">
        <v>1.5625</v>
      </c>
      <c r="CH14" s="7">
        <v>1625</v>
      </c>
      <c r="CI14" s="7">
        <v>45</v>
      </c>
      <c r="CJ14" s="9">
        <v>1.44</v>
      </c>
      <c r="CL14" s="14" t="s">
        <v>39</v>
      </c>
      <c r="CM14" s="14">
        <v>37</v>
      </c>
      <c r="CN14" s="14">
        <v>0.20848421052631613</v>
      </c>
      <c r="CO14" s="14"/>
      <c r="CP14" s="14"/>
      <c r="CQ14" s="14"/>
      <c r="CW14" s="14" t="s">
        <v>39</v>
      </c>
      <c r="CX14" s="14">
        <v>38</v>
      </c>
      <c r="CY14" s="14">
        <v>83.029800000000037</v>
      </c>
      <c r="CZ14" s="14"/>
      <c r="DA14" s="14"/>
      <c r="DB14" s="14"/>
    </row>
    <row r="15" spans="1:109" ht="13.5" thickBot="1">
      <c r="C15" s="7">
        <v>14</v>
      </c>
      <c r="D15" s="7">
        <v>1300</v>
      </c>
      <c r="E15" s="8">
        <v>9</v>
      </c>
      <c r="F15" s="11">
        <v>6.4</v>
      </c>
      <c r="G15" s="23">
        <v>36</v>
      </c>
      <c r="H15" s="9">
        <v>1.3</v>
      </c>
      <c r="I15" s="9">
        <v>1.42</v>
      </c>
      <c r="J15" s="10">
        <v>2.5999999999999999E-2</v>
      </c>
      <c r="M15"/>
      <c r="N15"/>
      <c r="O15"/>
      <c r="P15"/>
      <c r="Q15"/>
      <c r="R15"/>
      <c r="T15" s="7">
        <v>1300</v>
      </c>
      <c r="U15" s="8">
        <v>9</v>
      </c>
      <c r="V15" s="11">
        <v>6.4</v>
      </c>
      <c r="W15" s="23">
        <v>36</v>
      </c>
      <c r="X15" s="9">
        <v>1.3</v>
      </c>
      <c r="Y15" s="7">
        <f t="shared" si="0"/>
        <v>1690</v>
      </c>
      <c r="Z15" s="11">
        <f t="shared" si="1"/>
        <v>81</v>
      </c>
      <c r="AA15" s="11">
        <f t="shared" si="2"/>
        <v>40.960000000000008</v>
      </c>
      <c r="AB15" s="11">
        <f t="shared" si="3"/>
        <v>1296</v>
      </c>
      <c r="AC15" s="11">
        <f t="shared" si="4"/>
        <v>1.6900000000000002</v>
      </c>
      <c r="AD15" s="7">
        <f t="shared" si="5"/>
        <v>11.7</v>
      </c>
      <c r="AE15" s="7">
        <f t="shared" si="6"/>
        <v>8320</v>
      </c>
      <c r="AF15" s="7">
        <f t="shared" si="7"/>
        <v>46.8</v>
      </c>
      <c r="AG15" s="7">
        <f t="shared" si="8"/>
        <v>1690</v>
      </c>
      <c r="AH15" s="7">
        <f t="shared" si="9"/>
        <v>57.6</v>
      </c>
      <c r="AI15" s="7">
        <f t="shared" si="10"/>
        <v>324</v>
      </c>
      <c r="AJ15" s="7">
        <f t="shared" si="11"/>
        <v>11.700000000000001</v>
      </c>
      <c r="AK15" s="7">
        <f t="shared" si="12"/>
        <v>230.4</v>
      </c>
      <c r="AL15" s="7">
        <f t="shared" si="13"/>
        <v>8.32</v>
      </c>
      <c r="AM15" s="7">
        <f t="shared" si="14"/>
        <v>46.800000000000004</v>
      </c>
      <c r="AN15" s="9">
        <v>1.42</v>
      </c>
      <c r="AT15"/>
      <c r="AV15"/>
      <c r="AW15"/>
      <c r="AX15"/>
      <c r="AY15" s="22">
        <v>14</v>
      </c>
      <c r="AZ15" s="7">
        <v>1300</v>
      </c>
      <c r="BA15" s="8">
        <v>9</v>
      </c>
      <c r="BB15" s="11">
        <v>6.4</v>
      </c>
      <c r="BC15" s="23">
        <v>36</v>
      </c>
      <c r="BD15" s="9">
        <v>1.3</v>
      </c>
      <c r="BE15" s="7">
        <f t="shared" si="15"/>
        <v>1690</v>
      </c>
      <c r="BF15" s="11">
        <f t="shared" si="16"/>
        <v>81</v>
      </c>
      <c r="BG15" s="11">
        <f t="shared" si="17"/>
        <v>40.960000000000008</v>
      </c>
      <c r="BH15" s="11">
        <f t="shared" si="18"/>
        <v>1296</v>
      </c>
      <c r="BI15" s="11">
        <f t="shared" si="19"/>
        <v>1.6900000000000002</v>
      </c>
      <c r="BJ15" s="7">
        <f t="shared" si="20"/>
        <v>11.7</v>
      </c>
      <c r="BK15" s="7">
        <f t="shared" si="21"/>
        <v>8320</v>
      </c>
      <c r="BL15" s="7">
        <f t="shared" si="22"/>
        <v>46.8</v>
      </c>
      <c r="BM15" s="7">
        <f t="shared" si="23"/>
        <v>1690</v>
      </c>
      <c r="BN15" s="7">
        <f t="shared" si="24"/>
        <v>57.6</v>
      </c>
      <c r="BO15" s="7">
        <f t="shared" si="25"/>
        <v>324</v>
      </c>
      <c r="BP15" s="7">
        <f t="shared" si="26"/>
        <v>11.700000000000001</v>
      </c>
      <c r="BQ15" s="7">
        <f t="shared" si="27"/>
        <v>230.4</v>
      </c>
      <c r="BR15" s="7">
        <f t="shared" si="28"/>
        <v>8.32</v>
      </c>
      <c r="BS15" s="7">
        <f t="shared" si="29"/>
        <v>46.800000000000004</v>
      </c>
      <c r="BT15" s="9">
        <v>1.42</v>
      </c>
      <c r="CD15" s="7">
        <v>1300</v>
      </c>
      <c r="CE15" s="23">
        <v>36</v>
      </c>
      <c r="CF15" s="7">
        <v>1690</v>
      </c>
      <c r="CG15" s="11">
        <v>1.69</v>
      </c>
      <c r="CH15" s="7">
        <v>1690</v>
      </c>
      <c r="CI15" s="7">
        <v>46.8</v>
      </c>
      <c r="CJ15" s="9">
        <v>1.42</v>
      </c>
    </row>
    <row r="16" spans="1:109">
      <c r="C16" s="7">
        <v>15</v>
      </c>
      <c r="D16" s="7">
        <v>1000</v>
      </c>
      <c r="E16" s="8">
        <v>9</v>
      </c>
      <c r="F16" s="11">
        <v>8.1999999999999993</v>
      </c>
      <c r="G16" s="23">
        <v>33</v>
      </c>
      <c r="H16" s="9">
        <v>1.3</v>
      </c>
      <c r="I16" s="9">
        <v>1.44</v>
      </c>
      <c r="J16" s="10">
        <v>4.2000000000000003E-2</v>
      </c>
      <c r="L16" s="15"/>
      <c r="M16" s="15" t="s">
        <v>40</v>
      </c>
      <c r="N16" s="15" t="s">
        <v>69</v>
      </c>
      <c r="O16" s="15" t="s">
        <v>41</v>
      </c>
      <c r="P16" s="15" t="s">
        <v>42</v>
      </c>
      <c r="Q16" s="15" t="s">
        <v>43</v>
      </c>
      <c r="R16" s="15" t="s">
        <v>44</v>
      </c>
      <c r="T16" s="7">
        <v>1000</v>
      </c>
      <c r="U16" s="8">
        <v>9</v>
      </c>
      <c r="V16" s="11">
        <v>8.1999999999999993</v>
      </c>
      <c r="W16" s="23">
        <v>33</v>
      </c>
      <c r="X16" s="9">
        <v>1.3</v>
      </c>
      <c r="Y16" s="7">
        <f t="shared" si="0"/>
        <v>1000</v>
      </c>
      <c r="Z16" s="11">
        <f t="shared" si="1"/>
        <v>81</v>
      </c>
      <c r="AA16" s="11">
        <f t="shared" si="2"/>
        <v>67.239999999999995</v>
      </c>
      <c r="AB16" s="11">
        <f t="shared" si="3"/>
        <v>1089</v>
      </c>
      <c r="AC16" s="11">
        <f t="shared" si="4"/>
        <v>1.6900000000000002</v>
      </c>
      <c r="AD16" s="7">
        <f t="shared" si="5"/>
        <v>9</v>
      </c>
      <c r="AE16" s="7">
        <f t="shared" si="6"/>
        <v>8200</v>
      </c>
      <c r="AF16" s="7">
        <f t="shared" si="7"/>
        <v>33</v>
      </c>
      <c r="AG16" s="7">
        <f t="shared" si="8"/>
        <v>1300</v>
      </c>
      <c r="AH16" s="7">
        <f t="shared" si="9"/>
        <v>73.8</v>
      </c>
      <c r="AI16" s="7">
        <f t="shared" si="10"/>
        <v>297</v>
      </c>
      <c r="AJ16" s="7">
        <f t="shared" si="11"/>
        <v>11.700000000000001</v>
      </c>
      <c r="AK16" s="7">
        <f t="shared" si="12"/>
        <v>270.59999999999997</v>
      </c>
      <c r="AL16" s="7">
        <f t="shared" si="13"/>
        <v>10.66</v>
      </c>
      <c r="AM16" s="7">
        <f t="shared" si="14"/>
        <v>42.9</v>
      </c>
      <c r="AN16" s="9">
        <v>1.44</v>
      </c>
      <c r="AP16" s="15"/>
      <c r="AQ16" s="15" t="s">
        <v>40</v>
      </c>
      <c r="AR16" s="15" t="s">
        <v>69</v>
      </c>
      <c r="AS16" s="15" t="s">
        <v>41</v>
      </c>
      <c r="AT16" s="15" t="s">
        <v>42</v>
      </c>
      <c r="AU16" s="15" t="s">
        <v>43</v>
      </c>
      <c r="AV16" s="15" t="s">
        <v>44</v>
      </c>
      <c r="AW16" s="16"/>
      <c r="AX16" s="16"/>
      <c r="AY16" s="22">
        <v>15</v>
      </c>
      <c r="AZ16" s="7">
        <v>1000</v>
      </c>
      <c r="BA16" s="8">
        <v>9</v>
      </c>
      <c r="BB16" s="11">
        <v>8.1999999999999993</v>
      </c>
      <c r="BC16" s="23">
        <v>33</v>
      </c>
      <c r="BD16" s="9">
        <v>1.3</v>
      </c>
      <c r="BE16" s="7">
        <f t="shared" si="15"/>
        <v>1000</v>
      </c>
      <c r="BF16" s="11">
        <f t="shared" si="16"/>
        <v>81</v>
      </c>
      <c r="BG16" s="11">
        <f t="shared" si="17"/>
        <v>67.239999999999995</v>
      </c>
      <c r="BH16" s="11">
        <f t="shared" si="18"/>
        <v>1089</v>
      </c>
      <c r="BI16" s="11">
        <f t="shared" si="19"/>
        <v>1.6900000000000002</v>
      </c>
      <c r="BJ16" s="7">
        <f t="shared" si="20"/>
        <v>9</v>
      </c>
      <c r="BK16" s="7">
        <f t="shared" si="21"/>
        <v>8200</v>
      </c>
      <c r="BL16" s="7">
        <f t="shared" si="22"/>
        <v>33</v>
      </c>
      <c r="BM16" s="7">
        <f t="shared" si="23"/>
        <v>1300</v>
      </c>
      <c r="BN16" s="7">
        <f t="shared" si="24"/>
        <v>73.8</v>
      </c>
      <c r="BO16" s="7">
        <f t="shared" si="25"/>
        <v>297</v>
      </c>
      <c r="BP16" s="7">
        <f t="shared" si="26"/>
        <v>11.700000000000001</v>
      </c>
      <c r="BQ16" s="7">
        <f t="shared" si="27"/>
        <v>270.59999999999997</v>
      </c>
      <c r="BR16" s="7">
        <f t="shared" si="28"/>
        <v>10.66</v>
      </c>
      <c r="BS16" s="7">
        <f t="shared" si="29"/>
        <v>42.9</v>
      </c>
      <c r="BT16" s="9">
        <v>1.44</v>
      </c>
      <c r="BV16" s="15"/>
      <c r="BW16" s="15" t="s">
        <v>40</v>
      </c>
      <c r="BX16" s="15" t="s">
        <v>69</v>
      </c>
      <c r="BY16" s="15" t="s">
        <v>41</v>
      </c>
      <c r="BZ16" s="15" t="s">
        <v>42</v>
      </c>
      <c r="CA16" s="15" t="s">
        <v>43</v>
      </c>
      <c r="CB16" s="15" t="s">
        <v>44</v>
      </c>
      <c r="CC16" s="16"/>
      <c r="CD16" s="7">
        <v>1000</v>
      </c>
      <c r="CE16" s="23">
        <v>33</v>
      </c>
      <c r="CF16" s="7">
        <v>1000</v>
      </c>
      <c r="CG16" s="11">
        <v>1.69</v>
      </c>
      <c r="CH16" s="7">
        <v>1300</v>
      </c>
      <c r="CI16" s="7">
        <v>42.9</v>
      </c>
      <c r="CJ16" s="9">
        <v>1.44</v>
      </c>
      <c r="CL16" s="15"/>
      <c r="CM16" s="15" t="s">
        <v>40</v>
      </c>
      <c r="CN16" s="15" t="s">
        <v>69</v>
      </c>
      <c r="CO16" s="15" t="s">
        <v>41</v>
      </c>
      <c r="CP16" s="15" t="s">
        <v>42</v>
      </c>
      <c r="CQ16" s="15" t="s">
        <v>43</v>
      </c>
      <c r="CR16" s="15" t="s">
        <v>44</v>
      </c>
      <c r="CS16" s="15" t="s">
        <v>72</v>
      </c>
      <c r="CT16" s="15" t="s">
        <v>73</v>
      </c>
      <c r="CU16" s="16"/>
      <c r="CW16" s="15"/>
      <c r="CX16" s="15" t="s">
        <v>40</v>
      </c>
      <c r="CY16" s="15" t="s">
        <v>29</v>
      </c>
      <c r="CZ16" s="15" t="s">
        <v>41</v>
      </c>
      <c r="DA16" s="15" t="s">
        <v>42</v>
      </c>
      <c r="DB16" s="15" t="s">
        <v>43</v>
      </c>
      <c r="DC16" s="15" t="s">
        <v>44</v>
      </c>
      <c r="DD16" s="15" t="s">
        <v>72</v>
      </c>
      <c r="DE16" s="15" t="s">
        <v>73</v>
      </c>
    </row>
    <row r="17" spans="3:109">
      <c r="C17" s="7">
        <v>16</v>
      </c>
      <c r="D17" s="7">
        <v>1000</v>
      </c>
      <c r="E17" s="8">
        <v>9</v>
      </c>
      <c r="F17" s="11">
        <v>7.3</v>
      </c>
      <c r="G17" s="23">
        <v>35</v>
      </c>
      <c r="H17" s="9">
        <v>1.45</v>
      </c>
      <c r="I17" s="9">
        <v>1.44</v>
      </c>
      <c r="J17" s="10">
        <v>3.3000000000000002E-2</v>
      </c>
      <c r="L17" s="13" t="s">
        <v>45</v>
      </c>
      <c r="M17" s="13">
        <v>0.78379786881188007</v>
      </c>
      <c r="N17" s="13">
        <v>0.23452534556539092</v>
      </c>
      <c r="O17" s="13">
        <v>3.3420603940367699</v>
      </c>
      <c r="P17" s="13">
        <v>2.0781635193293569E-3</v>
      </c>
      <c r="Q17" s="13">
        <v>0.3066524680182085</v>
      </c>
      <c r="R17" s="13">
        <v>1.2609432696055516</v>
      </c>
      <c r="T17" s="7">
        <v>1000</v>
      </c>
      <c r="U17" s="8">
        <v>9</v>
      </c>
      <c r="V17" s="11">
        <v>7.3</v>
      </c>
      <c r="W17" s="23">
        <v>35</v>
      </c>
      <c r="X17" s="9">
        <v>1.45</v>
      </c>
      <c r="Y17" s="7">
        <f t="shared" si="0"/>
        <v>1000</v>
      </c>
      <c r="Z17" s="11">
        <f t="shared" si="1"/>
        <v>81</v>
      </c>
      <c r="AA17" s="11">
        <f t="shared" si="2"/>
        <v>53.29</v>
      </c>
      <c r="AB17" s="11">
        <f t="shared" si="3"/>
        <v>1225</v>
      </c>
      <c r="AC17" s="11">
        <f t="shared" si="4"/>
        <v>2.1025</v>
      </c>
      <c r="AD17" s="7">
        <f t="shared" si="5"/>
        <v>9</v>
      </c>
      <c r="AE17" s="7">
        <f t="shared" si="6"/>
        <v>7300</v>
      </c>
      <c r="AF17" s="7">
        <f t="shared" si="7"/>
        <v>35</v>
      </c>
      <c r="AG17" s="7">
        <f t="shared" si="8"/>
        <v>1450</v>
      </c>
      <c r="AH17" s="7">
        <f t="shared" si="9"/>
        <v>65.7</v>
      </c>
      <c r="AI17" s="7">
        <f t="shared" si="10"/>
        <v>315</v>
      </c>
      <c r="AJ17" s="7">
        <f t="shared" si="11"/>
        <v>13.049999999999999</v>
      </c>
      <c r="AK17" s="7">
        <f t="shared" si="12"/>
        <v>255.5</v>
      </c>
      <c r="AL17" s="7">
        <f t="shared" si="13"/>
        <v>10.584999999999999</v>
      </c>
      <c r="AM17" s="7">
        <f t="shared" si="14"/>
        <v>50.75</v>
      </c>
      <c r="AN17" s="9">
        <v>1.44</v>
      </c>
      <c r="AP17" s="13" t="s">
        <v>45</v>
      </c>
      <c r="AQ17" s="13">
        <v>11.753141121132876</v>
      </c>
      <c r="AR17" s="13">
        <v>3.4662711907873898</v>
      </c>
      <c r="AS17" s="13">
        <v>3.3907159810144747</v>
      </c>
      <c r="AT17" s="13">
        <v>2.0920043841486653E-3</v>
      </c>
      <c r="AU17" s="13">
        <v>4.6528065525729909</v>
      </c>
      <c r="AV17" s="13">
        <v>18.853475689692761</v>
      </c>
      <c r="AW17" s="13"/>
      <c r="AX17" s="13"/>
      <c r="AY17" s="22">
        <v>16</v>
      </c>
      <c r="AZ17" s="7">
        <v>1000</v>
      </c>
      <c r="BA17" s="8">
        <v>9</v>
      </c>
      <c r="BB17" s="11">
        <v>7.3</v>
      </c>
      <c r="BC17" s="23">
        <v>35</v>
      </c>
      <c r="BD17" s="9">
        <v>1.45</v>
      </c>
      <c r="BE17" s="7">
        <f t="shared" si="15"/>
        <v>1000</v>
      </c>
      <c r="BF17" s="11">
        <f t="shared" si="16"/>
        <v>81</v>
      </c>
      <c r="BG17" s="11">
        <f t="shared" si="17"/>
        <v>53.29</v>
      </c>
      <c r="BH17" s="11">
        <f t="shared" si="18"/>
        <v>1225</v>
      </c>
      <c r="BI17" s="11">
        <f t="shared" si="19"/>
        <v>2.1025</v>
      </c>
      <c r="BJ17" s="7">
        <f t="shared" si="20"/>
        <v>9</v>
      </c>
      <c r="BK17" s="7">
        <f t="shared" si="21"/>
        <v>7300</v>
      </c>
      <c r="BL17" s="7">
        <f t="shared" si="22"/>
        <v>35</v>
      </c>
      <c r="BM17" s="7">
        <f t="shared" si="23"/>
        <v>1450</v>
      </c>
      <c r="BN17" s="7">
        <f t="shared" si="24"/>
        <v>65.7</v>
      </c>
      <c r="BO17" s="7">
        <f t="shared" si="25"/>
        <v>315</v>
      </c>
      <c r="BP17" s="7">
        <f t="shared" si="26"/>
        <v>13.049999999999999</v>
      </c>
      <c r="BQ17" s="7">
        <f t="shared" si="27"/>
        <v>255.5</v>
      </c>
      <c r="BR17" s="7">
        <f t="shared" si="28"/>
        <v>10.584999999999999</v>
      </c>
      <c r="BS17" s="7">
        <f t="shared" si="29"/>
        <v>50.75</v>
      </c>
      <c r="BT17" s="9">
        <v>1.44</v>
      </c>
      <c r="BV17" s="13" t="s">
        <v>45</v>
      </c>
      <c r="BW17" s="13">
        <v>12.167369887502785</v>
      </c>
      <c r="BX17" s="13">
        <v>2.9762770761884667</v>
      </c>
      <c r="BY17" s="13">
        <v>4.0881173278009388</v>
      </c>
      <c r="BZ17" s="13">
        <v>3.5040892973583679E-4</v>
      </c>
      <c r="CA17" s="13">
        <v>6.0605538270496844</v>
      </c>
      <c r="CB17" s="13">
        <v>18.274185947955885</v>
      </c>
      <c r="CC17" s="13"/>
      <c r="CD17" s="7">
        <v>1000</v>
      </c>
      <c r="CE17" s="23">
        <v>35</v>
      </c>
      <c r="CF17" s="7">
        <v>1000</v>
      </c>
      <c r="CG17" s="11">
        <v>2.1025</v>
      </c>
      <c r="CH17" s="7">
        <v>1450</v>
      </c>
      <c r="CI17" s="7">
        <v>50.75</v>
      </c>
      <c r="CJ17" s="9">
        <v>1.44</v>
      </c>
      <c r="CL17" s="13" t="s">
        <v>45</v>
      </c>
      <c r="CM17" s="13">
        <v>-0.2057861183525368</v>
      </c>
      <c r="CN17" s="13">
        <v>0.41769794712716951</v>
      </c>
      <c r="CO17" s="13">
        <v>-0.4926672964707785</v>
      </c>
      <c r="CP17" s="13">
        <v>0.62571924508960319</v>
      </c>
      <c r="CQ17" s="13">
        <v>-1.0576866947278296</v>
      </c>
      <c r="CR17" s="13">
        <v>0.64611445802275602</v>
      </c>
      <c r="CS17" s="13">
        <v>-0.91400081622741014</v>
      </c>
      <c r="CT17" s="13">
        <v>0.50242857952233655</v>
      </c>
      <c r="CU17" s="13"/>
      <c r="CW17" s="13" t="s">
        <v>45</v>
      </c>
      <c r="CX17" s="13">
        <v>0</v>
      </c>
      <c r="CY17" s="13" t="e">
        <v>#N/A</v>
      </c>
      <c r="CZ17" s="13" t="e">
        <v>#N/A</v>
      </c>
      <c r="DA17" s="13" t="e">
        <v>#N/A</v>
      </c>
      <c r="DB17" s="13" t="e">
        <v>#N/A</v>
      </c>
      <c r="DC17" s="13" t="e">
        <v>#N/A</v>
      </c>
      <c r="DD17" s="13" t="e">
        <v>#N/A</v>
      </c>
      <c r="DE17" s="13" t="e">
        <v>#N/A</v>
      </c>
    </row>
    <row r="18" spans="3:109">
      <c r="C18" s="7">
        <v>17</v>
      </c>
      <c r="D18" s="7">
        <v>1000</v>
      </c>
      <c r="E18" s="8">
        <v>9.1999999999999993</v>
      </c>
      <c r="F18" s="11">
        <v>4</v>
      </c>
      <c r="G18" s="23">
        <v>4</v>
      </c>
      <c r="H18" s="9">
        <v>1.48</v>
      </c>
      <c r="I18" s="9">
        <v>1.6</v>
      </c>
      <c r="J18" s="10">
        <v>6.5000000000000002E-2</v>
      </c>
      <c r="L18" s="13" t="s">
        <v>9</v>
      </c>
      <c r="M18" s="13">
        <v>-5.0271183453253565E-5</v>
      </c>
      <c r="N18" s="13">
        <v>4.9638193049729273E-5</v>
      </c>
      <c r="O18" s="13">
        <v>-1.0127520839223567</v>
      </c>
      <c r="P18" s="13">
        <v>0.31854694821981511</v>
      </c>
      <c r="Q18" s="13">
        <v>-1.5126084604297527E-4</v>
      </c>
      <c r="R18" s="13">
        <v>5.071847913646815E-5</v>
      </c>
      <c r="T18" s="7">
        <v>1000</v>
      </c>
      <c r="U18" s="8">
        <v>9.1999999999999993</v>
      </c>
      <c r="V18" s="11">
        <v>4</v>
      </c>
      <c r="W18" s="23">
        <v>4</v>
      </c>
      <c r="X18" s="9">
        <v>1.48</v>
      </c>
      <c r="Y18" s="7">
        <f t="shared" si="0"/>
        <v>1000</v>
      </c>
      <c r="Z18" s="11">
        <f t="shared" si="1"/>
        <v>84.639999999999986</v>
      </c>
      <c r="AA18" s="11">
        <f t="shared" si="2"/>
        <v>16</v>
      </c>
      <c r="AB18" s="11">
        <f t="shared" si="3"/>
        <v>16</v>
      </c>
      <c r="AC18" s="11">
        <f t="shared" si="4"/>
        <v>2.1903999999999999</v>
      </c>
      <c r="AD18" s="7">
        <f t="shared" si="5"/>
        <v>9.1999999999999993</v>
      </c>
      <c r="AE18" s="7">
        <f t="shared" si="6"/>
        <v>4000</v>
      </c>
      <c r="AF18" s="7">
        <f t="shared" si="7"/>
        <v>4</v>
      </c>
      <c r="AG18" s="7">
        <f t="shared" si="8"/>
        <v>1480</v>
      </c>
      <c r="AH18" s="7">
        <f t="shared" si="9"/>
        <v>36.799999999999997</v>
      </c>
      <c r="AI18" s="7">
        <f t="shared" si="10"/>
        <v>36.799999999999997</v>
      </c>
      <c r="AJ18" s="7">
        <f t="shared" si="11"/>
        <v>13.616</v>
      </c>
      <c r="AK18" s="7">
        <f t="shared" si="12"/>
        <v>16</v>
      </c>
      <c r="AL18" s="7">
        <f t="shared" si="13"/>
        <v>5.92</v>
      </c>
      <c r="AM18" s="7">
        <f t="shared" si="14"/>
        <v>5.92</v>
      </c>
      <c r="AN18" s="9">
        <v>1.6</v>
      </c>
      <c r="AP18" s="13" t="s">
        <v>9</v>
      </c>
      <c r="AQ18" s="13">
        <v>5.2061525624830446E-4</v>
      </c>
      <c r="AR18" s="13">
        <v>4.8884738048269943E-4</v>
      </c>
      <c r="AS18" s="13">
        <v>1.0649852633642767</v>
      </c>
      <c r="AT18" s="13">
        <v>0.29598065868489376</v>
      </c>
      <c r="AU18" s="13">
        <v>-4.8074319591677206E-4</v>
      </c>
      <c r="AV18" s="13">
        <v>1.5219737084133809E-3</v>
      </c>
      <c r="AW18" s="13"/>
      <c r="AX18" s="13"/>
      <c r="AY18" s="22">
        <v>17</v>
      </c>
      <c r="AZ18" s="7">
        <v>1000</v>
      </c>
      <c r="BA18" s="8">
        <v>9.1999999999999993</v>
      </c>
      <c r="BB18" s="11">
        <v>4</v>
      </c>
      <c r="BC18" s="23">
        <v>4</v>
      </c>
      <c r="BD18" s="9">
        <v>1.48</v>
      </c>
      <c r="BE18" s="7">
        <f t="shared" si="15"/>
        <v>1000</v>
      </c>
      <c r="BF18" s="11">
        <f t="shared" si="16"/>
        <v>84.639999999999986</v>
      </c>
      <c r="BG18" s="11">
        <f t="shared" si="17"/>
        <v>16</v>
      </c>
      <c r="BH18" s="11">
        <f t="shared" si="18"/>
        <v>16</v>
      </c>
      <c r="BI18" s="11">
        <f t="shared" si="19"/>
        <v>2.1903999999999999</v>
      </c>
      <c r="BJ18" s="7">
        <f t="shared" si="20"/>
        <v>9.1999999999999993</v>
      </c>
      <c r="BK18" s="7">
        <f t="shared" si="21"/>
        <v>4000</v>
      </c>
      <c r="BL18" s="7">
        <f t="shared" si="22"/>
        <v>4</v>
      </c>
      <c r="BM18" s="7">
        <f t="shared" si="23"/>
        <v>1480</v>
      </c>
      <c r="BN18" s="7">
        <f t="shared" si="24"/>
        <v>36.799999999999997</v>
      </c>
      <c r="BO18" s="7">
        <f t="shared" si="25"/>
        <v>36.799999999999997</v>
      </c>
      <c r="BP18" s="7">
        <f t="shared" si="26"/>
        <v>13.616</v>
      </c>
      <c r="BQ18" s="7">
        <f t="shared" si="27"/>
        <v>16</v>
      </c>
      <c r="BR18" s="7">
        <f t="shared" si="28"/>
        <v>5.92</v>
      </c>
      <c r="BS18" s="7">
        <f t="shared" si="29"/>
        <v>5.92</v>
      </c>
      <c r="BT18" s="9">
        <v>1.6</v>
      </c>
      <c r="BV18" s="13" t="s">
        <v>9</v>
      </c>
      <c r="BW18" s="13">
        <v>3.7568439990189403E-4</v>
      </c>
      <c r="BX18" s="13">
        <v>4.2163666588444857E-4</v>
      </c>
      <c r="BY18" s="13">
        <v>0.8910145400040993</v>
      </c>
      <c r="BZ18" s="13">
        <v>0.38079296251891359</v>
      </c>
      <c r="CA18" s="13">
        <v>-4.8944256811430569E-4</v>
      </c>
      <c r="CB18" s="13">
        <v>1.2408113679180939E-3</v>
      </c>
      <c r="CC18" s="13"/>
      <c r="CD18" s="7">
        <v>1000</v>
      </c>
      <c r="CE18" s="23">
        <v>4</v>
      </c>
      <c r="CF18" s="7">
        <v>1000</v>
      </c>
      <c r="CG18" s="11">
        <v>2.1903999999999999</v>
      </c>
      <c r="CH18" s="7">
        <v>1480</v>
      </c>
      <c r="CI18" s="7">
        <v>5.92</v>
      </c>
      <c r="CJ18" s="9">
        <v>1.6</v>
      </c>
      <c r="CL18" s="13" t="s">
        <v>9</v>
      </c>
      <c r="CM18" s="13">
        <v>1.9795090759548825E-3</v>
      </c>
      <c r="CN18" s="13">
        <v>7.5776355155881278E-4</v>
      </c>
      <c r="CO18" s="13">
        <v>2.6123044211915301</v>
      </c>
      <c r="CP18" s="13">
        <v>1.3743877850350639E-2</v>
      </c>
      <c r="CQ18" s="13">
        <v>4.3404012938951918E-4</v>
      </c>
      <c r="CR18" s="13">
        <v>3.5249780225202459E-3</v>
      </c>
      <c r="CS18" s="13">
        <v>6.9470677223556847E-4</v>
      </c>
      <c r="CT18" s="13">
        <v>3.2643113796741964E-3</v>
      </c>
      <c r="CU18" s="13"/>
      <c r="CW18" s="13" t="s">
        <v>9</v>
      </c>
      <c r="CX18" s="13">
        <v>1.6151877117509081E-3</v>
      </c>
      <c r="CY18" s="13">
        <v>1.6345062441375276E-4</v>
      </c>
      <c r="CZ18" s="13">
        <v>9.8818081456959295</v>
      </c>
      <c r="DA18" s="13">
        <v>3.0301180328541758E-11</v>
      </c>
      <c r="DB18" s="13">
        <v>1.282249686352891E-3</v>
      </c>
      <c r="DC18" s="13">
        <v>1.9481257371489252E-3</v>
      </c>
      <c r="DD18" s="13">
        <v>1.3383205456248598E-3</v>
      </c>
      <c r="DE18" s="13">
        <v>1.8920548778769565E-3</v>
      </c>
    </row>
    <row r="19" spans="3:109">
      <c r="C19" s="7">
        <v>18</v>
      </c>
      <c r="D19" s="7">
        <v>700</v>
      </c>
      <c r="E19" s="8">
        <v>9.9</v>
      </c>
      <c r="F19" s="11">
        <v>2</v>
      </c>
      <c r="G19" s="23">
        <v>4</v>
      </c>
      <c r="H19" s="9">
        <v>1.39</v>
      </c>
      <c r="I19" s="9">
        <v>1.52</v>
      </c>
      <c r="J19" s="10">
        <v>8.2000000000000003E-2</v>
      </c>
      <c r="L19" s="13" t="s">
        <v>10</v>
      </c>
      <c r="M19" s="13">
        <v>-2.8682547802636333E-4</v>
      </c>
      <c r="N19" s="13">
        <v>5.9430443494754778E-3</v>
      </c>
      <c r="O19" s="13">
        <v>-4.8262382233724713E-2</v>
      </c>
      <c r="P19" s="13">
        <v>0.96179804973830763</v>
      </c>
      <c r="Q19" s="13">
        <v>-1.2378040059669037E-2</v>
      </c>
      <c r="R19" s="13">
        <v>1.1804389103616312E-2</v>
      </c>
      <c r="T19" s="7">
        <v>700</v>
      </c>
      <c r="U19" s="8">
        <v>9.9</v>
      </c>
      <c r="V19" s="11">
        <v>2</v>
      </c>
      <c r="W19" s="23">
        <v>4</v>
      </c>
      <c r="X19" s="9">
        <v>1.39</v>
      </c>
      <c r="Y19" s="7">
        <f t="shared" si="0"/>
        <v>490</v>
      </c>
      <c r="Z19" s="11">
        <f t="shared" si="1"/>
        <v>98.01</v>
      </c>
      <c r="AA19" s="11">
        <f t="shared" si="2"/>
        <v>4</v>
      </c>
      <c r="AB19" s="11">
        <f t="shared" si="3"/>
        <v>16</v>
      </c>
      <c r="AC19" s="11">
        <f t="shared" si="4"/>
        <v>1.9320999999999997</v>
      </c>
      <c r="AD19" s="7">
        <f t="shared" si="5"/>
        <v>6.93</v>
      </c>
      <c r="AE19" s="7">
        <f t="shared" si="6"/>
        <v>1400</v>
      </c>
      <c r="AF19" s="7">
        <f t="shared" si="7"/>
        <v>2.8</v>
      </c>
      <c r="AG19" s="7">
        <f t="shared" si="8"/>
        <v>972.99999999999989</v>
      </c>
      <c r="AH19" s="7">
        <f t="shared" si="9"/>
        <v>19.8</v>
      </c>
      <c r="AI19" s="7">
        <f t="shared" si="10"/>
        <v>39.6</v>
      </c>
      <c r="AJ19" s="7">
        <f t="shared" si="11"/>
        <v>13.760999999999999</v>
      </c>
      <c r="AK19" s="7">
        <f t="shared" si="12"/>
        <v>8</v>
      </c>
      <c r="AL19" s="7">
        <f t="shared" si="13"/>
        <v>2.78</v>
      </c>
      <c r="AM19" s="7">
        <f t="shared" si="14"/>
        <v>5.56</v>
      </c>
      <c r="AN19" s="9">
        <v>1.52</v>
      </c>
      <c r="AP19" s="13" t="s">
        <v>10</v>
      </c>
      <c r="AQ19" s="13">
        <v>-7.8346419922433783E-2</v>
      </c>
      <c r="AR19" s="13">
        <v>8.5092564078435518E-2</v>
      </c>
      <c r="AS19" s="13">
        <v>-0.92071993329777491</v>
      </c>
      <c r="AT19" s="13">
        <v>0.36506182333186754</v>
      </c>
      <c r="AU19" s="13">
        <v>-0.25265063358560863</v>
      </c>
      <c r="AV19" s="13">
        <v>9.5957793740741093E-2</v>
      </c>
      <c r="AW19" s="13"/>
      <c r="AX19" s="13"/>
      <c r="AY19" s="22">
        <v>18</v>
      </c>
      <c r="AZ19" s="7">
        <v>700</v>
      </c>
      <c r="BA19" s="8">
        <v>9.9</v>
      </c>
      <c r="BB19" s="11">
        <v>2</v>
      </c>
      <c r="BC19" s="23">
        <v>4</v>
      </c>
      <c r="BD19" s="9">
        <v>1.39</v>
      </c>
      <c r="BE19" s="7">
        <f t="shared" si="15"/>
        <v>490</v>
      </c>
      <c r="BF19" s="11">
        <f t="shared" si="16"/>
        <v>98.01</v>
      </c>
      <c r="BG19" s="11">
        <f t="shared" si="17"/>
        <v>4</v>
      </c>
      <c r="BH19" s="11">
        <f t="shared" si="18"/>
        <v>16</v>
      </c>
      <c r="BI19" s="11">
        <f t="shared" si="19"/>
        <v>1.9320999999999997</v>
      </c>
      <c r="BJ19" s="7">
        <f t="shared" si="20"/>
        <v>6.93</v>
      </c>
      <c r="BK19" s="7">
        <f t="shared" si="21"/>
        <v>1400</v>
      </c>
      <c r="BL19" s="7">
        <f t="shared" si="22"/>
        <v>2.8</v>
      </c>
      <c r="BM19" s="7">
        <f t="shared" si="23"/>
        <v>972.99999999999989</v>
      </c>
      <c r="BN19" s="7">
        <f t="shared" si="24"/>
        <v>19.8</v>
      </c>
      <c r="BO19" s="7">
        <f t="shared" si="25"/>
        <v>39.6</v>
      </c>
      <c r="BP19" s="7">
        <f t="shared" si="26"/>
        <v>13.760999999999999</v>
      </c>
      <c r="BQ19" s="7">
        <f t="shared" si="27"/>
        <v>8</v>
      </c>
      <c r="BR19" s="7">
        <f t="shared" si="28"/>
        <v>2.78</v>
      </c>
      <c r="BS19" s="7">
        <f t="shared" si="29"/>
        <v>5.56</v>
      </c>
      <c r="BT19" s="9">
        <v>1.52</v>
      </c>
      <c r="BV19" s="13" t="s">
        <v>10</v>
      </c>
      <c r="BW19" s="13">
        <v>-1.275929422159649E-2</v>
      </c>
      <c r="BX19" s="13">
        <v>7.5620271785671114E-2</v>
      </c>
      <c r="BY19" s="13">
        <v>-0.168728489336297</v>
      </c>
      <c r="BZ19" s="13">
        <v>0.86726788088699847</v>
      </c>
      <c r="CA19" s="13">
        <v>-0.16791927375816645</v>
      </c>
      <c r="CB19" s="13">
        <v>0.14240068531497346</v>
      </c>
      <c r="CC19" s="13"/>
      <c r="CD19" s="7">
        <v>700</v>
      </c>
      <c r="CE19" s="23">
        <v>4</v>
      </c>
      <c r="CF19" s="7">
        <v>490</v>
      </c>
      <c r="CG19" s="11">
        <v>1.9320999999999997</v>
      </c>
      <c r="CH19" s="7">
        <v>973</v>
      </c>
      <c r="CI19" s="7">
        <v>5.56</v>
      </c>
      <c r="CJ19" s="9">
        <v>1.52</v>
      </c>
      <c r="CL19" s="13" t="s">
        <v>12</v>
      </c>
      <c r="CM19" s="13">
        <v>3.765943377259983E-2</v>
      </c>
      <c r="CN19" s="13">
        <v>9.010048480024218E-3</v>
      </c>
      <c r="CO19" s="13">
        <v>4.1797148878935451</v>
      </c>
      <c r="CP19" s="13">
        <v>2.2113995526551523E-4</v>
      </c>
      <c r="CQ19" s="13">
        <v>1.9283318816580953E-2</v>
      </c>
      <c r="CR19" s="13">
        <v>5.6035548728618712E-2</v>
      </c>
      <c r="CS19" s="13">
        <v>2.2382727707832933E-2</v>
      </c>
      <c r="CT19" s="13">
        <v>5.2936139837366725E-2</v>
      </c>
      <c r="CU19" s="13"/>
      <c r="CW19" s="13" t="s">
        <v>12</v>
      </c>
      <c r="CX19" s="13">
        <v>3.7890304133918175E-2</v>
      </c>
      <c r="CY19" s="13">
        <v>8.8907495239951718E-3</v>
      </c>
      <c r="CZ19" s="13">
        <v>4.2617671357916835</v>
      </c>
      <c r="DA19" s="13">
        <v>1.6696512594553003E-4</v>
      </c>
      <c r="DB19" s="13">
        <v>1.9780440060628946E-2</v>
      </c>
      <c r="DC19" s="13">
        <v>5.6000168207207407E-2</v>
      </c>
      <c r="DD19" s="13">
        <v>2.2830363957648401E-2</v>
      </c>
      <c r="DE19" s="13">
        <v>5.2950244310187952E-2</v>
      </c>
    </row>
    <row r="20" spans="3:109">
      <c r="C20" s="7">
        <v>19</v>
      </c>
      <c r="D20" s="7">
        <v>700</v>
      </c>
      <c r="E20" s="8">
        <v>9.6</v>
      </c>
      <c r="F20" s="11">
        <v>1.7</v>
      </c>
      <c r="G20" s="23">
        <v>10</v>
      </c>
      <c r="H20" s="9">
        <v>1.37</v>
      </c>
      <c r="I20" s="9">
        <v>1.46</v>
      </c>
      <c r="J20" s="10">
        <v>0.09</v>
      </c>
      <c r="L20" s="13" t="s">
        <v>11</v>
      </c>
      <c r="M20" s="13">
        <v>5.7816307787117533E-3</v>
      </c>
      <c r="N20" s="13">
        <v>5.1866598803342046E-3</v>
      </c>
      <c r="O20" s="13">
        <v>1.1147117628887613</v>
      </c>
      <c r="P20" s="13">
        <v>0.27302664370052776</v>
      </c>
      <c r="Q20" s="13">
        <v>-4.7707080374461497E-3</v>
      </c>
      <c r="R20" s="13">
        <v>1.6333969594869657E-2</v>
      </c>
      <c r="T20" s="7">
        <v>700</v>
      </c>
      <c r="U20" s="8">
        <v>9.6</v>
      </c>
      <c r="V20" s="11">
        <v>1.7</v>
      </c>
      <c r="W20" s="23">
        <v>10</v>
      </c>
      <c r="X20" s="9">
        <v>1.37</v>
      </c>
      <c r="Y20" s="7">
        <f t="shared" si="0"/>
        <v>490</v>
      </c>
      <c r="Z20" s="11">
        <f t="shared" si="1"/>
        <v>92.16</v>
      </c>
      <c r="AA20" s="11">
        <f t="shared" si="2"/>
        <v>2.8899999999999997</v>
      </c>
      <c r="AB20" s="11">
        <f t="shared" si="3"/>
        <v>100</v>
      </c>
      <c r="AC20" s="11">
        <f t="shared" si="4"/>
        <v>1.8769000000000002</v>
      </c>
      <c r="AD20" s="7">
        <f t="shared" si="5"/>
        <v>6.72</v>
      </c>
      <c r="AE20" s="7">
        <f t="shared" si="6"/>
        <v>1190</v>
      </c>
      <c r="AF20" s="7">
        <f t="shared" si="7"/>
        <v>7</v>
      </c>
      <c r="AG20" s="7">
        <f t="shared" si="8"/>
        <v>959.00000000000011</v>
      </c>
      <c r="AH20" s="7">
        <f t="shared" si="9"/>
        <v>16.32</v>
      </c>
      <c r="AI20" s="7">
        <f t="shared" si="10"/>
        <v>96</v>
      </c>
      <c r="AJ20" s="7">
        <f t="shared" si="11"/>
        <v>13.152000000000001</v>
      </c>
      <c r="AK20" s="7">
        <f t="shared" si="12"/>
        <v>17</v>
      </c>
      <c r="AL20" s="7">
        <f t="shared" si="13"/>
        <v>2.3290000000000002</v>
      </c>
      <c r="AM20" s="7">
        <f t="shared" si="14"/>
        <v>13.700000000000001</v>
      </c>
      <c r="AN20" s="9">
        <v>1.46</v>
      </c>
      <c r="AP20" s="13" t="s">
        <v>11</v>
      </c>
      <c r="AQ20" s="13">
        <v>2.3629413281483571E-2</v>
      </c>
      <c r="AR20" s="13">
        <v>4.0400195154548221E-2</v>
      </c>
      <c r="AS20" s="13">
        <v>0.58488364204902588</v>
      </c>
      <c r="AT20" s="13">
        <v>0.56330991385830609</v>
      </c>
      <c r="AU20" s="13">
        <v>-5.9126633906862076E-2</v>
      </c>
      <c r="AV20" s="13">
        <v>0.10638546046982922</v>
      </c>
      <c r="AW20" s="13"/>
      <c r="AX20" s="13"/>
      <c r="AY20" s="22">
        <v>19</v>
      </c>
      <c r="AZ20" s="7">
        <v>700</v>
      </c>
      <c r="BA20" s="8">
        <v>9.6</v>
      </c>
      <c r="BB20" s="11">
        <v>1.7</v>
      </c>
      <c r="BC20" s="23">
        <v>10</v>
      </c>
      <c r="BD20" s="9">
        <v>1.37</v>
      </c>
      <c r="BE20" s="7">
        <f t="shared" si="15"/>
        <v>490</v>
      </c>
      <c r="BF20" s="11">
        <f t="shared" si="16"/>
        <v>92.16</v>
      </c>
      <c r="BG20" s="11">
        <f t="shared" si="17"/>
        <v>2.8899999999999997</v>
      </c>
      <c r="BH20" s="11">
        <f t="shared" si="18"/>
        <v>100</v>
      </c>
      <c r="BI20" s="11">
        <f t="shared" si="19"/>
        <v>1.8769000000000002</v>
      </c>
      <c r="BJ20" s="7">
        <f t="shared" si="20"/>
        <v>6.72</v>
      </c>
      <c r="BK20" s="7">
        <f t="shared" si="21"/>
        <v>1190</v>
      </c>
      <c r="BL20" s="7">
        <f t="shared" si="22"/>
        <v>7</v>
      </c>
      <c r="BM20" s="7">
        <f t="shared" si="23"/>
        <v>959.00000000000011</v>
      </c>
      <c r="BN20" s="7">
        <f t="shared" si="24"/>
        <v>16.32</v>
      </c>
      <c r="BO20" s="7">
        <f t="shared" si="25"/>
        <v>96</v>
      </c>
      <c r="BP20" s="7">
        <f t="shared" si="26"/>
        <v>13.152000000000001</v>
      </c>
      <c r="BQ20" s="7">
        <f t="shared" si="27"/>
        <v>17</v>
      </c>
      <c r="BR20" s="7">
        <f t="shared" si="28"/>
        <v>2.3290000000000002</v>
      </c>
      <c r="BS20" s="7">
        <f t="shared" si="29"/>
        <v>13.700000000000001</v>
      </c>
      <c r="BT20" s="9">
        <v>1.46</v>
      </c>
      <c r="BV20" s="13" t="s">
        <v>11</v>
      </c>
      <c r="BW20" s="13">
        <v>2.4206058650371162E-2</v>
      </c>
      <c r="BX20" s="13">
        <v>3.4659203146643384E-2</v>
      </c>
      <c r="BY20" s="13">
        <v>0.69840205350235895</v>
      </c>
      <c r="BZ20" s="13">
        <v>0.49089789442532095</v>
      </c>
      <c r="CA20" s="13">
        <v>-4.69087512279769E-2</v>
      </c>
      <c r="CB20" s="13">
        <v>9.5320868528719224E-2</v>
      </c>
      <c r="CC20" s="13"/>
      <c r="CD20" s="7">
        <v>700</v>
      </c>
      <c r="CE20" s="23">
        <v>10</v>
      </c>
      <c r="CF20" s="7">
        <v>490</v>
      </c>
      <c r="CG20" s="11">
        <v>1.8769000000000002</v>
      </c>
      <c r="CH20" s="7">
        <v>959</v>
      </c>
      <c r="CI20" s="7">
        <v>13.7</v>
      </c>
      <c r="CJ20" s="9">
        <v>1.46</v>
      </c>
      <c r="CL20" s="13" t="s">
        <v>23</v>
      </c>
      <c r="CM20" s="13">
        <v>-4.3612918005206088E-4</v>
      </c>
      <c r="CN20" s="13">
        <v>1.5493996551154191E-4</v>
      </c>
      <c r="CO20" s="13">
        <v>-2.8148268822195677</v>
      </c>
      <c r="CP20" s="13">
        <v>8.4052563550615408E-3</v>
      </c>
      <c r="CQ20" s="13">
        <v>-7.5213132186451449E-4</v>
      </c>
      <c r="CR20" s="13">
        <v>-1.2012703823960732E-4</v>
      </c>
      <c r="CS20" s="13">
        <v>-6.9883279547129596E-4</v>
      </c>
      <c r="CT20" s="13">
        <v>-1.7342556463282574E-4</v>
      </c>
      <c r="CU20" s="13"/>
      <c r="CW20" s="13" t="s">
        <v>23</v>
      </c>
      <c r="CX20" s="13">
        <v>-3.8333118821984958E-4</v>
      </c>
      <c r="CY20" s="13">
        <v>1.1056748642468884E-4</v>
      </c>
      <c r="CZ20" s="13">
        <v>-3.4669431368592165</v>
      </c>
      <c r="DA20" s="13">
        <v>1.5227491576725925E-3</v>
      </c>
      <c r="DB20" s="13">
        <v>-6.0854978701989533E-4</v>
      </c>
      <c r="DC20" s="13">
        <v>-1.5811258941980378E-4</v>
      </c>
      <c r="DD20" s="13">
        <v>-5.7062020434861375E-4</v>
      </c>
      <c r="DE20" s="13">
        <v>-1.9604217209108539E-4</v>
      </c>
    </row>
    <row r="21" spans="3:109">
      <c r="C21" s="7">
        <v>20</v>
      </c>
      <c r="D21" s="7">
        <v>1300</v>
      </c>
      <c r="E21" s="8">
        <v>9.8000000000000007</v>
      </c>
      <c r="F21" s="11">
        <v>3.1</v>
      </c>
      <c r="G21" s="23">
        <v>3</v>
      </c>
      <c r="H21" s="9">
        <v>1.44</v>
      </c>
      <c r="I21" s="9">
        <v>1.54</v>
      </c>
      <c r="J21" s="10">
        <v>6.4000000000000001E-2</v>
      </c>
      <c r="L21" s="13" t="s">
        <v>12</v>
      </c>
      <c r="M21" s="13">
        <v>-2.3189165036726182E-3</v>
      </c>
      <c r="N21" s="13">
        <v>7.3965714443483227E-4</v>
      </c>
      <c r="O21" s="13">
        <v>-3.1351235111025511</v>
      </c>
      <c r="P21" s="13">
        <v>3.596971929584687E-3</v>
      </c>
      <c r="Q21" s="13">
        <v>-3.8237602713278186E-3</v>
      </c>
      <c r="R21" s="13">
        <v>-8.1407273601741812E-4</v>
      </c>
      <c r="T21" s="7">
        <v>1300</v>
      </c>
      <c r="U21" s="8">
        <v>9.8000000000000007</v>
      </c>
      <c r="V21" s="11">
        <v>3.1</v>
      </c>
      <c r="W21" s="23">
        <v>3</v>
      </c>
      <c r="X21" s="9">
        <v>1.44</v>
      </c>
      <c r="Y21" s="7">
        <f t="shared" si="0"/>
        <v>1690</v>
      </c>
      <c r="Z21" s="11">
        <f t="shared" si="1"/>
        <v>96.04000000000002</v>
      </c>
      <c r="AA21" s="11">
        <f t="shared" si="2"/>
        <v>9.6100000000000012</v>
      </c>
      <c r="AB21" s="11">
        <f t="shared" si="3"/>
        <v>9</v>
      </c>
      <c r="AC21" s="11">
        <f t="shared" si="4"/>
        <v>2.0735999999999999</v>
      </c>
      <c r="AD21" s="7">
        <f t="shared" si="5"/>
        <v>12.740000000000002</v>
      </c>
      <c r="AE21" s="7">
        <f t="shared" si="6"/>
        <v>4030</v>
      </c>
      <c r="AF21" s="7">
        <f t="shared" si="7"/>
        <v>3.9</v>
      </c>
      <c r="AG21" s="7">
        <f t="shared" si="8"/>
        <v>1872</v>
      </c>
      <c r="AH21" s="7">
        <f t="shared" si="9"/>
        <v>30.380000000000003</v>
      </c>
      <c r="AI21" s="7">
        <f t="shared" si="10"/>
        <v>29.400000000000002</v>
      </c>
      <c r="AJ21" s="7">
        <f t="shared" si="11"/>
        <v>14.112</v>
      </c>
      <c r="AK21" s="7">
        <f t="shared" si="12"/>
        <v>9.3000000000000007</v>
      </c>
      <c r="AL21" s="7">
        <f t="shared" si="13"/>
        <v>4.4639999999999995</v>
      </c>
      <c r="AM21" s="7">
        <f t="shared" si="14"/>
        <v>4.32</v>
      </c>
      <c r="AN21" s="9">
        <v>1.54</v>
      </c>
      <c r="AP21" s="13" t="s">
        <v>12</v>
      </c>
      <c r="AQ21" s="13">
        <v>-5.3457773841859239E-3</v>
      </c>
      <c r="AR21" s="13">
        <v>2.0216064625365724E-3</v>
      </c>
      <c r="AS21" s="13">
        <v>-2.6443214756438853</v>
      </c>
      <c r="AT21" s="13">
        <v>1.3263771596989262E-2</v>
      </c>
      <c r="AU21" s="13">
        <v>-9.4868504450943084E-3</v>
      </c>
      <c r="AV21" s="13">
        <v>-1.2047043232775391E-3</v>
      </c>
      <c r="AW21" s="13"/>
      <c r="AX21" s="13"/>
      <c r="AY21" s="22">
        <v>20</v>
      </c>
      <c r="AZ21" s="7">
        <v>1300</v>
      </c>
      <c r="BA21" s="8">
        <v>9.8000000000000007</v>
      </c>
      <c r="BB21" s="11">
        <v>3.1</v>
      </c>
      <c r="BC21" s="23">
        <v>3</v>
      </c>
      <c r="BD21" s="9">
        <v>1.44</v>
      </c>
      <c r="BE21" s="7">
        <f t="shared" si="15"/>
        <v>1690</v>
      </c>
      <c r="BF21" s="11">
        <f t="shared" si="16"/>
        <v>96.04000000000002</v>
      </c>
      <c r="BG21" s="11">
        <f t="shared" si="17"/>
        <v>9.6100000000000012</v>
      </c>
      <c r="BH21" s="11">
        <f t="shared" si="18"/>
        <v>9</v>
      </c>
      <c r="BI21" s="11">
        <f t="shared" si="19"/>
        <v>2.0735999999999999</v>
      </c>
      <c r="BJ21" s="7">
        <f t="shared" si="20"/>
        <v>12.740000000000002</v>
      </c>
      <c r="BK21" s="7">
        <f t="shared" si="21"/>
        <v>4030</v>
      </c>
      <c r="BL21" s="7">
        <f t="shared" si="22"/>
        <v>3.9</v>
      </c>
      <c r="BM21" s="7">
        <f t="shared" si="23"/>
        <v>1872</v>
      </c>
      <c r="BN21" s="7">
        <f t="shared" si="24"/>
        <v>30.380000000000003</v>
      </c>
      <c r="BO21" s="7">
        <f t="shared" si="25"/>
        <v>29.400000000000002</v>
      </c>
      <c r="BP21" s="7">
        <f t="shared" si="26"/>
        <v>14.112</v>
      </c>
      <c r="BQ21" s="7">
        <f t="shared" si="27"/>
        <v>9.3000000000000007</v>
      </c>
      <c r="BR21" s="7">
        <f t="shared" si="28"/>
        <v>4.4639999999999995</v>
      </c>
      <c r="BS21" s="7">
        <f t="shared" si="29"/>
        <v>4.32</v>
      </c>
      <c r="BT21" s="9">
        <v>1.54</v>
      </c>
      <c r="BV21" s="13" t="s">
        <v>12</v>
      </c>
      <c r="BW21" s="13">
        <v>-4.3325408603527111E-3</v>
      </c>
      <c r="BX21" s="13">
        <v>1.7609019377102287E-3</v>
      </c>
      <c r="BY21" s="13">
        <v>-2.4604100702998188</v>
      </c>
      <c r="BZ21" s="13">
        <v>2.0563039055777499E-2</v>
      </c>
      <c r="CA21" s="13">
        <v>-7.9456131512777063E-3</v>
      </c>
      <c r="CB21" s="13">
        <v>-7.1946856942771593E-4</v>
      </c>
      <c r="CC21" s="13"/>
      <c r="CD21" s="7">
        <v>1300</v>
      </c>
      <c r="CE21" s="23">
        <v>3</v>
      </c>
      <c r="CF21" s="7">
        <v>1690</v>
      </c>
      <c r="CG21" s="11">
        <v>2.0735999999999999</v>
      </c>
      <c r="CH21" s="7">
        <v>1872</v>
      </c>
      <c r="CI21" s="7">
        <v>4.32</v>
      </c>
      <c r="CJ21" s="9">
        <v>1.54</v>
      </c>
      <c r="CL21" s="13" t="s">
        <v>67</v>
      </c>
      <c r="CM21" s="13">
        <v>0.70521739723941657</v>
      </c>
      <c r="CN21" s="13">
        <v>0.1659855393962579</v>
      </c>
      <c r="CO21" s="13">
        <v>4.2486676839712425</v>
      </c>
      <c r="CP21" s="13">
        <v>1.8219197008331286E-4</v>
      </c>
      <c r="CQ21" s="13">
        <v>0.36668765905378614</v>
      </c>
      <c r="CR21" s="13">
        <v>1.0437471354250469</v>
      </c>
      <c r="CS21" s="13">
        <v>0.42378580428181661</v>
      </c>
      <c r="CT21" s="13">
        <v>0.98664899019701657</v>
      </c>
      <c r="CU21" s="13"/>
      <c r="CW21" s="13" t="s">
        <v>67</v>
      </c>
      <c r="CX21" s="13">
        <v>0.62858155602602195</v>
      </c>
      <c r="CY21" s="13">
        <v>5.7228503739226125E-2</v>
      </c>
      <c r="CZ21" s="13">
        <v>10.983714669359307</v>
      </c>
      <c r="DA21" s="13">
        <v>2.174440182086787E-12</v>
      </c>
      <c r="DB21" s="13">
        <v>0.51201090908135471</v>
      </c>
      <c r="DC21" s="13">
        <v>0.74515220297068918</v>
      </c>
      <c r="DD21" s="13">
        <v>0.53164284007590823</v>
      </c>
      <c r="DE21" s="13">
        <v>0.72552027197613567</v>
      </c>
    </row>
    <row r="22" spans="3:109" ht="13.5" thickBot="1">
      <c r="C22" s="7">
        <v>21</v>
      </c>
      <c r="D22" s="7">
        <v>1300</v>
      </c>
      <c r="E22" s="8">
        <v>9</v>
      </c>
      <c r="F22" s="11">
        <v>3.9</v>
      </c>
      <c r="G22" s="23">
        <v>9</v>
      </c>
      <c r="H22" s="9">
        <v>1.48</v>
      </c>
      <c r="I22" s="9">
        <v>1.48</v>
      </c>
      <c r="J22" s="10">
        <v>3.5000000000000003E-2</v>
      </c>
      <c r="L22" s="14" t="s">
        <v>63</v>
      </c>
      <c r="M22" s="14">
        <v>0.56107249273631532</v>
      </c>
      <c r="N22" s="14">
        <v>0.14877574887942396</v>
      </c>
      <c r="O22" s="14">
        <v>3.7712631054610877</v>
      </c>
      <c r="P22" s="14">
        <v>6.4083214133559018E-4</v>
      </c>
      <c r="Q22" s="14">
        <v>0.25838595727331382</v>
      </c>
      <c r="R22" s="14">
        <v>0.86375902819931683</v>
      </c>
      <c r="T22" s="7">
        <v>1300</v>
      </c>
      <c r="U22" s="8">
        <v>9</v>
      </c>
      <c r="V22" s="11">
        <v>3.9</v>
      </c>
      <c r="W22" s="23">
        <v>9</v>
      </c>
      <c r="X22" s="9">
        <v>1.48</v>
      </c>
      <c r="Y22" s="7">
        <f t="shared" si="0"/>
        <v>1690</v>
      </c>
      <c r="Z22" s="11">
        <f t="shared" si="1"/>
        <v>81</v>
      </c>
      <c r="AA22" s="11">
        <f t="shared" si="2"/>
        <v>15.209999999999999</v>
      </c>
      <c r="AB22" s="11">
        <f t="shared" si="3"/>
        <v>81</v>
      </c>
      <c r="AC22" s="11">
        <f t="shared" si="4"/>
        <v>2.1903999999999999</v>
      </c>
      <c r="AD22" s="7">
        <f t="shared" si="5"/>
        <v>11.7</v>
      </c>
      <c r="AE22" s="7">
        <f t="shared" si="6"/>
        <v>5070</v>
      </c>
      <c r="AF22" s="7">
        <f t="shared" si="7"/>
        <v>11.7</v>
      </c>
      <c r="AG22" s="7">
        <f t="shared" si="8"/>
        <v>1924</v>
      </c>
      <c r="AH22" s="7">
        <f t="shared" si="9"/>
        <v>35.1</v>
      </c>
      <c r="AI22" s="7">
        <f t="shared" si="10"/>
        <v>81</v>
      </c>
      <c r="AJ22" s="7">
        <f t="shared" si="11"/>
        <v>13.32</v>
      </c>
      <c r="AK22" s="7">
        <f t="shared" si="12"/>
        <v>35.1</v>
      </c>
      <c r="AL22" s="7">
        <f t="shared" si="13"/>
        <v>5.7720000000000002</v>
      </c>
      <c r="AM22" s="7">
        <f t="shared" si="14"/>
        <v>13.32</v>
      </c>
      <c r="AN22" s="9">
        <v>1.48</v>
      </c>
      <c r="AP22" s="13" t="s">
        <v>63</v>
      </c>
      <c r="AQ22" s="13">
        <v>-14.894827137374131</v>
      </c>
      <c r="AR22" s="13">
        <v>5.1658743023929983</v>
      </c>
      <c r="AS22" s="13">
        <v>-2.8833119556305058</v>
      </c>
      <c r="AT22" s="13">
        <v>7.4814815714293074E-3</v>
      </c>
      <c r="AU22" s="13">
        <v>-25.476640811850125</v>
      </c>
      <c r="AV22" s="13">
        <v>-4.3130134628981383</v>
      </c>
      <c r="AW22" s="13"/>
      <c r="AX22" s="13"/>
      <c r="AY22" s="22">
        <v>21</v>
      </c>
      <c r="AZ22" s="7">
        <v>1300</v>
      </c>
      <c r="BA22" s="8">
        <v>9</v>
      </c>
      <c r="BB22" s="11">
        <v>3.9</v>
      </c>
      <c r="BC22" s="23">
        <v>9</v>
      </c>
      <c r="BD22" s="9">
        <v>1.48</v>
      </c>
      <c r="BE22" s="7">
        <f t="shared" si="15"/>
        <v>1690</v>
      </c>
      <c r="BF22" s="11">
        <f t="shared" si="16"/>
        <v>81</v>
      </c>
      <c r="BG22" s="11">
        <f t="shared" si="17"/>
        <v>15.209999999999999</v>
      </c>
      <c r="BH22" s="11">
        <f t="shared" si="18"/>
        <v>81</v>
      </c>
      <c r="BI22" s="11">
        <f t="shared" si="19"/>
        <v>2.1903999999999999</v>
      </c>
      <c r="BJ22" s="7">
        <f t="shared" si="20"/>
        <v>11.7</v>
      </c>
      <c r="BK22" s="7">
        <f t="shared" si="21"/>
        <v>5070</v>
      </c>
      <c r="BL22" s="7">
        <f t="shared" si="22"/>
        <v>11.7</v>
      </c>
      <c r="BM22" s="7">
        <f t="shared" si="23"/>
        <v>1924</v>
      </c>
      <c r="BN22" s="7">
        <f t="shared" si="24"/>
        <v>35.1</v>
      </c>
      <c r="BO22" s="7">
        <f t="shared" si="25"/>
        <v>81</v>
      </c>
      <c r="BP22" s="7">
        <f t="shared" si="26"/>
        <v>13.32</v>
      </c>
      <c r="BQ22" s="7">
        <f t="shared" si="27"/>
        <v>35.1</v>
      </c>
      <c r="BR22" s="7">
        <f t="shared" si="28"/>
        <v>5.7720000000000002</v>
      </c>
      <c r="BS22" s="7">
        <f t="shared" si="29"/>
        <v>13.32</v>
      </c>
      <c r="BT22" s="9">
        <v>1.48</v>
      </c>
      <c r="BV22" s="13" t="s">
        <v>63</v>
      </c>
      <c r="BW22" s="13">
        <v>-15.971246910518262</v>
      </c>
      <c r="BX22" s="13">
        <v>4.4435519770377576</v>
      </c>
      <c r="BY22" s="13">
        <v>-3.594252299298029</v>
      </c>
      <c r="BZ22" s="13">
        <v>1.280882359684946E-3</v>
      </c>
      <c r="CA22" s="13">
        <v>-25.088662354104461</v>
      </c>
      <c r="CB22" s="13">
        <v>-6.8538314669320641</v>
      </c>
      <c r="CC22" s="13"/>
      <c r="CD22" s="7">
        <v>1300</v>
      </c>
      <c r="CE22" s="23">
        <v>9</v>
      </c>
      <c r="CF22" s="7">
        <v>1690</v>
      </c>
      <c r="CG22" s="11">
        <v>2.1903999999999999</v>
      </c>
      <c r="CH22" s="7">
        <v>1924</v>
      </c>
      <c r="CI22" s="7">
        <v>13.32</v>
      </c>
      <c r="CJ22" s="9">
        <v>1.48</v>
      </c>
      <c r="CL22" s="13" t="s">
        <v>16</v>
      </c>
      <c r="CM22" s="13">
        <v>-8.3720096845929807E-4</v>
      </c>
      <c r="CN22" s="13">
        <v>4.2129869681841505E-4</v>
      </c>
      <c r="CO22" s="13">
        <v>-1.9871909758603929</v>
      </c>
      <c r="CP22" s="13">
        <v>5.5798646250326621E-2</v>
      </c>
      <c r="CQ22" s="13">
        <v>-1.6964453222183503E-3</v>
      </c>
      <c r="CR22" s="13">
        <v>2.2043385299754144E-5</v>
      </c>
      <c r="CS22" s="13">
        <v>-1.5515208049211517E-3</v>
      </c>
      <c r="CT22" s="13">
        <v>-1.2288113199744447E-4</v>
      </c>
      <c r="CU22" s="13"/>
      <c r="CW22" s="13" t="s">
        <v>16</v>
      </c>
      <c r="CX22" s="13">
        <v>-6.5545618141080609E-4</v>
      </c>
      <c r="CY22" s="13">
        <v>2.0106164755838286E-4</v>
      </c>
      <c r="CZ22" s="13">
        <v>-3.259976178303619</v>
      </c>
      <c r="DA22" s="13">
        <v>2.6448651632495542E-3</v>
      </c>
      <c r="DB22" s="13">
        <v>-1.0650053535932746E-3</v>
      </c>
      <c r="DC22" s="13">
        <v>-2.4590700922833762E-4</v>
      </c>
      <c r="DD22" s="13">
        <v>-9.9603223473446602E-4</v>
      </c>
      <c r="DE22" s="13">
        <v>-3.1488012808714622E-4</v>
      </c>
    </row>
    <row r="23" spans="3:109" ht="13.5" thickBot="1">
      <c r="C23" s="7">
        <v>22</v>
      </c>
      <c r="D23" s="7">
        <v>700</v>
      </c>
      <c r="E23" s="8">
        <v>9.5</v>
      </c>
      <c r="F23" s="11">
        <v>3.1</v>
      </c>
      <c r="G23" s="23">
        <v>2</v>
      </c>
      <c r="H23" s="9">
        <v>1.52</v>
      </c>
      <c r="I23" s="9">
        <v>1.71</v>
      </c>
      <c r="J23" s="10">
        <v>6.7000000000000004E-2</v>
      </c>
      <c r="M23"/>
      <c r="N23"/>
      <c r="O23"/>
      <c r="P23"/>
      <c r="Q23"/>
      <c r="R23"/>
      <c r="T23" s="7">
        <v>700</v>
      </c>
      <c r="U23" s="8">
        <v>9.5</v>
      </c>
      <c r="V23" s="11">
        <v>3.1</v>
      </c>
      <c r="W23" s="23">
        <v>2</v>
      </c>
      <c r="X23" s="9">
        <v>1.52</v>
      </c>
      <c r="Y23" s="7">
        <f t="shared" si="0"/>
        <v>490</v>
      </c>
      <c r="Z23" s="11">
        <f t="shared" si="1"/>
        <v>90.25</v>
      </c>
      <c r="AA23" s="11">
        <f t="shared" si="2"/>
        <v>9.6100000000000012</v>
      </c>
      <c r="AB23" s="11">
        <f t="shared" si="3"/>
        <v>4</v>
      </c>
      <c r="AC23" s="11">
        <f t="shared" si="4"/>
        <v>2.3104</v>
      </c>
      <c r="AD23" s="7">
        <f t="shared" si="5"/>
        <v>6.65</v>
      </c>
      <c r="AE23" s="7">
        <f t="shared" si="6"/>
        <v>2170</v>
      </c>
      <c r="AF23" s="7">
        <f t="shared" si="7"/>
        <v>1.4</v>
      </c>
      <c r="AG23" s="7">
        <f t="shared" si="8"/>
        <v>1064</v>
      </c>
      <c r="AH23" s="7">
        <f t="shared" si="9"/>
        <v>29.45</v>
      </c>
      <c r="AI23" s="7">
        <f t="shared" si="10"/>
        <v>19</v>
      </c>
      <c r="AJ23" s="7">
        <f t="shared" si="11"/>
        <v>14.44</v>
      </c>
      <c r="AK23" s="7">
        <f t="shared" si="12"/>
        <v>6.2</v>
      </c>
      <c r="AL23" s="7">
        <f t="shared" si="13"/>
        <v>4.7120000000000006</v>
      </c>
      <c r="AM23" s="7">
        <f t="shared" si="14"/>
        <v>3.04</v>
      </c>
      <c r="AN23" s="9">
        <v>1.71</v>
      </c>
      <c r="AP23" s="13" t="s">
        <v>23</v>
      </c>
      <c r="AQ23" s="13">
        <v>-3.3117051352614667E-4</v>
      </c>
      <c r="AR23" s="13">
        <v>2.3448341341646446E-4</v>
      </c>
      <c r="AS23" s="13">
        <v>-1.4123408931187678</v>
      </c>
      <c r="AT23" s="13">
        <v>0.16886830787929485</v>
      </c>
      <c r="AU23" s="13">
        <v>-8.1148800583887134E-4</v>
      </c>
      <c r="AV23" s="13">
        <v>1.4914697878657803E-4</v>
      </c>
      <c r="AW23" s="13"/>
      <c r="AX23" s="13"/>
      <c r="AY23" s="22">
        <v>22</v>
      </c>
      <c r="AZ23" s="7">
        <v>700</v>
      </c>
      <c r="BA23" s="8">
        <v>9.5</v>
      </c>
      <c r="BB23" s="11">
        <v>3.1</v>
      </c>
      <c r="BC23" s="23">
        <v>2</v>
      </c>
      <c r="BD23" s="9">
        <v>1.52</v>
      </c>
      <c r="BE23" s="7">
        <f t="shared" si="15"/>
        <v>490</v>
      </c>
      <c r="BF23" s="11">
        <f t="shared" si="16"/>
        <v>90.25</v>
      </c>
      <c r="BG23" s="11">
        <f t="shared" si="17"/>
        <v>9.6100000000000012</v>
      </c>
      <c r="BH23" s="11">
        <f t="shared" si="18"/>
        <v>4</v>
      </c>
      <c r="BI23" s="11">
        <f t="shared" si="19"/>
        <v>2.3104</v>
      </c>
      <c r="BJ23" s="7">
        <f t="shared" si="20"/>
        <v>6.65</v>
      </c>
      <c r="BK23" s="7">
        <f t="shared" si="21"/>
        <v>2170</v>
      </c>
      <c r="BL23" s="7">
        <f t="shared" si="22"/>
        <v>1.4</v>
      </c>
      <c r="BM23" s="7">
        <f t="shared" si="23"/>
        <v>1064</v>
      </c>
      <c r="BN23" s="7">
        <f t="shared" si="24"/>
        <v>29.45</v>
      </c>
      <c r="BO23" s="7">
        <f t="shared" si="25"/>
        <v>19</v>
      </c>
      <c r="BP23" s="7">
        <f t="shared" si="26"/>
        <v>14.44</v>
      </c>
      <c r="BQ23" s="7">
        <f t="shared" si="27"/>
        <v>6.2</v>
      </c>
      <c r="BR23" s="7">
        <f t="shared" si="28"/>
        <v>4.7120000000000006</v>
      </c>
      <c r="BS23" s="7">
        <f t="shared" si="29"/>
        <v>3.04</v>
      </c>
      <c r="BT23" s="9">
        <v>1.71</v>
      </c>
      <c r="BV23" s="13" t="s">
        <v>23</v>
      </c>
      <c r="BW23" s="13">
        <v>-2.5468043547869056E-4</v>
      </c>
      <c r="BX23" s="13">
        <v>2.0247244297224299E-4</v>
      </c>
      <c r="BY23" s="13">
        <v>-1.2578523365453973</v>
      </c>
      <c r="BZ23" s="13">
        <v>0.21921548923906764</v>
      </c>
      <c r="CA23" s="13">
        <v>-6.7011956795540477E-4</v>
      </c>
      <c r="CB23" s="13">
        <v>1.6075869699802358E-4</v>
      </c>
      <c r="CC23" s="13"/>
      <c r="CD23" s="7">
        <v>700</v>
      </c>
      <c r="CE23" s="23">
        <v>2</v>
      </c>
      <c r="CF23" s="7">
        <v>490</v>
      </c>
      <c r="CG23" s="11">
        <v>2.3104</v>
      </c>
      <c r="CH23" s="7">
        <v>1064</v>
      </c>
      <c r="CI23" s="7">
        <v>3.04</v>
      </c>
      <c r="CJ23" s="9">
        <v>1.71</v>
      </c>
      <c r="CL23" s="14" t="s">
        <v>22</v>
      </c>
      <c r="CM23" s="14">
        <v>-2.9249708461062212E-2</v>
      </c>
      <c r="CN23" s="14">
        <v>6.6210548778586949E-3</v>
      </c>
      <c r="CO23" s="14">
        <v>-4.4176810192097085</v>
      </c>
      <c r="CP23" s="14">
        <v>1.1305792803405661E-4</v>
      </c>
      <c r="CQ23" s="14">
        <v>-4.275343886111372E-2</v>
      </c>
      <c r="CR23" s="14">
        <v>-1.5745978061010704E-2</v>
      </c>
      <c r="CS23" s="14">
        <v>-4.0475831098691628E-2</v>
      </c>
      <c r="CT23" s="14">
        <v>-1.8023585823432796E-2</v>
      </c>
      <c r="CU23" s="13"/>
      <c r="CW23" s="14" t="s">
        <v>22</v>
      </c>
      <c r="CX23" s="14">
        <v>-2.9397549904889412E-2</v>
      </c>
      <c r="CY23" s="14">
        <v>6.535519487352863E-3</v>
      </c>
      <c r="CZ23" s="14">
        <v>-4.4981198452208355</v>
      </c>
      <c r="DA23" s="14">
        <v>8.488349730358352E-5</v>
      </c>
      <c r="DB23" s="14">
        <v>-4.2709967406345223E-2</v>
      </c>
      <c r="DC23" s="14">
        <v>-1.6085132403433601E-2</v>
      </c>
      <c r="DD23" s="14">
        <v>-4.0467992530085664E-2</v>
      </c>
      <c r="DE23" s="14">
        <v>-1.832710727969316E-2</v>
      </c>
    </row>
    <row r="24" spans="3:109">
      <c r="C24" s="7">
        <v>23</v>
      </c>
      <c r="D24" s="7">
        <v>1050</v>
      </c>
      <c r="E24" s="8">
        <v>11.2</v>
      </c>
      <c r="F24" s="11">
        <v>2.7</v>
      </c>
      <c r="G24" s="23">
        <v>53</v>
      </c>
      <c r="H24" s="9">
        <v>1.37</v>
      </c>
      <c r="I24" s="9">
        <v>1.41</v>
      </c>
      <c r="J24" s="10">
        <v>6.8000000000000005E-2</v>
      </c>
      <c r="M24"/>
      <c r="N24"/>
      <c r="O24"/>
      <c r="P24"/>
      <c r="Q24"/>
      <c r="R24"/>
      <c r="T24" s="7">
        <v>1050</v>
      </c>
      <c r="U24" s="8">
        <v>11.2</v>
      </c>
      <c r="V24" s="11">
        <v>2.7</v>
      </c>
      <c r="W24" s="23">
        <v>53</v>
      </c>
      <c r="X24" s="9">
        <v>1.37</v>
      </c>
      <c r="Y24" s="7">
        <f t="shared" si="0"/>
        <v>1102.5</v>
      </c>
      <c r="Z24" s="11">
        <f t="shared" si="1"/>
        <v>125.43999999999998</v>
      </c>
      <c r="AA24" s="11">
        <f t="shared" si="2"/>
        <v>7.2900000000000009</v>
      </c>
      <c r="AB24" s="11">
        <f t="shared" si="3"/>
        <v>2809</v>
      </c>
      <c r="AC24" s="11">
        <f t="shared" si="4"/>
        <v>1.8769000000000002</v>
      </c>
      <c r="AD24" s="7">
        <f t="shared" si="5"/>
        <v>11.76</v>
      </c>
      <c r="AE24" s="7">
        <f t="shared" si="6"/>
        <v>2835</v>
      </c>
      <c r="AF24" s="7">
        <f t="shared" si="7"/>
        <v>55.65</v>
      </c>
      <c r="AG24" s="7">
        <f t="shared" si="8"/>
        <v>1438.5</v>
      </c>
      <c r="AH24" s="7">
        <f t="shared" si="9"/>
        <v>30.24</v>
      </c>
      <c r="AI24" s="7">
        <f t="shared" si="10"/>
        <v>593.59999999999991</v>
      </c>
      <c r="AJ24" s="7">
        <f t="shared" si="11"/>
        <v>15.343999999999999</v>
      </c>
      <c r="AK24" s="7">
        <f t="shared" si="12"/>
        <v>143.10000000000002</v>
      </c>
      <c r="AL24" s="7">
        <f t="shared" si="13"/>
        <v>3.6990000000000007</v>
      </c>
      <c r="AM24" s="7">
        <f t="shared" si="14"/>
        <v>72.61</v>
      </c>
      <c r="AN24" s="9">
        <v>1.41</v>
      </c>
      <c r="AP24" s="13" t="s">
        <v>64</v>
      </c>
      <c r="AQ24" s="13">
        <v>3.8830607441285676E-3</v>
      </c>
      <c r="AR24" s="13">
        <v>3.9782390630809343E-3</v>
      </c>
      <c r="AS24" s="13">
        <v>0.97607526409469814</v>
      </c>
      <c r="AT24" s="13">
        <v>0.33738529700596487</v>
      </c>
      <c r="AU24" s="13">
        <v>-4.2659924565162334E-3</v>
      </c>
      <c r="AV24" s="13">
        <v>1.2032113944773369E-2</v>
      </c>
      <c r="AW24" s="13"/>
      <c r="AX24" s="13"/>
      <c r="AY24" s="22">
        <v>23</v>
      </c>
      <c r="AZ24" s="7">
        <v>1050</v>
      </c>
      <c r="BA24" s="8">
        <v>11.2</v>
      </c>
      <c r="BB24" s="11">
        <v>2.7</v>
      </c>
      <c r="BC24" s="23">
        <v>53</v>
      </c>
      <c r="BD24" s="9">
        <v>1.37</v>
      </c>
      <c r="BE24" s="7">
        <f t="shared" si="15"/>
        <v>1102.5</v>
      </c>
      <c r="BF24" s="11">
        <f t="shared" si="16"/>
        <v>125.43999999999998</v>
      </c>
      <c r="BG24" s="11">
        <f t="shared" si="17"/>
        <v>7.2900000000000009</v>
      </c>
      <c r="BH24" s="11">
        <f t="shared" si="18"/>
        <v>2809</v>
      </c>
      <c r="BI24" s="11">
        <f t="shared" si="19"/>
        <v>1.8769000000000002</v>
      </c>
      <c r="BJ24" s="7">
        <f t="shared" si="20"/>
        <v>11.76</v>
      </c>
      <c r="BK24" s="7">
        <f t="shared" si="21"/>
        <v>2835</v>
      </c>
      <c r="BL24" s="7">
        <f t="shared" si="22"/>
        <v>55.65</v>
      </c>
      <c r="BM24" s="7">
        <f t="shared" si="23"/>
        <v>1438.5</v>
      </c>
      <c r="BN24" s="7">
        <f t="shared" si="24"/>
        <v>30.24</v>
      </c>
      <c r="BO24" s="7">
        <f t="shared" si="25"/>
        <v>593.59999999999991</v>
      </c>
      <c r="BP24" s="7">
        <f t="shared" si="26"/>
        <v>15.343999999999999</v>
      </c>
      <c r="BQ24" s="7">
        <f t="shared" si="27"/>
        <v>143.10000000000002</v>
      </c>
      <c r="BR24" s="7">
        <f t="shared" si="28"/>
        <v>3.6990000000000007</v>
      </c>
      <c r="BS24" s="7">
        <f t="shared" si="29"/>
        <v>72.61</v>
      </c>
      <c r="BT24" s="9">
        <v>1.41</v>
      </c>
      <c r="BV24" s="13" t="s">
        <v>64</v>
      </c>
      <c r="BW24" s="13">
        <v>9.9899480689232705E-4</v>
      </c>
      <c r="BX24" s="13">
        <v>3.5214775421665429E-3</v>
      </c>
      <c r="BY24" s="13">
        <v>0.283686263771459</v>
      </c>
      <c r="BZ24" s="13">
        <v>0.77881486294140367</v>
      </c>
      <c r="CA24" s="13">
        <v>-6.2264801944364109E-3</v>
      </c>
      <c r="CB24" s="13">
        <v>8.2244698082210646E-3</v>
      </c>
      <c r="CC24" s="13"/>
      <c r="CD24" s="7">
        <v>1050</v>
      </c>
      <c r="CE24" s="23">
        <v>53</v>
      </c>
      <c r="CF24" s="7">
        <v>1102.5</v>
      </c>
      <c r="CG24" s="11">
        <v>1.8769000000000002</v>
      </c>
      <c r="CH24" s="7">
        <v>1438.5</v>
      </c>
      <c r="CI24" s="7">
        <v>72.61</v>
      </c>
      <c r="CJ24" s="9">
        <v>1.41</v>
      </c>
    </row>
    <row r="25" spans="3:109">
      <c r="C25" s="7">
        <v>24</v>
      </c>
      <c r="D25" s="7">
        <v>1050</v>
      </c>
      <c r="E25" s="8">
        <v>12.5</v>
      </c>
      <c r="F25" s="11">
        <v>2.9</v>
      </c>
      <c r="G25" s="23">
        <v>35</v>
      </c>
      <c r="H25" s="9">
        <v>1.38</v>
      </c>
      <c r="I25" s="9">
        <v>1.38</v>
      </c>
      <c r="J25" s="10">
        <v>5.8000000000000003E-2</v>
      </c>
      <c r="M25"/>
      <c r="N25"/>
      <c r="O25"/>
      <c r="P25"/>
      <c r="Q25"/>
      <c r="R25"/>
      <c r="T25" s="7">
        <v>1050</v>
      </c>
      <c r="U25" s="8">
        <v>12.5</v>
      </c>
      <c r="V25" s="11">
        <v>2.9</v>
      </c>
      <c r="W25" s="23">
        <v>35</v>
      </c>
      <c r="X25" s="9">
        <v>1.38</v>
      </c>
      <c r="Y25" s="7">
        <f t="shared" si="0"/>
        <v>1102.5</v>
      </c>
      <c r="Z25" s="11">
        <f t="shared" si="1"/>
        <v>156.25</v>
      </c>
      <c r="AA25" s="11">
        <f t="shared" si="2"/>
        <v>8.41</v>
      </c>
      <c r="AB25" s="11">
        <f t="shared" si="3"/>
        <v>1225</v>
      </c>
      <c r="AC25" s="11">
        <f t="shared" si="4"/>
        <v>1.9043999999999996</v>
      </c>
      <c r="AD25" s="7">
        <f t="shared" si="5"/>
        <v>13.125</v>
      </c>
      <c r="AE25" s="7">
        <f t="shared" si="6"/>
        <v>3045</v>
      </c>
      <c r="AF25" s="7">
        <f t="shared" si="7"/>
        <v>36.75</v>
      </c>
      <c r="AG25" s="7">
        <f t="shared" si="8"/>
        <v>1449</v>
      </c>
      <c r="AH25" s="7">
        <f t="shared" si="9"/>
        <v>36.25</v>
      </c>
      <c r="AI25" s="7">
        <f t="shared" si="10"/>
        <v>437.5</v>
      </c>
      <c r="AJ25" s="7">
        <f t="shared" si="11"/>
        <v>17.25</v>
      </c>
      <c r="AK25" s="7">
        <f t="shared" si="12"/>
        <v>101.5</v>
      </c>
      <c r="AL25" s="7">
        <f t="shared" si="13"/>
        <v>4.0019999999999998</v>
      </c>
      <c r="AM25" s="7">
        <f t="shared" si="14"/>
        <v>48.3</v>
      </c>
      <c r="AN25" s="9">
        <v>1.38</v>
      </c>
      <c r="AP25" s="13" t="s">
        <v>65</v>
      </c>
      <c r="AQ25" s="13">
        <v>-1.963929761102952E-3</v>
      </c>
      <c r="AR25" s="13">
        <v>4.0094156844389427E-3</v>
      </c>
      <c r="AS25" s="13">
        <v>-0.48982942046274119</v>
      </c>
      <c r="AT25" s="13">
        <v>0.62807062559288973</v>
      </c>
      <c r="AU25" s="13">
        <v>-1.0176845374748649E-2</v>
      </c>
      <c r="AV25" s="13">
        <v>6.2489858525427442E-3</v>
      </c>
      <c r="AW25" s="13"/>
      <c r="AX25" s="13"/>
      <c r="AY25" s="22">
        <v>24</v>
      </c>
      <c r="AZ25" s="7">
        <v>1050</v>
      </c>
      <c r="BA25" s="8">
        <v>12.5</v>
      </c>
      <c r="BB25" s="11">
        <v>2.9</v>
      </c>
      <c r="BC25" s="23">
        <v>35</v>
      </c>
      <c r="BD25" s="9">
        <v>1.38</v>
      </c>
      <c r="BE25" s="7">
        <f t="shared" si="15"/>
        <v>1102.5</v>
      </c>
      <c r="BF25" s="11">
        <f t="shared" si="16"/>
        <v>156.25</v>
      </c>
      <c r="BG25" s="11">
        <f t="shared" si="17"/>
        <v>8.41</v>
      </c>
      <c r="BH25" s="11">
        <f t="shared" si="18"/>
        <v>1225</v>
      </c>
      <c r="BI25" s="11">
        <f t="shared" si="19"/>
        <v>1.9043999999999996</v>
      </c>
      <c r="BJ25" s="7">
        <f t="shared" si="20"/>
        <v>13.125</v>
      </c>
      <c r="BK25" s="7">
        <f t="shared" si="21"/>
        <v>3045</v>
      </c>
      <c r="BL25" s="7">
        <f t="shared" si="22"/>
        <v>36.75</v>
      </c>
      <c r="BM25" s="7">
        <f t="shared" si="23"/>
        <v>1449</v>
      </c>
      <c r="BN25" s="7">
        <f t="shared" si="24"/>
        <v>36.25</v>
      </c>
      <c r="BO25" s="7">
        <f t="shared" si="25"/>
        <v>437.5</v>
      </c>
      <c r="BP25" s="7">
        <f t="shared" si="26"/>
        <v>17.25</v>
      </c>
      <c r="BQ25" s="7">
        <f t="shared" si="27"/>
        <v>101.5</v>
      </c>
      <c r="BR25" s="7">
        <f t="shared" si="28"/>
        <v>4.0019999999999998</v>
      </c>
      <c r="BS25" s="7">
        <f t="shared" si="29"/>
        <v>48.3</v>
      </c>
      <c r="BT25" s="9">
        <v>1.38</v>
      </c>
      <c r="BV25" s="13" t="s">
        <v>65</v>
      </c>
      <c r="BW25" s="13">
        <v>-1.9795353376858434E-3</v>
      </c>
      <c r="BX25" s="13">
        <v>3.4396254850912189E-3</v>
      </c>
      <c r="BY25" s="13">
        <v>-0.57550897510963939</v>
      </c>
      <c r="BZ25" s="13">
        <v>0.56971297284085731</v>
      </c>
      <c r="CA25" s="13">
        <v>-9.0370637923950555E-3</v>
      </c>
      <c r="CB25" s="13">
        <v>5.0779931170233678E-3</v>
      </c>
      <c r="CC25" s="13"/>
      <c r="CD25" s="7">
        <v>1050</v>
      </c>
      <c r="CE25" s="23">
        <v>35</v>
      </c>
      <c r="CF25" s="7">
        <v>1102.5</v>
      </c>
      <c r="CG25" s="11">
        <v>1.9043999999999996</v>
      </c>
      <c r="CH25" s="7">
        <v>1449</v>
      </c>
      <c r="CI25" s="7">
        <v>48.3</v>
      </c>
      <c r="CJ25" s="9">
        <v>1.38</v>
      </c>
    </row>
    <row r="26" spans="3:109">
      <c r="C26" s="7">
        <v>25</v>
      </c>
      <c r="D26" s="7">
        <v>1050</v>
      </c>
      <c r="E26" s="8">
        <v>13.5</v>
      </c>
      <c r="F26" s="11">
        <v>2.5</v>
      </c>
      <c r="G26" s="23">
        <v>9</v>
      </c>
      <c r="H26" s="9">
        <v>1.39</v>
      </c>
      <c r="I26" s="9">
        <v>1.5</v>
      </c>
      <c r="J26" s="10">
        <v>5.0999999999999997E-2</v>
      </c>
      <c r="L26" t="s">
        <v>46</v>
      </c>
      <c r="M26"/>
      <c r="N26"/>
      <c r="O26"/>
      <c r="P26"/>
      <c r="Q26"/>
      <c r="R26"/>
      <c r="T26" s="7">
        <v>1050</v>
      </c>
      <c r="U26" s="8">
        <v>13.5</v>
      </c>
      <c r="V26" s="11">
        <v>2.5</v>
      </c>
      <c r="W26" s="23">
        <v>9</v>
      </c>
      <c r="X26" s="9">
        <v>1.39</v>
      </c>
      <c r="Y26" s="7">
        <f t="shared" si="0"/>
        <v>1102.5</v>
      </c>
      <c r="Z26" s="11">
        <f t="shared" si="1"/>
        <v>182.25</v>
      </c>
      <c r="AA26" s="11">
        <f t="shared" si="2"/>
        <v>6.25</v>
      </c>
      <c r="AB26" s="11">
        <f t="shared" si="3"/>
        <v>81</v>
      </c>
      <c r="AC26" s="11">
        <f t="shared" si="4"/>
        <v>1.9320999999999997</v>
      </c>
      <c r="AD26" s="7">
        <f t="shared" si="5"/>
        <v>14.175000000000001</v>
      </c>
      <c r="AE26" s="7">
        <f t="shared" si="6"/>
        <v>2625</v>
      </c>
      <c r="AF26" s="7">
        <f t="shared" si="7"/>
        <v>9.4499999999999993</v>
      </c>
      <c r="AG26" s="7">
        <f t="shared" si="8"/>
        <v>1459.5</v>
      </c>
      <c r="AH26" s="7">
        <f t="shared" si="9"/>
        <v>33.75</v>
      </c>
      <c r="AI26" s="7">
        <f t="shared" si="10"/>
        <v>121.5</v>
      </c>
      <c r="AJ26" s="7">
        <f t="shared" si="11"/>
        <v>18.764999999999997</v>
      </c>
      <c r="AK26" s="7">
        <f t="shared" si="12"/>
        <v>22.5</v>
      </c>
      <c r="AL26" s="7">
        <f t="shared" si="13"/>
        <v>3.4749999999999996</v>
      </c>
      <c r="AM26" s="7">
        <f t="shared" si="14"/>
        <v>12.51</v>
      </c>
      <c r="AN26" s="9">
        <v>1.5</v>
      </c>
      <c r="AP26" s="13" t="s">
        <v>66</v>
      </c>
      <c r="AQ26" s="13">
        <v>5.6822780367483292E-5</v>
      </c>
      <c r="AR26" s="13">
        <v>4.0390913239673233E-5</v>
      </c>
      <c r="AS26" s="13">
        <v>1.4068208864282414</v>
      </c>
      <c r="AT26" s="13">
        <v>0.17048371969620257</v>
      </c>
      <c r="AU26" s="13">
        <v>-2.5914253680394731E-5</v>
      </c>
      <c r="AV26" s="13">
        <v>1.395598144153613E-4</v>
      </c>
      <c r="AW26" s="13"/>
      <c r="AX26" s="13"/>
      <c r="AY26" s="22">
        <v>25</v>
      </c>
      <c r="AZ26" s="7">
        <v>1050</v>
      </c>
      <c r="BA26" s="8">
        <v>13.5</v>
      </c>
      <c r="BB26" s="11">
        <v>2.5</v>
      </c>
      <c r="BC26" s="23">
        <v>9</v>
      </c>
      <c r="BD26" s="9">
        <v>1.39</v>
      </c>
      <c r="BE26" s="7">
        <f t="shared" si="15"/>
        <v>1102.5</v>
      </c>
      <c r="BF26" s="11">
        <f t="shared" si="16"/>
        <v>182.25</v>
      </c>
      <c r="BG26" s="11">
        <f t="shared" si="17"/>
        <v>6.25</v>
      </c>
      <c r="BH26" s="11">
        <f t="shared" si="18"/>
        <v>81</v>
      </c>
      <c r="BI26" s="11">
        <f t="shared" si="19"/>
        <v>1.9320999999999997</v>
      </c>
      <c r="BJ26" s="7">
        <f t="shared" si="20"/>
        <v>14.175000000000001</v>
      </c>
      <c r="BK26" s="7">
        <f t="shared" si="21"/>
        <v>2625</v>
      </c>
      <c r="BL26" s="7">
        <f t="shared" si="22"/>
        <v>9.4499999999999993</v>
      </c>
      <c r="BM26" s="7">
        <f t="shared" si="23"/>
        <v>1459.5</v>
      </c>
      <c r="BN26" s="7">
        <f t="shared" si="24"/>
        <v>33.75</v>
      </c>
      <c r="BO26" s="7">
        <f t="shared" si="25"/>
        <v>121.5</v>
      </c>
      <c r="BP26" s="7">
        <f t="shared" si="26"/>
        <v>18.764999999999997</v>
      </c>
      <c r="BQ26" s="7">
        <f t="shared" si="27"/>
        <v>22.5</v>
      </c>
      <c r="BR26" s="7">
        <f t="shared" si="28"/>
        <v>3.4749999999999996</v>
      </c>
      <c r="BS26" s="7">
        <f t="shared" si="29"/>
        <v>12.51</v>
      </c>
      <c r="BT26" s="9">
        <v>1.5</v>
      </c>
      <c r="BV26" s="13" t="s">
        <v>66</v>
      </c>
      <c r="BW26" s="13">
        <v>3.5603675110210382E-5</v>
      </c>
      <c r="BX26" s="13">
        <v>3.5234118268985637E-5</v>
      </c>
      <c r="BY26" s="13">
        <v>1.0104886076161594</v>
      </c>
      <c r="BZ26" s="13">
        <v>0.32123171853927468</v>
      </c>
      <c r="CA26" s="13">
        <v>-3.669076314702948E-5</v>
      </c>
      <c r="CB26" s="13">
        <v>1.0789811336745024E-4</v>
      </c>
      <c r="CC26" s="13"/>
      <c r="CD26" s="7">
        <v>1050</v>
      </c>
      <c r="CE26" s="23">
        <v>9</v>
      </c>
      <c r="CF26" s="7">
        <v>1102.5</v>
      </c>
      <c r="CG26" s="11">
        <v>1.9320999999999997</v>
      </c>
      <c r="CH26" s="7">
        <v>1459.5</v>
      </c>
      <c r="CI26" s="7">
        <v>12.51</v>
      </c>
      <c r="CJ26" s="9">
        <v>1.5</v>
      </c>
    </row>
    <row r="27" spans="3:109" ht="13.5" thickBot="1">
      <c r="C27" s="7">
        <v>26</v>
      </c>
      <c r="D27" s="7">
        <v>1050</v>
      </c>
      <c r="E27" s="8">
        <v>10.6</v>
      </c>
      <c r="F27" s="11">
        <v>2.1</v>
      </c>
      <c r="G27" s="23">
        <v>13</v>
      </c>
      <c r="H27" s="9">
        <v>1.36</v>
      </c>
      <c r="I27" s="9">
        <v>1.44</v>
      </c>
      <c r="J27" s="10">
        <v>4.9000000000000002E-2</v>
      </c>
      <c r="M27"/>
      <c r="N27"/>
      <c r="O27"/>
      <c r="P27"/>
      <c r="Q27"/>
      <c r="R27"/>
      <c r="T27" s="7">
        <v>1050</v>
      </c>
      <c r="U27" s="8">
        <v>10.6</v>
      </c>
      <c r="V27" s="11">
        <v>2.1</v>
      </c>
      <c r="W27" s="23">
        <v>13</v>
      </c>
      <c r="X27" s="9">
        <v>1.36</v>
      </c>
      <c r="Y27" s="7">
        <f t="shared" si="0"/>
        <v>1102.5</v>
      </c>
      <c r="Z27" s="11">
        <f t="shared" si="1"/>
        <v>112.36</v>
      </c>
      <c r="AA27" s="11">
        <f t="shared" si="2"/>
        <v>4.41</v>
      </c>
      <c r="AB27" s="11">
        <f t="shared" si="3"/>
        <v>169</v>
      </c>
      <c r="AC27" s="11">
        <f t="shared" si="4"/>
        <v>1.8496000000000004</v>
      </c>
      <c r="AD27" s="7">
        <f t="shared" si="5"/>
        <v>11.13</v>
      </c>
      <c r="AE27" s="7">
        <f t="shared" si="6"/>
        <v>2205</v>
      </c>
      <c r="AF27" s="7">
        <f t="shared" si="7"/>
        <v>13.65</v>
      </c>
      <c r="AG27" s="7">
        <f t="shared" si="8"/>
        <v>1428</v>
      </c>
      <c r="AH27" s="7">
        <f t="shared" si="9"/>
        <v>22.26</v>
      </c>
      <c r="AI27" s="7">
        <f t="shared" si="10"/>
        <v>137.79999999999998</v>
      </c>
      <c r="AJ27" s="7">
        <f t="shared" si="11"/>
        <v>14.416</v>
      </c>
      <c r="AK27" s="7">
        <f t="shared" si="12"/>
        <v>27.3</v>
      </c>
      <c r="AL27" s="7">
        <f t="shared" si="13"/>
        <v>2.8560000000000003</v>
      </c>
      <c r="AM27" s="7">
        <f t="shared" si="14"/>
        <v>17.68</v>
      </c>
      <c r="AN27" s="9">
        <v>1.44</v>
      </c>
      <c r="AP27" s="14" t="s">
        <v>67</v>
      </c>
      <c r="AQ27" s="14">
        <v>5.5047150932021829</v>
      </c>
      <c r="AR27" s="14">
        <v>1.8538379456903078</v>
      </c>
      <c r="AS27" s="14">
        <v>2.9693615377758436</v>
      </c>
      <c r="AT27" s="14">
        <v>6.0588741882826513E-3</v>
      </c>
      <c r="AU27" s="14">
        <v>1.7073002558181267</v>
      </c>
      <c r="AV27" s="14">
        <v>9.3021299305862382</v>
      </c>
      <c r="AW27" s="13"/>
      <c r="AX27" s="13"/>
      <c r="AY27" s="22">
        <v>26</v>
      </c>
      <c r="AZ27" s="7">
        <v>1050</v>
      </c>
      <c r="BA27" s="8">
        <v>10.6</v>
      </c>
      <c r="BB27" s="11">
        <v>2.1</v>
      </c>
      <c r="BC27" s="23">
        <v>13</v>
      </c>
      <c r="BD27" s="9">
        <v>1.36</v>
      </c>
      <c r="BE27" s="7">
        <f t="shared" si="15"/>
        <v>1102.5</v>
      </c>
      <c r="BF27" s="11">
        <f t="shared" si="16"/>
        <v>112.36</v>
      </c>
      <c r="BG27" s="11">
        <f t="shared" si="17"/>
        <v>4.41</v>
      </c>
      <c r="BH27" s="11">
        <f t="shared" si="18"/>
        <v>169</v>
      </c>
      <c r="BI27" s="11">
        <f t="shared" si="19"/>
        <v>1.8496000000000004</v>
      </c>
      <c r="BJ27" s="7">
        <f t="shared" si="20"/>
        <v>11.13</v>
      </c>
      <c r="BK27" s="7">
        <f t="shared" si="21"/>
        <v>2205</v>
      </c>
      <c r="BL27" s="7">
        <f t="shared" si="22"/>
        <v>13.65</v>
      </c>
      <c r="BM27" s="7">
        <f t="shared" si="23"/>
        <v>1428</v>
      </c>
      <c r="BN27" s="7">
        <f t="shared" si="24"/>
        <v>22.26</v>
      </c>
      <c r="BO27" s="7">
        <f t="shared" si="25"/>
        <v>137.79999999999998</v>
      </c>
      <c r="BP27" s="7">
        <f t="shared" si="26"/>
        <v>14.416</v>
      </c>
      <c r="BQ27" s="7">
        <f t="shared" si="27"/>
        <v>27.3</v>
      </c>
      <c r="BR27" s="7">
        <f t="shared" si="28"/>
        <v>2.8560000000000003</v>
      </c>
      <c r="BS27" s="7">
        <f t="shared" si="29"/>
        <v>17.68</v>
      </c>
      <c r="BT27" s="9">
        <v>1.44</v>
      </c>
      <c r="BV27" s="14" t="s">
        <v>67</v>
      </c>
      <c r="BW27" s="14">
        <v>5.9052524767199097</v>
      </c>
      <c r="BX27" s="14">
        <v>1.5949419222452117</v>
      </c>
      <c r="BY27" s="14">
        <v>3.7024874663818741</v>
      </c>
      <c r="BZ27" s="14">
        <v>9.6696085405923859E-4</v>
      </c>
      <c r="CA27" s="14">
        <v>2.6327020061399216</v>
      </c>
      <c r="CB27" s="14">
        <v>9.1778029472998988</v>
      </c>
      <c r="CC27" s="13"/>
      <c r="CD27" s="7">
        <v>1050</v>
      </c>
      <c r="CE27" s="23">
        <v>13</v>
      </c>
      <c r="CF27" s="7">
        <v>1102.5</v>
      </c>
      <c r="CG27" s="11">
        <v>1.8496000000000004</v>
      </c>
      <c r="CH27" s="7">
        <v>1428</v>
      </c>
      <c r="CI27" s="7">
        <v>17.68</v>
      </c>
      <c r="CJ27" s="9">
        <v>1.44</v>
      </c>
      <c r="CL27" t="s">
        <v>46</v>
      </c>
      <c r="CW27" t="s">
        <v>46</v>
      </c>
    </row>
    <row r="28" spans="3:109" ht="13.5" thickBot="1">
      <c r="C28" s="7">
        <v>27</v>
      </c>
      <c r="D28" s="7">
        <v>1050</v>
      </c>
      <c r="E28" s="8">
        <v>12.7</v>
      </c>
      <c r="F28" s="11">
        <v>2.9</v>
      </c>
      <c r="G28" s="23">
        <v>8</v>
      </c>
      <c r="H28" s="9">
        <v>1.36</v>
      </c>
      <c r="I28" s="9">
        <v>1.51</v>
      </c>
      <c r="J28" s="10">
        <v>6.0999999999999999E-2</v>
      </c>
      <c r="L28" s="15" t="s">
        <v>47</v>
      </c>
      <c r="M28" s="15" t="s">
        <v>48</v>
      </c>
      <c r="N28" s="15" t="s">
        <v>49</v>
      </c>
      <c r="O28" s="15" t="s">
        <v>50</v>
      </c>
      <c r="P28"/>
      <c r="Q28"/>
      <c r="R28"/>
      <c r="T28" s="7">
        <v>1050</v>
      </c>
      <c r="U28" s="8">
        <v>12.7</v>
      </c>
      <c r="V28" s="11">
        <v>2.9</v>
      </c>
      <c r="W28" s="23">
        <v>8</v>
      </c>
      <c r="X28" s="9">
        <v>1.36</v>
      </c>
      <c r="Y28" s="7">
        <f t="shared" si="0"/>
        <v>1102.5</v>
      </c>
      <c r="Z28" s="11">
        <f t="shared" si="1"/>
        <v>161.29</v>
      </c>
      <c r="AA28" s="11">
        <f t="shared" si="2"/>
        <v>8.41</v>
      </c>
      <c r="AB28" s="11">
        <f t="shared" si="3"/>
        <v>64</v>
      </c>
      <c r="AC28" s="11">
        <f t="shared" si="4"/>
        <v>1.8496000000000004</v>
      </c>
      <c r="AD28" s="7">
        <f t="shared" si="5"/>
        <v>13.335000000000001</v>
      </c>
      <c r="AE28" s="7">
        <f t="shared" si="6"/>
        <v>3045</v>
      </c>
      <c r="AF28" s="7">
        <f t="shared" si="7"/>
        <v>8.4</v>
      </c>
      <c r="AG28" s="7">
        <f t="shared" si="8"/>
        <v>1428</v>
      </c>
      <c r="AH28" s="7">
        <f t="shared" si="9"/>
        <v>36.83</v>
      </c>
      <c r="AI28" s="7">
        <f t="shared" si="10"/>
        <v>101.6</v>
      </c>
      <c r="AJ28" s="7">
        <f t="shared" si="11"/>
        <v>17.272000000000002</v>
      </c>
      <c r="AK28" s="7">
        <f t="shared" si="12"/>
        <v>23.2</v>
      </c>
      <c r="AL28" s="7">
        <f t="shared" si="13"/>
        <v>3.944</v>
      </c>
      <c r="AM28" s="7">
        <f t="shared" si="14"/>
        <v>10.88</v>
      </c>
      <c r="AN28" s="9">
        <v>1.51</v>
      </c>
      <c r="AT28"/>
      <c r="AV28"/>
      <c r="AW28"/>
      <c r="AX28"/>
      <c r="AY28" s="22">
        <v>27</v>
      </c>
      <c r="AZ28" s="7">
        <v>1050</v>
      </c>
      <c r="BA28" s="8">
        <v>12.7</v>
      </c>
      <c r="BB28" s="11">
        <v>2.9</v>
      </c>
      <c r="BC28" s="23">
        <v>8</v>
      </c>
      <c r="BD28" s="9">
        <v>1.36</v>
      </c>
      <c r="BE28" s="7">
        <f t="shared" si="15"/>
        <v>1102.5</v>
      </c>
      <c r="BF28" s="11">
        <f t="shared" si="16"/>
        <v>161.29</v>
      </c>
      <c r="BG28" s="11">
        <f t="shared" si="17"/>
        <v>8.41</v>
      </c>
      <c r="BH28" s="11">
        <f t="shared" si="18"/>
        <v>64</v>
      </c>
      <c r="BI28" s="11">
        <f t="shared" si="19"/>
        <v>1.8496000000000004</v>
      </c>
      <c r="BJ28" s="7">
        <f t="shared" si="20"/>
        <v>13.335000000000001</v>
      </c>
      <c r="BK28" s="7">
        <f t="shared" si="21"/>
        <v>3045</v>
      </c>
      <c r="BL28" s="7">
        <f t="shared" si="22"/>
        <v>8.4</v>
      </c>
      <c r="BM28" s="7">
        <f t="shared" si="23"/>
        <v>1428</v>
      </c>
      <c r="BN28" s="7">
        <f t="shared" si="24"/>
        <v>36.83</v>
      </c>
      <c r="BO28" s="7">
        <f t="shared" si="25"/>
        <v>101.6</v>
      </c>
      <c r="BP28" s="7">
        <f t="shared" si="26"/>
        <v>17.272000000000002</v>
      </c>
      <c r="BQ28" s="7">
        <f t="shared" si="27"/>
        <v>23.2</v>
      </c>
      <c r="BR28" s="7">
        <f t="shared" si="28"/>
        <v>3.944</v>
      </c>
      <c r="BS28" s="7">
        <f t="shared" si="29"/>
        <v>10.88</v>
      </c>
      <c r="BT28" s="9">
        <v>1.51</v>
      </c>
      <c r="CC28" s="13"/>
      <c r="CD28" s="7">
        <v>1050</v>
      </c>
      <c r="CE28" s="23">
        <v>8</v>
      </c>
      <c r="CF28" s="7">
        <v>1102.5</v>
      </c>
      <c r="CG28" s="11">
        <v>1.8496000000000004</v>
      </c>
      <c r="CH28" s="7">
        <v>1428</v>
      </c>
      <c r="CI28" s="7">
        <v>10.88</v>
      </c>
      <c r="CJ28" s="9">
        <v>1.51</v>
      </c>
    </row>
    <row r="29" spans="3:109">
      <c r="C29" s="7">
        <v>28</v>
      </c>
      <c r="D29" s="7">
        <v>1050</v>
      </c>
      <c r="E29" s="8">
        <v>12.2</v>
      </c>
      <c r="F29" s="11">
        <v>3.2</v>
      </c>
      <c r="G29" s="23">
        <v>1</v>
      </c>
      <c r="H29" s="9">
        <v>1.42</v>
      </c>
      <c r="I29" s="9">
        <v>1.62</v>
      </c>
      <c r="J29" s="10">
        <v>0.04</v>
      </c>
      <c r="L29" s="13">
        <v>1</v>
      </c>
      <c r="M29" s="13">
        <v>1.3825681021191509</v>
      </c>
      <c r="N29" s="13">
        <v>7.43189788084897E-3</v>
      </c>
      <c r="O29" s="13">
        <v>0.16491947014120872</v>
      </c>
      <c r="P29"/>
      <c r="Q29"/>
      <c r="R29"/>
      <c r="T29" s="7">
        <v>1050</v>
      </c>
      <c r="U29" s="8">
        <v>12.2</v>
      </c>
      <c r="V29" s="11">
        <v>3.2</v>
      </c>
      <c r="W29" s="23">
        <v>1</v>
      </c>
      <c r="X29" s="9">
        <v>1.42</v>
      </c>
      <c r="Y29" s="7">
        <f t="shared" si="0"/>
        <v>1102.5</v>
      </c>
      <c r="Z29" s="11">
        <f t="shared" si="1"/>
        <v>148.83999999999997</v>
      </c>
      <c r="AA29" s="11">
        <f t="shared" si="2"/>
        <v>10.240000000000002</v>
      </c>
      <c r="AB29" s="11">
        <f t="shared" si="3"/>
        <v>1</v>
      </c>
      <c r="AC29" s="11">
        <f t="shared" si="4"/>
        <v>2.0164</v>
      </c>
      <c r="AD29" s="7">
        <f t="shared" si="5"/>
        <v>12.81</v>
      </c>
      <c r="AE29" s="7">
        <f t="shared" si="6"/>
        <v>3360</v>
      </c>
      <c r="AF29" s="7">
        <f t="shared" si="7"/>
        <v>1.05</v>
      </c>
      <c r="AG29" s="7">
        <f t="shared" si="8"/>
        <v>1491</v>
      </c>
      <c r="AH29" s="7">
        <f t="shared" si="9"/>
        <v>39.04</v>
      </c>
      <c r="AI29" s="7">
        <f t="shared" si="10"/>
        <v>12.2</v>
      </c>
      <c r="AJ29" s="7">
        <f t="shared" si="11"/>
        <v>17.323999999999998</v>
      </c>
      <c r="AK29" s="7">
        <f t="shared" si="12"/>
        <v>3.2</v>
      </c>
      <c r="AL29" s="7">
        <f t="shared" si="13"/>
        <v>4.5439999999999996</v>
      </c>
      <c r="AM29" s="7">
        <f t="shared" si="14"/>
        <v>1.42</v>
      </c>
      <c r="AN29" s="9">
        <v>1.62</v>
      </c>
      <c r="AT29"/>
      <c r="AV29"/>
      <c r="AW29"/>
      <c r="AX29"/>
      <c r="AY29" s="22">
        <v>28</v>
      </c>
      <c r="AZ29" s="7">
        <v>1050</v>
      </c>
      <c r="BA29" s="8">
        <v>12.2</v>
      </c>
      <c r="BB29" s="11">
        <v>3.2</v>
      </c>
      <c r="BC29" s="23">
        <v>1</v>
      </c>
      <c r="BD29" s="9">
        <v>1.42</v>
      </c>
      <c r="BE29" s="7">
        <f t="shared" si="15"/>
        <v>1102.5</v>
      </c>
      <c r="BF29" s="11">
        <f t="shared" si="16"/>
        <v>148.83999999999997</v>
      </c>
      <c r="BG29" s="11">
        <f t="shared" si="17"/>
        <v>10.240000000000002</v>
      </c>
      <c r="BH29" s="11">
        <f t="shared" si="18"/>
        <v>1</v>
      </c>
      <c r="BI29" s="11">
        <f t="shared" si="19"/>
        <v>2.0164</v>
      </c>
      <c r="BJ29" s="7">
        <f t="shared" si="20"/>
        <v>12.81</v>
      </c>
      <c r="BK29" s="7">
        <f t="shared" si="21"/>
        <v>3360</v>
      </c>
      <c r="BL29" s="7">
        <f t="shared" si="22"/>
        <v>1.05</v>
      </c>
      <c r="BM29" s="7">
        <f t="shared" si="23"/>
        <v>1491</v>
      </c>
      <c r="BN29" s="7">
        <f t="shared" si="24"/>
        <v>39.04</v>
      </c>
      <c r="BO29" s="7">
        <f t="shared" si="25"/>
        <v>12.2</v>
      </c>
      <c r="BP29" s="7">
        <f t="shared" si="26"/>
        <v>17.323999999999998</v>
      </c>
      <c r="BQ29" s="7">
        <f t="shared" si="27"/>
        <v>3.2</v>
      </c>
      <c r="BR29" s="7">
        <f t="shared" si="28"/>
        <v>4.5439999999999996</v>
      </c>
      <c r="BS29" s="7">
        <f t="shared" si="29"/>
        <v>1.42</v>
      </c>
      <c r="BT29" s="9">
        <v>1.62</v>
      </c>
      <c r="CC29" s="13"/>
      <c r="CD29" s="7">
        <v>1050</v>
      </c>
      <c r="CE29" s="23">
        <v>1</v>
      </c>
      <c r="CF29" s="7">
        <v>1102.5</v>
      </c>
      <c r="CG29" s="11">
        <v>2.0164</v>
      </c>
      <c r="CH29" s="7">
        <v>1491</v>
      </c>
      <c r="CI29" s="7">
        <v>1.42</v>
      </c>
      <c r="CJ29" s="9">
        <v>1.62</v>
      </c>
      <c r="CL29" s="15" t="s">
        <v>47</v>
      </c>
      <c r="CM29" s="15" t="s">
        <v>51</v>
      </c>
      <c r="CN29" s="15" t="s">
        <v>49</v>
      </c>
      <c r="CO29" s="15" t="s">
        <v>50</v>
      </c>
      <c r="CQ29" s="16" t="s">
        <v>77</v>
      </c>
      <c r="CR29" s="15" t="s">
        <v>80</v>
      </c>
      <c r="CS29" s="15" t="s">
        <v>79</v>
      </c>
      <c r="CW29" s="15" t="s">
        <v>47</v>
      </c>
      <c r="CX29" s="15" t="s">
        <v>51</v>
      </c>
      <c r="CY29" s="15" t="s">
        <v>49</v>
      </c>
      <c r="CZ29" s="15" t="s">
        <v>50</v>
      </c>
    </row>
    <row r="30" spans="3:109">
      <c r="C30" s="7">
        <v>29</v>
      </c>
      <c r="D30" s="7">
        <v>700</v>
      </c>
      <c r="E30" s="8">
        <v>9</v>
      </c>
      <c r="F30" s="11">
        <v>2.5</v>
      </c>
      <c r="G30" s="23">
        <v>5</v>
      </c>
      <c r="H30" s="9">
        <v>1.43</v>
      </c>
      <c r="I30" s="9">
        <v>1.51</v>
      </c>
      <c r="J30" s="10">
        <v>0.04</v>
      </c>
      <c r="L30" s="13">
        <v>2</v>
      </c>
      <c r="M30" s="13">
        <v>1.3904614783481697</v>
      </c>
      <c r="N30" s="13">
        <v>9.5385216518302229E-3</v>
      </c>
      <c r="O30" s="13">
        <v>0.21166705489911664</v>
      </c>
      <c r="P30"/>
      <c r="Q30"/>
      <c r="R30"/>
      <c r="T30" s="7">
        <v>700</v>
      </c>
      <c r="U30" s="8">
        <v>9</v>
      </c>
      <c r="V30" s="11">
        <v>2.5</v>
      </c>
      <c r="W30" s="23">
        <v>5</v>
      </c>
      <c r="X30" s="9">
        <v>1.43</v>
      </c>
      <c r="Y30" s="7">
        <f t="shared" si="0"/>
        <v>490</v>
      </c>
      <c r="Z30" s="11">
        <f t="shared" si="1"/>
        <v>81</v>
      </c>
      <c r="AA30" s="11">
        <f t="shared" si="2"/>
        <v>6.25</v>
      </c>
      <c r="AB30" s="11">
        <f t="shared" si="3"/>
        <v>25</v>
      </c>
      <c r="AC30" s="11">
        <f t="shared" si="4"/>
        <v>2.0448999999999997</v>
      </c>
      <c r="AD30" s="7">
        <f t="shared" si="5"/>
        <v>6.3</v>
      </c>
      <c r="AE30" s="7">
        <f t="shared" si="6"/>
        <v>1750</v>
      </c>
      <c r="AF30" s="7">
        <f t="shared" si="7"/>
        <v>3.5</v>
      </c>
      <c r="AG30" s="7">
        <f t="shared" si="8"/>
        <v>1001</v>
      </c>
      <c r="AH30" s="7">
        <f t="shared" si="9"/>
        <v>22.5</v>
      </c>
      <c r="AI30" s="7">
        <f t="shared" si="10"/>
        <v>45</v>
      </c>
      <c r="AJ30" s="7">
        <f t="shared" si="11"/>
        <v>12.87</v>
      </c>
      <c r="AK30" s="7">
        <f t="shared" si="12"/>
        <v>12.5</v>
      </c>
      <c r="AL30" s="7">
        <f t="shared" si="13"/>
        <v>3.5749999999999997</v>
      </c>
      <c r="AM30" s="7">
        <f t="shared" si="14"/>
        <v>7.1499999999999995</v>
      </c>
      <c r="AN30" s="9">
        <v>1.51</v>
      </c>
      <c r="AT30"/>
      <c r="AV30"/>
      <c r="AW30"/>
      <c r="AX30"/>
      <c r="AY30" s="22">
        <v>29</v>
      </c>
      <c r="AZ30" s="7">
        <v>700</v>
      </c>
      <c r="BA30" s="8">
        <v>9</v>
      </c>
      <c r="BB30" s="11">
        <v>2.5</v>
      </c>
      <c r="BC30" s="23">
        <v>5</v>
      </c>
      <c r="BD30" s="9">
        <v>1.43</v>
      </c>
      <c r="BE30" s="7">
        <f t="shared" si="15"/>
        <v>490</v>
      </c>
      <c r="BF30" s="11">
        <f t="shared" si="16"/>
        <v>81</v>
      </c>
      <c r="BG30" s="11">
        <f t="shared" si="17"/>
        <v>6.25</v>
      </c>
      <c r="BH30" s="11">
        <f t="shared" si="18"/>
        <v>25</v>
      </c>
      <c r="BI30" s="11">
        <f t="shared" si="19"/>
        <v>2.0448999999999997</v>
      </c>
      <c r="BJ30" s="7">
        <f t="shared" si="20"/>
        <v>6.3</v>
      </c>
      <c r="BK30" s="7">
        <f t="shared" si="21"/>
        <v>1750</v>
      </c>
      <c r="BL30" s="7">
        <f t="shared" si="22"/>
        <v>3.5</v>
      </c>
      <c r="BM30" s="7">
        <f t="shared" si="23"/>
        <v>1001</v>
      </c>
      <c r="BN30" s="7">
        <f t="shared" si="24"/>
        <v>22.5</v>
      </c>
      <c r="BO30" s="7">
        <f t="shared" si="25"/>
        <v>45</v>
      </c>
      <c r="BP30" s="7">
        <f t="shared" si="26"/>
        <v>12.87</v>
      </c>
      <c r="BQ30" s="7">
        <f t="shared" si="27"/>
        <v>12.5</v>
      </c>
      <c r="BR30" s="7">
        <f t="shared" si="28"/>
        <v>3.5749999999999997</v>
      </c>
      <c r="BS30" s="7">
        <f t="shared" si="29"/>
        <v>7.1499999999999995</v>
      </c>
      <c r="BT30" s="9">
        <v>1.51</v>
      </c>
      <c r="CC30" s="13"/>
      <c r="CD30" s="7">
        <v>700</v>
      </c>
      <c r="CE30" s="23">
        <v>5</v>
      </c>
      <c r="CF30" s="7">
        <v>490</v>
      </c>
      <c r="CG30" s="11">
        <v>2.0448999999999997</v>
      </c>
      <c r="CH30" s="7">
        <v>1001</v>
      </c>
      <c r="CI30" s="7">
        <v>7.15</v>
      </c>
      <c r="CJ30" s="9">
        <v>1.51</v>
      </c>
      <c r="CL30" s="13">
        <v>1</v>
      </c>
      <c r="CM30" s="13">
        <v>1.4105284529048707</v>
      </c>
      <c r="CN30" s="13">
        <v>-2.052845290487082E-2</v>
      </c>
      <c r="CO30" s="13">
        <v>-0.7255823336272933</v>
      </c>
      <c r="CQ30">
        <v>-0.05</v>
      </c>
      <c r="CR30" s="28">
        <v>-0.05</v>
      </c>
      <c r="CS30" s="13">
        <v>1</v>
      </c>
      <c r="CW30" s="13">
        <v>1</v>
      </c>
      <c r="CX30" s="13">
        <v>1.4100567579232957</v>
      </c>
      <c r="CY30" s="13">
        <v>-2.0056757923295754E-2</v>
      </c>
      <c r="CZ30" s="13">
        <v>-0.71563005146914893</v>
      </c>
    </row>
    <row r="31" spans="3:109">
      <c r="C31" s="7">
        <v>30</v>
      </c>
      <c r="D31" s="7">
        <v>1000</v>
      </c>
      <c r="E31" s="8">
        <v>9</v>
      </c>
      <c r="F31" s="11">
        <v>2.9</v>
      </c>
      <c r="G31" s="23">
        <v>4</v>
      </c>
      <c r="H31" s="9">
        <v>1.4</v>
      </c>
      <c r="I31" s="9">
        <v>1.51</v>
      </c>
      <c r="J31" s="10">
        <v>3.1E-2</v>
      </c>
      <c r="L31" s="13">
        <v>3</v>
      </c>
      <c r="M31" s="13">
        <v>1.4586910181426498</v>
      </c>
      <c r="N31" s="13">
        <v>-3.8691018142649858E-2</v>
      </c>
      <c r="O31" s="13">
        <v>-0.85858313900577943</v>
      </c>
      <c r="P31"/>
      <c r="Q31"/>
      <c r="R31"/>
      <c r="T31" s="7">
        <v>1000</v>
      </c>
      <c r="U31" s="8">
        <v>9</v>
      </c>
      <c r="V31" s="11">
        <v>2.9</v>
      </c>
      <c r="W31" s="23">
        <v>4</v>
      </c>
      <c r="X31" s="9">
        <v>1.4</v>
      </c>
      <c r="Y31" s="7">
        <f t="shared" si="0"/>
        <v>1000</v>
      </c>
      <c r="Z31" s="11">
        <f t="shared" si="1"/>
        <v>81</v>
      </c>
      <c r="AA31" s="11">
        <f t="shared" si="2"/>
        <v>8.41</v>
      </c>
      <c r="AB31" s="11">
        <f t="shared" si="3"/>
        <v>16</v>
      </c>
      <c r="AC31" s="11">
        <f t="shared" si="4"/>
        <v>1.9599999999999997</v>
      </c>
      <c r="AD31" s="7">
        <f t="shared" si="5"/>
        <v>9</v>
      </c>
      <c r="AE31" s="7">
        <f t="shared" si="6"/>
        <v>2900</v>
      </c>
      <c r="AF31" s="7">
        <f t="shared" si="7"/>
        <v>4</v>
      </c>
      <c r="AG31" s="7">
        <f t="shared" si="8"/>
        <v>1400</v>
      </c>
      <c r="AH31" s="7">
        <f t="shared" si="9"/>
        <v>26.099999999999998</v>
      </c>
      <c r="AI31" s="7">
        <f t="shared" si="10"/>
        <v>36</v>
      </c>
      <c r="AJ31" s="7">
        <f t="shared" si="11"/>
        <v>12.6</v>
      </c>
      <c r="AK31" s="7">
        <f t="shared" si="12"/>
        <v>11.6</v>
      </c>
      <c r="AL31" s="7">
        <f t="shared" si="13"/>
        <v>4.0599999999999996</v>
      </c>
      <c r="AM31" s="7">
        <f t="shared" si="14"/>
        <v>5.6</v>
      </c>
      <c r="AN31" s="9">
        <v>1.51</v>
      </c>
      <c r="AP31" t="s">
        <v>46</v>
      </c>
      <c r="AT31"/>
      <c r="AV31"/>
      <c r="AW31"/>
      <c r="AX31"/>
      <c r="AY31" s="22">
        <v>30</v>
      </c>
      <c r="AZ31" s="7">
        <v>1000</v>
      </c>
      <c r="BA31" s="8">
        <v>9</v>
      </c>
      <c r="BB31" s="11">
        <v>2.9</v>
      </c>
      <c r="BC31" s="23">
        <v>4</v>
      </c>
      <c r="BD31" s="9">
        <v>1.4</v>
      </c>
      <c r="BE31" s="7">
        <f t="shared" si="15"/>
        <v>1000</v>
      </c>
      <c r="BF31" s="11">
        <f t="shared" si="16"/>
        <v>81</v>
      </c>
      <c r="BG31" s="11">
        <f t="shared" si="17"/>
        <v>8.41</v>
      </c>
      <c r="BH31" s="11">
        <f t="shared" si="18"/>
        <v>16</v>
      </c>
      <c r="BI31" s="11">
        <f t="shared" si="19"/>
        <v>1.9599999999999997</v>
      </c>
      <c r="BJ31" s="7">
        <f t="shared" si="20"/>
        <v>9</v>
      </c>
      <c r="BK31" s="7">
        <f t="shared" si="21"/>
        <v>2900</v>
      </c>
      <c r="BL31" s="7">
        <f t="shared" si="22"/>
        <v>4</v>
      </c>
      <c r="BM31" s="7">
        <f t="shared" si="23"/>
        <v>1400</v>
      </c>
      <c r="BN31" s="7">
        <f t="shared" si="24"/>
        <v>26.099999999999998</v>
      </c>
      <c r="BO31" s="7">
        <f t="shared" si="25"/>
        <v>36</v>
      </c>
      <c r="BP31" s="7">
        <f t="shared" si="26"/>
        <v>12.6</v>
      </c>
      <c r="BQ31" s="7">
        <f t="shared" si="27"/>
        <v>11.6</v>
      </c>
      <c r="BR31" s="7">
        <f t="shared" si="28"/>
        <v>4.0599999999999996</v>
      </c>
      <c r="BS31" s="7">
        <f t="shared" si="29"/>
        <v>5.6</v>
      </c>
      <c r="BT31" s="9">
        <v>1.51</v>
      </c>
      <c r="BV31" t="s">
        <v>46</v>
      </c>
      <c r="CD31" s="7">
        <v>1000</v>
      </c>
      <c r="CE31" s="23">
        <v>4</v>
      </c>
      <c r="CF31" s="7">
        <v>1000</v>
      </c>
      <c r="CG31" s="11">
        <v>1.96</v>
      </c>
      <c r="CH31" s="7">
        <v>1400</v>
      </c>
      <c r="CI31" s="7">
        <v>5.6</v>
      </c>
      <c r="CJ31" s="9">
        <v>1.51</v>
      </c>
      <c r="CL31" s="13">
        <v>2</v>
      </c>
      <c r="CM31" s="13">
        <v>1.4003165742645818</v>
      </c>
      <c r="CN31" s="13">
        <v>-3.1657426458187032E-4</v>
      </c>
      <c r="CO31" s="13">
        <v>-1.1189381621990433E-2</v>
      </c>
      <c r="CQ31">
        <f>CQ30+0.01</f>
        <v>-0.04</v>
      </c>
      <c r="CR31" s="28">
        <v>-0.04</v>
      </c>
      <c r="CS31" s="13">
        <v>2</v>
      </c>
      <c r="CW31" s="13">
        <v>2</v>
      </c>
      <c r="CX31" s="13">
        <v>1.3999922214025187</v>
      </c>
      <c r="CY31" s="13">
        <v>7.7785974812449865E-6</v>
      </c>
      <c r="CZ31" s="13">
        <v>2.7754226965044963E-4</v>
      </c>
    </row>
    <row r="32" spans="3:109" ht="13.5" thickBot="1">
      <c r="C32" s="7">
        <v>31</v>
      </c>
      <c r="D32" s="7">
        <v>1000</v>
      </c>
      <c r="E32" s="8">
        <v>9</v>
      </c>
      <c r="F32" s="11">
        <v>3</v>
      </c>
      <c r="G32" s="23">
        <v>4</v>
      </c>
      <c r="H32" s="9">
        <v>1.39</v>
      </c>
      <c r="I32" s="9">
        <v>1.51</v>
      </c>
      <c r="J32" s="10">
        <v>3.4000000000000002E-2</v>
      </c>
      <c r="L32" s="13">
        <v>4</v>
      </c>
      <c r="M32" s="13">
        <v>1.4710813225374944</v>
      </c>
      <c r="N32" s="13">
        <v>-2.1081322537494396E-2</v>
      </c>
      <c r="O32" s="13">
        <v>-0.46781059138588982</v>
      </c>
      <c r="P32"/>
      <c r="Q32"/>
      <c r="R32"/>
      <c r="T32" s="7">
        <v>1000</v>
      </c>
      <c r="U32" s="8">
        <v>9</v>
      </c>
      <c r="V32" s="11">
        <v>3</v>
      </c>
      <c r="W32" s="23">
        <v>4</v>
      </c>
      <c r="X32" s="9">
        <v>1.39</v>
      </c>
      <c r="Y32" s="7">
        <f t="shared" si="0"/>
        <v>1000</v>
      </c>
      <c r="Z32" s="11">
        <f t="shared" si="1"/>
        <v>81</v>
      </c>
      <c r="AA32" s="11">
        <f t="shared" si="2"/>
        <v>9</v>
      </c>
      <c r="AB32" s="11">
        <f t="shared" si="3"/>
        <v>16</v>
      </c>
      <c r="AC32" s="11">
        <f t="shared" si="4"/>
        <v>1.9320999999999997</v>
      </c>
      <c r="AD32" s="7">
        <f t="shared" si="5"/>
        <v>9</v>
      </c>
      <c r="AE32" s="7">
        <f t="shared" si="6"/>
        <v>3000</v>
      </c>
      <c r="AF32" s="7">
        <f t="shared" si="7"/>
        <v>4</v>
      </c>
      <c r="AG32" s="7">
        <f t="shared" si="8"/>
        <v>1390</v>
      </c>
      <c r="AH32" s="7">
        <f t="shared" si="9"/>
        <v>27</v>
      </c>
      <c r="AI32" s="7">
        <f t="shared" si="10"/>
        <v>36</v>
      </c>
      <c r="AJ32" s="7">
        <f t="shared" si="11"/>
        <v>12.51</v>
      </c>
      <c r="AK32" s="7">
        <f t="shared" si="12"/>
        <v>12</v>
      </c>
      <c r="AL32" s="7">
        <f t="shared" si="13"/>
        <v>4.17</v>
      </c>
      <c r="AM32" s="7">
        <f t="shared" si="14"/>
        <v>5.56</v>
      </c>
      <c r="AN32" s="9">
        <v>1.51</v>
      </c>
      <c r="AT32"/>
      <c r="AV32"/>
      <c r="AW32"/>
      <c r="AX32"/>
      <c r="AY32" s="22">
        <v>31</v>
      </c>
      <c r="AZ32" s="7">
        <v>1000</v>
      </c>
      <c r="BA32" s="8">
        <v>9</v>
      </c>
      <c r="BB32" s="11">
        <v>3</v>
      </c>
      <c r="BC32" s="23">
        <v>4</v>
      </c>
      <c r="BD32" s="9">
        <v>1.39</v>
      </c>
      <c r="BE32" s="7">
        <f t="shared" si="15"/>
        <v>1000</v>
      </c>
      <c r="BF32" s="11">
        <f t="shared" si="16"/>
        <v>81</v>
      </c>
      <c r="BG32" s="11">
        <f t="shared" si="17"/>
        <v>9</v>
      </c>
      <c r="BH32" s="11">
        <f t="shared" si="18"/>
        <v>16</v>
      </c>
      <c r="BI32" s="11">
        <f t="shared" si="19"/>
        <v>1.9320999999999997</v>
      </c>
      <c r="BJ32" s="7">
        <f t="shared" si="20"/>
        <v>9</v>
      </c>
      <c r="BK32" s="7">
        <f t="shared" si="21"/>
        <v>3000</v>
      </c>
      <c r="BL32" s="7">
        <f t="shared" si="22"/>
        <v>4</v>
      </c>
      <c r="BM32" s="7">
        <f t="shared" si="23"/>
        <v>1390</v>
      </c>
      <c r="BN32" s="7">
        <f t="shared" si="24"/>
        <v>27</v>
      </c>
      <c r="BO32" s="7">
        <f t="shared" si="25"/>
        <v>36</v>
      </c>
      <c r="BP32" s="7">
        <f t="shared" si="26"/>
        <v>12.51</v>
      </c>
      <c r="BQ32" s="7">
        <f t="shared" si="27"/>
        <v>12</v>
      </c>
      <c r="BR32" s="7">
        <f t="shared" si="28"/>
        <v>4.17</v>
      </c>
      <c r="BS32" s="7">
        <f t="shared" si="29"/>
        <v>5.56</v>
      </c>
      <c r="BT32" s="9">
        <v>1.51</v>
      </c>
      <c r="CD32" s="7">
        <v>1000</v>
      </c>
      <c r="CE32" s="23">
        <v>4</v>
      </c>
      <c r="CF32" s="7">
        <v>1000</v>
      </c>
      <c r="CG32" s="11">
        <v>1.9320999999999997</v>
      </c>
      <c r="CH32" s="7">
        <v>1390</v>
      </c>
      <c r="CI32" s="7">
        <v>5.56</v>
      </c>
      <c r="CJ32" s="9">
        <v>1.51</v>
      </c>
      <c r="CL32" s="13">
        <v>3</v>
      </c>
      <c r="CM32" s="13">
        <v>1.4384549386299157</v>
      </c>
      <c r="CN32" s="13">
        <v>-1.8454938629915763E-2</v>
      </c>
      <c r="CO32" s="13">
        <v>-0.65229355081432161</v>
      </c>
      <c r="CQ32">
        <f t="shared" ref="CQ32:CQ40" si="30">CQ31+0.01</f>
        <v>-0.03</v>
      </c>
      <c r="CR32" s="28">
        <v>-0.03</v>
      </c>
      <c r="CS32" s="13">
        <v>4</v>
      </c>
      <c r="CW32" s="13">
        <v>3</v>
      </c>
      <c r="CX32" s="13">
        <v>1.4399477855156748</v>
      </c>
      <c r="CY32" s="13">
        <v>-1.9947785515674887E-2</v>
      </c>
      <c r="CZ32" s="13">
        <v>-0.71174188918625769</v>
      </c>
    </row>
    <row r="33" spans="3:104">
      <c r="C33" s="7">
        <v>32</v>
      </c>
      <c r="D33" s="7">
        <v>1000</v>
      </c>
      <c r="E33" s="8">
        <v>9</v>
      </c>
      <c r="F33" s="11">
        <v>3.1</v>
      </c>
      <c r="G33" s="23">
        <v>18</v>
      </c>
      <c r="H33" s="9">
        <v>1.33</v>
      </c>
      <c r="I33" s="9">
        <v>1.45</v>
      </c>
      <c r="J33" s="10">
        <v>3.1E-2</v>
      </c>
      <c r="L33" s="13">
        <v>5</v>
      </c>
      <c r="M33" s="13">
        <v>1.371502889092266</v>
      </c>
      <c r="N33" s="13">
        <v>1.8497110907733871E-2</v>
      </c>
      <c r="O33" s="13">
        <v>0.41046496856576425</v>
      </c>
      <c r="P33"/>
      <c r="Q33"/>
      <c r="R33"/>
      <c r="T33" s="7">
        <v>1000</v>
      </c>
      <c r="U33" s="8">
        <v>9</v>
      </c>
      <c r="V33" s="11">
        <v>3.1</v>
      </c>
      <c r="W33" s="23">
        <v>18</v>
      </c>
      <c r="X33" s="9">
        <v>1.33</v>
      </c>
      <c r="Y33" s="7">
        <f t="shared" si="0"/>
        <v>1000</v>
      </c>
      <c r="Z33" s="11">
        <f t="shared" si="1"/>
        <v>81</v>
      </c>
      <c r="AA33" s="11">
        <f t="shared" si="2"/>
        <v>9.6100000000000012</v>
      </c>
      <c r="AB33" s="11">
        <f t="shared" si="3"/>
        <v>324</v>
      </c>
      <c r="AC33" s="11">
        <f t="shared" si="4"/>
        <v>1.7689000000000001</v>
      </c>
      <c r="AD33" s="7">
        <f t="shared" si="5"/>
        <v>9</v>
      </c>
      <c r="AE33" s="7">
        <f t="shared" si="6"/>
        <v>3100</v>
      </c>
      <c r="AF33" s="7">
        <f t="shared" si="7"/>
        <v>18</v>
      </c>
      <c r="AG33" s="7">
        <f t="shared" si="8"/>
        <v>1330</v>
      </c>
      <c r="AH33" s="7">
        <f t="shared" si="9"/>
        <v>27.900000000000002</v>
      </c>
      <c r="AI33" s="7">
        <f t="shared" si="10"/>
        <v>162</v>
      </c>
      <c r="AJ33" s="7">
        <f t="shared" si="11"/>
        <v>11.97</v>
      </c>
      <c r="AK33" s="7">
        <f t="shared" si="12"/>
        <v>55.800000000000004</v>
      </c>
      <c r="AL33" s="7">
        <f t="shared" si="13"/>
        <v>4.1230000000000002</v>
      </c>
      <c r="AM33" s="7">
        <f t="shared" si="14"/>
        <v>23.94</v>
      </c>
      <c r="AN33" s="9">
        <v>1.45</v>
      </c>
      <c r="AP33" s="15" t="s">
        <v>47</v>
      </c>
      <c r="AQ33" s="15" t="s">
        <v>51</v>
      </c>
      <c r="AR33" s="15" t="s">
        <v>49</v>
      </c>
      <c r="AS33" s="15" t="s">
        <v>50</v>
      </c>
      <c r="AT33"/>
      <c r="AV33"/>
      <c r="AW33"/>
      <c r="AX33"/>
      <c r="AY33" s="22">
        <v>32</v>
      </c>
      <c r="AZ33" s="7">
        <v>1000</v>
      </c>
      <c r="BA33" s="8">
        <v>9</v>
      </c>
      <c r="BB33" s="11">
        <v>3.1</v>
      </c>
      <c r="BC33" s="23">
        <v>18</v>
      </c>
      <c r="BD33" s="9">
        <v>1.33</v>
      </c>
      <c r="BE33" s="7">
        <f t="shared" si="15"/>
        <v>1000</v>
      </c>
      <c r="BF33" s="11">
        <f t="shared" si="16"/>
        <v>81</v>
      </c>
      <c r="BG33" s="11">
        <f t="shared" si="17"/>
        <v>9.6100000000000012</v>
      </c>
      <c r="BH33" s="11">
        <f t="shared" si="18"/>
        <v>324</v>
      </c>
      <c r="BI33" s="11">
        <f t="shared" si="19"/>
        <v>1.7689000000000001</v>
      </c>
      <c r="BJ33" s="7">
        <f t="shared" si="20"/>
        <v>9</v>
      </c>
      <c r="BK33" s="7">
        <f t="shared" si="21"/>
        <v>3100</v>
      </c>
      <c r="BL33" s="7">
        <f t="shared" si="22"/>
        <v>18</v>
      </c>
      <c r="BM33" s="7">
        <f t="shared" si="23"/>
        <v>1330</v>
      </c>
      <c r="BN33" s="7">
        <f t="shared" si="24"/>
        <v>27.900000000000002</v>
      </c>
      <c r="BO33" s="7">
        <f t="shared" si="25"/>
        <v>162</v>
      </c>
      <c r="BP33" s="7">
        <f t="shared" si="26"/>
        <v>11.97</v>
      </c>
      <c r="BQ33" s="7">
        <f t="shared" si="27"/>
        <v>55.800000000000004</v>
      </c>
      <c r="BR33" s="7">
        <f t="shared" si="28"/>
        <v>4.1230000000000002</v>
      </c>
      <c r="BS33" s="7">
        <f t="shared" si="29"/>
        <v>23.94</v>
      </c>
      <c r="BT33" s="9">
        <v>1.45</v>
      </c>
      <c r="BV33" s="15" t="s">
        <v>47</v>
      </c>
      <c r="BW33" s="15" t="s">
        <v>51</v>
      </c>
      <c r="BX33" s="15" t="s">
        <v>49</v>
      </c>
      <c r="BY33" s="15" t="s">
        <v>50</v>
      </c>
      <c r="BZ33" s="3" t="s">
        <v>24</v>
      </c>
      <c r="CA33" s="12" t="s">
        <v>24</v>
      </c>
      <c r="CB33" s="12"/>
      <c r="CD33" s="7">
        <v>1000</v>
      </c>
      <c r="CE33" s="23">
        <v>18</v>
      </c>
      <c r="CF33" s="7">
        <v>1000</v>
      </c>
      <c r="CG33" s="11">
        <v>1.7689000000000001</v>
      </c>
      <c r="CH33" s="7">
        <v>1330</v>
      </c>
      <c r="CI33" s="7">
        <v>23.94</v>
      </c>
      <c r="CJ33" s="9">
        <v>1.45</v>
      </c>
      <c r="CL33" s="13">
        <v>4</v>
      </c>
      <c r="CM33" s="13">
        <v>1.4482589758630038</v>
      </c>
      <c r="CN33" s="13">
        <v>1.7410241369961721E-3</v>
      </c>
      <c r="CO33" s="13">
        <v>6.1536851416766632E-2</v>
      </c>
      <c r="CQ33">
        <f t="shared" si="30"/>
        <v>-1.9999999999999997E-2</v>
      </c>
      <c r="CR33" s="28">
        <v>-0.02</v>
      </c>
      <c r="CS33" s="13">
        <v>3</v>
      </c>
      <c r="CW33" s="13">
        <v>4</v>
      </c>
      <c r="CX33" s="13">
        <v>1.4491732021909636</v>
      </c>
      <c r="CY33" s="13">
        <v>8.2679780903638367E-4</v>
      </c>
      <c r="CZ33" s="13">
        <v>2.950034900446467E-2</v>
      </c>
    </row>
    <row r="34" spans="3:104">
      <c r="C34" s="7">
        <v>33</v>
      </c>
      <c r="D34" s="7">
        <v>1000</v>
      </c>
      <c r="E34" s="8">
        <v>9</v>
      </c>
      <c r="F34" s="11">
        <v>3</v>
      </c>
      <c r="G34" s="23">
        <v>17</v>
      </c>
      <c r="H34" s="9">
        <v>1.34</v>
      </c>
      <c r="I34" s="9">
        <v>1.45</v>
      </c>
      <c r="J34" s="10">
        <v>0.03</v>
      </c>
      <c r="L34" s="13">
        <v>6</v>
      </c>
      <c r="M34" s="13">
        <v>1.3492189936503509</v>
      </c>
      <c r="N34" s="13">
        <v>3.0781006349648976E-2</v>
      </c>
      <c r="O34" s="13">
        <v>0.68305395727765283</v>
      </c>
      <c r="P34"/>
      <c r="Q34"/>
      <c r="R34"/>
      <c r="T34" s="7">
        <v>1000</v>
      </c>
      <c r="U34" s="8">
        <v>9</v>
      </c>
      <c r="V34" s="11">
        <v>3</v>
      </c>
      <c r="W34" s="23">
        <v>17</v>
      </c>
      <c r="X34" s="9">
        <v>1.34</v>
      </c>
      <c r="Y34" s="7">
        <f t="shared" si="0"/>
        <v>1000</v>
      </c>
      <c r="Z34" s="11">
        <f t="shared" si="1"/>
        <v>81</v>
      </c>
      <c r="AA34" s="11">
        <f t="shared" si="2"/>
        <v>9</v>
      </c>
      <c r="AB34" s="11">
        <f t="shared" si="3"/>
        <v>289</v>
      </c>
      <c r="AC34" s="11">
        <f t="shared" si="4"/>
        <v>1.7956000000000003</v>
      </c>
      <c r="AD34" s="7">
        <f t="shared" si="5"/>
        <v>9</v>
      </c>
      <c r="AE34" s="7">
        <f t="shared" si="6"/>
        <v>3000</v>
      </c>
      <c r="AF34" s="7">
        <f t="shared" si="7"/>
        <v>17</v>
      </c>
      <c r="AG34" s="7">
        <f t="shared" si="8"/>
        <v>1340</v>
      </c>
      <c r="AH34" s="7">
        <f t="shared" si="9"/>
        <v>27</v>
      </c>
      <c r="AI34" s="7">
        <f t="shared" si="10"/>
        <v>153</v>
      </c>
      <c r="AJ34" s="7">
        <f t="shared" si="11"/>
        <v>12.06</v>
      </c>
      <c r="AK34" s="7">
        <f t="shared" si="12"/>
        <v>51</v>
      </c>
      <c r="AL34" s="7">
        <f t="shared" si="13"/>
        <v>4.0200000000000005</v>
      </c>
      <c r="AM34" s="7">
        <f t="shared" si="14"/>
        <v>22.78</v>
      </c>
      <c r="AN34" s="9">
        <v>1.45</v>
      </c>
      <c r="AP34" s="13">
        <v>1</v>
      </c>
      <c r="AQ34" s="13">
        <v>1.3986369967648042</v>
      </c>
      <c r="AR34" s="13">
        <v>-8.6369967648043389E-3</v>
      </c>
      <c r="AS34" s="13">
        <v>-0.23642481396544018</v>
      </c>
      <c r="AT34"/>
      <c r="AV34"/>
      <c r="AW34"/>
      <c r="AX34"/>
      <c r="AY34" s="22">
        <v>33</v>
      </c>
      <c r="AZ34" s="7">
        <v>1000</v>
      </c>
      <c r="BA34" s="8">
        <v>9</v>
      </c>
      <c r="BB34" s="11">
        <v>3</v>
      </c>
      <c r="BC34" s="23">
        <v>17</v>
      </c>
      <c r="BD34" s="9">
        <v>1.34</v>
      </c>
      <c r="BE34" s="7">
        <f t="shared" si="15"/>
        <v>1000</v>
      </c>
      <c r="BF34" s="11">
        <f t="shared" si="16"/>
        <v>81</v>
      </c>
      <c r="BG34" s="11">
        <f t="shared" si="17"/>
        <v>9</v>
      </c>
      <c r="BH34" s="11">
        <f t="shared" si="18"/>
        <v>289</v>
      </c>
      <c r="BI34" s="11">
        <f t="shared" si="19"/>
        <v>1.7956000000000003</v>
      </c>
      <c r="BJ34" s="7">
        <f t="shared" si="20"/>
        <v>9</v>
      </c>
      <c r="BK34" s="7">
        <f t="shared" si="21"/>
        <v>3000</v>
      </c>
      <c r="BL34" s="7">
        <f t="shared" si="22"/>
        <v>17</v>
      </c>
      <c r="BM34" s="7">
        <f t="shared" si="23"/>
        <v>1340</v>
      </c>
      <c r="BN34" s="7">
        <f t="shared" si="24"/>
        <v>27</v>
      </c>
      <c r="BO34" s="7">
        <f t="shared" si="25"/>
        <v>153</v>
      </c>
      <c r="BP34" s="7">
        <f t="shared" si="26"/>
        <v>12.06</v>
      </c>
      <c r="BQ34" s="7">
        <f t="shared" si="27"/>
        <v>51</v>
      </c>
      <c r="BR34" s="7">
        <f t="shared" si="28"/>
        <v>4.0200000000000005</v>
      </c>
      <c r="BS34" s="7">
        <f t="shared" si="29"/>
        <v>22.78</v>
      </c>
      <c r="BT34" s="9">
        <v>1.45</v>
      </c>
      <c r="BV34" s="13">
        <v>1</v>
      </c>
      <c r="BW34" s="13">
        <v>1.3984276536813294</v>
      </c>
      <c r="BX34" s="13">
        <v>-8.4276536813294722E-3</v>
      </c>
      <c r="BY34" s="13">
        <v>-0.27021752305749858</v>
      </c>
      <c r="BZ34" s="9">
        <v>1.39</v>
      </c>
      <c r="CA34" s="13"/>
      <c r="CB34" s="13"/>
      <c r="CD34" s="7">
        <v>1000</v>
      </c>
      <c r="CE34" s="23">
        <v>17</v>
      </c>
      <c r="CF34" s="7">
        <v>1000</v>
      </c>
      <c r="CG34" s="11">
        <v>1.7956000000000003</v>
      </c>
      <c r="CH34" s="7">
        <v>1340</v>
      </c>
      <c r="CI34" s="7">
        <v>22.78</v>
      </c>
      <c r="CJ34" s="9">
        <v>1.45</v>
      </c>
      <c r="CL34" s="13">
        <v>5</v>
      </c>
      <c r="CM34" s="13">
        <v>1.4072604763181156</v>
      </c>
      <c r="CN34" s="13">
        <v>-1.726047631811567E-2</v>
      </c>
      <c r="CO34" s="13">
        <v>-0.6100750380193255</v>
      </c>
      <c r="CQ34">
        <f t="shared" si="30"/>
        <v>-9.9999999999999967E-3</v>
      </c>
      <c r="CR34" s="28">
        <v>-0.01</v>
      </c>
      <c r="CS34" s="13">
        <v>4</v>
      </c>
      <c r="CW34" s="13">
        <v>5</v>
      </c>
      <c r="CX34" s="13">
        <v>1.4069228150875264</v>
      </c>
      <c r="CY34" s="13">
        <v>-1.6922815087526466E-2</v>
      </c>
      <c r="CZ34" s="13">
        <v>-0.60381020095093441</v>
      </c>
    </row>
    <row r="35" spans="3:104">
      <c r="C35" s="7">
        <v>34</v>
      </c>
      <c r="D35" s="7">
        <v>1000</v>
      </c>
      <c r="E35" s="8">
        <v>8.3000000000000007</v>
      </c>
      <c r="F35" s="11">
        <v>3.2</v>
      </c>
      <c r="G35" s="23">
        <v>2</v>
      </c>
      <c r="H35" s="9">
        <v>1.4</v>
      </c>
      <c r="I35" s="9">
        <v>1.65</v>
      </c>
      <c r="J35" s="10">
        <v>4.4999999999999998E-2</v>
      </c>
      <c r="L35" s="13">
        <v>7</v>
      </c>
      <c r="M35" s="13">
        <v>1.5438318267919104</v>
      </c>
      <c r="N35" s="13">
        <v>6.1681732080896001E-3</v>
      </c>
      <c r="O35" s="13">
        <v>0.13687645787473232</v>
      </c>
      <c r="P35"/>
      <c r="Q35"/>
      <c r="R35"/>
      <c r="T35" s="7">
        <v>1000</v>
      </c>
      <c r="U35" s="8">
        <v>8.3000000000000007</v>
      </c>
      <c r="V35" s="11">
        <v>3.2</v>
      </c>
      <c r="W35" s="23">
        <v>2</v>
      </c>
      <c r="X35" s="9">
        <v>1.4</v>
      </c>
      <c r="Y35" s="7">
        <f t="shared" si="0"/>
        <v>1000</v>
      </c>
      <c r="Z35" s="11">
        <f t="shared" si="1"/>
        <v>68.890000000000015</v>
      </c>
      <c r="AA35" s="11">
        <f t="shared" si="2"/>
        <v>10.240000000000002</v>
      </c>
      <c r="AB35" s="11">
        <f t="shared" si="3"/>
        <v>4</v>
      </c>
      <c r="AC35" s="11">
        <f t="shared" si="4"/>
        <v>1.9599999999999997</v>
      </c>
      <c r="AD35" s="7">
        <f t="shared" si="5"/>
        <v>8.3000000000000007</v>
      </c>
      <c r="AE35" s="7">
        <f t="shared" si="6"/>
        <v>3200</v>
      </c>
      <c r="AF35" s="7">
        <f t="shared" si="7"/>
        <v>2</v>
      </c>
      <c r="AG35" s="7">
        <f t="shared" si="8"/>
        <v>1400</v>
      </c>
      <c r="AH35" s="7">
        <f t="shared" si="9"/>
        <v>26.560000000000002</v>
      </c>
      <c r="AI35" s="7">
        <f t="shared" si="10"/>
        <v>16.600000000000001</v>
      </c>
      <c r="AJ35" s="7">
        <f t="shared" si="11"/>
        <v>11.620000000000001</v>
      </c>
      <c r="AK35" s="7">
        <f t="shared" si="12"/>
        <v>6.4</v>
      </c>
      <c r="AL35" s="7">
        <f t="shared" si="13"/>
        <v>4.4799999999999995</v>
      </c>
      <c r="AM35" s="7">
        <f t="shared" si="14"/>
        <v>2.8</v>
      </c>
      <c r="AN35" s="9">
        <v>1.65</v>
      </c>
      <c r="AP35" s="13">
        <v>2</v>
      </c>
      <c r="AQ35" s="13">
        <v>1.3882116978814598</v>
      </c>
      <c r="AR35" s="13">
        <v>1.1788302118540095E-2</v>
      </c>
      <c r="AS35" s="13">
        <v>0.3226870648720665</v>
      </c>
      <c r="AT35"/>
      <c r="AV35"/>
      <c r="AW35"/>
      <c r="AX35"/>
      <c r="AY35" s="22">
        <v>35</v>
      </c>
      <c r="AZ35" s="7">
        <v>1000</v>
      </c>
      <c r="BA35" s="8">
        <v>9</v>
      </c>
      <c r="BB35" s="11">
        <v>3.2</v>
      </c>
      <c r="BC35" s="23">
        <v>1</v>
      </c>
      <c r="BD35" s="9">
        <v>1.42</v>
      </c>
      <c r="BE35" s="7">
        <f t="shared" si="15"/>
        <v>1000</v>
      </c>
      <c r="BF35" s="11">
        <f t="shared" si="16"/>
        <v>81</v>
      </c>
      <c r="BG35" s="11">
        <f t="shared" si="17"/>
        <v>10.240000000000002</v>
      </c>
      <c r="BH35" s="11">
        <f t="shared" si="18"/>
        <v>1</v>
      </c>
      <c r="BI35" s="11">
        <f t="shared" si="19"/>
        <v>2.0164</v>
      </c>
      <c r="BJ35" s="7">
        <f t="shared" si="20"/>
        <v>9</v>
      </c>
      <c r="BK35" s="7">
        <f t="shared" si="21"/>
        <v>3200</v>
      </c>
      <c r="BL35" s="7">
        <f t="shared" si="22"/>
        <v>1</v>
      </c>
      <c r="BM35" s="7">
        <f t="shared" si="23"/>
        <v>1420</v>
      </c>
      <c r="BN35" s="7">
        <f t="shared" si="24"/>
        <v>28.8</v>
      </c>
      <c r="BO35" s="7">
        <f t="shared" si="25"/>
        <v>9</v>
      </c>
      <c r="BP35" s="7">
        <f t="shared" si="26"/>
        <v>12.78</v>
      </c>
      <c r="BQ35" s="7">
        <f t="shared" si="27"/>
        <v>3.2</v>
      </c>
      <c r="BR35" s="7">
        <f t="shared" si="28"/>
        <v>4.5439999999999996</v>
      </c>
      <c r="BS35" s="7">
        <f t="shared" si="29"/>
        <v>1.42</v>
      </c>
      <c r="BT35" s="9">
        <v>1.55</v>
      </c>
      <c r="BV35" s="13">
        <v>2</v>
      </c>
      <c r="BW35" s="13">
        <v>1.3912541222020778</v>
      </c>
      <c r="BX35" s="13">
        <v>8.7458777979221303E-3</v>
      </c>
      <c r="BY35" s="13">
        <v>0.28042080570464023</v>
      </c>
      <c r="BZ35" s="9">
        <v>1.4</v>
      </c>
      <c r="CA35" s="13" t="s">
        <v>81</v>
      </c>
      <c r="CB35" s="13">
        <v>1.4763157894736838</v>
      </c>
      <c r="CD35" s="7">
        <v>1000</v>
      </c>
      <c r="CE35" s="23">
        <v>1</v>
      </c>
      <c r="CF35" s="7">
        <v>1000</v>
      </c>
      <c r="CG35" s="11">
        <v>2.0164</v>
      </c>
      <c r="CH35" s="7">
        <v>1420</v>
      </c>
      <c r="CI35" s="7">
        <v>1.42</v>
      </c>
      <c r="CJ35" s="9">
        <v>1.55</v>
      </c>
      <c r="CL35" s="13">
        <v>6</v>
      </c>
      <c r="CM35" s="13">
        <v>1.4278324625794871</v>
      </c>
      <c r="CN35" s="13">
        <v>-4.7832462579487256E-2</v>
      </c>
      <c r="CO35" s="13">
        <v>-1.6906480962006496</v>
      </c>
      <c r="CQ35">
        <f t="shared" si="30"/>
        <v>0</v>
      </c>
      <c r="CR35" s="28">
        <v>0</v>
      </c>
      <c r="CS35" s="13">
        <v>6</v>
      </c>
      <c r="CW35" s="13">
        <v>6</v>
      </c>
      <c r="CX35" s="13">
        <v>1.426506354629516</v>
      </c>
      <c r="CY35" s="13">
        <v>-4.6506354629516133E-2</v>
      </c>
      <c r="CZ35" s="13">
        <v>-1.6593581616950726</v>
      </c>
    </row>
    <row r="36" spans="3:104">
      <c r="C36" s="7">
        <v>35</v>
      </c>
      <c r="D36" s="7">
        <v>1000</v>
      </c>
      <c r="E36" s="8">
        <v>9</v>
      </c>
      <c r="F36" s="11">
        <v>3.2</v>
      </c>
      <c r="G36" s="23">
        <v>1</v>
      </c>
      <c r="H36" s="9">
        <v>1.42</v>
      </c>
      <c r="I36" s="9">
        <v>1.55</v>
      </c>
      <c r="J36" s="10">
        <v>3.7999999999999999E-2</v>
      </c>
      <c r="L36" s="13">
        <v>8</v>
      </c>
      <c r="M36" s="13">
        <v>1.487511119473242</v>
      </c>
      <c r="N36" s="13">
        <v>-3.7511119473242038E-2</v>
      </c>
      <c r="O36" s="13">
        <v>-0.83240028955079925</v>
      </c>
      <c r="P36"/>
      <c r="Q36"/>
      <c r="R36"/>
      <c r="T36" s="7">
        <v>1000</v>
      </c>
      <c r="U36" s="8">
        <v>9</v>
      </c>
      <c r="V36" s="11">
        <v>3.2</v>
      </c>
      <c r="W36" s="23">
        <v>1</v>
      </c>
      <c r="X36" s="9">
        <v>1.42</v>
      </c>
      <c r="Y36" s="7">
        <f t="shared" si="0"/>
        <v>1000</v>
      </c>
      <c r="Z36" s="11">
        <f t="shared" si="1"/>
        <v>81</v>
      </c>
      <c r="AA36" s="11">
        <f t="shared" si="2"/>
        <v>10.240000000000002</v>
      </c>
      <c r="AB36" s="11">
        <f t="shared" si="3"/>
        <v>1</v>
      </c>
      <c r="AC36" s="11">
        <f t="shared" si="4"/>
        <v>2.0164</v>
      </c>
      <c r="AD36" s="7">
        <f t="shared" si="5"/>
        <v>9</v>
      </c>
      <c r="AE36" s="7">
        <f t="shared" si="6"/>
        <v>3200</v>
      </c>
      <c r="AF36" s="7">
        <f t="shared" si="7"/>
        <v>1</v>
      </c>
      <c r="AG36" s="7">
        <f t="shared" si="8"/>
        <v>1420</v>
      </c>
      <c r="AH36" s="7">
        <f t="shared" si="9"/>
        <v>28.8</v>
      </c>
      <c r="AI36" s="7">
        <f t="shared" si="10"/>
        <v>9</v>
      </c>
      <c r="AJ36" s="7">
        <f t="shared" si="11"/>
        <v>12.78</v>
      </c>
      <c r="AK36" s="7">
        <f t="shared" si="12"/>
        <v>3.2</v>
      </c>
      <c r="AL36" s="7">
        <f t="shared" si="13"/>
        <v>4.5439999999999996</v>
      </c>
      <c r="AM36" s="7">
        <f t="shared" si="14"/>
        <v>1.42</v>
      </c>
      <c r="AN36" s="9">
        <v>1.55</v>
      </c>
      <c r="AP36" s="13">
        <v>3</v>
      </c>
      <c r="AQ36" s="13">
        <v>1.4539838907253615</v>
      </c>
      <c r="AR36" s="13">
        <v>-3.3983890725361565E-2</v>
      </c>
      <c r="AS36" s="13">
        <v>-0.930257965975685</v>
      </c>
      <c r="AT36"/>
      <c r="AV36"/>
      <c r="AW36"/>
      <c r="AX36"/>
      <c r="AY36" s="22">
        <v>36</v>
      </c>
      <c r="AZ36" s="7">
        <v>1000</v>
      </c>
      <c r="BA36" s="8">
        <v>9</v>
      </c>
      <c r="BB36" s="11">
        <v>3.3</v>
      </c>
      <c r="BC36" s="23">
        <v>1</v>
      </c>
      <c r="BD36" s="9">
        <v>1.36</v>
      </c>
      <c r="BE36" s="7">
        <f t="shared" si="15"/>
        <v>1000</v>
      </c>
      <c r="BF36" s="11">
        <f t="shared" si="16"/>
        <v>81</v>
      </c>
      <c r="BG36" s="11">
        <f t="shared" si="17"/>
        <v>10.889999999999999</v>
      </c>
      <c r="BH36" s="11">
        <f t="shared" si="18"/>
        <v>1</v>
      </c>
      <c r="BI36" s="11">
        <f t="shared" si="19"/>
        <v>1.8496000000000004</v>
      </c>
      <c r="BJ36" s="7">
        <f t="shared" si="20"/>
        <v>9</v>
      </c>
      <c r="BK36" s="7">
        <f t="shared" si="21"/>
        <v>3300</v>
      </c>
      <c r="BL36" s="7">
        <f t="shared" si="22"/>
        <v>1</v>
      </c>
      <c r="BM36" s="7">
        <f t="shared" si="23"/>
        <v>1360</v>
      </c>
      <c r="BN36" s="7">
        <f t="shared" si="24"/>
        <v>29.7</v>
      </c>
      <c r="BO36" s="7">
        <f t="shared" si="25"/>
        <v>9</v>
      </c>
      <c r="BP36" s="7">
        <f t="shared" si="26"/>
        <v>12.24</v>
      </c>
      <c r="BQ36" s="7">
        <f t="shared" si="27"/>
        <v>3.3</v>
      </c>
      <c r="BR36" s="7">
        <f t="shared" si="28"/>
        <v>4.4880000000000004</v>
      </c>
      <c r="BS36" s="7">
        <f t="shared" si="29"/>
        <v>1.36</v>
      </c>
      <c r="BT36" s="9">
        <v>1.54</v>
      </c>
      <c r="BV36" s="13">
        <v>3</v>
      </c>
      <c r="BW36" s="13">
        <v>1.4489769919786504</v>
      </c>
      <c r="BX36" s="13">
        <v>-2.8976991978650446E-2</v>
      </c>
      <c r="BY36" s="13">
        <v>-0.92909501199303224</v>
      </c>
      <c r="BZ36" s="9">
        <v>1.42</v>
      </c>
      <c r="CA36" s="13" t="s">
        <v>29</v>
      </c>
      <c r="CB36" s="13">
        <v>1.217710145335911E-2</v>
      </c>
      <c r="CD36" s="7">
        <v>1000</v>
      </c>
      <c r="CE36" s="23">
        <v>1</v>
      </c>
      <c r="CF36" s="7">
        <v>1000</v>
      </c>
      <c r="CG36" s="11">
        <v>1.8496000000000004</v>
      </c>
      <c r="CH36" s="7">
        <v>1360</v>
      </c>
      <c r="CI36" s="7">
        <v>1.36</v>
      </c>
      <c r="CJ36" s="9">
        <v>1.54</v>
      </c>
      <c r="CL36" s="13">
        <v>7</v>
      </c>
      <c r="CM36" s="13">
        <v>1.532017239710556</v>
      </c>
      <c r="CN36" s="13">
        <v>1.7982760289444011E-2</v>
      </c>
      <c r="CO36" s="13">
        <v>0.63560431155428632</v>
      </c>
      <c r="CQ36">
        <f t="shared" si="30"/>
        <v>0.01</v>
      </c>
      <c r="CR36" s="28">
        <v>0.01</v>
      </c>
      <c r="CS36" s="13">
        <v>3</v>
      </c>
      <c r="CW36" s="13">
        <v>7</v>
      </c>
      <c r="CX36" s="13">
        <v>1.5300384281883366</v>
      </c>
      <c r="CY36" s="13">
        <v>1.996157181166347E-2</v>
      </c>
      <c r="CZ36" s="13">
        <v>0.71223378761498723</v>
      </c>
    </row>
    <row r="37" spans="3:104">
      <c r="C37" s="7">
        <v>36</v>
      </c>
      <c r="D37" s="7">
        <v>1000</v>
      </c>
      <c r="E37" s="8">
        <v>9</v>
      </c>
      <c r="F37" s="11">
        <v>3.3</v>
      </c>
      <c r="G37" s="23">
        <v>1</v>
      </c>
      <c r="H37" s="9">
        <v>1.36</v>
      </c>
      <c r="I37" s="9">
        <v>1.54</v>
      </c>
      <c r="J37" s="10">
        <v>3.2000000000000001E-2</v>
      </c>
      <c r="L37" s="13">
        <v>9</v>
      </c>
      <c r="M37" s="13">
        <v>1.4274491526735185</v>
      </c>
      <c r="N37" s="13">
        <v>1.2550847326481485E-2</v>
      </c>
      <c r="O37" s="13">
        <v>0.27851285419843302</v>
      </c>
      <c r="P37"/>
      <c r="Q37"/>
      <c r="R37"/>
      <c r="T37" s="7">
        <v>1000</v>
      </c>
      <c r="U37" s="8">
        <v>9</v>
      </c>
      <c r="V37" s="11">
        <v>3.3</v>
      </c>
      <c r="W37" s="23">
        <v>1</v>
      </c>
      <c r="X37" s="9">
        <v>1.36</v>
      </c>
      <c r="Y37" s="7">
        <f t="shared" si="0"/>
        <v>1000</v>
      </c>
      <c r="Z37" s="11">
        <f t="shared" si="1"/>
        <v>81</v>
      </c>
      <c r="AA37" s="11">
        <f t="shared" si="2"/>
        <v>10.889999999999999</v>
      </c>
      <c r="AB37" s="11">
        <f t="shared" si="3"/>
        <v>1</v>
      </c>
      <c r="AC37" s="11">
        <f t="shared" si="4"/>
        <v>1.8496000000000004</v>
      </c>
      <c r="AD37" s="7">
        <f t="shared" si="5"/>
        <v>9</v>
      </c>
      <c r="AE37" s="7">
        <f t="shared" si="6"/>
        <v>3300</v>
      </c>
      <c r="AF37" s="7">
        <f t="shared" si="7"/>
        <v>1</v>
      </c>
      <c r="AG37" s="7">
        <f t="shared" si="8"/>
        <v>1360</v>
      </c>
      <c r="AH37" s="7">
        <f t="shared" si="9"/>
        <v>29.7</v>
      </c>
      <c r="AI37" s="7">
        <f t="shared" si="10"/>
        <v>9</v>
      </c>
      <c r="AJ37" s="7">
        <f t="shared" si="11"/>
        <v>12.24</v>
      </c>
      <c r="AK37" s="7">
        <f t="shared" si="12"/>
        <v>3.3</v>
      </c>
      <c r="AL37" s="7">
        <f t="shared" si="13"/>
        <v>4.4880000000000004</v>
      </c>
      <c r="AM37" s="7">
        <f t="shared" si="14"/>
        <v>1.36</v>
      </c>
      <c r="AN37" s="9">
        <v>1.54</v>
      </c>
      <c r="AP37" s="13">
        <v>4</v>
      </c>
      <c r="AQ37" s="13">
        <v>1.4569570835065062</v>
      </c>
      <c r="AR37" s="13">
        <v>-6.9570835065062564E-3</v>
      </c>
      <c r="AS37" s="13">
        <v>-0.19043971169127044</v>
      </c>
      <c r="AT37"/>
      <c r="AV37"/>
      <c r="AW37"/>
      <c r="AX37"/>
      <c r="AY37" s="22">
        <v>37</v>
      </c>
      <c r="AZ37" s="7">
        <v>1300</v>
      </c>
      <c r="BA37" s="8">
        <v>7.8</v>
      </c>
      <c r="BB37" s="11">
        <v>4.5</v>
      </c>
      <c r="BC37" s="23">
        <v>1</v>
      </c>
      <c r="BD37" s="9">
        <v>1.52</v>
      </c>
      <c r="BE37" s="7">
        <f t="shared" si="15"/>
        <v>1690</v>
      </c>
      <c r="BF37" s="11">
        <f t="shared" si="16"/>
        <v>60.839999999999996</v>
      </c>
      <c r="BG37" s="11">
        <f t="shared" si="17"/>
        <v>20.25</v>
      </c>
      <c r="BH37" s="11">
        <f t="shared" si="18"/>
        <v>1</v>
      </c>
      <c r="BI37" s="11">
        <f t="shared" si="19"/>
        <v>2.3104</v>
      </c>
      <c r="BJ37" s="7">
        <f t="shared" si="20"/>
        <v>10.14</v>
      </c>
      <c r="BK37" s="7">
        <f t="shared" si="21"/>
        <v>5850</v>
      </c>
      <c r="BL37" s="7">
        <f t="shared" si="22"/>
        <v>1.3</v>
      </c>
      <c r="BM37" s="7">
        <f t="shared" si="23"/>
        <v>1976</v>
      </c>
      <c r="BN37" s="7">
        <f t="shared" si="24"/>
        <v>35.1</v>
      </c>
      <c r="BO37" s="7">
        <f t="shared" si="25"/>
        <v>7.8</v>
      </c>
      <c r="BP37" s="7">
        <f t="shared" si="26"/>
        <v>11.856</v>
      </c>
      <c r="BQ37" s="7">
        <f t="shared" si="27"/>
        <v>4.5</v>
      </c>
      <c r="BR37" s="7">
        <f t="shared" si="28"/>
        <v>6.84</v>
      </c>
      <c r="BS37" s="7">
        <f t="shared" si="29"/>
        <v>1.52</v>
      </c>
      <c r="BT37" s="9">
        <v>1.61</v>
      </c>
      <c r="BV37" s="13">
        <v>4</v>
      </c>
      <c r="BW37" s="13">
        <v>1.4514430350272107</v>
      </c>
      <c r="BX37" s="13">
        <v>-1.4430350272107706E-3</v>
      </c>
      <c r="BY37" s="13">
        <v>-4.6268316839117203E-2</v>
      </c>
      <c r="BZ37" s="9">
        <v>1.45</v>
      </c>
      <c r="CA37" s="13" t="s">
        <v>82</v>
      </c>
      <c r="CB37" s="13">
        <v>1.45</v>
      </c>
      <c r="CD37" s="7">
        <v>1300</v>
      </c>
      <c r="CE37" s="23">
        <v>1</v>
      </c>
      <c r="CF37" s="7">
        <v>1690</v>
      </c>
      <c r="CG37" s="11">
        <v>2.3104</v>
      </c>
      <c r="CH37" s="7">
        <v>1976</v>
      </c>
      <c r="CI37" s="7">
        <v>1.52</v>
      </c>
      <c r="CJ37" s="9">
        <v>1.61</v>
      </c>
      <c r="CL37" s="13">
        <v>8</v>
      </c>
      <c r="CM37" s="13">
        <v>1.4556140942556806</v>
      </c>
      <c r="CN37" s="13">
        <v>-5.6140942556806017E-3</v>
      </c>
      <c r="CO37" s="13">
        <v>-0.19843130069844622</v>
      </c>
      <c r="CQ37">
        <f t="shared" si="30"/>
        <v>0.02</v>
      </c>
      <c r="CR37" s="28">
        <v>0.02</v>
      </c>
      <c r="CS37" s="13">
        <v>5</v>
      </c>
      <c r="CW37" s="13">
        <v>8</v>
      </c>
      <c r="CX37" s="13">
        <v>1.4547822788449769</v>
      </c>
      <c r="CY37" s="13">
        <v>-4.7822788449769504E-3</v>
      </c>
      <c r="CZ37" s="13">
        <v>-0.17063288439033586</v>
      </c>
    </row>
    <row r="38" spans="3:104">
      <c r="C38" s="7">
        <v>37</v>
      </c>
      <c r="D38" s="7">
        <v>1300</v>
      </c>
      <c r="E38" s="8">
        <v>7.8</v>
      </c>
      <c r="F38" s="11">
        <v>4.5</v>
      </c>
      <c r="G38" s="23">
        <v>1</v>
      </c>
      <c r="H38" s="9">
        <v>1.52</v>
      </c>
      <c r="I38" s="9">
        <v>1.61</v>
      </c>
      <c r="J38" s="10">
        <v>5.5E-2</v>
      </c>
      <c r="L38" s="13">
        <v>10</v>
      </c>
      <c r="M38" s="13">
        <v>1.4150633604004923</v>
      </c>
      <c r="N38" s="13">
        <v>2.4936639599507648E-2</v>
      </c>
      <c r="O38" s="13">
        <v>0.55336301114289488</v>
      </c>
      <c r="P38"/>
      <c r="Q38"/>
      <c r="R38"/>
      <c r="T38" s="7">
        <v>1300</v>
      </c>
      <c r="U38" s="8">
        <v>7.8</v>
      </c>
      <c r="V38" s="11">
        <v>4.5</v>
      </c>
      <c r="W38" s="23">
        <v>1</v>
      </c>
      <c r="X38" s="9">
        <v>1.52</v>
      </c>
      <c r="Y38" s="7">
        <f t="shared" si="0"/>
        <v>1690</v>
      </c>
      <c r="Z38" s="11">
        <f t="shared" si="1"/>
        <v>60.839999999999996</v>
      </c>
      <c r="AA38" s="11">
        <f t="shared" si="2"/>
        <v>20.25</v>
      </c>
      <c r="AB38" s="11">
        <f t="shared" si="3"/>
        <v>1</v>
      </c>
      <c r="AC38" s="11">
        <f t="shared" si="4"/>
        <v>2.3104</v>
      </c>
      <c r="AD38" s="7">
        <f t="shared" si="5"/>
        <v>10.14</v>
      </c>
      <c r="AE38" s="7">
        <f t="shared" si="6"/>
        <v>5850</v>
      </c>
      <c r="AF38" s="7">
        <f t="shared" si="7"/>
        <v>1.3</v>
      </c>
      <c r="AG38" s="7">
        <f t="shared" si="8"/>
        <v>1976</v>
      </c>
      <c r="AH38" s="7">
        <f t="shared" si="9"/>
        <v>35.1</v>
      </c>
      <c r="AI38" s="7">
        <f t="shared" si="10"/>
        <v>7.8</v>
      </c>
      <c r="AJ38" s="7">
        <f t="shared" si="11"/>
        <v>11.856</v>
      </c>
      <c r="AK38" s="7">
        <f t="shared" si="12"/>
        <v>4.5</v>
      </c>
      <c r="AL38" s="7">
        <f t="shared" si="13"/>
        <v>6.84</v>
      </c>
      <c r="AM38" s="7">
        <f t="shared" si="14"/>
        <v>1.52</v>
      </c>
      <c r="AN38" s="9">
        <v>1.61</v>
      </c>
      <c r="AP38" s="13">
        <v>5</v>
      </c>
      <c r="AQ38" s="13">
        <v>1.3866835058384215</v>
      </c>
      <c r="AR38" s="13">
        <v>3.3164941615784205E-3</v>
      </c>
      <c r="AS38" s="13">
        <v>9.0784046413430547E-2</v>
      </c>
      <c r="AT38"/>
      <c r="AV38"/>
      <c r="AW38"/>
      <c r="AX38"/>
      <c r="AY38" s="22">
        <v>38</v>
      </c>
      <c r="AZ38" s="7">
        <v>1250</v>
      </c>
      <c r="BA38" s="8">
        <v>9</v>
      </c>
      <c r="BB38" s="11">
        <v>4.3</v>
      </c>
      <c r="BC38" s="23">
        <v>1</v>
      </c>
      <c r="BD38" s="9">
        <v>1.33</v>
      </c>
      <c r="BE38" s="7">
        <f t="shared" si="15"/>
        <v>1562.5</v>
      </c>
      <c r="BF38" s="11">
        <f t="shared" si="16"/>
        <v>81</v>
      </c>
      <c r="BG38" s="11">
        <f t="shared" si="17"/>
        <v>18.489999999999998</v>
      </c>
      <c r="BH38" s="11">
        <f t="shared" si="18"/>
        <v>1</v>
      </c>
      <c r="BI38" s="11">
        <f t="shared" si="19"/>
        <v>1.7689000000000001</v>
      </c>
      <c r="BJ38" s="7">
        <f t="shared" si="20"/>
        <v>11.25</v>
      </c>
      <c r="BK38" s="7">
        <f t="shared" si="21"/>
        <v>5375</v>
      </c>
      <c r="BL38" s="7">
        <f t="shared" si="22"/>
        <v>1.25</v>
      </c>
      <c r="BM38" s="7">
        <f t="shared" si="23"/>
        <v>1662.5</v>
      </c>
      <c r="BN38" s="7">
        <f t="shared" si="24"/>
        <v>38.699999999999996</v>
      </c>
      <c r="BO38" s="7">
        <f t="shared" si="25"/>
        <v>9</v>
      </c>
      <c r="BP38" s="7">
        <f t="shared" si="26"/>
        <v>11.97</v>
      </c>
      <c r="BQ38" s="7">
        <f t="shared" si="27"/>
        <v>4.3</v>
      </c>
      <c r="BR38" s="7">
        <f t="shared" si="28"/>
        <v>5.7190000000000003</v>
      </c>
      <c r="BS38" s="7">
        <f t="shared" si="29"/>
        <v>1.33</v>
      </c>
      <c r="BT38" s="9">
        <v>1.39</v>
      </c>
      <c r="BV38" s="13">
        <v>5</v>
      </c>
      <c r="BW38" s="13">
        <v>1.385816091889108</v>
      </c>
      <c r="BX38" s="13">
        <v>4.1839081108918652E-3</v>
      </c>
      <c r="BY38" s="13">
        <v>0.13414947139202213</v>
      </c>
      <c r="BZ38" s="9">
        <v>1.39</v>
      </c>
      <c r="CA38" s="13" t="s">
        <v>83</v>
      </c>
      <c r="CB38" s="13">
        <v>1.44</v>
      </c>
      <c r="CD38" s="7">
        <v>1250</v>
      </c>
      <c r="CE38" s="23">
        <v>1</v>
      </c>
      <c r="CF38" s="7">
        <v>1562.5</v>
      </c>
      <c r="CG38" s="11">
        <v>1.7689000000000001</v>
      </c>
      <c r="CH38" s="7">
        <v>1662.5</v>
      </c>
      <c r="CI38" s="7">
        <v>1.33</v>
      </c>
      <c r="CJ38" s="9">
        <v>1.39</v>
      </c>
      <c r="CL38" s="13">
        <v>9</v>
      </c>
      <c r="CM38" s="13">
        <v>1.399065824523263</v>
      </c>
      <c r="CN38" s="13">
        <v>4.0934175476736945E-2</v>
      </c>
      <c r="CO38" s="13">
        <v>1.4468267387296723</v>
      </c>
      <c r="CQ38">
        <f t="shared" si="30"/>
        <v>0.03</v>
      </c>
      <c r="CR38" s="28">
        <v>0.03</v>
      </c>
      <c r="CS38" s="13">
        <v>5</v>
      </c>
      <c r="CW38" s="13">
        <v>9</v>
      </c>
      <c r="CX38" s="13">
        <v>1.3989864532082747</v>
      </c>
      <c r="CY38" s="13">
        <v>4.1013546791725197E-2</v>
      </c>
      <c r="CZ38" s="13">
        <v>1.4633734282350919</v>
      </c>
    </row>
    <row r="39" spans="3:104" ht="13.5" thickBot="1">
      <c r="C39" s="7">
        <v>38</v>
      </c>
      <c r="D39" s="7">
        <v>1250</v>
      </c>
      <c r="E39" s="8">
        <v>9</v>
      </c>
      <c r="F39" s="11">
        <v>4.3</v>
      </c>
      <c r="G39" s="23">
        <v>1</v>
      </c>
      <c r="H39" s="9">
        <v>1.33</v>
      </c>
      <c r="I39" s="9">
        <v>1.39</v>
      </c>
      <c r="J39" s="10">
        <v>2.5000000000000001E-2</v>
      </c>
      <c r="L39" s="13">
        <v>11</v>
      </c>
      <c r="M39" s="13">
        <v>1.4849485358706307</v>
      </c>
      <c r="N39" s="13">
        <v>1.5051464129369307E-2</v>
      </c>
      <c r="O39" s="13">
        <v>0.33400344418906858</v>
      </c>
      <c r="P39"/>
      <c r="Q39"/>
      <c r="R39"/>
      <c r="T39" s="7">
        <v>1250</v>
      </c>
      <c r="U39" s="8">
        <v>9</v>
      </c>
      <c r="V39" s="11">
        <v>4.3</v>
      </c>
      <c r="W39" s="23">
        <v>1</v>
      </c>
      <c r="X39" s="9">
        <v>1.33</v>
      </c>
      <c r="Y39" s="7">
        <f t="shared" si="0"/>
        <v>1562.5</v>
      </c>
      <c r="Z39" s="11">
        <f t="shared" si="1"/>
        <v>81</v>
      </c>
      <c r="AA39" s="11">
        <f t="shared" si="2"/>
        <v>18.489999999999998</v>
      </c>
      <c r="AB39" s="11">
        <f t="shared" si="3"/>
        <v>1</v>
      </c>
      <c r="AC39" s="11">
        <f t="shared" si="4"/>
        <v>1.7689000000000001</v>
      </c>
      <c r="AD39" s="7">
        <f t="shared" si="5"/>
        <v>11.25</v>
      </c>
      <c r="AE39" s="7">
        <f t="shared" si="6"/>
        <v>5375</v>
      </c>
      <c r="AF39" s="7">
        <f t="shared" si="7"/>
        <v>1.25</v>
      </c>
      <c r="AG39" s="7">
        <f t="shared" si="8"/>
        <v>1662.5</v>
      </c>
      <c r="AH39" s="7">
        <f t="shared" si="9"/>
        <v>38.699999999999996</v>
      </c>
      <c r="AI39" s="7">
        <f t="shared" si="10"/>
        <v>9</v>
      </c>
      <c r="AJ39" s="7">
        <f t="shared" si="11"/>
        <v>11.97</v>
      </c>
      <c r="AK39" s="7">
        <f t="shared" si="12"/>
        <v>4.3</v>
      </c>
      <c r="AL39" s="7">
        <f t="shared" si="13"/>
        <v>5.7190000000000003</v>
      </c>
      <c r="AM39" s="7">
        <f t="shared" si="14"/>
        <v>1.33</v>
      </c>
      <c r="AN39" s="9">
        <v>1.39</v>
      </c>
      <c r="AP39" s="13">
        <v>6</v>
      </c>
      <c r="AQ39" s="13">
        <v>1.4122043499279362</v>
      </c>
      <c r="AR39" s="13">
        <v>-3.2204349927936304E-2</v>
      </c>
      <c r="AS39" s="13">
        <v>-0.8815457094550343</v>
      </c>
      <c r="AT39"/>
      <c r="AV39"/>
      <c r="AW39"/>
      <c r="AX39"/>
      <c r="AY39" s="24">
        <v>39</v>
      </c>
      <c r="AZ39" s="7">
        <v>1250</v>
      </c>
      <c r="BA39" s="8">
        <v>9</v>
      </c>
      <c r="BB39" s="11">
        <v>4.3</v>
      </c>
      <c r="BC39" s="23">
        <v>1</v>
      </c>
      <c r="BD39" s="9">
        <v>1.33</v>
      </c>
      <c r="BE39" s="7">
        <f t="shared" si="15"/>
        <v>1562.5</v>
      </c>
      <c r="BF39" s="11">
        <f t="shared" si="16"/>
        <v>81</v>
      </c>
      <c r="BG39" s="11">
        <f t="shared" si="17"/>
        <v>18.489999999999998</v>
      </c>
      <c r="BH39" s="11">
        <f t="shared" si="18"/>
        <v>1</v>
      </c>
      <c r="BI39" s="11">
        <f t="shared" si="19"/>
        <v>1.7689000000000001</v>
      </c>
      <c r="BJ39" s="7">
        <f t="shared" si="20"/>
        <v>11.25</v>
      </c>
      <c r="BK39" s="7">
        <f t="shared" si="21"/>
        <v>5375</v>
      </c>
      <c r="BL39" s="7">
        <f t="shared" si="22"/>
        <v>1.25</v>
      </c>
      <c r="BM39" s="7">
        <f t="shared" si="23"/>
        <v>1662.5</v>
      </c>
      <c r="BN39" s="7">
        <f t="shared" si="24"/>
        <v>38.699999999999996</v>
      </c>
      <c r="BO39" s="7">
        <f t="shared" si="25"/>
        <v>9</v>
      </c>
      <c r="BP39" s="7">
        <f t="shared" si="26"/>
        <v>11.97</v>
      </c>
      <c r="BQ39" s="7">
        <f t="shared" si="27"/>
        <v>4.3</v>
      </c>
      <c r="BR39" s="7">
        <f t="shared" si="28"/>
        <v>5.7190000000000003</v>
      </c>
      <c r="BS39" s="7">
        <f t="shared" si="29"/>
        <v>1.33</v>
      </c>
      <c r="BT39" s="9">
        <v>1.41</v>
      </c>
      <c r="BV39" s="13">
        <v>6</v>
      </c>
      <c r="BW39" s="13">
        <v>1.4201699818451772</v>
      </c>
      <c r="BX39" s="13">
        <v>-4.0169981845177283E-2</v>
      </c>
      <c r="BY39" s="13">
        <v>-1.2879780548547839</v>
      </c>
      <c r="BZ39" s="9">
        <v>1.38</v>
      </c>
      <c r="CA39" s="13" t="s">
        <v>84</v>
      </c>
      <c r="CB39" s="13">
        <v>7.5064694714660762E-2</v>
      </c>
      <c r="CD39" s="7">
        <v>1250</v>
      </c>
      <c r="CE39" s="23">
        <v>1</v>
      </c>
      <c r="CF39" s="7">
        <v>1562.5</v>
      </c>
      <c r="CG39" s="11">
        <v>1.7689000000000001</v>
      </c>
      <c r="CH39" s="7">
        <v>1662.5</v>
      </c>
      <c r="CI39" s="7">
        <v>1.33</v>
      </c>
      <c r="CJ39" s="9">
        <v>1.41</v>
      </c>
      <c r="CL39" s="13">
        <v>10</v>
      </c>
      <c r="CM39" s="13">
        <v>1.39833831178262</v>
      </c>
      <c r="CN39" s="13">
        <v>4.1661688217379922E-2</v>
      </c>
      <c r="CO39" s="13">
        <v>1.4725408241770988</v>
      </c>
      <c r="CQ39">
        <f t="shared" si="30"/>
        <v>0.04</v>
      </c>
      <c r="CR39" s="28">
        <v>0.04</v>
      </c>
      <c r="CS39" s="13">
        <v>1</v>
      </c>
      <c r="CW39" s="13">
        <v>10</v>
      </c>
      <c r="CX39" s="13">
        <v>1.3976392591015809</v>
      </c>
      <c r="CY39" s="13">
        <v>4.2360740898419014E-2</v>
      </c>
      <c r="CZ39" s="13">
        <v>1.5114416450226338</v>
      </c>
    </row>
    <row r="40" spans="3:104">
      <c r="C40" s="7">
        <v>39</v>
      </c>
      <c r="D40" s="7">
        <v>1250</v>
      </c>
      <c r="E40" s="8">
        <v>9</v>
      </c>
      <c r="F40" s="11">
        <v>4.3</v>
      </c>
      <c r="G40" s="23">
        <v>1</v>
      </c>
      <c r="H40" s="9">
        <v>1.33</v>
      </c>
      <c r="I40" s="9">
        <v>1.41</v>
      </c>
      <c r="J40" s="10">
        <v>2.5999999999999999E-2</v>
      </c>
      <c r="L40" s="13">
        <v>12</v>
      </c>
      <c r="M40" s="13">
        <v>1.4732150527350729</v>
      </c>
      <c r="N40" s="13">
        <v>-2.3215052735072961E-2</v>
      </c>
      <c r="O40" s="13">
        <v>-0.51515968837977311</v>
      </c>
      <c r="P40"/>
      <c r="Q40"/>
      <c r="R40"/>
      <c r="T40" s="7">
        <v>1250</v>
      </c>
      <c r="U40" s="8">
        <v>9</v>
      </c>
      <c r="V40" s="11">
        <v>4.3</v>
      </c>
      <c r="W40" s="23">
        <v>1</v>
      </c>
      <c r="X40" s="9">
        <v>1.33</v>
      </c>
      <c r="Y40" s="7">
        <f t="shared" si="0"/>
        <v>1562.5</v>
      </c>
      <c r="Z40" s="11">
        <f t="shared" si="1"/>
        <v>81</v>
      </c>
      <c r="AA40" s="11">
        <f t="shared" si="2"/>
        <v>18.489999999999998</v>
      </c>
      <c r="AB40" s="11">
        <f t="shared" si="3"/>
        <v>1</v>
      </c>
      <c r="AC40" s="11">
        <f t="shared" si="4"/>
        <v>1.7689000000000001</v>
      </c>
      <c r="AD40" s="7">
        <f t="shared" si="5"/>
        <v>11.25</v>
      </c>
      <c r="AE40" s="7">
        <f t="shared" si="6"/>
        <v>5375</v>
      </c>
      <c r="AF40" s="7">
        <f t="shared" si="7"/>
        <v>1.25</v>
      </c>
      <c r="AG40" s="7">
        <f t="shared" si="8"/>
        <v>1662.5</v>
      </c>
      <c r="AH40" s="7">
        <f t="shared" si="9"/>
        <v>38.699999999999996</v>
      </c>
      <c r="AI40" s="7">
        <f t="shared" si="10"/>
        <v>9</v>
      </c>
      <c r="AJ40" s="7">
        <f t="shared" si="11"/>
        <v>11.97</v>
      </c>
      <c r="AK40" s="7">
        <f t="shared" si="12"/>
        <v>4.3</v>
      </c>
      <c r="AL40" s="7">
        <f t="shared" si="13"/>
        <v>5.7190000000000003</v>
      </c>
      <c r="AM40" s="7">
        <f t="shared" si="14"/>
        <v>1.33</v>
      </c>
      <c r="AN40" s="9">
        <v>1.41</v>
      </c>
      <c r="AP40" s="13">
        <v>7</v>
      </c>
      <c r="AQ40" s="13">
        <v>1.5485480030189176</v>
      </c>
      <c r="AR40" s="13">
        <v>1.4519969810824485E-3</v>
      </c>
      <c r="AS40" s="13">
        <v>3.974623650777475E-2</v>
      </c>
      <c r="AT40"/>
      <c r="AV40"/>
      <c r="AW40"/>
      <c r="AX40"/>
      <c r="AY40"/>
      <c r="BH40" s="22"/>
      <c r="BI40" s="22"/>
      <c r="BV40" s="13">
        <v>7</v>
      </c>
      <c r="BW40" s="13">
        <v>1.5508823013179267</v>
      </c>
      <c r="BX40" s="13">
        <v>-8.8230131792665922E-4</v>
      </c>
      <c r="BY40" s="13">
        <v>-2.8289401265821645E-2</v>
      </c>
      <c r="BZ40" s="9">
        <v>1.55</v>
      </c>
      <c r="CA40" s="13" t="s">
        <v>85</v>
      </c>
      <c r="CB40" s="13">
        <v>5.6347083926052187E-3</v>
      </c>
      <c r="CG40" s="22"/>
      <c r="CL40" s="13">
        <v>11</v>
      </c>
      <c r="CM40" s="13">
        <v>1.4579053962522197</v>
      </c>
      <c r="CN40" s="13">
        <v>4.209460374778029E-2</v>
      </c>
      <c r="CO40" s="13">
        <v>1.4878423114478159</v>
      </c>
      <c r="CQ40">
        <f t="shared" si="30"/>
        <v>0.05</v>
      </c>
      <c r="CR40" s="28">
        <v>0.05</v>
      </c>
      <c r="CS40" s="13">
        <v>3</v>
      </c>
      <c r="CW40" s="13">
        <v>11</v>
      </c>
      <c r="CX40" s="13">
        <v>1.4584491879679273</v>
      </c>
      <c r="CY40" s="13">
        <v>4.155081203207267E-2</v>
      </c>
      <c r="CZ40" s="13">
        <v>1.4825431840387391</v>
      </c>
    </row>
    <row r="41" spans="3:104" ht="13.5" thickBot="1">
      <c r="L41" s="13">
        <v>13</v>
      </c>
      <c r="M41" s="13">
        <v>1.3707259597923485</v>
      </c>
      <c r="N41" s="13">
        <v>6.9274040207651488E-2</v>
      </c>
      <c r="O41" s="13">
        <v>1.53724367432799</v>
      </c>
      <c r="P41"/>
      <c r="Q41"/>
      <c r="R41"/>
      <c r="AB41" s="22"/>
      <c r="AC41" s="22"/>
      <c r="AP41" s="13">
        <v>8</v>
      </c>
      <c r="AQ41" s="13">
        <v>1.4503237165682186</v>
      </c>
      <c r="AR41" s="13">
        <v>-3.2371656821861272E-4</v>
      </c>
      <c r="AS41" s="13">
        <v>-8.861254843870495E-3</v>
      </c>
      <c r="AT41"/>
      <c r="AV41"/>
      <c r="AW41"/>
      <c r="AX41"/>
      <c r="AY41"/>
      <c r="BH41" s="22"/>
      <c r="BI41" s="22"/>
      <c r="BV41" s="13">
        <v>8</v>
      </c>
      <c r="BW41" s="13">
        <v>1.4596221688456783</v>
      </c>
      <c r="BX41" s="13">
        <v>-9.6221688456783472E-3</v>
      </c>
      <c r="BY41" s="13">
        <v>-0.30851749849194893</v>
      </c>
      <c r="BZ41" s="9">
        <v>1.45</v>
      </c>
      <c r="CA41" s="13" t="s">
        <v>86</v>
      </c>
      <c r="CB41" s="13">
        <v>1.253250672366736</v>
      </c>
      <c r="CG41" s="22"/>
      <c r="CL41" s="13">
        <v>12</v>
      </c>
      <c r="CM41" s="13">
        <v>1.4487670330030484</v>
      </c>
      <c r="CN41" s="13">
        <v>1.2329669969515233E-3</v>
      </c>
      <c r="CO41" s="13">
        <v>4.3579468705177211E-2</v>
      </c>
      <c r="CR41" s="14" t="s">
        <v>78</v>
      </c>
      <c r="CS41" s="14">
        <v>1</v>
      </c>
      <c r="CW41" s="13">
        <v>12</v>
      </c>
      <c r="CX41" s="13">
        <v>1.4494672467795149</v>
      </c>
      <c r="CY41" s="13">
        <v>5.3275322048507157E-4</v>
      </c>
      <c r="CZ41" s="13">
        <v>1.9008765826168898E-2</v>
      </c>
    </row>
    <row r="42" spans="3:104">
      <c r="L42" s="13">
        <v>14</v>
      </c>
      <c r="M42" s="13">
        <v>1.3987795844291642</v>
      </c>
      <c r="N42" s="13">
        <v>2.122041557083576E-2</v>
      </c>
      <c r="O42" s="13">
        <v>0.47089717165472023</v>
      </c>
      <c r="P42"/>
      <c r="Q42"/>
      <c r="R42"/>
      <c r="AB42" s="22"/>
      <c r="AC42" s="22"/>
      <c r="AP42" s="13">
        <v>9</v>
      </c>
      <c r="AQ42" s="13">
        <v>1.408285594956896</v>
      </c>
      <c r="AR42" s="13">
        <v>3.1714405043103966E-2</v>
      </c>
      <c r="AS42" s="13">
        <v>0.86813420411305819</v>
      </c>
      <c r="AT42"/>
      <c r="AV42"/>
      <c r="AW42"/>
      <c r="AX42"/>
      <c r="AY42"/>
      <c r="BH42" s="22"/>
      <c r="BI42" s="22"/>
      <c r="BV42" s="13">
        <v>9</v>
      </c>
      <c r="BW42" s="13">
        <v>1.3979834916816039</v>
      </c>
      <c r="BX42" s="13">
        <v>4.2016508318396095E-2</v>
      </c>
      <c r="BY42" s="13">
        <v>1.3471835975503368</v>
      </c>
      <c r="BZ42" s="9">
        <v>1.44</v>
      </c>
      <c r="CA42" s="13" t="s">
        <v>87</v>
      </c>
      <c r="CB42" s="13">
        <v>1.0862038662020592</v>
      </c>
      <c r="CG42" s="22"/>
      <c r="CL42" s="13">
        <v>13</v>
      </c>
      <c r="CM42" s="13">
        <v>1.4114707106068507</v>
      </c>
      <c r="CN42" s="13">
        <v>2.8529289393149249E-2</v>
      </c>
      <c r="CO42" s="13">
        <v>1.0083735228628949</v>
      </c>
      <c r="CW42" s="13">
        <v>13</v>
      </c>
      <c r="CX42" s="13">
        <v>1.410117906783765</v>
      </c>
      <c r="CY42" s="13">
        <v>2.9882093216234917E-2</v>
      </c>
      <c r="CZ42" s="13">
        <v>1.0662004292080605</v>
      </c>
    </row>
    <row r="43" spans="3:104">
      <c r="L43" s="13">
        <v>15</v>
      </c>
      <c r="M43" s="13">
        <v>1.431224624377839</v>
      </c>
      <c r="N43" s="13">
        <v>8.7753756221609081E-3</v>
      </c>
      <c r="O43" s="13">
        <v>0.19473226369621954</v>
      </c>
      <c r="P43"/>
      <c r="Q43"/>
      <c r="R43"/>
      <c r="AB43" s="22"/>
      <c r="AC43" s="22"/>
      <c r="AP43" s="13">
        <v>10</v>
      </c>
      <c r="AQ43" s="13">
        <v>1.4003591458377422</v>
      </c>
      <c r="AR43" s="13">
        <v>3.964085416225771E-2</v>
      </c>
      <c r="AS43" s="13">
        <v>1.0851088434968561</v>
      </c>
      <c r="AT43"/>
      <c r="AV43"/>
      <c r="AW43"/>
      <c r="AX43"/>
      <c r="AY43"/>
      <c r="BH43" s="22"/>
      <c r="BI43" s="22"/>
      <c r="BV43" s="13">
        <v>10</v>
      </c>
      <c r="BW43" s="13">
        <v>1.417364132666739</v>
      </c>
      <c r="BX43" s="13">
        <v>2.2635867333260951E-2</v>
      </c>
      <c r="BY43" s="13">
        <v>0.72577828116057774</v>
      </c>
      <c r="BZ43" s="9">
        <v>1.44</v>
      </c>
      <c r="CA43" s="13" t="s">
        <v>88</v>
      </c>
      <c r="CB43" s="13">
        <v>0.33</v>
      </c>
      <c r="CG43" s="22"/>
      <c r="CL43" s="13">
        <v>14</v>
      </c>
      <c r="CM43" s="13">
        <v>1.39431839057511</v>
      </c>
      <c r="CN43" s="13">
        <v>2.5681609424889951E-2</v>
      </c>
      <c r="CO43" s="13">
        <v>0.90772169652370593</v>
      </c>
      <c r="CW43" s="13">
        <v>14</v>
      </c>
      <c r="CX43" s="13">
        <v>1.3947418135565797</v>
      </c>
      <c r="CY43" s="13">
        <v>2.5258186443420261E-2</v>
      </c>
      <c r="CZ43" s="13">
        <v>0.90121829927097241</v>
      </c>
    </row>
    <row r="44" spans="3:104">
      <c r="L44" s="13">
        <v>16</v>
      </c>
      <c r="M44" s="13">
        <v>1.5055441975801007</v>
      </c>
      <c r="N44" s="13">
        <v>-6.5544197580100771E-2</v>
      </c>
      <c r="O44" s="13">
        <v>-1.4544756277660409</v>
      </c>
      <c r="P44"/>
      <c r="Q44"/>
      <c r="R44"/>
      <c r="AB44" s="22"/>
      <c r="AC44" s="22"/>
      <c r="AP44" s="13">
        <v>11</v>
      </c>
      <c r="AQ44" s="13">
        <v>1.4696356432730067</v>
      </c>
      <c r="AR44" s="13">
        <v>3.0364356726993336E-2</v>
      </c>
      <c r="AS44" s="13">
        <v>0.83117865918551037</v>
      </c>
      <c r="AT44"/>
      <c r="AV44"/>
      <c r="AW44"/>
      <c r="AX44"/>
      <c r="AY44"/>
      <c r="BH44" s="22"/>
      <c r="BI44" s="22"/>
      <c r="BV44" s="13">
        <v>11</v>
      </c>
      <c r="BW44" s="13">
        <v>1.4562163648368482</v>
      </c>
      <c r="BX44" s="13">
        <v>4.3783635163151757E-2</v>
      </c>
      <c r="BY44" s="13">
        <v>1.4038433342901313</v>
      </c>
      <c r="BZ44" s="9">
        <v>1.5</v>
      </c>
      <c r="CA44" s="13" t="s">
        <v>89</v>
      </c>
      <c r="CB44" s="13">
        <v>1.38</v>
      </c>
      <c r="CG44" s="22"/>
      <c r="CL44" s="13">
        <v>15</v>
      </c>
      <c r="CM44" s="13">
        <v>1.4289987414040366</v>
      </c>
      <c r="CN44" s="13">
        <v>1.1001258595963348E-2</v>
      </c>
      <c r="CO44" s="13">
        <v>0.38884171748775226</v>
      </c>
      <c r="CW44" s="13">
        <v>15</v>
      </c>
      <c r="CX44" s="13">
        <v>1.4312914628805324</v>
      </c>
      <c r="CY44" s="13">
        <v>8.7085371194675076E-3</v>
      </c>
      <c r="CZ44" s="13">
        <v>0.31072274446644266</v>
      </c>
    </row>
    <row r="45" spans="3:104">
      <c r="L45" s="13">
        <v>17</v>
      </c>
      <c r="M45" s="13">
        <v>1.5751260373106872</v>
      </c>
      <c r="N45" s="13">
        <v>2.4873962689312856E-2</v>
      </c>
      <c r="O45" s="13">
        <v>0.55197216280440387</v>
      </c>
      <c r="P45"/>
      <c r="Q45"/>
      <c r="R45"/>
      <c r="AB45" s="22"/>
      <c r="AC45" s="22"/>
      <c r="AP45" s="13">
        <v>12</v>
      </c>
      <c r="AQ45" s="13">
        <v>1.4481506159662629</v>
      </c>
      <c r="AR45" s="13">
        <v>1.8493840337370226E-3</v>
      </c>
      <c r="AS45" s="13">
        <v>5.0624110212554432E-2</v>
      </c>
      <c r="AT45"/>
      <c r="AV45"/>
      <c r="AW45"/>
      <c r="AX45"/>
      <c r="AY45"/>
      <c r="BH45" s="22"/>
      <c r="BI45" s="22"/>
      <c r="BV45" s="13">
        <v>12</v>
      </c>
      <c r="BW45" s="13">
        <v>1.4586406730046892</v>
      </c>
      <c r="BX45" s="13">
        <v>-8.6406730046892921E-3</v>
      </c>
      <c r="BY45" s="13">
        <v>-0.27704760365860304</v>
      </c>
      <c r="BZ45" s="9">
        <v>1.45</v>
      </c>
      <c r="CA45" s="13" t="s">
        <v>90</v>
      </c>
      <c r="CB45" s="13">
        <v>1.71</v>
      </c>
      <c r="CG45" s="22"/>
      <c r="CL45" s="13">
        <v>16</v>
      </c>
      <c r="CM45" s="13">
        <v>1.4400294286222628</v>
      </c>
      <c r="CN45" s="13">
        <v>-2.9428622262850368E-5</v>
      </c>
      <c r="CO45" s="13">
        <v>-1.0401606256382162E-3</v>
      </c>
      <c r="CW45" s="13">
        <v>16</v>
      </c>
      <c r="CX45" s="13">
        <v>1.437272769044099</v>
      </c>
      <c r="CY45" s="13">
        <v>2.7272309559009944E-3</v>
      </c>
      <c r="CZ45" s="13">
        <v>9.7308270698766089E-2</v>
      </c>
    </row>
    <row r="46" spans="3:104">
      <c r="L46" s="13">
        <v>18</v>
      </c>
      <c r="M46" s="13">
        <v>1.5279468286083528</v>
      </c>
      <c r="N46" s="13">
        <v>-7.9468286083528294E-3</v>
      </c>
      <c r="O46" s="13">
        <v>-0.17634617488081458</v>
      </c>
      <c r="P46"/>
      <c r="Q46"/>
      <c r="R46"/>
      <c r="AB46" s="22"/>
      <c r="AC46" s="22"/>
      <c r="AP46" s="13">
        <v>13</v>
      </c>
      <c r="AQ46" s="13">
        <v>1.4142363582920245</v>
      </c>
      <c r="AR46" s="13">
        <v>2.5763641707975404E-2</v>
      </c>
      <c r="AS46" s="13">
        <v>0.70524099565508269</v>
      </c>
      <c r="AT46"/>
      <c r="AV46"/>
      <c r="AW46"/>
      <c r="AX46"/>
      <c r="AY46"/>
      <c r="BH46" s="22"/>
      <c r="BI46" s="22"/>
      <c r="BV46" s="13">
        <v>13</v>
      </c>
      <c r="BW46" s="13">
        <v>1.4183408594080982</v>
      </c>
      <c r="BX46" s="13">
        <v>2.1659140591901771E-2</v>
      </c>
      <c r="BY46" s="13">
        <v>0.69446129890977593</v>
      </c>
      <c r="BZ46" s="9">
        <v>1.44</v>
      </c>
      <c r="CA46" s="13" t="s">
        <v>91</v>
      </c>
      <c r="CB46" s="13">
        <v>56.1</v>
      </c>
      <c r="CG46" s="22"/>
      <c r="CL46" s="13">
        <v>17</v>
      </c>
      <c r="CM46" s="13">
        <v>1.6207239921446526</v>
      </c>
      <c r="CN46" s="13">
        <v>-2.0723992144652481E-2</v>
      </c>
      <c r="CO46" s="13">
        <v>-0.73249370773687472</v>
      </c>
      <c r="CW46" s="13">
        <v>17</v>
      </c>
      <c r="CX46" s="13">
        <v>1.6161541364611915</v>
      </c>
      <c r="CY46" s="13">
        <v>-1.615413646119146E-2</v>
      </c>
      <c r="CZ46" s="13">
        <v>-0.57638355866751567</v>
      </c>
    </row>
    <row r="47" spans="3:104" ht="13.5" thickBot="1">
      <c r="L47" s="13">
        <v>19</v>
      </c>
      <c r="M47" s="13">
        <v>1.5011634381413854</v>
      </c>
      <c r="N47" s="13">
        <v>-4.1163438141385456E-2</v>
      </c>
      <c r="O47" s="13">
        <v>-0.91344802045264673</v>
      </c>
      <c r="P47"/>
      <c r="Q47"/>
      <c r="R47"/>
      <c r="AB47" s="22"/>
      <c r="AC47" s="22"/>
      <c r="AP47" s="13">
        <v>14</v>
      </c>
      <c r="AQ47" s="13">
        <v>1.3713461758065955</v>
      </c>
      <c r="AR47" s="13">
        <v>4.8653824193404471E-2</v>
      </c>
      <c r="AS47" s="13">
        <v>1.331825360929549</v>
      </c>
      <c r="AT47"/>
      <c r="AV47"/>
      <c r="AW47"/>
      <c r="AX47"/>
      <c r="AY47"/>
      <c r="BH47" s="22"/>
      <c r="BI47" s="22"/>
      <c r="BV47" s="13">
        <v>14</v>
      </c>
      <c r="BW47" s="13">
        <v>1.3726982046639744</v>
      </c>
      <c r="BX47" s="13">
        <v>4.7301795336025521E-2</v>
      </c>
      <c r="BY47" s="13">
        <v>1.5166467981699523</v>
      </c>
      <c r="BZ47" s="9">
        <v>1.42</v>
      </c>
      <c r="CA47" s="14" t="s">
        <v>92</v>
      </c>
      <c r="CB47" s="14">
        <v>38</v>
      </c>
      <c r="CG47" s="22"/>
      <c r="CL47" s="13">
        <v>18</v>
      </c>
      <c r="CM47" s="13">
        <v>1.5021302835326444</v>
      </c>
      <c r="CN47" s="13">
        <v>1.7869716467355579E-2</v>
      </c>
      <c r="CO47" s="13">
        <v>0.63160875472332745</v>
      </c>
      <c r="CW47" s="13">
        <v>18</v>
      </c>
      <c r="CX47" s="13">
        <v>1.5076335149475597</v>
      </c>
      <c r="CY47" s="13">
        <v>1.2366485052440312E-2</v>
      </c>
      <c r="CZ47" s="13">
        <v>0.44123922562236845</v>
      </c>
    </row>
    <row r="48" spans="3:104">
      <c r="L48" s="13">
        <v>20</v>
      </c>
      <c r="M48" s="13">
        <v>1.5345451360812747</v>
      </c>
      <c r="N48" s="13">
        <v>5.4548639187252945E-3</v>
      </c>
      <c r="O48" s="13">
        <v>0.12104758186825454</v>
      </c>
      <c r="P48"/>
      <c r="Q48"/>
      <c r="R48"/>
      <c r="AB48" s="22"/>
      <c r="AC48" s="22"/>
      <c r="AP48" s="13">
        <v>15</v>
      </c>
      <c r="AQ48" s="13">
        <v>1.4388651396665177</v>
      </c>
      <c r="AR48" s="13">
        <v>1.1348603334822016E-3</v>
      </c>
      <c r="AS48" s="13">
        <v>3.1065097108018327E-2</v>
      </c>
      <c r="AT48"/>
      <c r="AV48"/>
      <c r="AW48"/>
      <c r="AX48"/>
      <c r="AY48"/>
      <c r="BH48" s="22"/>
      <c r="BI48" s="22"/>
      <c r="BV48" s="13">
        <v>15</v>
      </c>
      <c r="BW48" s="13">
        <v>1.4328987639032338</v>
      </c>
      <c r="BX48" s="13">
        <v>7.1012360967661614E-3</v>
      </c>
      <c r="BY48" s="13">
        <v>0.22768833429471749</v>
      </c>
      <c r="BZ48" s="9">
        <v>1.44</v>
      </c>
      <c r="CG48" s="22"/>
      <c r="CL48" s="13">
        <v>19</v>
      </c>
      <c r="CM48" s="13">
        <v>1.4627870725260115</v>
      </c>
      <c r="CN48" s="13">
        <v>-2.7870725260115137E-3</v>
      </c>
      <c r="CO48" s="13">
        <v>-9.8509643994269369E-2</v>
      </c>
      <c r="CW48" s="13">
        <v>19</v>
      </c>
      <c r="CX48" s="13">
        <v>1.4701579681723835</v>
      </c>
      <c r="CY48" s="13">
        <v>-1.0157968172383569E-2</v>
      </c>
      <c r="CZ48" s="13">
        <v>-0.36243880061899458</v>
      </c>
    </row>
    <row r="49" spans="12:104">
      <c r="L49" s="13">
        <v>21</v>
      </c>
      <c r="M49" s="13">
        <v>1.5479293017740821</v>
      </c>
      <c r="N49" s="13">
        <v>-6.7929301774082074E-2</v>
      </c>
      <c r="O49" s="13">
        <v>-1.5074029050523157</v>
      </c>
      <c r="P49"/>
      <c r="Q49"/>
      <c r="R49"/>
      <c r="AB49" s="22"/>
      <c r="AC49" s="22"/>
      <c r="AP49" s="13">
        <v>16</v>
      </c>
      <c r="AQ49" s="13">
        <v>1.4785027365819565</v>
      </c>
      <c r="AR49" s="13">
        <v>-3.8502736581956576E-2</v>
      </c>
      <c r="AS49" s="13">
        <v>-1.0539545841494418</v>
      </c>
      <c r="AT49"/>
      <c r="AV49"/>
      <c r="AW49"/>
      <c r="AX49"/>
      <c r="AY49"/>
      <c r="BH49" s="22"/>
      <c r="BI49" s="22"/>
      <c r="BV49" s="13">
        <v>16</v>
      </c>
      <c r="BW49" s="13">
        <v>1.4751344572421274</v>
      </c>
      <c r="BX49" s="13">
        <v>-3.5134457242127493E-2</v>
      </c>
      <c r="BY49" s="13">
        <v>-1.1265230358207603</v>
      </c>
      <c r="BZ49" s="9">
        <v>1.44</v>
      </c>
      <c r="CG49" s="22"/>
      <c r="CL49" s="13">
        <v>20</v>
      </c>
      <c r="CM49" s="13">
        <v>1.5122355088266861</v>
      </c>
      <c r="CN49" s="13">
        <v>2.7764491173313921E-2</v>
      </c>
      <c r="CO49" s="13">
        <v>0.98134157458731652</v>
      </c>
      <c r="CW49" s="13">
        <v>20</v>
      </c>
      <c r="CX49" s="13">
        <v>1.5150005569717968</v>
      </c>
      <c r="CY49" s="13">
        <v>2.4999443028203228E-2</v>
      </c>
      <c r="CZ49" s="13">
        <v>0.89198627063218616</v>
      </c>
    </row>
    <row r="50" spans="12:104">
      <c r="L50" s="13">
        <v>22</v>
      </c>
      <c r="M50" s="13">
        <v>1.6119986097192127</v>
      </c>
      <c r="N50" s="13">
        <v>9.8001390280787248E-2</v>
      </c>
      <c r="O50" s="13">
        <v>2.1747254358617427</v>
      </c>
      <c r="P50"/>
      <c r="Q50"/>
      <c r="R50"/>
      <c r="AB50" s="22"/>
      <c r="AC50" s="22"/>
      <c r="AP50" s="13">
        <v>17</v>
      </c>
      <c r="AQ50" s="13">
        <v>1.6062656706854539</v>
      </c>
      <c r="AR50" s="13">
        <v>-6.2656706854538058E-3</v>
      </c>
      <c r="AS50" s="13">
        <v>-0.17151332419315624</v>
      </c>
      <c r="AT50"/>
      <c r="AV50"/>
      <c r="AW50"/>
      <c r="AX50"/>
      <c r="AY50"/>
      <c r="BH50" s="22"/>
      <c r="BI50" s="22"/>
      <c r="BV50" s="13">
        <v>17</v>
      </c>
      <c r="BW50" s="13">
        <v>1.6013540275417952</v>
      </c>
      <c r="BX50" s="13">
        <v>-1.3540275417951442E-3</v>
      </c>
      <c r="BY50" s="13">
        <v>-4.3414452269922792E-2</v>
      </c>
      <c r="BZ50" s="9">
        <v>1.6</v>
      </c>
      <c r="CG50" s="22"/>
      <c r="CL50" s="13">
        <v>21</v>
      </c>
      <c r="CM50" s="13">
        <v>1.5137796769504057</v>
      </c>
      <c r="CN50" s="13">
        <v>-3.3779676950405735E-2</v>
      </c>
      <c r="CO50" s="13">
        <v>-1.1939495365009203</v>
      </c>
      <c r="CW50" s="13">
        <v>21</v>
      </c>
      <c r="CX50" s="13">
        <v>1.5170990369417785</v>
      </c>
      <c r="CY50" s="13">
        <v>-3.7099036941778518E-2</v>
      </c>
      <c r="CZ50" s="13">
        <v>-1.3237027548337792</v>
      </c>
    </row>
    <row r="51" spans="12:104">
      <c r="L51" s="13">
        <v>23</v>
      </c>
      <c r="M51" s="13">
        <v>1.3891778242886934</v>
      </c>
      <c r="N51" s="13">
        <v>2.0822175711306512E-2</v>
      </c>
      <c r="O51" s="13">
        <v>0.46205992608492907</v>
      </c>
      <c r="P51"/>
      <c r="Q51"/>
      <c r="R51"/>
      <c r="AB51" s="22"/>
      <c r="AC51" s="22"/>
      <c r="AP51" s="13">
        <v>18</v>
      </c>
      <c r="AQ51" s="13">
        <v>1.5110269482724072</v>
      </c>
      <c r="AR51" s="13">
        <v>8.9730517275927735E-3</v>
      </c>
      <c r="AS51" s="13">
        <v>0.24562381382881671</v>
      </c>
      <c r="AT51"/>
      <c r="AV51"/>
      <c r="AW51"/>
      <c r="AX51"/>
      <c r="AY51"/>
      <c r="BH51" s="22"/>
      <c r="BI51" s="22"/>
      <c r="BV51" s="13">
        <v>18</v>
      </c>
      <c r="BW51" s="13">
        <v>1.5103885982397696</v>
      </c>
      <c r="BX51" s="13">
        <v>9.6114017602304536E-3</v>
      </c>
      <c r="BY51" s="13">
        <v>0.30817227130650776</v>
      </c>
      <c r="BZ51" s="9">
        <v>1.52</v>
      </c>
      <c r="CG51" s="22"/>
      <c r="CL51" s="13">
        <v>22</v>
      </c>
      <c r="CM51" s="13">
        <v>1.6911191345551968</v>
      </c>
      <c r="CN51" s="13">
        <v>1.8880865444803163E-2</v>
      </c>
      <c r="CO51" s="13">
        <v>0.66734802051705855</v>
      </c>
      <c r="CW51" s="13">
        <v>22</v>
      </c>
      <c r="CX51" s="13">
        <v>1.6840806225763052</v>
      </c>
      <c r="CY51" s="13">
        <v>2.5919377423694767E-2</v>
      </c>
      <c r="CZ51" s="13">
        <v>0.9248097559288404</v>
      </c>
    </row>
    <row r="52" spans="12:104">
      <c r="L52" s="13">
        <v>24</v>
      </c>
      <c r="M52" s="13">
        <v>1.4373124993164716</v>
      </c>
      <c r="N52" s="13">
        <v>-5.7312499316471754E-2</v>
      </c>
      <c r="O52" s="13">
        <v>-1.2718079784300242</v>
      </c>
      <c r="P52"/>
      <c r="Q52"/>
      <c r="R52"/>
      <c r="AB52" s="22"/>
      <c r="AC52" s="22"/>
      <c r="AP52" s="13">
        <v>19</v>
      </c>
      <c r="AQ52" s="13">
        <v>1.4736408257948408</v>
      </c>
      <c r="AR52" s="13">
        <v>-1.3640825794840827E-2</v>
      </c>
      <c r="AS52" s="13">
        <v>-0.3733971180841677</v>
      </c>
      <c r="AT52"/>
      <c r="AV52"/>
      <c r="AW52"/>
      <c r="AX52"/>
      <c r="AY52"/>
      <c r="BH52" s="22"/>
      <c r="BI52" s="22"/>
      <c r="BV52" s="13">
        <v>19</v>
      </c>
      <c r="BW52" s="13">
        <v>1.4737581985582136</v>
      </c>
      <c r="BX52" s="13">
        <v>-1.3758198558213586E-2</v>
      </c>
      <c r="BY52" s="13">
        <v>-0.44113183534936745</v>
      </c>
      <c r="BZ52" s="9">
        <v>1.46</v>
      </c>
      <c r="CG52" s="22"/>
      <c r="CL52" s="13">
        <v>23</v>
      </c>
      <c r="CM52" s="13">
        <v>1.3833035887327174</v>
      </c>
      <c r="CN52" s="13">
        <v>2.6696411267282505E-2</v>
      </c>
      <c r="CO52" s="13">
        <v>0.943590073570169</v>
      </c>
      <c r="CW52" s="13">
        <v>23</v>
      </c>
      <c r="CX52" s="13">
        <v>1.3838654883755086</v>
      </c>
      <c r="CY52" s="13">
        <v>2.6134511624491319E-2</v>
      </c>
      <c r="CZ52" s="13">
        <v>0.93248579708053581</v>
      </c>
    </row>
    <row r="53" spans="12:104">
      <c r="L53" s="13">
        <v>25</v>
      </c>
      <c r="M53" s="13">
        <v>1.5006155755498121</v>
      </c>
      <c r="N53" s="13">
        <v>-6.1557554981206408E-4</v>
      </c>
      <c r="O53" s="13">
        <v>-1.3660089943982363E-2</v>
      </c>
      <c r="P53"/>
      <c r="Q53"/>
      <c r="R53"/>
      <c r="AB53" s="22"/>
      <c r="AC53" s="22"/>
      <c r="AP53" s="13">
        <v>20</v>
      </c>
      <c r="AQ53" s="13">
        <v>1.48027505350719</v>
      </c>
      <c r="AR53" s="13">
        <v>5.9724946492810016E-2</v>
      </c>
      <c r="AS53" s="13">
        <v>1.6348807054321455</v>
      </c>
      <c r="AT53"/>
      <c r="AV53"/>
      <c r="AW53"/>
      <c r="AX53"/>
      <c r="AY53"/>
      <c r="BH53" s="22"/>
      <c r="BI53" s="22"/>
      <c r="BV53" s="13">
        <v>20</v>
      </c>
      <c r="BW53" s="13">
        <v>1.4861262915945819</v>
      </c>
      <c r="BX53" s="13">
        <v>5.3873708405418164E-2</v>
      </c>
      <c r="BY53" s="13">
        <v>1.7273633437839078</v>
      </c>
      <c r="BZ53" s="9">
        <v>1.54</v>
      </c>
      <c r="CG53" s="22"/>
      <c r="CL53" s="13">
        <v>24</v>
      </c>
      <c r="CM53" s="13">
        <v>1.4270970617696033</v>
      </c>
      <c r="CN53" s="13">
        <v>-4.7097061769603377E-2</v>
      </c>
      <c r="CO53" s="13">
        <v>-1.664655205345229</v>
      </c>
      <c r="CW53" s="13">
        <v>24</v>
      </c>
      <c r="CX53" s="13">
        <v>1.426898155038745</v>
      </c>
      <c r="CY53" s="13">
        <v>-4.689815503874506E-2</v>
      </c>
      <c r="CZ53" s="13">
        <v>-1.67333769657775</v>
      </c>
    </row>
    <row r="54" spans="12:104">
      <c r="L54" s="13">
        <v>26</v>
      </c>
      <c r="M54" s="13">
        <v>1.4730268763278238</v>
      </c>
      <c r="N54" s="13">
        <v>-3.3026876327823862E-2</v>
      </c>
      <c r="O54" s="13">
        <v>-0.73289152134874846</v>
      </c>
      <c r="P54"/>
      <c r="Q54"/>
      <c r="R54"/>
      <c r="AB54" s="22"/>
      <c r="AC54" s="22"/>
      <c r="AP54" s="13">
        <v>21</v>
      </c>
      <c r="AQ54" s="13">
        <v>1.511630693088843</v>
      </c>
      <c r="AR54" s="13">
        <v>-3.1630693088843032E-2</v>
      </c>
      <c r="AS54" s="13">
        <v>-0.86584271509763144</v>
      </c>
      <c r="AT54"/>
      <c r="AV54"/>
      <c r="AW54"/>
      <c r="AX54"/>
      <c r="AY54"/>
      <c r="BH54" s="22"/>
      <c r="BI54" s="22"/>
      <c r="BV54" s="13">
        <v>21</v>
      </c>
      <c r="BW54" s="13">
        <v>1.5170401264114322</v>
      </c>
      <c r="BX54" s="13">
        <v>-3.7040126411432173E-2</v>
      </c>
      <c r="BY54" s="13">
        <v>-1.1876248824518523</v>
      </c>
      <c r="BZ54" s="9">
        <v>1.48</v>
      </c>
      <c r="CG54" s="22"/>
      <c r="CL54" s="13">
        <v>25</v>
      </c>
      <c r="CM54" s="13">
        <v>1.5055427612381342</v>
      </c>
      <c r="CN54" s="13">
        <v>-5.5427612381342417E-3</v>
      </c>
      <c r="CO54" s="13">
        <v>-0.19591002071812758</v>
      </c>
      <c r="CW54" s="13">
        <v>25</v>
      </c>
      <c r="CX54" s="13">
        <v>1.5044179778499718</v>
      </c>
      <c r="CY54" s="13">
        <v>-4.417977849971777E-3</v>
      </c>
      <c r="CZ54" s="13">
        <v>-0.157634535364893</v>
      </c>
    </row>
    <row r="55" spans="12:104">
      <c r="L55" s="13">
        <v>27</v>
      </c>
      <c r="M55" s="13">
        <v>1.488644429965301</v>
      </c>
      <c r="N55" s="13">
        <v>2.1355570034699012E-2</v>
      </c>
      <c r="O55" s="13">
        <v>0.47389635206931985</v>
      </c>
      <c r="P55"/>
      <c r="Q55"/>
      <c r="R55"/>
      <c r="AB55" s="22"/>
      <c r="AC55" s="22"/>
      <c r="AP55" s="13">
        <v>22</v>
      </c>
      <c r="AQ55" s="13">
        <v>1.6833235468205023</v>
      </c>
      <c r="AR55" s="13">
        <v>2.6676453179497628E-2</v>
      </c>
      <c r="AS55" s="13">
        <v>0.7302278386766744</v>
      </c>
      <c r="AT55"/>
      <c r="AV55"/>
      <c r="AW55"/>
      <c r="AX55"/>
      <c r="AY55"/>
      <c r="BH55" s="22"/>
      <c r="BI55" s="22"/>
      <c r="BV55" s="13">
        <v>22</v>
      </c>
      <c r="BW55" s="13">
        <v>1.6891943386930635</v>
      </c>
      <c r="BX55" s="13">
        <v>2.0805661306936507E-2</v>
      </c>
      <c r="BY55" s="13">
        <v>0.66709602417439817</v>
      </c>
      <c r="BZ55" s="9">
        <v>1.71</v>
      </c>
      <c r="CG55" s="22"/>
      <c r="CL55" s="13">
        <v>26</v>
      </c>
      <c r="CM55" s="13">
        <v>1.473150898819058</v>
      </c>
      <c r="CN55" s="13">
        <v>-3.3150898819058083E-2</v>
      </c>
      <c r="CO55" s="13">
        <v>-1.1717252458546052</v>
      </c>
      <c r="CW55" s="13">
        <v>26</v>
      </c>
      <c r="CX55" s="13">
        <v>1.47278275271966</v>
      </c>
      <c r="CY55" s="13">
        <v>-3.2782752719660024E-2</v>
      </c>
      <c r="CZ55" s="13">
        <v>-1.1696966731009761</v>
      </c>
    </row>
    <row r="56" spans="12:104">
      <c r="L56" s="13">
        <v>28</v>
      </c>
      <c r="M56" s="13">
        <v>1.5404190970278149</v>
      </c>
      <c r="N56" s="13">
        <v>7.958090297218523E-2</v>
      </c>
      <c r="O56" s="13">
        <v>1.7659608032763341</v>
      </c>
      <c r="P56"/>
      <c r="Q56"/>
      <c r="R56"/>
      <c r="AB56" s="22"/>
      <c r="AC56" s="22"/>
      <c r="AP56" s="13">
        <v>23</v>
      </c>
      <c r="AQ56" s="13">
        <v>1.3959408224638377</v>
      </c>
      <c r="AR56" s="13">
        <v>1.405917753616226E-2</v>
      </c>
      <c r="AS56" s="13">
        <v>0.38484886865296375</v>
      </c>
      <c r="AT56"/>
      <c r="AV56"/>
      <c r="AW56"/>
      <c r="AX56"/>
      <c r="AY56"/>
      <c r="BH56" s="22"/>
      <c r="BI56" s="22"/>
      <c r="BV56" s="13">
        <v>23</v>
      </c>
      <c r="BW56" s="13">
        <v>1.3877348502549509</v>
      </c>
      <c r="BX56" s="13">
        <v>2.2265149745049007E-2</v>
      </c>
      <c r="BY56" s="13">
        <v>0.71389188997409525</v>
      </c>
      <c r="BZ56" s="9">
        <v>1.41</v>
      </c>
      <c r="CG56" s="22"/>
      <c r="CL56" s="13">
        <v>27</v>
      </c>
      <c r="CM56" s="13">
        <v>1.483751747491282</v>
      </c>
      <c r="CN56" s="13">
        <v>2.6248252508717984E-2</v>
      </c>
      <c r="CO56" s="13">
        <v>0.92774981130678136</v>
      </c>
      <c r="CW56" s="13">
        <v>27</v>
      </c>
      <c r="CX56" s="13">
        <v>1.4832345714033168</v>
      </c>
      <c r="CY56" s="13">
        <v>2.6765428596683183E-2</v>
      </c>
      <c r="CZ56" s="13">
        <v>0.95499706969045273</v>
      </c>
    </row>
    <row r="57" spans="12:104">
      <c r="L57" s="13">
        <v>29</v>
      </c>
      <c r="M57" s="13">
        <v>1.5512197701337125</v>
      </c>
      <c r="N57" s="13">
        <v>-4.1219770133712474E-2</v>
      </c>
      <c r="O57" s="13">
        <v>-0.91469807023475014</v>
      </c>
      <c r="P57"/>
      <c r="Q57"/>
      <c r="R57"/>
      <c r="AB57" s="22"/>
      <c r="AC57" s="22"/>
      <c r="AP57" s="13">
        <v>24</v>
      </c>
      <c r="AQ57" s="13">
        <v>1.4249019619177086</v>
      </c>
      <c r="AR57" s="13">
        <v>-4.4901961917708677E-2</v>
      </c>
      <c r="AS57" s="13">
        <v>-1.2291237663000381</v>
      </c>
      <c r="AT57"/>
      <c r="AV57"/>
      <c r="AW57"/>
      <c r="AX57"/>
      <c r="AY57"/>
      <c r="BH57" s="22"/>
      <c r="BI57" s="22"/>
      <c r="BV57" s="13">
        <v>24</v>
      </c>
      <c r="BW57" s="13">
        <v>1.4288224180354803</v>
      </c>
      <c r="BX57" s="13">
        <v>-4.8822418035480375E-2</v>
      </c>
      <c r="BY57" s="13">
        <v>-1.5654028238550131</v>
      </c>
      <c r="BZ57" s="9">
        <v>1.38</v>
      </c>
      <c r="CG57" s="22"/>
      <c r="CL57" s="13">
        <v>28</v>
      </c>
      <c r="CM57" s="13">
        <v>1.5617245539713305</v>
      </c>
      <c r="CN57" s="13">
        <v>5.8275446028669631E-2</v>
      </c>
      <c r="CO57" s="13">
        <v>2.0597574653383055</v>
      </c>
      <c r="CW57" s="13">
        <v>28</v>
      </c>
      <c r="CX57" s="13">
        <v>1.5596569286824034</v>
      </c>
      <c r="CY57" s="13">
        <v>6.0343071317596753E-2</v>
      </c>
      <c r="CZ57" s="13">
        <v>2.153055613373148</v>
      </c>
    </row>
    <row r="58" spans="12:104">
      <c r="L58" s="13">
        <v>30</v>
      </c>
      <c r="M58" s="13">
        <v>1.5239378091308042</v>
      </c>
      <c r="N58" s="13">
        <v>-1.3937809130804224E-2</v>
      </c>
      <c r="O58" s="13">
        <v>-0.30929059220589766</v>
      </c>
      <c r="P58"/>
      <c r="Q58"/>
      <c r="R58"/>
      <c r="AB58" s="22"/>
      <c r="AC58" s="22"/>
      <c r="AP58" s="13">
        <v>25</v>
      </c>
      <c r="AQ58" s="13">
        <v>1.5198227322703965</v>
      </c>
      <c r="AR58" s="13">
        <v>-1.9822732270396548E-2</v>
      </c>
      <c r="AS58" s="13">
        <v>-0.54261752284231646</v>
      </c>
      <c r="AT58"/>
      <c r="AV58"/>
      <c r="AW58"/>
      <c r="AX58"/>
      <c r="AY58"/>
      <c r="BH58" s="22"/>
      <c r="BI58" s="22"/>
      <c r="BV58" s="13">
        <v>25</v>
      </c>
      <c r="BW58" s="13">
        <v>1.5124088442053907</v>
      </c>
      <c r="BX58" s="13">
        <v>-1.2408844205390679E-2</v>
      </c>
      <c r="BY58" s="13">
        <v>-0.39786722045964634</v>
      </c>
      <c r="BZ58" s="9">
        <v>1.5</v>
      </c>
      <c r="CG58" s="22"/>
      <c r="CL58" s="13">
        <v>29</v>
      </c>
      <c r="CM58" s="13">
        <v>1.5493895761439012</v>
      </c>
      <c r="CN58" s="13">
        <v>-3.938957614390115E-2</v>
      </c>
      <c r="CO58" s="13">
        <v>-1.3922325618751545</v>
      </c>
      <c r="CW58" s="13">
        <v>29</v>
      </c>
      <c r="CX58" s="13">
        <v>1.551332941172936</v>
      </c>
      <c r="CY58" s="13">
        <v>-4.1332941172935955E-2</v>
      </c>
      <c r="CZ58" s="13">
        <v>-1.4747694982449577</v>
      </c>
    </row>
    <row r="59" spans="12:104">
      <c r="L59" s="13">
        <v>31</v>
      </c>
      <c r="M59" s="13">
        <v>1.5189052472813123</v>
      </c>
      <c r="N59" s="13">
        <v>-8.9052472813122563E-3</v>
      </c>
      <c r="O59" s="13">
        <v>-0.19761421465369872</v>
      </c>
      <c r="P59"/>
      <c r="Q59"/>
      <c r="R59"/>
      <c r="AB59" s="22"/>
      <c r="AC59" s="22"/>
      <c r="AP59" s="13">
        <v>26</v>
      </c>
      <c r="AQ59" s="13">
        <v>1.4461252141537857</v>
      </c>
      <c r="AR59" s="13">
        <v>-6.1252141537857518E-3</v>
      </c>
      <c r="AS59" s="13">
        <v>-0.16766853759960668</v>
      </c>
      <c r="AT59"/>
      <c r="AV59"/>
      <c r="AW59"/>
      <c r="AX59"/>
      <c r="AY59"/>
      <c r="BH59" s="22"/>
      <c r="BI59" s="22"/>
      <c r="BV59" s="13">
        <v>26</v>
      </c>
      <c r="BW59" s="13">
        <v>1.4513080099099529</v>
      </c>
      <c r="BX59" s="13">
        <v>-1.1308009909952954E-2</v>
      </c>
      <c r="BY59" s="13">
        <v>-0.36257095321163063</v>
      </c>
      <c r="BZ59" s="9">
        <v>1.44</v>
      </c>
      <c r="CG59" s="22"/>
      <c r="CL59" s="13">
        <v>30</v>
      </c>
      <c r="CM59" s="13">
        <v>1.534577888004975</v>
      </c>
      <c r="CN59" s="13">
        <v>-2.4577888004974957E-2</v>
      </c>
      <c r="CO59" s="13">
        <v>-0.86871043896584421</v>
      </c>
      <c r="CW59" s="13">
        <v>30</v>
      </c>
      <c r="CX59" s="13">
        <v>1.533172656435225</v>
      </c>
      <c r="CY59" s="13">
        <v>-2.3172656435225036E-2</v>
      </c>
      <c r="CZ59" s="13">
        <v>-0.82680607607852341</v>
      </c>
    </row>
    <row r="60" spans="12:104">
      <c r="L60" s="13">
        <v>32</v>
      </c>
      <c r="M60" s="13">
        <v>1.453354229743588</v>
      </c>
      <c r="N60" s="13">
        <v>-3.3542297435880108E-3</v>
      </c>
      <c r="O60" s="13">
        <v>-7.4432910800602367E-2</v>
      </c>
      <c r="P60"/>
      <c r="Q60"/>
      <c r="R60"/>
      <c r="AB60" s="22"/>
      <c r="AC60" s="22"/>
      <c r="AP60" s="13">
        <v>27</v>
      </c>
      <c r="AQ60" s="13">
        <v>1.5034062010900042</v>
      </c>
      <c r="AR60" s="13">
        <v>6.593798909995785E-3</v>
      </c>
      <c r="AS60" s="13">
        <v>0.18049534150272331</v>
      </c>
      <c r="AT60"/>
      <c r="AV60"/>
      <c r="AW60"/>
      <c r="AX60"/>
      <c r="AY60"/>
      <c r="BH60" s="22"/>
      <c r="BI60" s="22"/>
      <c r="BV60" s="13">
        <v>27</v>
      </c>
      <c r="BW60" s="13">
        <v>1.5027653319305845</v>
      </c>
      <c r="BX60" s="13">
        <v>7.2346680694155285E-3</v>
      </c>
      <c r="BY60" s="13">
        <v>0.23196658996460404</v>
      </c>
      <c r="BZ60" s="9">
        <v>1.51</v>
      </c>
      <c r="CG60" s="22"/>
      <c r="CL60" s="13">
        <v>31</v>
      </c>
      <c r="CM60" s="13">
        <v>1.5244443206450304</v>
      </c>
      <c r="CN60" s="13">
        <v>-1.4444320645030428E-2</v>
      </c>
      <c r="CO60" s="13">
        <v>-0.51053744429008252</v>
      </c>
      <c r="CW60" s="13">
        <v>31</v>
      </c>
      <c r="CX60" s="13">
        <v>1.5233656948324028</v>
      </c>
      <c r="CY60" s="13">
        <v>-1.3365694832402797E-2</v>
      </c>
      <c r="CZ60" s="13">
        <v>-0.47689127611815113</v>
      </c>
    </row>
    <row r="61" spans="12:104">
      <c r="L61" s="13">
        <v>33</v>
      </c>
      <c r="M61" s="13">
        <v>1.4607057080967527</v>
      </c>
      <c r="N61" s="13">
        <v>-1.0705708096752753E-2</v>
      </c>
      <c r="O61" s="13">
        <v>-0.23756781041792574</v>
      </c>
      <c r="P61"/>
      <c r="Q61"/>
      <c r="R61"/>
      <c r="AB61" s="22"/>
      <c r="AC61" s="22"/>
      <c r="AP61" s="13">
        <v>28</v>
      </c>
      <c r="AQ61" s="13">
        <v>1.5560675931382739</v>
      </c>
      <c r="AR61" s="13">
        <v>6.3932406861726188E-2</v>
      </c>
      <c r="AS61" s="13">
        <v>1.7500536135709508</v>
      </c>
      <c r="AT61"/>
      <c r="AV61"/>
      <c r="AW61"/>
      <c r="AX61"/>
      <c r="AY61"/>
      <c r="BH61" s="22"/>
      <c r="BI61" s="22"/>
      <c r="BV61" s="13">
        <v>28</v>
      </c>
      <c r="BW61" s="13">
        <v>1.5551528145990332</v>
      </c>
      <c r="BX61" s="13">
        <v>6.48471854009669E-2</v>
      </c>
      <c r="BY61" s="13">
        <v>2.0792081021458642</v>
      </c>
      <c r="BZ61" s="9">
        <v>1.62</v>
      </c>
      <c r="CG61" s="22"/>
      <c r="CL61" s="13">
        <v>32</v>
      </c>
      <c r="CM61" s="13">
        <v>1.4492073308251894</v>
      </c>
      <c r="CN61" s="13">
        <v>7.9266917481057853E-4</v>
      </c>
      <c r="CO61" s="13">
        <v>2.8017052834849256E-2</v>
      </c>
      <c r="CW61" s="13">
        <v>32</v>
      </c>
      <c r="CX61" s="13">
        <v>1.4502458463965917</v>
      </c>
      <c r="CY61" s="13">
        <v>-2.4584639659175345E-4</v>
      </c>
      <c r="CZ61" s="13">
        <v>-8.7718598449111375E-3</v>
      </c>
    </row>
    <row r="62" spans="12:104">
      <c r="L62" s="13">
        <v>34</v>
      </c>
      <c r="M62" s="13">
        <v>1.5305109092063816</v>
      </c>
      <c r="N62" s="13">
        <v>0.11948909079361836</v>
      </c>
      <c r="O62" s="13">
        <v>2.6515538638008347</v>
      </c>
      <c r="P62"/>
      <c r="Q62"/>
      <c r="R62"/>
      <c r="AB62" s="22"/>
      <c r="AC62" s="22"/>
      <c r="AP62" s="13">
        <v>29</v>
      </c>
      <c r="AQ62" s="13">
        <v>1.5431881322805923</v>
      </c>
      <c r="AR62" s="13">
        <v>-3.3188132280592253E-2</v>
      </c>
      <c r="AS62" s="13">
        <v>-0.90847527375184756</v>
      </c>
      <c r="AT62"/>
      <c r="AV62"/>
      <c r="AW62"/>
      <c r="AX62"/>
      <c r="AY62"/>
      <c r="BH62" s="22"/>
      <c r="BI62" s="22"/>
      <c r="BV62" s="13">
        <v>29</v>
      </c>
      <c r="BW62" s="13">
        <v>1.5357786313582729</v>
      </c>
      <c r="BX62" s="13">
        <v>-2.5778631358272852E-2</v>
      </c>
      <c r="BY62" s="13">
        <v>-0.82654534427261628</v>
      </c>
      <c r="BZ62" s="9">
        <v>1.51</v>
      </c>
      <c r="CG62" s="22"/>
      <c r="CL62" s="13">
        <v>33</v>
      </c>
      <c r="CM62" s="13">
        <v>1.4559348536891219</v>
      </c>
      <c r="CN62" s="13">
        <v>-5.9348536891219439E-3</v>
      </c>
      <c r="CO62" s="13">
        <v>-0.20976860796304361</v>
      </c>
      <c r="CW62" s="13">
        <v>33</v>
      </c>
      <c r="CX62" s="13">
        <v>1.4566852658841318</v>
      </c>
      <c r="CY62" s="13">
        <v>-6.6852658841318746E-3</v>
      </c>
      <c r="CZ62" s="13">
        <v>-0.23853192958915148</v>
      </c>
    </row>
    <row r="63" spans="12:104">
      <c r="L63" s="13">
        <v>35</v>
      </c>
      <c r="M63" s="13">
        <v>1.5438504977301619</v>
      </c>
      <c r="N63" s="13">
        <v>6.1495022698381252E-3</v>
      </c>
      <c r="O63" s="13">
        <v>0.13646213554511485</v>
      </c>
      <c r="P63"/>
      <c r="Q63"/>
      <c r="R63"/>
      <c r="AB63" s="22"/>
      <c r="AC63" s="22"/>
      <c r="AP63" s="13">
        <v>30</v>
      </c>
      <c r="AQ63" s="13">
        <v>1.5200142993545973</v>
      </c>
      <c r="AR63" s="13">
        <v>-1.00142993545973E-2</v>
      </c>
      <c r="AS63" s="13">
        <v>-0.27412640370006325</v>
      </c>
      <c r="AT63"/>
      <c r="AV63"/>
      <c r="AW63"/>
      <c r="AX63"/>
      <c r="AY63"/>
      <c r="BH63" s="22"/>
      <c r="BI63" s="22"/>
      <c r="BV63" s="13">
        <v>30</v>
      </c>
      <c r="BW63" s="13">
        <v>1.5057971361918465</v>
      </c>
      <c r="BX63" s="13">
        <v>4.2028638081534897E-3</v>
      </c>
      <c r="BY63" s="13">
        <v>0.13475725165394858</v>
      </c>
      <c r="BZ63" s="9">
        <v>1.51</v>
      </c>
      <c r="CG63" s="22"/>
      <c r="CL63" s="13">
        <v>34</v>
      </c>
      <c r="CM63" s="13">
        <v>1.5668936098895327</v>
      </c>
      <c r="CN63" s="13">
        <v>-1.6893609889532701E-2</v>
      </c>
      <c r="CO63" s="13">
        <v>-0.59710806965525653</v>
      </c>
      <c r="CW63" s="13">
        <v>34</v>
      </c>
      <c r="CX63" s="13">
        <v>1.5647263787675596</v>
      </c>
      <c r="CY63" s="13">
        <v>-1.4726378767559556E-2</v>
      </c>
      <c r="CZ63" s="13">
        <v>-0.52544081330025361</v>
      </c>
    </row>
    <row r="64" spans="12:104">
      <c r="L64" s="13">
        <v>36</v>
      </c>
      <c r="M64" s="13">
        <v>1.5107643112438542</v>
      </c>
      <c r="N64" s="13">
        <v>2.9235688756145795E-2</v>
      </c>
      <c r="O64" s="13">
        <v>0.64876218378905914</v>
      </c>
      <c r="P64"/>
      <c r="Q64"/>
      <c r="R64"/>
      <c r="AB64" s="22"/>
      <c r="AC64" s="22"/>
      <c r="AP64" s="13">
        <v>31</v>
      </c>
      <c r="AQ64" s="13">
        <v>1.5165852423970951</v>
      </c>
      <c r="AR64" s="13">
        <v>-6.5852423970951257E-3</v>
      </c>
      <c r="AS64" s="13">
        <v>-0.18026111981365486</v>
      </c>
      <c r="AT64"/>
      <c r="AV64"/>
      <c r="AW64"/>
      <c r="AX64"/>
      <c r="AY64"/>
      <c r="BH64" s="22"/>
      <c r="BI64" s="22"/>
      <c r="BV64" s="13">
        <v>31</v>
      </c>
      <c r="BW64" s="13">
        <v>1.5020057412123471</v>
      </c>
      <c r="BX64" s="13">
        <v>7.9942587876529192E-3</v>
      </c>
      <c r="BY64" s="13">
        <v>0.25632149705746343</v>
      </c>
      <c r="BZ64" s="9">
        <v>1.51</v>
      </c>
      <c r="CG64" s="22"/>
      <c r="CL64" s="13">
        <v>35</v>
      </c>
      <c r="CM64" s="13">
        <v>1.5012503886452198</v>
      </c>
      <c r="CN64" s="13">
        <v>3.8749611354780278E-2</v>
      </c>
      <c r="CO64" s="13">
        <v>1.3696128765398097</v>
      </c>
      <c r="CW64" s="13">
        <v>35</v>
      </c>
      <c r="CX64" s="13">
        <v>1.5009701991013615</v>
      </c>
      <c r="CY64" s="13">
        <v>3.90298008986385E-2</v>
      </c>
      <c r="CZ64" s="13">
        <v>1.3925928872822364</v>
      </c>
    </row>
    <row r="65" spans="12:104">
      <c r="L65" s="13">
        <v>37</v>
      </c>
      <c r="M65" s="13">
        <v>1.5927367025537742</v>
      </c>
      <c r="N65" s="13">
        <v>1.72632974462259E-2</v>
      </c>
      <c r="O65" s="13">
        <v>0.38308570884136384</v>
      </c>
      <c r="P65"/>
      <c r="Q65"/>
      <c r="R65"/>
      <c r="AB65" s="22"/>
      <c r="AC65" s="22"/>
      <c r="AP65" s="13">
        <v>32</v>
      </c>
      <c r="AQ65" s="13">
        <v>1.4557308445774078</v>
      </c>
      <c r="AR65" s="13">
        <v>-5.730844577407801E-3</v>
      </c>
      <c r="AS65" s="13">
        <v>-0.15687326277575431</v>
      </c>
      <c r="AT65"/>
      <c r="AV65"/>
      <c r="AW65"/>
      <c r="AX65"/>
      <c r="AY65"/>
      <c r="BH65" s="22"/>
      <c r="BI65" s="22"/>
      <c r="BV65" s="13">
        <v>32</v>
      </c>
      <c r="BW65" s="13">
        <v>1.4480668008408077</v>
      </c>
      <c r="BX65" s="13">
        <v>1.9331991591922115E-3</v>
      </c>
      <c r="BY65" s="13">
        <v>6.1984546129493015E-2</v>
      </c>
      <c r="BZ65" s="9">
        <v>1.45</v>
      </c>
      <c r="CG65" s="22"/>
      <c r="CL65" s="13">
        <v>36</v>
      </c>
      <c r="CM65" s="13">
        <v>1.5987424039189877</v>
      </c>
      <c r="CN65" s="13">
        <v>1.12575960810124E-2</v>
      </c>
      <c r="CO65" s="13">
        <v>0.39790201791369967</v>
      </c>
      <c r="CW65" s="13">
        <v>36</v>
      </c>
      <c r="CX65" s="13">
        <v>1.6022137580378892</v>
      </c>
      <c r="CY65" s="13">
        <v>7.7862419621108625E-3</v>
      </c>
      <c r="CZ65" s="13">
        <v>0.27781502660630575</v>
      </c>
    </row>
    <row r="66" spans="12:104">
      <c r="L66" s="13">
        <v>38</v>
      </c>
      <c r="M66" s="13">
        <v>1.4871459713771631</v>
      </c>
      <c r="N66" s="13">
        <v>-9.7145971377163187E-2</v>
      </c>
      <c r="O66" s="13">
        <v>-2.1557430393600376</v>
      </c>
      <c r="P66"/>
      <c r="Q66"/>
      <c r="R66"/>
      <c r="AB66" s="22"/>
      <c r="AC66" s="22"/>
      <c r="AP66" s="13">
        <v>33</v>
      </c>
      <c r="AQ66" s="13">
        <v>1.4559505020896126</v>
      </c>
      <c r="AR66" s="13">
        <v>-5.9505020896126748E-3</v>
      </c>
      <c r="AS66" s="13">
        <v>-0.16288605725435976</v>
      </c>
      <c r="AT66"/>
      <c r="AV66"/>
      <c r="AW66"/>
      <c r="AX66"/>
      <c r="AY66"/>
      <c r="BH66" s="22"/>
      <c r="BI66" s="22"/>
      <c r="BV66" s="13">
        <v>33</v>
      </c>
      <c r="BW66" s="13">
        <v>1.4478978957864932</v>
      </c>
      <c r="BX66" s="13">
        <v>2.1021042135067614E-3</v>
      </c>
      <c r="BY66" s="13">
        <v>6.7400182216899251E-2</v>
      </c>
      <c r="BZ66" s="9">
        <v>1.45</v>
      </c>
      <c r="CG66" s="22"/>
      <c r="CL66" s="13">
        <v>37</v>
      </c>
      <c r="CM66" s="13">
        <v>1.4415181481923287</v>
      </c>
      <c r="CN66" s="13">
        <v>-5.1518148192328805E-2</v>
      </c>
      <c r="CO66" s="13">
        <v>-1.8209194020986008</v>
      </c>
      <c r="CW66" s="13">
        <v>37</v>
      </c>
      <c r="CX66" s="13">
        <v>1.4410232337145006</v>
      </c>
      <c r="CY66" s="13">
        <v>-5.1023233714500682E-2</v>
      </c>
      <c r="CZ66" s="13">
        <v>-1.8205215174293008</v>
      </c>
    </row>
    <row r="67" spans="12:104" ht="13.5" thickBot="1">
      <c r="L67" s="14">
        <v>39</v>
      </c>
      <c r="M67" s="14">
        <v>1.4871459713771631</v>
      </c>
      <c r="N67" s="14">
        <v>-7.7145971377163169E-2</v>
      </c>
      <c r="O67" s="14">
        <v>-1.7119278180390216</v>
      </c>
      <c r="P67"/>
      <c r="Q67"/>
      <c r="R67"/>
      <c r="AB67" s="22"/>
      <c r="AC67" s="22"/>
      <c r="AP67" s="13">
        <v>34</v>
      </c>
      <c r="AQ67" s="13">
        <v>1.5413374416144978</v>
      </c>
      <c r="AR67" s="13">
        <v>0.10866255838550209</v>
      </c>
      <c r="AS67" s="13">
        <v>2.9744743283903619</v>
      </c>
      <c r="AT67"/>
      <c r="AV67"/>
      <c r="AW67"/>
      <c r="AX67"/>
      <c r="AY67"/>
      <c r="BH67" s="22"/>
      <c r="BI67" s="22"/>
      <c r="BV67" s="13">
        <v>34</v>
      </c>
      <c r="BW67" s="13">
        <v>1.5355312730500383</v>
      </c>
      <c r="BX67" s="13">
        <v>1.4468726949961708E-2</v>
      </c>
      <c r="BY67" s="13">
        <v>0.46391364738627566</v>
      </c>
      <c r="BZ67" s="9">
        <v>1.55</v>
      </c>
      <c r="CG67" s="22"/>
      <c r="CL67" s="14">
        <v>38</v>
      </c>
      <c r="CM67" s="14">
        <v>1.4415181481923287</v>
      </c>
      <c r="CN67" s="14">
        <v>-3.1518148192328788E-2</v>
      </c>
      <c r="CO67" s="14">
        <v>-1.1140153436294564</v>
      </c>
      <c r="CW67" s="14">
        <v>38</v>
      </c>
      <c r="CX67" s="14">
        <v>1.4410232337145006</v>
      </c>
      <c r="CY67" s="14">
        <v>-3.1023233714500664E-2</v>
      </c>
      <c r="CZ67" s="14">
        <v>-1.1069166026110875</v>
      </c>
    </row>
    <row r="68" spans="12:104">
      <c r="AB68" s="22"/>
      <c r="AC68" s="22"/>
      <c r="AP68" s="13">
        <v>35</v>
      </c>
      <c r="AQ68" s="13">
        <v>1.5512635108323927</v>
      </c>
      <c r="AR68" s="13">
        <v>-1.2635108323926225E-3</v>
      </c>
      <c r="AS68" s="13">
        <v>-3.4586711287081455E-2</v>
      </c>
      <c r="AT68"/>
      <c r="AV68"/>
      <c r="AW68"/>
      <c r="AX68"/>
      <c r="AY68"/>
      <c r="BH68" s="22"/>
      <c r="BI68" s="22"/>
      <c r="BV68" s="13">
        <v>35</v>
      </c>
      <c r="BW68" s="13">
        <v>1.5099438824597939</v>
      </c>
      <c r="BX68" s="13">
        <v>3.0056117540206095E-2</v>
      </c>
      <c r="BY68" s="13">
        <v>0.96369522782268879</v>
      </c>
      <c r="BZ68" s="9">
        <v>1.54</v>
      </c>
      <c r="CG68" s="22"/>
    </row>
    <row r="69" spans="12:104">
      <c r="AB69" s="22"/>
      <c r="AC69" s="22"/>
      <c r="AP69" s="13">
        <v>36</v>
      </c>
      <c r="AQ69" s="13">
        <v>1.5278530485121484</v>
      </c>
      <c r="AR69" s="13">
        <v>1.2146951487851609E-2</v>
      </c>
      <c r="AS69" s="13">
        <v>0.33250455267799345</v>
      </c>
      <c r="AT69"/>
      <c r="AV69"/>
      <c r="AW69"/>
      <c r="AX69"/>
      <c r="AY69"/>
      <c r="BH69" s="22"/>
      <c r="BI69" s="22"/>
      <c r="BV69" s="13">
        <v>36</v>
      </c>
      <c r="BW69" s="13">
        <v>1.6183507749183477</v>
      </c>
      <c r="BX69" s="13">
        <v>-8.3507749183475699E-3</v>
      </c>
      <c r="BY69" s="13">
        <v>-0.26775254410912097</v>
      </c>
      <c r="BZ69" s="9">
        <v>1.61</v>
      </c>
      <c r="CG69" s="22"/>
    </row>
    <row r="70" spans="12:104">
      <c r="AB70" s="22"/>
      <c r="AC70" s="22"/>
      <c r="AP70" s="13">
        <v>37</v>
      </c>
      <c r="AQ70" s="13">
        <v>1.6346364567004477</v>
      </c>
      <c r="AR70" s="13">
        <v>-2.4636456700447562E-2</v>
      </c>
      <c r="AS70" s="13">
        <v>-0.67438599906699026</v>
      </c>
      <c r="AT70"/>
      <c r="AV70"/>
      <c r="AW70"/>
      <c r="AX70"/>
      <c r="AY70"/>
      <c r="BH70" s="22"/>
      <c r="BI70" s="22"/>
      <c r="BV70" s="13">
        <v>37</v>
      </c>
      <c r="BW70" s="13">
        <v>1.4723523600067132</v>
      </c>
      <c r="BX70" s="13">
        <v>-8.235236000671331E-2</v>
      </c>
      <c r="BY70" s="13">
        <v>-2.6404799699176809</v>
      </c>
      <c r="BZ70" s="9">
        <v>1.39</v>
      </c>
      <c r="CG70" s="22"/>
    </row>
    <row r="71" spans="12:104" ht="13.5" thickBot="1">
      <c r="AB71" s="22"/>
      <c r="AC71" s="22"/>
      <c r="AP71" s="13">
        <v>38</v>
      </c>
      <c r="AQ71" s="13">
        <v>1.4830413019126742</v>
      </c>
      <c r="AR71" s="13">
        <v>-9.3041301912674346E-2</v>
      </c>
      <c r="AS71" s="13">
        <v>-2.546865895034836</v>
      </c>
      <c r="AT71"/>
      <c r="AV71"/>
      <c r="AW71"/>
      <c r="AX71"/>
      <c r="AY71"/>
      <c r="BH71" s="22"/>
      <c r="BI71" s="22"/>
      <c r="BV71" s="14">
        <v>38</v>
      </c>
      <c r="BW71" s="14">
        <v>1.4723523600067132</v>
      </c>
      <c r="BX71" s="14">
        <v>-6.2352360006713292E-2</v>
      </c>
      <c r="BY71" s="14">
        <v>-1.9992160232129519</v>
      </c>
      <c r="BZ71" s="9">
        <v>1.41</v>
      </c>
      <c r="CG71" s="22"/>
    </row>
    <row r="72" spans="12:104" ht="13.5" thickBot="1">
      <c r="AB72" s="22"/>
      <c r="AC72" s="22"/>
      <c r="AP72" s="14">
        <v>39</v>
      </c>
      <c r="AQ72" s="14">
        <v>1.4830413019126742</v>
      </c>
      <c r="AR72" s="14">
        <v>-7.3041301912674328E-2</v>
      </c>
      <c r="AS72" s="14">
        <v>-1.999395934344637</v>
      </c>
      <c r="AT72"/>
      <c r="AV72"/>
      <c r="AW72"/>
      <c r="AX72"/>
      <c r="BH72" s="22"/>
      <c r="BI72" s="22"/>
      <c r="CG72" s="22"/>
    </row>
    <row r="73" spans="12:104">
      <c r="AB73" s="22"/>
      <c r="AC73" s="22"/>
      <c r="AT73" s="13"/>
      <c r="BH73" s="22"/>
      <c r="BI73" s="22"/>
      <c r="CG73" s="22"/>
    </row>
    <row r="74" spans="12:104">
      <c r="AB74" s="22"/>
      <c r="AC74" s="22"/>
      <c r="AT74" s="13"/>
      <c r="BH74" s="22"/>
      <c r="BI74" s="22"/>
      <c r="CG74" s="22"/>
    </row>
    <row r="75" spans="12:104">
      <c r="AB75" s="22"/>
      <c r="AC75" s="22"/>
      <c r="AT75" s="13"/>
      <c r="BH75" s="22"/>
      <c r="BI75" s="22"/>
      <c r="CG75" s="22"/>
    </row>
    <row r="76" spans="12:104">
      <c r="AB76" s="22"/>
      <c r="AC76" s="22"/>
      <c r="AT76" s="13"/>
      <c r="BH76" s="22"/>
      <c r="BI76" s="22"/>
      <c r="CG76" s="22"/>
    </row>
    <row r="77" spans="12:104">
      <c r="AB77" s="22"/>
      <c r="AC77" s="22"/>
      <c r="AT77" s="13"/>
      <c r="BH77" s="22"/>
      <c r="BI77" s="22"/>
      <c r="CG77" s="22"/>
    </row>
    <row r="78" spans="12:104">
      <c r="AB78" s="22"/>
      <c r="AC78" s="22"/>
      <c r="AT78" s="13"/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tabSelected="1" workbookViewId="0">
      <selection activeCell="I27" sqref="I27"/>
    </sheetView>
  </sheetViews>
  <sheetFormatPr defaultRowHeight="12.75"/>
  <cols>
    <col min="1" max="1" width="12.28515625" bestFit="1" customWidth="1"/>
    <col min="2" max="2" width="13.42578125" style="9" bestFit="1" customWidth="1"/>
    <col min="3" max="3" width="7.7109375" style="9" customWidth="1"/>
    <col min="5" max="10" width="9.140625" style="6" customWidth="1"/>
    <col min="11" max="11" width="10.42578125" style="19" bestFit="1" customWidth="1"/>
    <col min="12" max="17" width="9.140625" style="6" customWidth="1"/>
  </cols>
  <sheetData>
    <row r="1" spans="1:17">
      <c r="A1" s="26"/>
      <c r="B1" s="43" t="s">
        <v>51</v>
      </c>
      <c r="C1" s="3" t="s">
        <v>24</v>
      </c>
      <c r="D1" s="40"/>
      <c r="E1" s="40" t="s">
        <v>93</v>
      </c>
      <c r="F1" s="40" t="s">
        <v>104</v>
      </c>
      <c r="G1" s="40"/>
      <c r="H1" s="40"/>
      <c r="I1" s="40"/>
      <c r="J1" s="40"/>
      <c r="K1" s="29" t="s">
        <v>119</v>
      </c>
      <c r="L1" s="52" t="s">
        <v>113</v>
      </c>
      <c r="M1" s="52"/>
      <c r="N1" s="53"/>
      <c r="O1" s="54" t="s">
        <v>117</v>
      </c>
      <c r="P1" s="52"/>
      <c r="Q1" s="53"/>
    </row>
    <row r="2" spans="1:17">
      <c r="B2" s="44">
        <v>1.3984276536813294</v>
      </c>
      <c r="C2" s="9">
        <v>1.39</v>
      </c>
      <c r="D2" s="35"/>
      <c r="E2" s="38" t="s">
        <v>94</v>
      </c>
      <c r="F2" s="35">
        <f>COUNT(B:B)</f>
        <v>38</v>
      </c>
      <c r="G2" s="35"/>
      <c r="H2" s="35"/>
      <c r="I2" s="35"/>
      <c r="J2" s="35"/>
      <c r="K2" s="33">
        <v>95</v>
      </c>
      <c r="L2" s="34"/>
      <c r="M2" s="35"/>
      <c r="N2" s="36"/>
      <c r="O2" s="37"/>
      <c r="P2" s="35"/>
      <c r="Q2" s="38"/>
    </row>
    <row r="3" spans="1:17">
      <c r="B3" s="44">
        <v>1.3912541222020778</v>
      </c>
      <c r="C3" s="9">
        <v>1.4</v>
      </c>
      <c r="D3" s="35"/>
      <c r="E3" s="46" t="s">
        <v>121</v>
      </c>
      <c r="F3" s="47">
        <f>SUM(B:B)</f>
        <v>56.10000000000008</v>
      </c>
      <c r="G3" s="47"/>
      <c r="H3" s="35"/>
      <c r="I3" s="35"/>
      <c r="J3" s="35"/>
      <c r="K3" s="39" t="s">
        <v>118</v>
      </c>
      <c r="L3" s="40" t="s">
        <v>114</v>
      </c>
      <c r="M3" s="40" t="s">
        <v>115</v>
      </c>
      <c r="N3" s="41" t="s">
        <v>116</v>
      </c>
      <c r="O3" s="40" t="s">
        <v>114</v>
      </c>
      <c r="P3" s="40" t="s">
        <v>115</v>
      </c>
      <c r="Q3" s="41" t="s">
        <v>116</v>
      </c>
    </row>
    <row r="4" spans="1:17">
      <c r="B4" s="44">
        <v>1.4489769919786504</v>
      </c>
      <c r="C4" s="9">
        <v>1.42</v>
      </c>
      <c r="D4" s="35"/>
      <c r="E4" s="38" t="s">
        <v>95</v>
      </c>
      <c r="F4" s="35">
        <f>F3/F2</f>
        <v>1.4763157894736862</v>
      </c>
      <c r="G4" s="35"/>
      <c r="H4" s="35"/>
      <c r="I4" s="35"/>
      <c r="J4" s="35"/>
      <c r="K4" s="51">
        <v>1.31</v>
      </c>
      <c r="L4" s="35">
        <f t="shared" ref="L4:L26" si="0">$F$11+$F$12*K4</f>
        <v>1.3100000000000114</v>
      </c>
      <c r="M4" s="35">
        <f t="shared" ref="M4:M24" si="1">L4-(TINV(((100-$K$2)/100),$F$2-2))*SQRT($H$19)*SQRT(1/$F$2+(K4-$F$4)^2/$F$7)</f>
        <v>1.2822939974059082</v>
      </c>
      <c r="N4" s="32">
        <f t="shared" ref="N4:N24" si="2">L4+(TINV(((100-$K$2)/100),$F$2-2))*SQRT($H$19)*SQRT(1/$F$2+(K4-$F$4)^2/$F$7)</f>
        <v>1.3377060025941145</v>
      </c>
      <c r="O4" s="35">
        <f t="shared" ref="O4:O24" si="3">$F$11+$F$12*K4</f>
        <v>1.3100000000000114</v>
      </c>
      <c r="P4" s="35">
        <f t="shared" ref="P4:P24" si="4">O4-(TINV(((100-$K$2)/100),$F$2-2))*SQRT($H$19)*SQRT(1+1/$F$2+(K4-$F$4)^2/$F$7)</f>
        <v>1.240145120295858</v>
      </c>
      <c r="Q4" s="32">
        <f t="shared" ref="Q4:Q24" si="5">O4+(TINV(((100-$K$2)/100),$F$2-2))*SQRT($H$19)*SQRT(1+1/$F$2+(K4-$F$4)^2/$F$7)</f>
        <v>1.3798548797041648</v>
      </c>
    </row>
    <row r="5" spans="1:17">
      <c r="B5" s="44">
        <v>1.4514430350272107</v>
      </c>
      <c r="C5" s="9">
        <v>1.45</v>
      </c>
      <c r="D5" s="35"/>
      <c r="E5" s="46" t="s">
        <v>122</v>
      </c>
      <c r="F5" s="47">
        <f>SUM(C:C)</f>
        <v>56.099999999999987</v>
      </c>
      <c r="G5" s="47"/>
      <c r="H5" s="35"/>
      <c r="I5" s="35"/>
      <c r="J5" s="35"/>
      <c r="K5" s="51">
        <f>K4+0.02</f>
        <v>1.33</v>
      </c>
      <c r="L5" s="35">
        <f t="shared" si="0"/>
        <v>1.3300000000000098</v>
      </c>
      <c r="M5" s="35">
        <f t="shared" si="1"/>
        <v>1.3051290142051253</v>
      </c>
      <c r="N5" s="32">
        <f t="shared" si="2"/>
        <v>1.3548709857948944</v>
      </c>
      <c r="O5" s="35">
        <f t="shared" si="3"/>
        <v>1.3300000000000098</v>
      </c>
      <c r="P5" s="35">
        <f t="shared" si="4"/>
        <v>1.2612202967937103</v>
      </c>
      <c r="Q5" s="32">
        <f t="shared" si="5"/>
        <v>1.3987797032063094</v>
      </c>
    </row>
    <row r="6" spans="1:17">
      <c r="B6" s="44">
        <v>1.385816091889108</v>
      </c>
      <c r="C6" s="9">
        <v>1.39</v>
      </c>
      <c r="D6" s="35"/>
      <c r="E6" s="38" t="s">
        <v>96</v>
      </c>
      <c r="F6" s="35">
        <f>F5/F2</f>
        <v>1.4763157894736838</v>
      </c>
      <c r="G6" s="35"/>
      <c r="H6" s="35"/>
      <c r="I6" s="35"/>
      <c r="J6" s="35"/>
      <c r="K6" s="51">
        <f t="shared" ref="K6:K24" si="6">K5+0.02</f>
        <v>1.35</v>
      </c>
      <c r="L6" s="35">
        <f t="shared" si="0"/>
        <v>1.3500000000000081</v>
      </c>
      <c r="M6" s="35">
        <f t="shared" si="1"/>
        <v>1.3278961426513569</v>
      </c>
      <c r="N6" s="32">
        <f t="shared" si="2"/>
        <v>1.3721038573486593</v>
      </c>
      <c r="O6" s="35">
        <f t="shared" si="3"/>
        <v>1.3500000000000081</v>
      </c>
      <c r="P6" s="35">
        <f t="shared" si="4"/>
        <v>1.2821718189214415</v>
      </c>
      <c r="Q6" s="32">
        <f t="shared" si="5"/>
        <v>1.4178281810785747</v>
      </c>
    </row>
    <row r="7" spans="1:17">
      <c r="B7" s="44">
        <v>1.4201699818451772</v>
      </c>
      <c r="C7" s="9">
        <v>1.38</v>
      </c>
      <c r="D7" s="35"/>
      <c r="E7" s="46" t="s">
        <v>123</v>
      </c>
      <c r="F7" s="35">
        <f t="array" ref="F7">SUMSQ(B:B)-(F3^2)/F2</f>
        <v>0.17249369494246025</v>
      </c>
      <c r="G7" s="35"/>
      <c r="H7" s="35"/>
      <c r="I7" s="35"/>
      <c r="J7" s="35"/>
      <c r="K7" s="51">
        <f t="shared" si="6"/>
        <v>1.37</v>
      </c>
      <c r="L7" s="35">
        <f t="shared" si="0"/>
        <v>1.3700000000000065</v>
      </c>
      <c r="M7" s="35">
        <f t="shared" si="1"/>
        <v>1.3505663614939278</v>
      </c>
      <c r="N7" s="32">
        <f t="shared" si="2"/>
        <v>1.3894336385060853</v>
      </c>
      <c r="O7" s="35">
        <f t="shared" si="3"/>
        <v>1.3700000000000065</v>
      </c>
      <c r="P7" s="35">
        <f t="shared" si="4"/>
        <v>1.3029944185584412</v>
      </c>
      <c r="Q7" s="32">
        <f t="shared" si="5"/>
        <v>1.4370055814415719</v>
      </c>
    </row>
    <row r="8" spans="1:17">
      <c r="B8" s="44">
        <v>1.5508823013179267</v>
      </c>
      <c r="C8" s="9">
        <v>1.55</v>
      </c>
      <c r="D8" s="35"/>
      <c r="E8" s="46" t="s">
        <v>124</v>
      </c>
      <c r="F8" s="35">
        <f t="array" ref="F8">SUMSQ(C:C)-(F5^2)/F2</f>
        <v>0.2084842105263931</v>
      </c>
      <c r="G8" s="35"/>
      <c r="H8" s="35"/>
      <c r="I8" s="35"/>
      <c r="J8" s="35"/>
      <c r="K8" s="51">
        <f t="shared" si="6"/>
        <v>1.3900000000000001</v>
      </c>
      <c r="L8" s="35">
        <f t="shared" si="0"/>
        <v>1.3900000000000048</v>
      </c>
      <c r="M8" s="35">
        <f t="shared" si="1"/>
        <v>1.3730936898734383</v>
      </c>
      <c r="N8" s="32">
        <f t="shared" si="2"/>
        <v>1.4069063101265713</v>
      </c>
      <c r="O8" s="35">
        <f t="shared" si="3"/>
        <v>1.3900000000000048</v>
      </c>
      <c r="P8" s="35">
        <f t="shared" si="4"/>
        <v>1.3236832980250652</v>
      </c>
      <c r="Q8" s="32">
        <f t="shared" si="5"/>
        <v>1.4563167019749443</v>
      </c>
    </row>
    <row r="9" spans="1:17">
      <c r="B9" s="44">
        <v>1.4596221688456783</v>
      </c>
      <c r="C9" s="9">
        <v>1.45</v>
      </c>
      <c r="D9" s="35"/>
      <c r="E9" s="46" t="s">
        <v>125</v>
      </c>
      <c r="F9" s="35">
        <f t="array" ref="F9">SUM(B2:B976*C2:C976)-(F3*F5)/F2</f>
        <v>0.17249369494244604</v>
      </c>
      <c r="G9" s="35"/>
      <c r="H9" s="35"/>
      <c r="I9" s="35"/>
      <c r="J9" s="35"/>
      <c r="K9" s="51">
        <f t="shared" si="6"/>
        <v>1.4100000000000001</v>
      </c>
      <c r="L9" s="35">
        <f t="shared" si="0"/>
        <v>1.4100000000000033</v>
      </c>
      <c r="M9" s="35">
        <f t="shared" si="1"/>
        <v>1.3954037141977313</v>
      </c>
      <c r="N9" s="32">
        <f t="shared" si="2"/>
        <v>1.4245962858022752</v>
      </c>
      <c r="O9" s="35">
        <f t="shared" si="3"/>
        <v>1.4100000000000033</v>
      </c>
      <c r="P9" s="35">
        <f t="shared" si="4"/>
        <v>1.3442342551326416</v>
      </c>
      <c r="Q9" s="32">
        <f t="shared" si="5"/>
        <v>1.4757657448673649</v>
      </c>
    </row>
    <row r="10" spans="1:17">
      <c r="B10" s="44">
        <v>1.3979834916816039</v>
      </c>
      <c r="C10" s="9">
        <v>1.44</v>
      </c>
      <c r="D10" s="35"/>
      <c r="E10" s="38"/>
      <c r="F10" s="35"/>
      <c r="G10" s="35"/>
      <c r="H10" s="35"/>
      <c r="I10" s="38" t="s">
        <v>120</v>
      </c>
      <c r="J10" s="38"/>
      <c r="K10" s="51">
        <f t="shared" si="6"/>
        <v>1.4300000000000002</v>
      </c>
      <c r="L10" s="35">
        <f t="shared" si="0"/>
        <v>1.4300000000000015</v>
      </c>
      <c r="M10" s="35">
        <f t="shared" si="1"/>
        <v>1.4173765687325992</v>
      </c>
      <c r="N10" s="32">
        <f t="shared" si="2"/>
        <v>1.4426234312674038</v>
      </c>
      <c r="O10" s="35">
        <f t="shared" si="3"/>
        <v>1.4300000000000015</v>
      </c>
      <c r="P10" s="35">
        <f t="shared" si="4"/>
        <v>1.364643801704047</v>
      </c>
      <c r="Q10" s="32">
        <f t="shared" si="5"/>
        <v>1.495356198295956</v>
      </c>
    </row>
    <row r="11" spans="1:17">
      <c r="B11" s="44">
        <v>1.417364132666739</v>
      </c>
      <c r="C11" s="9">
        <v>1.44</v>
      </c>
      <c r="D11" s="35"/>
      <c r="E11" s="38" t="s">
        <v>97</v>
      </c>
      <c r="F11" s="38">
        <f>F6-F12*F4</f>
        <v>1.1923795284474181E-13</v>
      </c>
      <c r="G11" s="38" t="s">
        <v>107</v>
      </c>
      <c r="H11" s="38">
        <f>H19*(F7+F3^2/F2)/(F2*F7)</f>
        <v>1.2658272630125474E-2</v>
      </c>
      <c r="I11" s="35">
        <f>SQRT(H11)</f>
        <v>0.11250898910809516</v>
      </c>
      <c r="J11" s="35"/>
      <c r="K11" s="51">
        <f t="shared" si="6"/>
        <v>1.4500000000000002</v>
      </c>
      <c r="L11" s="35">
        <f t="shared" si="0"/>
        <v>1.45</v>
      </c>
      <c r="M11" s="35">
        <f t="shared" si="1"/>
        <v>1.438832113211564</v>
      </c>
      <c r="N11" s="32">
        <f t="shared" si="2"/>
        <v>1.4611678867884359</v>
      </c>
      <c r="O11" s="35">
        <f t="shared" si="3"/>
        <v>1.45</v>
      </c>
      <c r="P11" s="35">
        <f t="shared" si="4"/>
        <v>1.3849092684473694</v>
      </c>
      <c r="Q11" s="32">
        <f t="shared" si="5"/>
        <v>1.5150907315526305</v>
      </c>
    </row>
    <row r="12" spans="1:17">
      <c r="B12" s="44">
        <v>1.4562163648368482</v>
      </c>
      <c r="C12" s="9">
        <v>1.5</v>
      </c>
      <c r="D12" s="35"/>
      <c r="E12" s="38" t="s">
        <v>98</v>
      </c>
      <c r="F12" s="38">
        <f>F9/F7</f>
        <v>0.99999999999991762</v>
      </c>
      <c r="G12" s="38" t="s">
        <v>106</v>
      </c>
      <c r="H12" s="35">
        <f>H19/F7</f>
        <v>5.7957860102214884E-3</v>
      </c>
      <c r="I12" s="35">
        <f>SQRT(H12)</f>
        <v>7.6130059833297709E-2</v>
      </c>
      <c r="J12" s="35"/>
      <c r="K12" s="51">
        <f t="shared" si="6"/>
        <v>1.4700000000000002</v>
      </c>
      <c r="L12" s="35">
        <f t="shared" si="0"/>
        <v>1.4699999999999984</v>
      </c>
      <c r="M12" s="35">
        <f t="shared" si="1"/>
        <v>1.4595518616830025</v>
      </c>
      <c r="N12" s="32">
        <f t="shared" si="2"/>
        <v>1.4804481383169943</v>
      </c>
      <c r="O12" s="35">
        <f t="shared" si="3"/>
        <v>1.4699999999999984</v>
      </c>
      <c r="P12" s="35">
        <f t="shared" si="4"/>
        <v>1.4050288892427674</v>
      </c>
      <c r="Q12" s="32">
        <f t="shared" si="5"/>
        <v>1.5349711107572295</v>
      </c>
    </row>
    <row r="13" spans="1:17">
      <c r="B13" s="44">
        <v>1.4586406730046892</v>
      </c>
      <c r="C13" s="9">
        <v>1.45</v>
      </c>
      <c r="D13" s="35"/>
      <c r="E13" s="38" t="s">
        <v>109</v>
      </c>
      <c r="F13" s="48">
        <f>F9/(SQRT(F7*F8))</f>
        <v>0.90959911239255331</v>
      </c>
      <c r="G13" s="38" t="s">
        <v>110</v>
      </c>
      <c r="H13" s="38">
        <f>F2-2</f>
        <v>36</v>
      </c>
      <c r="I13" s="38"/>
      <c r="J13" s="38"/>
      <c r="K13" s="51">
        <f t="shared" si="6"/>
        <v>1.4900000000000002</v>
      </c>
      <c r="L13" s="35">
        <f t="shared" si="0"/>
        <v>1.4899999999999967</v>
      </c>
      <c r="M13" s="35">
        <f t="shared" si="1"/>
        <v>1.4793850711788459</v>
      </c>
      <c r="N13" s="32">
        <f t="shared" si="2"/>
        <v>1.5006149288211474</v>
      </c>
      <c r="O13" s="35">
        <f t="shared" si="3"/>
        <v>1.4899999999999967</v>
      </c>
      <c r="P13" s="35">
        <f t="shared" si="4"/>
        <v>1.4250018588526114</v>
      </c>
      <c r="Q13" s="32">
        <f t="shared" si="5"/>
        <v>1.5549981411473819</v>
      </c>
    </row>
    <row r="14" spans="1:17">
      <c r="B14" s="44">
        <v>1.4183408594080982</v>
      </c>
      <c r="C14" s="9">
        <v>1.44</v>
      </c>
      <c r="D14" s="35"/>
      <c r="E14" s="38" t="s">
        <v>111</v>
      </c>
      <c r="F14" s="48">
        <f>F13*SQRT(F2-2)/(SQRT(1-F13^2))</f>
        <v>13.135415920986024</v>
      </c>
      <c r="G14" s="49" t="s">
        <v>112</v>
      </c>
      <c r="H14" s="50">
        <f>TDIST(ABS(F14),H13,2)</f>
        <v>2.6769290579449436E-15</v>
      </c>
      <c r="K14" s="51">
        <f t="shared" si="6"/>
        <v>1.5100000000000002</v>
      </c>
      <c r="L14" s="35">
        <f t="shared" si="0"/>
        <v>1.5099999999999951</v>
      </c>
      <c r="M14" s="35">
        <f t="shared" si="1"/>
        <v>1.4983698214080565</v>
      </c>
      <c r="N14" s="32">
        <f t="shared" si="2"/>
        <v>1.5216301785919337</v>
      </c>
      <c r="O14" s="35">
        <f t="shared" si="3"/>
        <v>1.5099999999999951</v>
      </c>
      <c r="P14" s="35">
        <f t="shared" si="4"/>
        <v>1.4448283597504381</v>
      </c>
      <c r="Q14" s="32">
        <f t="shared" si="5"/>
        <v>1.5751716402495521</v>
      </c>
    </row>
    <row r="15" spans="1:17">
      <c r="B15" s="44">
        <v>1.3726982046639744</v>
      </c>
      <c r="C15" s="9">
        <v>1.42</v>
      </c>
      <c r="D15" s="35"/>
      <c r="E15" s="38"/>
      <c r="F15" s="35"/>
      <c r="H15" s="48"/>
      <c r="I15" s="38"/>
      <c r="J15" s="38"/>
      <c r="K15" s="51">
        <f t="shared" si="6"/>
        <v>1.5300000000000002</v>
      </c>
      <c r="L15" s="35">
        <f t="shared" si="0"/>
        <v>1.5299999999999934</v>
      </c>
      <c r="M15" s="35">
        <f t="shared" si="1"/>
        <v>1.5166989994775539</v>
      </c>
      <c r="N15" s="32">
        <f t="shared" si="2"/>
        <v>1.5433010005224328</v>
      </c>
      <c r="O15" s="35">
        <f t="shared" si="3"/>
        <v>1.5299999999999934</v>
      </c>
      <c r="P15" s="35">
        <f t="shared" si="4"/>
        <v>1.4645095560128341</v>
      </c>
      <c r="Q15" s="32">
        <f t="shared" si="5"/>
        <v>1.5954904439871527</v>
      </c>
    </row>
    <row r="16" spans="1:17">
      <c r="B16" s="44">
        <v>1.4328987639032338</v>
      </c>
      <c r="C16" s="9">
        <v>1.44</v>
      </c>
      <c r="D16" s="35"/>
      <c r="E16" s="34" t="s">
        <v>105</v>
      </c>
      <c r="F16" s="35"/>
      <c r="G16" s="35"/>
      <c r="H16" s="35"/>
      <c r="I16" s="35"/>
      <c r="J16" s="35"/>
      <c r="K16" s="51">
        <f>K15+0.02</f>
        <v>1.5500000000000003</v>
      </c>
      <c r="L16" s="35">
        <f t="shared" si="0"/>
        <v>1.5499999999999918</v>
      </c>
      <c r="M16" s="35">
        <f t="shared" si="1"/>
        <v>1.5345843133032939</v>
      </c>
      <c r="N16" s="32">
        <f t="shared" si="2"/>
        <v>1.5654156866966897</v>
      </c>
      <c r="O16" s="35">
        <f t="shared" si="3"/>
        <v>1.5499999999999918</v>
      </c>
      <c r="P16" s="35">
        <f t="shared" si="4"/>
        <v>1.4840475547453384</v>
      </c>
      <c r="Q16" s="32">
        <f t="shared" si="5"/>
        <v>1.6159524452546452</v>
      </c>
    </row>
    <row r="17" spans="2:17">
      <c r="B17" s="44">
        <v>1.4751344572421274</v>
      </c>
      <c r="C17" s="9">
        <v>1.44</v>
      </c>
      <c r="D17" s="31"/>
      <c r="E17" s="30" t="s">
        <v>99</v>
      </c>
      <c r="F17" s="30" t="s">
        <v>100</v>
      </c>
      <c r="G17" s="30" t="s">
        <v>33</v>
      </c>
      <c r="H17" s="30" t="s">
        <v>34</v>
      </c>
      <c r="I17" s="38" t="s">
        <v>101</v>
      </c>
      <c r="J17" s="38"/>
      <c r="K17" s="51">
        <f t="shared" si="6"/>
        <v>1.5700000000000003</v>
      </c>
      <c r="L17" s="35">
        <f t="shared" si="0"/>
        <v>1.5699999999999903</v>
      </c>
      <c r="M17" s="35">
        <f t="shared" si="1"/>
        <v>1.5521831147958129</v>
      </c>
      <c r="N17" s="32">
        <f t="shared" si="2"/>
        <v>1.5878168852041676</v>
      </c>
      <c r="O17" s="35">
        <f t="shared" si="3"/>
        <v>1.5699999999999903</v>
      </c>
      <c r="P17" s="35">
        <f t="shared" si="4"/>
        <v>1.5034453379760859</v>
      </c>
      <c r="Q17" s="32">
        <f t="shared" si="5"/>
        <v>1.6365546620238947</v>
      </c>
    </row>
    <row r="18" spans="2:17">
      <c r="B18" s="44">
        <v>1.6013540275417952</v>
      </c>
      <c r="C18" s="9">
        <v>1.6</v>
      </c>
      <c r="D18" s="31"/>
      <c r="E18" s="30" t="s">
        <v>102</v>
      </c>
      <c r="F18" s="30">
        <v>1</v>
      </c>
      <c r="G18" s="30">
        <f>G20-G19</f>
        <v>0.17249369494243183</v>
      </c>
      <c r="H18" s="30">
        <f>G18/F18</f>
        <v>0.17249369494243183</v>
      </c>
      <c r="I18" s="38">
        <f>H18/H19</f>
        <v>172.53915141729323</v>
      </c>
      <c r="J18" s="38"/>
      <c r="K18" s="51">
        <f t="shared" si="6"/>
        <v>1.5900000000000003</v>
      </c>
      <c r="L18" s="35">
        <f t="shared" si="0"/>
        <v>1.5899999999999885</v>
      </c>
      <c r="M18" s="35">
        <f t="shared" si="1"/>
        <v>1.5695963086417519</v>
      </c>
      <c r="N18" s="32">
        <f t="shared" si="2"/>
        <v>1.6104036913582251</v>
      </c>
      <c r="O18" s="35">
        <f t="shared" si="3"/>
        <v>1.5899999999999885</v>
      </c>
      <c r="P18" s="35">
        <f t="shared" si="4"/>
        <v>1.5227066700201199</v>
      </c>
      <c r="Q18" s="32">
        <f t="shared" si="5"/>
        <v>1.6572933299798571</v>
      </c>
    </row>
    <row r="19" spans="2:17">
      <c r="B19" s="44">
        <v>1.5103885982397696</v>
      </c>
      <c r="C19" s="9">
        <v>1.52</v>
      </c>
      <c r="D19" s="31"/>
      <c r="E19" s="30" t="s">
        <v>38</v>
      </c>
      <c r="F19" s="30">
        <f>F20-F18</f>
        <v>36</v>
      </c>
      <c r="G19" s="30">
        <f>F8-(F9^2)/F7</f>
        <v>3.5990515583961269E-2</v>
      </c>
      <c r="H19" s="30">
        <f>G19/F19</f>
        <v>9.9973654399892423E-4</v>
      </c>
      <c r="I19" s="38">
        <f>FDIST(I18,F18,F19)</f>
        <v>2.6769290579449239E-15</v>
      </c>
      <c r="J19" s="38"/>
      <c r="K19" s="51">
        <f t="shared" si="6"/>
        <v>1.6100000000000003</v>
      </c>
      <c r="L19" s="35">
        <f t="shared" si="0"/>
        <v>1.609999999999987</v>
      </c>
      <c r="M19" s="35">
        <f t="shared" si="1"/>
        <v>1.5868861283139024</v>
      </c>
      <c r="N19" s="32">
        <f t="shared" si="2"/>
        <v>1.6331138716860716</v>
      </c>
      <c r="O19" s="35">
        <f t="shared" si="3"/>
        <v>1.609999999999987</v>
      </c>
      <c r="P19" s="35">
        <f t="shared" si="4"/>
        <v>1.5418359867447649</v>
      </c>
      <c r="Q19" s="32">
        <f t="shared" si="5"/>
        <v>1.6781640132552091</v>
      </c>
    </row>
    <row r="20" spans="2:17">
      <c r="B20" s="44">
        <v>1.4737581985582136</v>
      </c>
      <c r="C20" s="9">
        <v>1.46</v>
      </c>
      <c r="D20" s="31"/>
      <c r="E20" s="30" t="s">
        <v>39</v>
      </c>
      <c r="F20" s="30">
        <f>F2-1</f>
        <v>37</v>
      </c>
      <c r="G20" s="30">
        <f>F8</f>
        <v>0.2084842105263931</v>
      </c>
      <c r="H20" s="30" t="s">
        <v>103</v>
      </c>
      <c r="I20" s="35"/>
      <c r="J20" s="35"/>
      <c r="K20" s="51">
        <f t="shared" si="6"/>
        <v>1.6300000000000003</v>
      </c>
      <c r="L20" s="35">
        <f t="shared" si="0"/>
        <v>1.6299999999999852</v>
      </c>
      <c r="M20" s="35">
        <f t="shared" si="1"/>
        <v>1.6040912615472034</v>
      </c>
      <c r="N20" s="32">
        <f t="shared" si="2"/>
        <v>1.6559087384527671</v>
      </c>
      <c r="O20" s="35">
        <f t="shared" si="3"/>
        <v>1.6299999999999852</v>
      </c>
      <c r="P20" s="35">
        <f t="shared" si="4"/>
        <v>1.5608382738289883</v>
      </c>
      <c r="Q20" s="32">
        <f t="shared" si="5"/>
        <v>1.6991617261709822</v>
      </c>
    </row>
    <row r="21" spans="2:17">
      <c r="B21" s="44">
        <v>1.4861262915945819</v>
      </c>
      <c r="C21" s="9">
        <v>1.54</v>
      </c>
      <c r="D21" s="31"/>
      <c r="E21" s="30"/>
      <c r="F21" s="31"/>
      <c r="G21" s="31"/>
      <c r="H21" s="31"/>
      <c r="I21" s="35"/>
      <c r="J21" s="35"/>
      <c r="K21" s="51">
        <f t="shared" si="6"/>
        <v>1.6500000000000004</v>
      </c>
      <c r="L21" s="35">
        <f t="shared" si="0"/>
        <v>1.6499999999999837</v>
      </c>
      <c r="M21" s="35">
        <f t="shared" si="1"/>
        <v>1.6212363838725945</v>
      </c>
      <c r="N21" s="32">
        <f t="shared" si="2"/>
        <v>1.6787636161273729</v>
      </c>
      <c r="O21" s="35">
        <f t="shared" si="3"/>
        <v>1.6499999999999837</v>
      </c>
      <c r="P21" s="35">
        <f t="shared" si="4"/>
        <v>1.579718941019195</v>
      </c>
      <c r="Q21" s="32">
        <f t="shared" si="5"/>
        <v>1.7202810589807724</v>
      </c>
    </row>
    <row r="22" spans="2:17">
      <c r="B22" s="44">
        <v>1.5170401264114322</v>
      </c>
      <c r="C22" s="9">
        <v>1.48</v>
      </c>
      <c r="D22" s="31"/>
      <c r="E22" s="42" t="s">
        <v>108</v>
      </c>
      <c r="F22" s="31"/>
      <c r="G22" s="31"/>
      <c r="H22" s="31"/>
      <c r="I22" s="35"/>
      <c r="J22" s="35"/>
      <c r="K22" s="51">
        <f t="shared" si="6"/>
        <v>1.6700000000000004</v>
      </c>
      <c r="L22" s="35">
        <f t="shared" si="0"/>
        <v>1.6699999999999819</v>
      </c>
      <c r="M22" s="35">
        <f t="shared" si="1"/>
        <v>1.6383377240576527</v>
      </c>
      <c r="N22" s="32">
        <f t="shared" si="2"/>
        <v>1.7016622759423112</v>
      </c>
      <c r="O22" s="35">
        <f t="shared" si="3"/>
        <v>1.6699999999999819</v>
      </c>
      <c r="P22" s="35">
        <f t="shared" si="4"/>
        <v>1.5984836986653526</v>
      </c>
      <c r="Q22" s="32">
        <f t="shared" si="5"/>
        <v>1.7415163013346113</v>
      </c>
    </row>
    <row r="23" spans="2:17">
      <c r="B23" s="44">
        <v>1.6891943386930635</v>
      </c>
      <c r="C23" s="9">
        <v>1.71</v>
      </c>
      <c r="D23" s="31"/>
      <c r="E23" s="30">
        <f>SQRT(H19)</f>
        <v>3.1618610722151032E-2</v>
      </c>
      <c r="F23" s="31"/>
      <c r="G23" s="31"/>
      <c r="H23" s="31"/>
      <c r="I23" s="35"/>
      <c r="J23" s="35"/>
      <c r="K23" s="51">
        <f t="shared" si="6"/>
        <v>1.6900000000000004</v>
      </c>
      <c r="L23" s="35">
        <f t="shared" si="0"/>
        <v>1.6899999999999804</v>
      </c>
      <c r="M23" s="35">
        <f t="shared" si="1"/>
        <v>1.6554062860682865</v>
      </c>
      <c r="N23" s="32">
        <f t="shared" si="2"/>
        <v>1.7245937139316743</v>
      </c>
      <c r="O23" s="35">
        <f t="shared" si="3"/>
        <v>1.6899999999999804</v>
      </c>
      <c r="P23" s="35">
        <f t="shared" si="4"/>
        <v>1.6171384416696428</v>
      </c>
      <c r="Q23" s="32">
        <f t="shared" si="5"/>
        <v>1.762861558330318</v>
      </c>
    </row>
    <row r="24" spans="2:17">
      <c r="B24" s="44">
        <v>1.3877348502549509</v>
      </c>
      <c r="C24" s="9">
        <v>1.41</v>
      </c>
      <c r="K24" s="51">
        <f t="shared" si="6"/>
        <v>1.7100000000000004</v>
      </c>
      <c r="L24" s="35">
        <f t="shared" si="0"/>
        <v>1.7099999999999789</v>
      </c>
      <c r="M24" s="35">
        <f t="shared" si="1"/>
        <v>1.6724497458071934</v>
      </c>
      <c r="N24" s="32">
        <f t="shared" si="2"/>
        <v>1.7475502541927643</v>
      </c>
      <c r="O24" s="35">
        <f t="shared" si="3"/>
        <v>1.7099999999999789</v>
      </c>
      <c r="P24" s="35">
        <f t="shared" si="4"/>
        <v>1.6356891446107418</v>
      </c>
      <c r="Q24" s="32">
        <f t="shared" si="5"/>
        <v>1.784310855389216</v>
      </c>
    </row>
    <row r="25" spans="2:17">
      <c r="B25" s="44">
        <v>1.4288224180354803</v>
      </c>
      <c r="C25" s="9">
        <v>1.38</v>
      </c>
      <c r="K25" s="51">
        <f>K24+0.02</f>
        <v>1.7300000000000004</v>
      </c>
      <c r="L25" s="35">
        <f t="shared" si="0"/>
        <v>1.7299999999999771</v>
      </c>
      <c r="M25" s="35">
        <f>L25-(TINV(((100-$K$2)/100),$F$2-2))*SQRT($H$19)*SQRT(1/$F$2+(K25-$F$4)^2/$F$7)</f>
        <v>1.6894735967927714</v>
      </c>
      <c r="N25" s="32">
        <f>L25+(TINV(((100-$K$2)/100),$F$2-2))*SQRT($H$19)*SQRT(1/$F$2+(K25-$F$4)^2/$F$7)</f>
        <v>1.7705264032071828</v>
      </c>
      <c r="O25" s="35">
        <f>$F$11+$F$12*K25</f>
        <v>1.7299999999999771</v>
      </c>
      <c r="P25" s="35">
        <f>O25-(TINV(((100-$K$2)/100),$F$2-2))*SQRT($H$19)*SQRT(1+1/$F$2+(K25-$F$4)^2/$F$7)</f>
        <v>1.6541417704157697</v>
      </c>
      <c r="Q25" s="32">
        <f>O25+(TINV(((100-$K$2)/100),$F$2-2))*SQRT($H$19)*SQRT(1+1/$F$2+(K25-$F$4)^2/$F$7)</f>
        <v>1.8058582295841845</v>
      </c>
    </row>
    <row r="26" spans="2:17">
      <c r="B26" s="44">
        <v>1.5124088442053907</v>
      </c>
      <c r="C26" s="9">
        <v>1.5</v>
      </c>
      <c r="K26" s="51">
        <f>K25+0.02</f>
        <v>1.7500000000000004</v>
      </c>
      <c r="L26" s="35">
        <f t="shared" si="0"/>
        <v>1.7499999999999756</v>
      </c>
      <c r="M26" s="35">
        <f>L26-(TINV(((100-$K$2)/100),$F$2-2))*SQRT($H$19)*SQRT(1/$F$2+(K26-$F$4)^2/$F$7)</f>
        <v>1.7064818618906945</v>
      </c>
      <c r="N26" s="32">
        <f>L26+(TINV(((100-$K$2)/100),$F$2-2))*SQRT($H$19)*SQRT(1/$F$2+(K26-$F$4)^2/$F$7)</f>
        <v>1.7935181381092566</v>
      </c>
      <c r="O26" s="35">
        <f>$F$11+$F$12*K26</f>
        <v>1.7499999999999756</v>
      </c>
      <c r="P26" s="35">
        <f>O26-(TINV(((100-$K$2)/100),$F$2-2))*SQRT($H$19)*SQRT(1+1/$F$2+(K26-$F$4)^2/$F$7)</f>
        <v>1.6725021936875659</v>
      </c>
      <c r="Q26" s="32">
        <f>O26+(TINV(((100-$K$2)/100),$F$2-2))*SQRT($H$19)*SQRT(1+1/$F$2+(K26-$F$4)^2/$F$7)</f>
        <v>1.8274978063123852</v>
      </c>
    </row>
    <row r="27" spans="2:17">
      <c r="B27" s="44">
        <v>1.4513080099099529</v>
      </c>
      <c r="C27" s="9">
        <v>1.44</v>
      </c>
    </row>
    <row r="28" spans="2:17">
      <c r="B28" s="44">
        <v>1.5027653319305845</v>
      </c>
      <c r="C28" s="9">
        <v>1.51</v>
      </c>
    </row>
    <row r="29" spans="2:17">
      <c r="B29" s="44">
        <v>1.5551528145990332</v>
      </c>
      <c r="C29" s="9">
        <v>1.62</v>
      </c>
    </row>
    <row r="30" spans="2:17">
      <c r="B30" s="44">
        <v>1.5357786313582729</v>
      </c>
      <c r="C30" s="9">
        <v>1.51</v>
      </c>
    </row>
    <row r="31" spans="2:17">
      <c r="B31" s="44">
        <v>1.5057971361918465</v>
      </c>
      <c r="C31" s="9">
        <v>1.51</v>
      </c>
    </row>
    <row r="32" spans="2:17">
      <c r="B32" s="44">
        <v>1.5020057412123471</v>
      </c>
      <c r="C32" s="9">
        <v>1.51</v>
      </c>
    </row>
    <row r="33" spans="2:3">
      <c r="B33" s="44">
        <v>1.4480668008408077</v>
      </c>
      <c r="C33" s="9">
        <v>1.45</v>
      </c>
    </row>
    <row r="34" spans="2:3">
      <c r="B34" s="44">
        <v>1.4478978957864932</v>
      </c>
      <c r="C34" s="9">
        <v>1.45</v>
      </c>
    </row>
    <row r="35" spans="2:3">
      <c r="B35" s="44">
        <v>1.5355312730500383</v>
      </c>
      <c r="C35" s="9">
        <v>1.55</v>
      </c>
    </row>
    <row r="36" spans="2:3">
      <c r="B36" s="44">
        <v>1.5099438824597939</v>
      </c>
      <c r="C36" s="9">
        <v>1.54</v>
      </c>
    </row>
    <row r="37" spans="2:3">
      <c r="B37" s="44">
        <v>1.6183507749183477</v>
      </c>
      <c r="C37" s="9">
        <v>1.61</v>
      </c>
    </row>
    <row r="38" spans="2:3">
      <c r="B38" s="44">
        <v>1.4723523600067132</v>
      </c>
      <c r="C38" s="9">
        <v>1.39</v>
      </c>
    </row>
    <row r="39" spans="2:3" ht="13.5" thickBot="1">
      <c r="B39" s="45">
        <v>1.4723523600067132</v>
      </c>
      <c r="C39" s="9">
        <v>1.41</v>
      </c>
    </row>
  </sheetData>
  <mergeCells count="2">
    <mergeCell ref="L1:N1"/>
    <mergeCell ref="O1:Q1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Regressions</vt:lpstr>
      <vt:lpstr>CIs</vt:lpstr>
    </vt:vector>
  </TitlesOfParts>
  <Company>Univ of QLD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TJNM</dc:creator>
  <cp:lastModifiedBy>Hans</cp:lastModifiedBy>
  <dcterms:created xsi:type="dcterms:W3CDTF">2011-12-23T02:48:06Z</dcterms:created>
  <dcterms:modified xsi:type="dcterms:W3CDTF">2017-11-03T19:38:22Z</dcterms:modified>
</cp:coreProperties>
</file>