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200" windowHeight="9210"/>
  </bookViews>
  <sheets>
    <sheet name="Data &amp; Regressions" sheetId="6" r:id="rId1"/>
    <sheet name="Comparing calibrations" sheetId="7" r:id="rId2"/>
  </sheets>
  <definedNames>
    <definedName name="_xlnm.Database">#REF!</definedName>
  </definedNames>
  <calcPr calcId="145621"/>
</workbook>
</file>

<file path=xl/calcChain.xml><?xml version="1.0" encoding="utf-8"?>
<calcChain xmlns="http://schemas.openxmlformats.org/spreadsheetml/2006/main">
  <c r="AI46" i="7" l="1"/>
  <c r="AA37" i="7"/>
  <c r="Y37" i="7"/>
  <c r="AA36" i="7"/>
  <c r="Y36" i="7"/>
  <c r="AA34" i="7"/>
  <c r="Y34" i="7"/>
  <c r="AA33" i="7"/>
  <c r="Y33" i="7"/>
  <c r="AA32" i="7"/>
  <c r="Y30" i="7"/>
  <c r="AF29" i="7"/>
  <c r="AA29" i="7"/>
  <c r="Y29" i="7"/>
  <c r="Y27" i="7"/>
  <c r="AA26" i="7"/>
  <c r="Y26" i="7"/>
  <c r="Y24" i="7"/>
  <c r="AA23" i="7"/>
  <c r="Y23" i="7"/>
  <c r="AB20" i="7"/>
  <c r="Y20" i="7"/>
  <c r="Y19" i="7"/>
  <c r="Z18" i="7"/>
  <c r="Y18" i="7"/>
  <c r="AC17" i="7"/>
  <c r="AB17" i="7"/>
  <c r="AA17" i="7"/>
  <c r="Z17" i="7"/>
  <c r="Y17" i="7"/>
  <c r="Y16" i="7"/>
  <c r="AB14" i="7"/>
  <c r="Y14" i="7"/>
  <c r="Y13" i="7"/>
  <c r="Z12" i="7"/>
  <c r="Y12" i="7"/>
  <c r="AC11" i="7"/>
  <c r="AB11" i="7"/>
  <c r="AA11" i="7"/>
  <c r="Z11" i="7"/>
  <c r="Y11" i="7"/>
  <c r="Y10" i="7"/>
  <c r="AF7" i="7" a="1"/>
  <c r="AF7" i="7" s="1"/>
  <c r="AG6" i="7"/>
  <c r="AG5" i="7"/>
  <c r="AG8" i="7" s="1" a="1"/>
  <c r="AG8" i="7" s="1"/>
  <c r="AF5" i="7"/>
  <c r="AF6" i="7" s="1"/>
  <c r="AG4" i="7"/>
  <c r="AH3" i="7"/>
  <c r="AG3" i="7"/>
  <c r="AF3" i="7"/>
  <c r="AF4" i="7" s="1"/>
  <c r="Z2" i="7" s="1"/>
  <c r="AG2" i="7"/>
  <c r="AF19" i="7" s="1"/>
  <c r="AF2" i="7"/>
  <c r="AH44" i="7" s="1"/>
  <c r="AB33" i="7" s="1"/>
  <c r="AA2" i="7"/>
  <c r="AH9" i="7" l="1" a="1"/>
  <c r="AH9" i="7" s="1"/>
  <c r="AG31" i="7"/>
  <c r="Z3" i="7"/>
  <c r="AF9" i="7" a="1"/>
  <c r="AF9" i="7" s="1"/>
  <c r="AA3" i="7"/>
  <c r="AF8" i="7" a="1"/>
  <c r="AF8" i="7" s="1"/>
  <c r="AH5" i="7"/>
  <c r="AG7" i="7" a="1"/>
  <c r="AG7" i="7" s="1"/>
  <c r="AG30" i="7" s="1"/>
  <c r="AG9" i="7" a="1"/>
  <c r="AG9" i="7" s="1"/>
  <c r="AF17" i="7"/>
  <c r="AF31" i="7"/>
  <c r="AH2" i="7"/>
  <c r="AH7" i="7" s="1" a="1"/>
  <c r="AH7" i="7" s="1"/>
  <c r="AF25" i="7"/>
  <c r="AA19" i="7" l="1"/>
  <c r="AI7" i="7"/>
  <c r="Z20" i="7"/>
  <c r="AF30" i="7"/>
  <c r="AH30" i="7" s="1"/>
  <c r="AH8" i="7" a="1"/>
  <c r="AH8" i="7" s="1"/>
  <c r="AF40" i="7" s="1"/>
  <c r="AH6" i="7"/>
  <c r="AG25" i="7"/>
  <c r="AG24" i="7"/>
  <c r="AI8" i="7"/>
  <c r="Z14" i="7"/>
  <c r="AF24" i="7"/>
  <c r="Z13" i="7" s="1"/>
  <c r="AF18" i="7"/>
  <c r="AG14" i="7"/>
  <c r="AH4" i="7"/>
  <c r="AG29" i="7"/>
  <c r="AA20" i="7"/>
  <c r="AF14" i="7"/>
  <c r="AF16" i="7"/>
  <c r="AI9" i="7"/>
  <c r="AI14" i="7" s="1"/>
  <c r="AF43" i="7" s="1"/>
  <c r="AG15" i="7" l="1"/>
  <c r="AG13" i="7"/>
  <c r="AB19" i="7"/>
  <c r="Z29" i="7"/>
  <c r="Z32" i="7"/>
  <c r="AH29" i="7"/>
  <c r="AA18" i="7"/>
  <c r="AG23" i="7"/>
  <c r="AA14" i="7"/>
  <c r="AH16" i="7"/>
  <c r="AH17" i="7" s="1"/>
  <c r="Z5" i="7" s="1"/>
  <c r="Z4" i="7"/>
  <c r="Z8" i="7"/>
  <c r="AF12" i="7"/>
  <c r="Z7" i="7" s="1"/>
  <c r="AA8" i="7"/>
  <c r="AG12" i="7"/>
  <c r="AA7" i="7" s="1"/>
  <c r="AF37" i="7"/>
  <c r="AH18" i="7"/>
  <c r="AH19" i="7" s="1"/>
  <c r="AA5" i="7" s="1"/>
  <c r="AA4" i="7"/>
  <c r="AI10" i="7"/>
  <c r="AA13" i="7"/>
  <c r="AH24" i="7"/>
  <c r="AH37" i="7"/>
  <c r="AB26" i="7" s="1"/>
  <c r="AH40" i="7"/>
  <c r="AB29" i="7" s="1"/>
  <c r="Z19" i="7"/>
  <c r="AI15" i="7" l="1"/>
  <c r="AH43" i="7"/>
  <c r="AB13" i="7"/>
  <c r="AH34" i="7"/>
  <c r="AB23" i="7" s="1"/>
  <c r="AF15" i="7"/>
  <c r="AF34" i="7"/>
  <c r="AF13" i="7"/>
  <c r="Z26" i="7"/>
  <c r="AF38" i="7"/>
  <c r="Z27" i="7" s="1"/>
  <c r="AH23" i="7"/>
  <c r="AA12" i="7"/>
  <c r="AI29" i="7"/>
  <c r="AB18" i="7"/>
  <c r="AF41" i="7"/>
  <c r="Z30" i="7" s="1"/>
  <c r="AI34" i="7"/>
  <c r="AC23" i="7" s="1"/>
  <c r="AI30" i="7" l="1"/>
  <c r="AC19" i="7" s="1"/>
  <c r="AC18" i="7"/>
  <c r="AI23" i="7"/>
  <c r="AB12" i="7"/>
  <c r="AF35" i="7"/>
  <c r="Z24" i="7" s="1"/>
  <c r="Z23" i="7"/>
  <c r="AB32" i="7"/>
  <c r="AG47" i="7"/>
  <c r="Z36" i="7" s="1"/>
  <c r="AF44" i="7"/>
  <c r="AG48" i="7"/>
  <c r="Z37" i="7" s="1"/>
  <c r="AI24" i="7" l="1"/>
  <c r="AC13" i="7" s="1"/>
  <c r="AC12" i="7"/>
  <c r="Z33" i="7"/>
  <c r="AF45" i="7"/>
  <c r="Z34" i="7" s="1"/>
  <c r="M3" i="7" l="1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" i="7"/>
</calcChain>
</file>

<file path=xl/sharedStrings.xml><?xml version="1.0" encoding="utf-8"?>
<sst xmlns="http://schemas.openxmlformats.org/spreadsheetml/2006/main" count="314" uniqueCount="149">
  <si>
    <t>FEKA</t>
  </si>
  <si>
    <t>FEKB</t>
  </si>
  <si>
    <t>NIKA</t>
  </si>
  <si>
    <t>NIKB</t>
  </si>
  <si>
    <t>ULA</t>
  </si>
  <si>
    <t>ULB</t>
  </si>
  <si>
    <t>ASKA</t>
  </si>
  <si>
    <t>CAKA</t>
  </si>
  <si>
    <t>CUKB</t>
  </si>
  <si>
    <t>Lab Assay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</si>
  <si>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</si>
  <si>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</si>
  <si>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</si>
  <si>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</si>
  <si>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</si>
  <si>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</si>
  <si>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</si>
  <si>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</si>
  <si>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</si>
  <si>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</si>
  <si>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</si>
  <si>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</si>
  <si>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</si>
  <si>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</si>
  <si>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</si>
  <si>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</si>
  <si>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</si>
  <si>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</si>
  <si>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</si>
  <si>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</si>
  <si>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</si>
  <si>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</si>
  <si>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Observation</t>
  </si>
  <si>
    <t>RESIDUAL OUTPUT</t>
  </si>
  <si>
    <t>Predicted Lab Assay</t>
  </si>
  <si>
    <t>Residuals</t>
  </si>
  <si>
    <t>Standard Residuals</t>
  </si>
  <si>
    <t>-</t>
  </si>
  <si>
    <t>Sig. F</t>
  </si>
  <si>
    <t>Adjusted R Sq.</t>
  </si>
  <si>
    <t>Std. Error</t>
  </si>
  <si>
    <t>Mean</t>
  </si>
  <si>
    <t>Eliminate outlier</t>
  </si>
  <si>
    <t>Obs 30</t>
  </si>
  <si>
    <t>New pred.</t>
  </si>
  <si>
    <t>Old pred.1</t>
  </si>
  <si>
    <t>Old pred.2</t>
  </si>
  <si>
    <t>Statistic</t>
  </si>
  <si>
    <t>A: n</t>
  </si>
  <si>
    <t>B: t</t>
  </si>
  <si>
    <t>Pooled</t>
  </si>
  <si>
    <t>N</t>
  </si>
  <si>
    <t>Mean X</t>
  </si>
  <si>
    <t>Mean Y</t>
  </si>
  <si>
    <t xml:space="preserve"> Pool s^2</t>
  </si>
  <si>
    <t>Ao =</t>
  </si>
  <si>
    <t xml:space="preserve">V(Ao)= </t>
  </si>
  <si>
    <t>A1 =</t>
  </si>
  <si>
    <t>V(A1)=</t>
  </si>
  <si>
    <t>R(A) =</t>
  </si>
  <si>
    <t>t(A) =</t>
  </si>
  <si>
    <t>D.f.(A) =</t>
  </si>
  <si>
    <t>p(t{A}) =</t>
  </si>
  <si>
    <t>R(B) =</t>
  </si>
  <si>
    <t>t(B) =</t>
  </si>
  <si>
    <t>D.f.(B) =</t>
  </si>
  <si>
    <t>p(t{B}) =</t>
  </si>
  <si>
    <t>Analysis of Variance - A</t>
  </si>
  <si>
    <t>Source</t>
  </si>
  <si>
    <t>D.F</t>
  </si>
  <si>
    <t>F (p)</t>
  </si>
  <si>
    <t>Regre</t>
  </si>
  <si>
    <t>Analysis of Variance - B</t>
  </si>
  <si>
    <t>D.F.</t>
  </si>
  <si>
    <t>Test for residual MSs</t>
  </si>
  <si>
    <t>F =</t>
  </si>
  <si>
    <t>D.F. =</t>
  </si>
  <si>
    <t>p(F) =</t>
  </si>
  <si>
    <t>Test for slopes</t>
  </si>
  <si>
    <t>D.F. = 1,</t>
  </si>
  <si>
    <t>Test for intercepts</t>
  </si>
  <si>
    <t>d(x/y)=</t>
  </si>
  <si>
    <t>V(d) =</t>
  </si>
  <si>
    <t>t =</t>
  </si>
  <si>
    <t>df =</t>
  </si>
  <si>
    <t>p(t) =</t>
  </si>
  <si>
    <t>(one-sided)</t>
  </si>
  <si>
    <t>Confidence level for conf. intervals %</t>
  </si>
  <si>
    <t>Lower conf. limit</t>
  </si>
  <si>
    <t>Test for separation (vertical distance, y)</t>
  </si>
  <si>
    <t>(2-sided)</t>
  </si>
  <si>
    <t>(1-sided)</t>
  </si>
  <si>
    <r>
      <t>å</t>
    </r>
    <r>
      <rPr>
        <sz val="8"/>
        <rFont val="Geneva"/>
      </rPr>
      <t xml:space="preserve"> X</t>
    </r>
  </si>
  <si>
    <r>
      <t>å</t>
    </r>
    <r>
      <rPr>
        <sz val="8"/>
        <rFont val="Geneva"/>
      </rPr>
      <t xml:space="preserve"> Y</t>
    </r>
  </si>
  <si>
    <r>
      <t>å</t>
    </r>
    <r>
      <rPr>
        <sz val="8"/>
        <rFont val="Geneva"/>
      </rPr>
      <t xml:space="preserve"> x^2</t>
    </r>
  </si>
  <si>
    <r>
      <t>å</t>
    </r>
    <r>
      <rPr>
        <sz val="8"/>
        <rFont val="Geneva"/>
      </rPr>
      <t xml:space="preserve"> y^2</t>
    </r>
  </si>
  <si>
    <r>
      <t>å</t>
    </r>
    <r>
      <rPr>
        <sz val="8"/>
        <rFont val="Geneva"/>
      </rPr>
      <t xml:space="preserve"> xy</t>
    </r>
  </si>
  <si>
    <r>
      <t xml:space="preserve">Conf. interval </t>
    </r>
    <r>
      <rPr>
        <sz val="8"/>
        <rFont val="Symbol"/>
        <family val="1"/>
        <charset val="2"/>
      </rPr>
      <t>±</t>
    </r>
  </si>
  <si>
    <t>t-Test: Paired Two Sample for Means</t>
  </si>
  <si>
    <t>Variance</t>
  </si>
  <si>
    <t>Pearson Correlation</t>
  </si>
  <si>
    <t>Hypothesized Mean Difference</t>
  </si>
  <si>
    <t>P(T&lt;=t) one-tail</t>
  </si>
  <si>
    <t>t Critical one-tail</t>
  </si>
  <si>
    <t>P(T&lt;=t) two-tail</t>
  </si>
  <si>
    <t>t Critical two-tail</t>
  </si>
  <si>
    <t>Correlation</t>
  </si>
  <si>
    <t>Data</t>
  </si>
  <si>
    <t>Comparison</t>
  </si>
  <si>
    <t>of model fits</t>
  </si>
  <si>
    <t>A</t>
  </si>
  <si>
    <t>B</t>
  </si>
  <si>
    <t>Bougainville data</t>
  </si>
  <si>
    <t>Mean x</t>
  </si>
  <si>
    <t>n=normal, t=trial</t>
  </si>
  <si>
    <t>Mean y</t>
  </si>
  <si>
    <t>R</t>
  </si>
  <si>
    <t>Trendline correlation coefficients</t>
  </si>
  <si>
    <t>mean feed grades</t>
  </si>
  <si>
    <t xml:space="preserve">P(R) </t>
  </si>
  <si>
    <t>Signficance of correlation coefficients</t>
  </si>
  <si>
    <t>mean recoveries</t>
  </si>
  <si>
    <t>intercepts</t>
  </si>
  <si>
    <t>gradients</t>
  </si>
  <si>
    <t>p = significance of R(A)</t>
  </si>
  <si>
    <t>p = significance of R(B)</t>
  </si>
  <si>
    <t>linear regression of A</t>
  </si>
  <si>
    <t>Signficance of difference in data scatter</t>
  </si>
  <si>
    <t>Signficance of difference in gradients</t>
  </si>
  <si>
    <t>linear regression of B</t>
  </si>
  <si>
    <t>Signficance of difference in intercepts</t>
  </si>
  <si>
    <t>Test for separation of lines (y axis)</t>
  </si>
  <si>
    <t>Separation (d)</t>
  </si>
  <si>
    <t>d = separation of lines (y axis)</t>
  </si>
  <si>
    <t>Signficance of diff. in separations</t>
  </si>
  <si>
    <t>Confidence level for conf. intervals % :</t>
  </si>
  <si>
    <t>Choose this conf. level</t>
  </si>
  <si>
    <t>p = significance of</t>
  </si>
  <si>
    <t>CI on separation</t>
  </si>
  <si>
    <t>difference in residual MSs</t>
  </si>
  <si>
    <t>Lower conf.limit on separation</t>
  </si>
  <si>
    <t>difference in slopes</t>
  </si>
  <si>
    <t xml:space="preserve">p = significance of </t>
  </si>
  <si>
    <t>difference in  intercepts</t>
  </si>
  <si>
    <t>d = mean separation of lines</t>
  </si>
  <si>
    <t>p = significance of sepn.</t>
  </si>
  <si>
    <t>Set the desired conf.level</t>
  </si>
  <si>
    <t>for the confidence limits on</t>
  </si>
  <si>
    <t>the separation.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</si>
</sst>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82" formatCode="0.0000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8"/>
      <name val="Geneva"/>
    </font>
    <font>
      <sz val="8"/>
      <name val="Geneva"/>
    </font>
    <font>
      <sz val="8"/>
      <name val="Symbol"/>
      <family val="1"/>
      <charset val="2"/>
    </font>
    <font>
      <b/>
      <i/>
      <sz val="8"/>
      <name val="Geneva"/>
    </font>
    <font>
      <i/>
      <sz val="8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9" fontId="0" fillId="0" borderId="1" xfId="0" applyNumberFormat="1" applyFill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quotePrefix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9" fillId="0" borderId="0" xfId="0" applyFont="1" applyAlignment="1">
      <alignment horizontal="center"/>
    </xf>
    <xf numFmtId="2" fontId="8" fillId="0" borderId="0" xfId="0" applyNumberFormat="1" applyFont="1"/>
    <xf numFmtId="0" fontId="8" fillId="0" borderId="0" xfId="0" applyFont="1" applyBorder="1" applyAlignment="1">
      <alignment horizontal="center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8" fillId="2" borderId="0" xfId="0" applyFont="1" applyFill="1" applyAlignment="1">
      <alignment horizontal="center"/>
    </xf>
    <xf numFmtId="0" fontId="0" fillId="2" borderId="0" xfId="0" applyFill="1"/>
    <xf numFmtId="0" fontId="8" fillId="2" borderId="0" xfId="0" applyFont="1" applyFill="1"/>
    <xf numFmtId="169" fontId="8" fillId="2" borderId="0" xfId="0" applyNumberFormat="1" applyFont="1" applyFill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quotePrefix="1" applyFont="1" applyAlignment="1">
      <alignment horizontal="right"/>
    </xf>
    <xf numFmtId="182" fontId="8" fillId="2" borderId="0" xfId="0" applyNumberFormat="1" applyFont="1" applyFill="1" applyAlignment="1">
      <alignment horizontal="center"/>
    </xf>
    <xf numFmtId="182" fontId="8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70137246776039"/>
          <c:y val="3.755868544600939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823633156522129E-2"/>
          <c:y val="0.20187839705838528"/>
          <c:w val="0.89989793845428767"/>
          <c:h val="0.713616659369175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&amp; Regressions'!$AL$27</c:f>
              <c:strCache>
                <c:ptCount val="1"/>
                <c:pt idx="0">
                  <c:v>Standard Residuals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Ref>
              <c:f>'Data &amp; Regressions'!$AL$28:$AL$87</c:f>
              <c:numCache>
                <c:formatCode>General</c:formatCode>
                <c:ptCount val="60"/>
                <c:pt idx="0">
                  <c:v>-0.49575094501545475</c:v>
                </c:pt>
                <c:pt idx="1">
                  <c:v>-0.94198557326923971</c:v>
                </c:pt>
                <c:pt idx="2">
                  <c:v>-0.69356718010301488</c:v>
                </c:pt>
                <c:pt idx="3">
                  <c:v>-4.4321666992795702E-2</c:v>
                </c:pt>
                <c:pt idx="4">
                  <c:v>0.7994629901230722</c:v>
                </c:pt>
                <c:pt idx="5">
                  <c:v>-2.2670625765124086</c:v>
                </c:pt>
                <c:pt idx="6">
                  <c:v>-0.73165382506889576</c:v>
                </c:pt>
                <c:pt idx="7">
                  <c:v>-0.29179588351439539</c:v>
                </c:pt>
                <c:pt idx="8">
                  <c:v>-1.1118647740032204</c:v>
                </c:pt>
                <c:pt idx="9">
                  <c:v>-1.4532840808536036</c:v>
                </c:pt>
                <c:pt idx="10">
                  <c:v>0.37226817821743607</c:v>
                </c:pt>
                <c:pt idx="11">
                  <c:v>-0.18878998943187011</c:v>
                </c:pt>
                <c:pt idx="12">
                  <c:v>1.7078532172285301</c:v>
                </c:pt>
                <c:pt idx="13">
                  <c:v>2.0060636488574319</c:v>
                </c:pt>
                <c:pt idx="14">
                  <c:v>1.051986149876611</c:v>
                </c:pt>
                <c:pt idx="15">
                  <c:v>-1.0355792024756214</c:v>
                </c:pt>
                <c:pt idx="16">
                  <c:v>0.27014329237481866</c:v>
                </c:pt>
                <c:pt idx="17">
                  <c:v>0.81019657943356915</c:v>
                </c:pt>
                <c:pt idx="18">
                  <c:v>0.73267797020240699</c:v>
                </c:pt>
                <c:pt idx="19">
                  <c:v>0.45191244487510818</c:v>
                </c:pt>
                <c:pt idx="20">
                  <c:v>-0.14615197158312723</c:v>
                </c:pt>
                <c:pt idx="21">
                  <c:v>0.33296619975929659</c:v>
                </c:pt>
                <c:pt idx="22">
                  <c:v>0.124271336844359</c:v>
                </c:pt>
                <c:pt idx="23">
                  <c:v>-1.3140280639153441</c:v>
                </c:pt>
                <c:pt idx="24">
                  <c:v>-0.38872735150979976</c:v>
                </c:pt>
                <c:pt idx="25">
                  <c:v>-3.077097186945716E-2</c:v>
                </c:pt>
                <c:pt idx="26">
                  <c:v>-0.16867740777121476</c:v>
                </c:pt>
                <c:pt idx="27">
                  <c:v>-0.12544084603894567</c:v>
                </c:pt>
                <c:pt idx="28">
                  <c:v>0.83845406406843059</c:v>
                </c:pt>
                <c:pt idx="29">
                  <c:v>-2.6178040449286173</c:v>
                </c:pt>
                <c:pt idx="30">
                  <c:v>-1.3328210954251825</c:v>
                </c:pt>
                <c:pt idx="31">
                  <c:v>-1.6141381357781353</c:v>
                </c:pt>
                <c:pt idx="32">
                  <c:v>0.74748618364020247</c:v>
                </c:pt>
                <c:pt idx="33">
                  <c:v>-0.77557057983465649</c:v>
                </c:pt>
                <c:pt idx="34">
                  <c:v>-0.60834897319946157</c:v>
                </c:pt>
                <c:pt idx="35">
                  <c:v>0.6293454004221436</c:v>
                </c:pt>
                <c:pt idx="36">
                  <c:v>1.9956220328289886</c:v>
                </c:pt>
                <c:pt idx="37">
                  <c:v>1.6128639944402681</c:v>
                </c:pt>
                <c:pt idx="38">
                  <c:v>1.2685232247464981</c:v>
                </c:pt>
                <c:pt idx="39">
                  <c:v>-1.034789996925757</c:v>
                </c:pt>
                <c:pt idx="40">
                  <c:v>0.71625056018852107</c:v>
                </c:pt>
                <c:pt idx="41">
                  <c:v>0.67432145507980623</c:v>
                </c:pt>
                <c:pt idx="42">
                  <c:v>0.26215973436525392</c:v>
                </c:pt>
                <c:pt idx="43">
                  <c:v>0.62076938476985921</c:v>
                </c:pt>
                <c:pt idx="44">
                  <c:v>8.3627478301221858E-2</c:v>
                </c:pt>
                <c:pt idx="45">
                  <c:v>-0.33178451068587289</c:v>
                </c:pt>
                <c:pt idx="46">
                  <c:v>0.13331834699334544</c:v>
                </c:pt>
                <c:pt idx="47">
                  <c:v>0.20921843866965062</c:v>
                </c:pt>
                <c:pt idx="48">
                  <c:v>0.49503670034572206</c:v>
                </c:pt>
                <c:pt idx="49">
                  <c:v>1.4628245073563357</c:v>
                </c:pt>
                <c:pt idx="50">
                  <c:v>-0.481903895613429</c:v>
                </c:pt>
                <c:pt idx="51">
                  <c:v>-0.87875233027978539</c:v>
                </c:pt>
                <c:pt idx="52">
                  <c:v>-1.4510325081290154</c:v>
                </c:pt>
                <c:pt idx="53">
                  <c:v>0.86766915713421344</c:v>
                </c:pt>
                <c:pt idx="54">
                  <c:v>1.4931367370263979</c:v>
                </c:pt>
                <c:pt idx="55">
                  <c:v>0.97780569971477371</c:v>
                </c:pt>
                <c:pt idx="56">
                  <c:v>-0.64199716841725663</c:v>
                </c:pt>
                <c:pt idx="57">
                  <c:v>-0.35840181238302771</c:v>
                </c:pt>
                <c:pt idx="58">
                  <c:v>-0.29630713744952247</c:v>
                </c:pt>
                <c:pt idx="59">
                  <c:v>0.10486939109347522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80608"/>
        <c:axId val="61802368"/>
      </c:scatterChart>
      <c:valAx>
        <c:axId val="6098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802368"/>
        <c:crosses val="autoZero"/>
        <c:crossBetween val="midCat"/>
      </c:valAx>
      <c:valAx>
        <c:axId val="61802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09806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23328309876048"/>
          <c:y val="7.2727649364898173E-2"/>
          <c:w val="0.75922438072338738"/>
          <c:h val="0.615154700878096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'Comparing calibrations'!$P$1</c:f>
              <c:strCache>
                <c:ptCount val="1"/>
                <c:pt idx="0">
                  <c:v>Lab Assay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22730729224545107"/>
                  <c:y val="-9.0908684272497427E-3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8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'Comparing calibrations'!$M$2:$M$24</c:f>
              <c:numCache>
                <c:formatCode>General</c:formatCode>
                <c:ptCount val="23"/>
                <c:pt idx="0">
                  <c:v>12.053478509059763</c:v>
                </c:pt>
                <c:pt idx="1">
                  <c:v>12.355676953489731</c:v>
                </c:pt>
                <c:pt idx="2">
                  <c:v>12.003527321147153</c:v>
                </c:pt>
                <c:pt idx="3">
                  <c:v>14.039968081685458</c:v>
                </c:pt>
                <c:pt idx="4">
                  <c:v>12.055003326930015</c:v>
                </c:pt>
                <c:pt idx="5">
                  <c:v>13.00455684481611</c:v>
                </c:pt>
                <c:pt idx="6">
                  <c:v>10.748916304278113</c:v>
                </c:pt>
                <c:pt idx="7">
                  <c:v>13.072648847433429</c:v>
                </c:pt>
                <c:pt idx="8">
                  <c:v>10.895442216986744</c:v>
                </c:pt>
                <c:pt idx="9">
                  <c:v>10.973586571003228</c:v>
                </c:pt>
                <c:pt idx="10">
                  <c:v>9.5597330837653391</c:v>
                </c:pt>
                <c:pt idx="11">
                  <c:v>9.6434460409432621</c:v>
                </c:pt>
                <c:pt idx="12">
                  <c:v>10.166866806450217</c:v>
                </c:pt>
                <c:pt idx="13">
                  <c:v>11.527422661421076</c:v>
                </c:pt>
                <c:pt idx="14">
                  <c:v>12.118262458677933</c:v>
                </c:pt>
                <c:pt idx="15">
                  <c:v>13.769769546137571</c:v>
                </c:pt>
                <c:pt idx="16">
                  <c:v>11.619298335842931</c:v>
                </c:pt>
                <c:pt idx="17">
                  <c:v>12.869565878841811</c:v>
                </c:pt>
                <c:pt idx="18">
                  <c:v>12.274411649286684</c:v>
                </c:pt>
                <c:pt idx="19">
                  <c:v>11.499187181831044</c:v>
                </c:pt>
                <c:pt idx="20">
                  <c:v>11.515320291486706</c:v>
                </c:pt>
                <c:pt idx="21">
                  <c:v>10.244174302511222</c:v>
                </c:pt>
                <c:pt idx="22">
                  <c:v>10.250934928258092</c:v>
                </c:pt>
              </c:numCache>
            </c:numRef>
          </c:xVal>
          <c:yVal>
            <c:numRef>
              <c:f>'Comparing calibrations'!$P$2:$P$24</c:f>
              <c:numCache>
                <c:formatCode>0.00</c:formatCode>
                <c:ptCount val="23"/>
                <c:pt idx="0">
                  <c:v>11.99</c:v>
                </c:pt>
                <c:pt idx="1">
                  <c:v>12.41</c:v>
                </c:pt>
                <c:pt idx="2">
                  <c:v>12.5</c:v>
                </c:pt>
                <c:pt idx="3">
                  <c:v>13.25</c:v>
                </c:pt>
                <c:pt idx="4">
                  <c:v>12.61</c:v>
                </c:pt>
                <c:pt idx="5">
                  <c:v>13.51</c:v>
                </c:pt>
                <c:pt idx="6">
                  <c:v>11.52</c:v>
                </c:pt>
                <c:pt idx="7">
                  <c:v>13.5</c:v>
                </c:pt>
                <c:pt idx="8">
                  <c:v>10.96</c:v>
                </c:pt>
                <c:pt idx="9">
                  <c:v>10.97</c:v>
                </c:pt>
                <c:pt idx="10">
                  <c:v>9.52</c:v>
                </c:pt>
                <c:pt idx="11">
                  <c:v>9.33</c:v>
                </c:pt>
                <c:pt idx="12">
                  <c:v>9.24</c:v>
                </c:pt>
                <c:pt idx="13">
                  <c:v>10.93</c:v>
                </c:pt>
                <c:pt idx="14">
                  <c:v>12</c:v>
                </c:pt>
                <c:pt idx="15">
                  <c:v>12.81</c:v>
                </c:pt>
                <c:pt idx="16">
                  <c:v>10.84</c:v>
                </c:pt>
                <c:pt idx="17">
                  <c:v>11.97</c:v>
                </c:pt>
                <c:pt idx="18">
                  <c:v>11.15</c:v>
                </c:pt>
                <c:pt idx="19">
                  <c:v>11.7</c:v>
                </c:pt>
                <c:pt idx="20">
                  <c:v>11.99</c:v>
                </c:pt>
                <c:pt idx="21">
                  <c:v>10.88</c:v>
                </c:pt>
                <c:pt idx="22">
                  <c:v>10.46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50528"/>
        <c:axId val="62186624"/>
      </c:scatterChart>
      <c:valAx>
        <c:axId val="62150528"/>
        <c:scaling>
          <c:orientation val="minMax"/>
          <c:max val="16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New model prediction (Ni %)</a:t>
                </a:r>
              </a:p>
            </c:rich>
          </c:tx>
          <c:layout>
            <c:manualLayout>
              <c:xMode val="edge"/>
              <c:yMode val="edge"/>
              <c:x val="0.3067964222918737"/>
              <c:y val="0.824246719160104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86624"/>
        <c:crosses val="autoZero"/>
        <c:crossBetween val="midCat"/>
        <c:majorUnit val="2"/>
        <c:minorUnit val="1"/>
      </c:valAx>
      <c:valAx>
        <c:axId val="62186624"/>
        <c:scaling>
          <c:orientation val="minMax"/>
          <c:max val="16"/>
          <c:min val="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Observed assay (Ni %)</a:t>
                </a:r>
              </a:p>
            </c:rich>
          </c:tx>
          <c:layout>
            <c:manualLayout>
              <c:xMode val="edge"/>
              <c:yMode val="edge"/>
              <c:x val="4.4660194174757278E-2"/>
              <c:y val="4.5454545454545456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505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511476256126239"/>
          <c:y val="7.2507980716464762E-2"/>
          <c:w val="0.76717664484152037"/>
          <c:h val="0.6223601678163225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23483217790408545"/>
                  <c:y val="-3.0209998649691448E-3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8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'Comparing calibrations'!$N$2:$N$24</c:f>
              <c:numCache>
                <c:formatCode>General</c:formatCode>
                <c:ptCount val="23"/>
                <c:pt idx="0">
                  <c:v>12.583685301996148</c:v>
                </c:pt>
                <c:pt idx="1">
                  <c:v>12.992792975623537</c:v>
                </c:pt>
                <c:pt idx="2">
                  <c:v>12.709861488766414</c:v>
                </c:pt>
                <c:pt idx="3">
                  <c:v>13.938594240989122</c:v>
                </c:pt>
                <c:pt idx="4">
                  <c:v>12.0563263073761</c:v>
                </c:pt>
                <c:pt idx="5">
                  <c:v>12.828381231770384</c:v>
                </c:pt>
                <c:pt idx="6">
                  <c:v>11.180751605867853</c:v>
                </c:pt>
                <c:pt idx="7">
                  <c:v>13.049708937261112</c:v>
                </c:pt>
                <c:pt idx="8">
                  <c:v>10.95934720123026</c:v>
                </c:pt>
                <c:pt idx="9">
                  <c:v>11.05931198632765</c:v>
                </c:pt>
                <c:pt idx="10">
                  <c:v>10.056037762776516</c:v>
                </c:pt>
                <c:pt idx="11">
                  <c:v>10.333904042704937</c:v>
                </c:pt>
                <c:pt idx="12">
                  <c:v>10.796939546577015</c:v>
                </c:pt>
                <c:pt idx="13">
                  <c:v>11.791908259203566</c:v>
                </c:pt>
                <c:pt idx="14">
                  <c:v>12.077638297546855</c:v>
                </c:pt>
                <c:pt idx="15">
                  <c:v>13.281077926951461</c:v>
                </c:pt>
                <c:pt idx="16">
                  <c:v>11.215909240656638</c:v>
                </c:pt>
                <c:pt idx="17">
                  <c:v>12.081943942848529</c:v>
                </c:pt>
                <c:pt idx="18">
                  <c:v>11.416205727088741</c:v>
                </c:pt>
                <c:pt idx="19">
                  <c:v>12.105304009014333</c:v>
                </c:pt>
                <c:pt idx="20">
                  <c:v>12.131002707792366</c:v>
                </c:pt>
                <c:pt idx="21">
                  <c:v>10.856655058821156</c:v>
                </c:pt>
                <c:pt idx="22">
                  <c:v>10.691531905686039</c:v>
                </c:pt>
              </c:numCache>
            </c:numRef>
          </c:xVal>
          <c:yVal>
            <c:numRef>
              <c:f>'Comparing calibrations'!$P$2:$P$24</c:f>
              <c:numCache>
                <c:formatCode>0.00</c:formatCode>
                <c:ptCount val="23"/>
                <c:pt idx="0">
                  <c:v>11.99</c:v>
                </c:pt>
                <c:pt idx="1">
                  <c:v>12.41</c:v>
                </c:pt>
                <c:pt idx="2">
                  <c:v>12.5</c:v>
                </c:pt>
                <c:pt idx="3">
                  <c:v>13.25</c:v>
                </c:pt>
                <c:pt idx="4">
                  <c:v>12.61</c:v>
                </c:pt>
                <c:pt idx="5">
                  <c:v>13.51</c:v>
                </c:pt>
                <c:pt idx="6">
                  <c:v>11.52</c:v>
                </c:pt>
                <c:pt idx="7">
                  <c:v>13.5</c:v>
                </c:pt>
                <c:pt idx="8">
                  <c:v>10.96</c:v>
                </c:pt>
                <c:pt idx="9">
                  <c:v>10.97</c:v>
                </c:pt>
                <c:pt idx="10">
                  <c:v>9.52</c:v>
                </c:pt>
                <c:pt idx="11">
                  <c:v>9.33</c:v>
                </c:pt>
                <c:pt idx="12">
                  <c:v>9.24</c:v>
                </c:pt>
                <c:pt idx="13">
                  <c:v>10.93</c:v>
                </c:pt>
                <c:pt idx="14">
                  <c:v>12</c:v>
                </c:pt>
                <c:pt idx="15">
                  <c:v>12.81</c:v>
                </c:pt>
                <c:pt idx="16">
                  <c:v>10.84</c:v>
                </c:pt>
                <c:pt idx="17">
                  <c:v>11.97</c:v>
                </c:pt>
                <c:pt idx="18">
                  <c:v>11.15</c:v>
                </c:pt>
                <c:pt idx="19">
                  <c:v>11.7</c:v>
                </c:pt>
                <c:pt idx="20">
                  <c:v>11.99</c:v>
                </c:pt>
                <c:pt idx="21">
                  <c:v>10.88</c:v>
                </c:pt>
                <c:pt idx="22">
                  <c:v>10.46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63552"/>
        <c:axId val="68967424"/>
      </c:scatterChart>
      <c:valAx>
        <c:axId val="68663552"/>
        <c:scaling>
          <c:orientation val="minMax"/>
          <c:max val="16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Old model prediction (Ni %)</a:t>
                </a:r>
              </a:p>
            </c:rich>
          </c:tx>
          <c:layout>
            <c:manualLayout>
              <c:xMode val="edge"/>
              <c:yMode val="edge"/>
              <c:x val="0.31679419366472317"/>
              <c:y val="0.830820467683231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967424"/>
        <c:crosses val="autoZero"/>
        <c:crossBetween val="midCat"/>
        <c:majorUnit val="2"/>
        <c:minorUnit val="1"/>
      </c:valAx>
      <c:valAx>
        <c:axId val="68967424"/>
        <c:scaling>
          <c:orientation val="minMax"/>
          <c:max val="16"/>
          <c:min val="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Observed assay (Ni %)</a:t>
                </a:r>
              </a:p>
            </c:rich>
          </c:tx>
          <c:layout>
            <c:manualLayout>
              <c:xMode val="edge"/>
              <c:yMode val="edge"/>
              <c:x val="4.0076335877862593E-2"/>
              <c:y val="5.1359992387658489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6635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33099441504863"/>
          <c:y val="7.207212491211297E-2"/>
          <c:w val="0.77819620296732095"/>
          <c:h val="0.62462508257164584"/>
        </c:manualLayout>
      </c:layout>
      <c:scatterChart>
        <c:scatterStyle val="lineMarker"/>
        <c:varyColors val="0"/>
        <c:ser>
          <c:idx val="0"/>
          <c:order val="0"/>
          <c:tx>
            <c:v>New model</c:v>
          </c:tx>
          <c:spPr>
            <a:ln w="28575">
              <a:noFill/>
            </a:ln>
          </c:spPr>
          <c:marker>
            <c:symbol val="diamond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'Comparing calibrations'!$T$2:$T$24</c:f>
              <c:numCache>
                <c:formatCode>General</c:formatCode>
                <c:ptCount val="23"/>
                <c:pt idx="0">
                  <c:v>12.053478509059763</c:v>
                </c:pt>
                <c:pt idx="1">
                  <c:v>12.355676953489731</c:v>
                </c:pt>
                <c:pt idx="2">
                  <c:v>12.003527321147153</c:v>
                </c:pt>
                <c:pt idx="3">
                  <c:v>14.039968081685458</c:v>
                </c:pt>
                <c:pt idx="4">
                  <c:v>12.055003326930015</c:v>
                </c:pt>
                <c:pt idx="5">
                  <c:v>13.00455684481611</c:v>
                </c:pt>
                <c:pt idx="6">
                  <c:v>10.748916304278113</c:v>
                </c:pt>
                <c:pt idx="7">
                  <c:v>13.072648847433429</c:v>
                </c:pt>
                <c:pt idx="8">
                  <c:v>10.895442216986744</c:v>
                </c:pt>
                <c:pt idx="9">
                  <c:v>10.973586571003228</c:v>
                </c:pt>
                <c:pt idx="10">
                  <c:v>9.5597330837653391</c:v>
                </c:pt>
                <c:pt idx="11">
                  <c:v>9.6434460409432621</c:v>
                </c:pt>
                <c:pt idx="12">
                  <c:v>10.166866806450217</c:v>
                </c:pt>
                <c:pt idx="13">
                  <c:v>11.527422661421076</c:v>
                </c:pt>
                <c:pt idx="14">
                  <c:v>12.118262458677933</c:v>
                </c:pt>
                <c:pt idx="15">
                  <c:v>13.769769546137571</c:v>
                </c:pt>
                <c:pt idx="16">
                  <c:v>11.619298335842931</c:v>
                </c:pt>
                <c:pt idx="17">
                  <c:v>12.869565878841811</c:v>
                </c:pt>
                <c:pt idx="18">
                  <c:v>12.274411649286684</c:v>
                </c:pt>
                <c:pt idx="19">
                  <c:v>11.499187181831044</c:v>
                </c:pt>
                <c:pt idx="20">
                  <c:v>11.515320291486706</c:v>
                </c:pt>
                <c:pt idx="21">
                  <c:v>10.244174302511222</c:v>
                </c:pt>
                <c:pt idx="22">
                  <c:v>10.250934928258092</c:v>
                </c:pt>
              </c:numCache>
            </c:numRef>
          </c:xVal>
          <c:yVal>
            <c:numRef>
              <c:f>'Comparing calibrations'!$U$2:$U$24</c:f>
              <c:numCache>
                <c:formatCode>0.00</c:formatCode>
                <c:ptCount val="23"/>
                <c:pt idx="0">
                  <c:v>11.99</c:v>
                </c:pt>
                <c:pt idx="1">
                  <c:v>12.41</c:v>
                </c:pt>
                <c:pt idx="2">
                  <c:v>12.5</c:v>
                </c:pt>
                <c:pt idx="3">
                  <c:v>13.25</c:v>
                </c:pt>
                <c:pt idx="4">
                  <c:v>12.61</c:v>
                </c:pt>
                <c:pt idx="5">
                  <c:v>13.51</c:v>
                </c:pt>
                <c:pt idx="6">
                  <c:v>11.52</c:v>
                </c:pt>
                <c:pt idx="7">
                  <c:v>13.5</c:v>
                </c:pt>
                <c:pt idx="8">
                  <c:v>10.96</c:v>
                </c:pt>
                <c:pt idx="9">
                  <c:v>10.97</c:v>
                </c:pt>
                <c:pt idx="10">
                  <c:v>9.52</c:v>
                </c:pt>
                <c:pt idx="11">
                  <c:v>9.33</c:v>
                </c:pt>
                <c:pt idx="12">
                  <c:v>9.24</c:v>
                </c:pt>
                <c:pt idx="13">
                  <c:v>10.93</c:v>
                </c:pt>
                <c:pt idx="14">
                  <c:v>12</c:v>
                </c:pt>
                <c:pt idx="15">
                  <c:v>12.81</c:v>
                </c:pt>
                <c:pt idx="16">
                  <c:v>10.84</c:v>
                </c:pt>
                <c:pt idx="17">
                  <c:v>11.97</c:v>
                </c:pt>
                <c:pt idx="18">
                  <c:v>11.15</c:v>
                </c:pt>
                <c:pt idx="19">
                  <c:v>11.7</c:v>
                </c:pt>
                <c:pt idx="20">
                  <c:v>11.99</c:v>
                </c:pt>
                <c:pt idx="21">
                  <c:v>10.88</c:v>
                </c:pt>
                <c:pt idx="22">
                  <c:v>10.46</c:v>
                </c:pt>
              </c:numCache>
            </c:numRef>
          </c:yVal>
          <c:smooth val="0"/>
        </c:ser>
        <c:ser>
          <c:idx val="1"/>
          <c:order val="1"/>
          <c:tx>
            <c:v>Old model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'Comparing calibrations'!$V$2:$V$24</c:f>
              <c:numCache>
                <c:formatCode>General</c:formatCode>
                <c:ptCount val="23"/>
                <c:pt idx="0">
                  <c:v>12.583685301996148</c:v>
                </c:pt>
                <c:pt idx="1">
                  <c:v>12.992792975623537</c:v>
                </c:pt>
                <c:pt idx="2">
                  <c:v>12.709861488766414</c:v>
                </c:pt>
                <c:pt idx="3">
                  <c:v>13.938594240989122</c:v>
                </c:pt>
                <c:pt idx="4">
                  <c:v>12.0563263073761</c:v>
                </c:pt>
                <c:pt idx="5">
                  <c:v>12.828381231770384</c:v>
                </c:pt>
                <c:pt idx="6">
                  <c:v>11.180751605867853</c:v>
                </c:pt>
                <c:pt idx="7">
                  <c:v>13.049708937261112</c:v>
                </c:pt>
                <c:pt idx="8">
                  <c:v>10.95934720123026</c:v>
                </c:pt>
                <c:pt idx="9">
                  <c:v>11.05931198632765</c:v>
                </c:pt>
                <c:pt idx="10">
                  <c:v>10.056037762776516</c:v>
                </c:pt>
                <c:pt idx="11">
                  <c:v>10.333904042704937</c:v>
                </c:pt>
                <c:pt idx="12">
                  <c:v>10.796939546577015</c:v>
                </c:pt>
                <c:pt idx="13">
                  <c:v>11.791908259203566</c:v>
                </c:pt>
                <c:pt idx="14">
                  <c:v>12.077638297546855</c:v>
                </c:pt>
                <c:pt idx="15">
                  <c:v>13.281077926951461</c:v>
                </c:pt>
                <c:pt idx="16">
                  <c:v>11.215909240656638</c:v>
                </c:pt>
                <c:pt idx="17">
                  <c:v>12.081943942848529</c:v>
                </c:pt>
                <c:pt idx="18">
                  <c:v>11.416205727088741</c:v>
                </c:pt>
                <c:pt idx="19">
                  <c:v>12.105304009014333</c:v>
                </c:pt>
                <c:pt idx="20">
                  <c:v>12.131002707792366</c:v>
                </c:pt>
                <c:pt idx="21">
                  <c:v>10.856655058821156</c:v>
                </c:pt>
                <c:pt idx="22">
                  <c:v>10.691531905686039</c:v>
                </c:pt>
              </c:numCache>
            </c:numRef>
          </c:xVal>
          <c:yVal>
            <c:numRef>
              <c:f>'Comparing calibrations'!$W$2:$W$24</c:f>
              <c:numCache>
                <c:formatCode>0.00</c:formatCode>
                <c:ptCount val="23"/>
                <c:pt idx="0">
                  <c:v>11.99</c:v>
                </c:pt>
                <c:pt idx="1">
                  <c:v>12.41</c:v>
                </c:pt>
                <c:pt idx="2">
                  <c:v>12.5</c:v>
                </c:pt>
                <c:pt idx="3">
                  <c:v>13.25</c:v>
                </c:pt>
                <c:pt idx="4">
                  <c:v>12.61</c:v>
                </c:pt>
                <c:pt idx="5">
                  <c:v>13.51</c:v>
                </c:pt>
                <c:pt idx="6">
                  <c:v>11.52</c:v>
                </c:pt>
                <c:pt idx="7">
                  <c:v>13.5</c:v>
                </c:pt>
                <c:pt idx="8">
                  <c:v>10.96</c:v>
                </c:pt>
                <c:pt idx="9">
                  <c:v>10.97</c:v>
                </c:pt>
                <c:pt idx="10">
                  <c:v>9.52</c:v>
                </c:pt>
                <c:pt idx="11">
                  <c:v>9.33</c:v>
                </c:pt>
                <c:pt idx="12">
                  <c:v>9.24</c:v>
                </c:pt>
                <c:pt idx="13">
                  <c:v>10.93</c:v>
                </c:pt>
                <c:pt idx="14">
                  <c:v>12</c:v>
                </c:pt>
                <c:pt idx="15">
                  <c:v>12.81</c:v>
                </c:pt>
                <c:pt idx="16">
                  <c:v>10.84</c:v>
                </c:pt>
                <c:pt idx="17">
                  <c:v>11.97</c:v>
                </c:pt>
                <c:pt idx="18">
                  <c:v>11.15</c:v>
                </c:pt>
                <c:pt idx="19">
                  <c:v>11.7</c:v>
                </c:pt>
                <c:pt idx="20">
                  <c:v>11.99</c:v>
                </c:pt>
                <c:pt idx="21">
                  <c:v>10.88</c:v>
                </c:pt>
                <c:pt idx="22">
                  <c:v>10.46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29728"/>
        <c:axId val="71157632"/>
      </c:scatterChart>
      <c:valAx>
        <c:axId val="71129728"/>
        <c:scaling>
          <c:orientation val="minMax"/>
          <c:max val="16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Model prediction (Ni %)</a:t>
                </a:r>
              </a:p>
            </c:rich>
          </c:tx>
          <c:layout>
            <c:manualLayout>
              <c:xMode val="edge"/>
              <c:yMode val="edge"/>
              <c:x val="0.35902285240660703"/>
              <c:y val="0.831832304745690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157632"/>
        <c:crosses val="autoZero"/>
        <c:crossBetween val="midCat"/>
        <c:majorUnit val="2"/>
        <c:minorUnit val="1"/>
      </c:valAx>
      <c:valAx>
        <c:axId val="71157632"/>
        <c:scaling>
          <c:orientation val="minMax"/>
          <c:max val="16"/>
          <c:min val="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Observed assay (Ni %)</a:t>
                </a:r>
              </a:p>
            </c:rich>
          </c:tx>
          <c:layout>
            <c:manualLayout>
              <c:xMode val="edge"/>
              <c:yMode val="edge"/>
              <c:x val="3.9473684210526314E-2"/>
              <c:y val="5.40540540540540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1297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556450180569532"/>
          <c:y val="0.47147194438533019"/>
          <c:w val="0.22556420579006575"/>
          <c:h val="0.165165165165165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273050</xdr:colOff>
      <xdr:row>30</xdr:row>
      <xdr:rowOff>57150</xdr:rowOff>
    </xdr:from>
    <xdr:to>
      <xdr:col>40</xdr:col>
      <xdr:colOff>349250</xdr:colOff>
      <xdr:row>47</xdr:row>
      <xdr:rowOff>50800</xdr:rowOff>
    </xdr:to>
    <xdr:graphicFrame macro="">
      <xdr:nvGraphicFramePr>
        <xdr:cNvPr id="102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12</xdr:row>
      <xdr:rowOff>6350</xdr:rowOff>
    </xdr:from>
    <xdr:to>
      <xdr:col>9</xdr:col>
      <xdr:colOff>19050</xdr:colOff>
      <xdr:row>25</xdr:row>
      <xdr:rowOff>25400</xdr:rowOff>
    </xdr:to>
    <xdr:graphicFrame macro="">
      <xdr:nvGraphicFramePr>
        <xdr:cNvPr id="206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450850</xdr:colOff>
      <xdr:row>12</xdr:row>
      <xdr:rowOff>101600</xdr:rowOff>
    </xdr:from>
    <xdr:to>
      <xdr:col>16</xdr:col>
      <xdr:colOff>171450</xdr:colOff>
      <xdr:row>25</xdr:row>
      <xdr:rowOff>127000</xdr:rowOff>
    </xdr:to>
    <xdr:graphicFrame macro="">
      <xdr:nvGraphicFramePr>
        <xdr:cNvPr id="206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114300</xdr:colOff>
      <xdr:row>12</xdr:row>
      <xdr:rowOff>31750</xdr:rowOff>
    </xdr:from>
    <xdr:to>
      <xdr:col>23</xdr:col>
      <xdr:colOff>0</xdr:colOff>
      <xdr:row>25</xdr:row>
      <xdr:rowOff>69850</xdr:rowOff>
    </xdr:to>
    <xdr:graphicFrame macro="">
      <xdr:nvGraphicFramePr>
        <xdr:cNvPr id="206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0.19138</cdr:x>
      <cdr:y>0.07009</cdr:y>
    </cdr:from>
    <cdr:to>
      <cdr:x>0.95228</cdr:x>
      <cdr:y>0.68819</cdr:y>
    </cdr:to>
    <cdr:sp macro="" textlink="">
      <cdr:nvSpPr>
        <cdr:cNvPr id="307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27063" y="147312"/>
          <a:ext cx="2493168" cy="129916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0.18539</cdr:x>
      <cdr:y>0.0705</cdr:y>
    </cdr:from>
    <cdr:to>
      <cdr:x>0.95325</cdr:x>
      <cdr:y>0.69036</cdr:y>
    </cdr:to>
    <cdr:sp macro="" textlink="">
      <cdr:nvSpPr>
        <cdr:cNvPr id="4097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18042" y="148622"/>
          <a:ext cx="2559863" cy="130679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0.18282</cdr:x>
      <cdr:y>0.07322</cdr:y>
    </cdr:from>
    <cdr:to>
      <cdr:x>0.96001</cdr:x>
      <cdr:y>0.69566</cdr:y>
    </cdr:to>
    <cdr:sp macro="" textlink="">
      <cdr:nvSpPr>
        <cdr:cNvPr id="12289" name="Line 102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18750" y="155299"/>
          <a:ext cx="2630464" cy="132011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7"/>
  <sheetViews>
    <sheetView tabSelected="1" workbookViewId="0">
      <selection activeCell="A5" sqref="A5"/>
    </sheetView>
  </sheetViews>
  <sheetFormatPr defaultRowHeight="12.5"/>
  <cols>
    <col min="1" max="1" width="12.54296875" style="2" customWidth="1"/>
    <col min="2" max="2" width="9.81640625" bestFit="1" customWidth="1"/>
    <col min="3" max="3" width="10.1796875" customWidth="1"/>
    <col min="4" max="4" width="6" customWidth="1"/>
    <col min="5" max="5" width="6.1796875" customWidth="1"/>
    <col min="6" max="12" width="6.26953125" customWidth="1"/>
    <col min="13" max="13" width="5.26953125" customWidth="1"/>
    <col min="14" max="14" width="8.08984375" customWidth="1"/>
    <col min="15" max="15" width="11.81640625" bestFit="1" customWidth="1"/>
    <col min="16" max="16" width="10.1796875" bestFit="1" customWidth="1"/>
    <col min="17" max="25" width="7.7265625" customWidth="1"/>
    <col min="27" max="27" width="13.26953125" customWidth="1"/>
    <col min="28" max="28" width="11.26953125" customWidth="1"/>
    <col min="30" max="30" width="7.81640625" customWidth="1"/>
    <col min="31" max="31" width="7.54296875" customWidth="1"/>
    <col min="32" max="32" width="9.54296875" customWidth="1"/>
    <col min="33" max="33" width="9.7265625" customWidth="1"/>
    <col min="34" max="34" width="9.1796875" style="6" customWidth="1"/>
    <col min="35" max="35" width="13.453125" style="6" customWidth="1"/>
    <col min="36" max="36" width="11" style="6" customWidth="1"/>
    <col min="37" max="37" width="9.1796875" style="6" customWidth="1"/>
    <col min="38" max="38" width="7.1796875" style="6" customWidth="1"/>
    <col min="39" max="39" width="7.54296875" style="6" customWidth="1"/>
    <col min="40" max="43" width="9.1796875" style="6" customWidth="1"/>
    <col min="44" max="44" width="11.81640625" bestFit="1" customWidth="1"/>
    <col min="45" max="45" width="10.1796875" bestFit="1" customWidth="1"/>
    <col min="46" max="50" width="7.7265625" customWidth="1"/>
    <col min="51" max="51" width="7.7265625" style="6" customWidth="1"/>
    <col min="52" max="59" width="9.1796875" style="6" customWidth="1"/>
  </cols>
  <sheetData>
    <row r="1" spans="1:59" s="3" customFormat="1" ht="13">
      <c r="A1" s="41" t="s">
        <v>106</v>
      </c>
      <c r="B1" s="39"/>
      <c r="C1" s="39" t="s">
        <v>9</v>
      </c>
      <c r="D1" s="40" t="s">
        <v>0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0" t="s">
        <v>7</v>
      </c>
      <c r="L1" s="40" t="s">
        <v>8</v>
      </c>
      <c r="N1" s="41" t="s">
        <v>107</v>
      </c>
      <c r="O1" s="3" t="s">
        <v>32</v>
      </c>
      <c r="P1" s="4" t="s">
        <v>9</v>
      </c>
      <c r="Q1" s="3" t="s">
        <v>0</v>
      </c>
      <c r="R1" s="3" t="s">
        <v>2</v>
      </c>
      <c r="S1" s="3" t="s">
        <v>6</v>
      </c>
      <c r="T1" s="3" t="s">
        <v>4</v>
      </c>
      <c r="U1" s="3" t="s">
        <v>8</v>
      </c>
      <c r="V1" s="3" t="s">
        <v>3</v>
      </c>
      <c r="W1" s="3" t="s">
        <v>5</v>
      </c>
      <c r="X1" s="3" t="s">
        <v>7</v>
      </c>
      <c r="Y1" s="3" t="s">
        <v>1</v>
      </c>
      <c r="AA1" t="s">
        <v>10</v>
      </c>
      <c r="AB1"/>
      <c r="AC1"/>
      <c r="AD1"/>
      <c r="AE1"/>
      <c r="AF1"/>
      <c r="AG1"/>
      <c r="AH1" s="6"/>
      <c r="AI1" t="s">
        <v>10</v>
      </c>
      <c r="AJ1"/>
      <c r="AK1"/>
      <c r="AL1"/>
      <c r="AM1"/>
      <c r="AN1"/>
      <c r="AO1"/>
      <c r="AP1"/>
      <c r="AQ1" s="20" t="s">
        <v>42</v>
      </c>
      <c r="AR1" s="3" t="s">
        <v>32</v>
      </c>
      <c r="AS1" s="4" t="s">
        <v>9</v>
      </c>
      <c r="AT1" s="3" t="s">
        <v>2</v>
      </c>
      <c r="AU1" s="3" t="s">
        <v>6</v>
      </c>
      <c r="AV1" s="3" t="s">
        <v>4</v>
      </c>
      <c r="AW1" s="3" t="s">
        <v>8</v>
      </c>
      <c r="AY1" t="s">
        <v>10</v>
      </c>
      <c r="AZ1"/>
      <c r="BA1"/>
      <c r="BB1"/>
      <c r="BC1"/>
      <c r="BD1"/>
      <c r="BE1"/>
      <c r="BF1" s="6"/>
      <c r="BG1" s="6"/>
    </row>
    <row r="2" spans="1:59" ht="13.5" thickBot="1">
      <c r="A2" s="41" t="s">
        <v>27</v>
      </c>
      <c r="B2" s="5" t="s">
        <v>9</v>
      </c>
      <c r="C2" s="5">
        <v>1</v>
      </c>
      <c r="D2" s="5"/>
      <c r="E2" s="5"/>
      <c r="F2" s="5"/>
      <c r="G2" s="5"/>
      <c r="H2" s="5"/>
      <c r="I2" s="5"/>
      <c r="J2" s="5"/>
      <c r="K2" s="5"/>
      <c r="L2" s="5"/>
      <c r="O2" s="2">
        <v>1</v>
      </c>
      <c r="P2" s="1">
        <v>13.07</v>
      </c>
      <c r="Q2">
        <v>0.89857798295182867</v>
      </c>
      <c r="R2">
        <v>0.95180623425939792</v>
      </c>
      <c r="S2">
        <v>0.90097098142108822</v>
      </c>
      <c r="T2">
        <v>1.0193985956467704</v>
      </c>
      <c r="U2">
        <v>0.96564449747571712</v>
      </c>
      <c r="V2">
        <v>0.93829900657901388</v>
      </c>
      <c r="W2">
        <v>1.0490672430501624</v>
      </c>
      <c r="X2">
        <v>0.9944747957099872</v>
      </c>
      <c r="Y2">
        <v>0.93238976325782352</v>
      </c>
      <c r="AI2"/>
      <c r="AJ2"/>
      <c r="AK2"/>
      <c r="AL2"/>
      <c r="AM2"/>
      <c r="AN2"/>
      <c r="AO2"/>
      <c r="AP2"/>
      <c r="AQ2" s="20" t="s">
        <v>43</v>
      </c>
      <c r="AR2" s="2">
        <v>1</v>
      </c>
      <c r="AS2" s="1">
        <v>13.07</v>
      </c>
      <c r="AT2">
        <v>0.95180623425939792</v>
      </c>
      <c r="AU2">
        <v>0.90097098142108822</v>
      </c>
      <c r="AV2">
        <v>1.0193985956467704</v>
      </c>
      <c r="AW2">
        <v>0.96564449747571712</v>
      </c>
      <c r="AY2"/>
      <c r="AZ2"/>
      <c r="BA2"/>
      <c r="BB2"/>
      <c r="BC2"/>
      <c r="BD2"/>
      <c r="BE2"/>
    </row>
    <row r="3" spans="1:59" ht="13">
      <c r="B3" s="15" t="s">
        <v>0</v>
      </c>
      <c r="C3" s="18">
        <v>-0.2146245654752755</v>
      </c>
      <c r="D3" s="5">
        <v>1</v>
      </c>
      <c r="E3" s="5"/>
      <c r="F3" s="5"/>
      <c r="G3" s="5"/>
      <c r="H3" s="5"/>
      <c r="I3" s="5"/>
      <c r="J3" s="5"/>
      <c r="K3" s="5"/>
      <c r="L3" s="5"/>
      <c r="O3" s="2">
        <v>2</v>
      </c>
      <c r="P3" s="1">
        <v>12.5</v>
      </c>
      <c r="Q3">
        <v>0.93537838050104383</v>
      </c>
      <c r="R3">
        <v>0.94170965949124008</v>
      </c>
      <c r="S3">
        <v>0.93567132602248693</v>
      </c>
      <c r="T3">
        <v>0.99962692519380958</v>
      </c>
      <c r="U3">
        <v>0.85013826214915811</v>
      </c>
      <c r="V3">
        <v>0.90503285717173154</v>
      </c>
      <c r="W3">
        <v>1.0289772457849162</v>
      </c>
      <c r="X3">
        <v>1.0244404297449976</v>
      </c>
      <c r="Y3">
        <v>0.9550080984747521</v>
      </c>
      <c r="AA3" s="11" t="s">
        <v>11</v>
      </c>
      <c r="AB3" s="11"/>
      <c r="AI3" s="11" t="s">
        <v>11</v>
      </c>
      <c r="AJ3" s="11"/>
      <c r="AK3"/>
      <c r="AL3"/>
      <c r="AM3"/>
      <c r="AN3"/>
      <c r="AO3"/>
      <c r="AP3"/>
      <c r="AR3" s="2">
        <v>2</v>
      </c>
      <c r="AS3" s="1">
        <v>12.5</v>
      </c>
      <c r="AT3">
        <v>0.94170965949124008</v>
      </c>
      <c r="AU3">
        <v>0.93567132602248693</v>
      </c>
      <c r="AV3">
        <v>0.99962692519380958</v>
      </c>
      <c r="AW3">
        <v>0.85013826214915811</v>
      </c>
      <c r="AY3" s="11" t="s">
        <v>11</v>
      </c>
      <c r="AZ3" s="11"/>
      <c r="BA3"/>
      <c r="BB3"/>
      <c r="BC3"/>
      <c r="BD3"/>
      <c r="BE3"/>
    </row>
    <row r="4" spans="1:59">
      <c r="B4" s="15" t="s">
        <v>1</v>
      </c>
      <c r="C4" s="18">
        <v>-0.1204262631546681</v>
      </c>
      <c r="D4" s="18">
        <v>0.98712283055118644</v>
      </c>
      <c r="E4" s="5">
        <v>1</v>
      </c>
      <c r="F4" s="5"/>
      <c r="G4" s="5"/>
      <c r="H4" s="5"/>
      <c r="I4" s="5"/>
      <c r="J4" s="5"/>
      <c r="K4" s="5"/>
      <c r="L4" s="5"/>
      <c r="O4" s="2">
        <v>3</v>
      </c>
      <c r="P4" s="1">
        <v>12.46</v>
      </c>
      <c r="Q4">
        <v>0.90163051064076261</v>
      </c>
      <c r="R4">
        <v>0.93263465796683698</v>
      </c>
      <c r="S4">
        <v>0.82702487966666982</v>
      </c>
      <c r="T4">
        <v>1.0128066906258564</v>
      </c>
      <c r="U4">
        <v>0.94976947718094684</v>
      </c>
      <c r="V4">
        <v>0.90379487069357567</v>
      </c>
      <c r="W4">
        <v>1.069384012706079</v>
      </c>
      <c r="X4">
        <v>1.0581866298113125</v>
      </c>
      <c r="Y4">
        <v>0.91316611959408878</v>
      </c>
      <c r="AA4" s="5" t="s">
        <v>12</v>
      </c>
      <c r="AB4" s="5">
        <v>0.92205232814272131</v>
      </c>
      <c r="AI4" s="5" t="s">
        <v>12</v>
      </c>
      <c r="AJ4" s="5">
        <v>0.94279822386994283</v>
      </c>
      <c r="AK4"/>
      <c r="AL4"/>
      <c r="AM4"/>
      <c r="AN4"/>
      <c r="AO4"/>
      <c r="AP4"/>
      <c r="AR4" s="2">
        <v>3</v>
      </c>
      <c r="AS4" s="1">
        <v>12.46</v>
      </c>
      <c r="AT4">
        <v>0.93263465796683698</v>
      </c>
      <c r="AU4">
        <v>0.82702487966666982</v>
      </c>
      <c r="AV4">
        <v>1.0128066906258564</v>
      </c>
      <c r="AW4">
        <v>0.94976947718094684</v>
      </c>
      <c r="AY4" s="5" t="s">
        <v>12</v>
      </c>
      <c r="AZ4" s="5">
        <v>0.94973345468301984</v>
      </c>
      <c r="BA4"/>
      <c r="BB4"/>
      <c r="BC4"/>
      <c r="BD4"/>
      <c r="BE4"/>
    </row>
    <row r="5" spans="1:59">
      <c r="B5" s="15" t="s">
        <v>2</v>
      </c>
      <c r="C5" s="18">
        <v>0.89189463246596623</v>
      </c>
      <c r="D5" s="18">
        <v>2.1539560135938163E-2</v>
      </c>
      <c r="E5" s="18">
        <v>0.1193004614387711</v>
      </c>
      <c r="F5" s="5">
        <v>1</v>
      </c>
      <c r="G5" s="5"/>
      <c r="H5" s="5"/>
      <c r="I5" s="5"/>
      <c r="J5" s="5"/>
      <c r="K5" s="5"/>
      <c r="L5" s="5"/>
      <c r="O5" s="2">
        <v>4</v>
      </c>
      <c r="P5" s="1">
        <v>13.38</v>
      </c>
      <c r="Q5">
        <v>0.89110579261001754</v>
      </c>
      <c r="R5">
        <v>0.98836435061806527</v>
      </c>
      <c r="S5">
        <v>0.83484077198104234</v>
      </c>
      <c r="T5">
        <v>1.0188962551119825</v>
      </c>
      <c r="U5">
        <v>0.85676144431759316</v>
      </c>
      <c r="V5">
        <v>0.96046117522814323</v>
      </c>
      <c r="W5">
        <v>1.0747211449539853</v>
      </c>
      <c r="X5">
        <v>1.0213725933753326</v>
      </c>
      <c r="Y5">
        <v>0.92176594859346495</v>
      </c>
      <c r="AA5" s="5" t="s">
        <v>13</v>
      </c>
      <c r="AB5" s="5">
        <v>0.8501804958334126</v>
      </c>
      <c r="AI5" s="5" t="s">
        <v>13</v>
      </c>
      <c r="AJ5" s="5">
        <v>0.88886849093231879</v>
      </c>
      <c r="AK5"/>
      <c r="AL5"/>
      <c r="AM5"/>
      <c r="AN5"/>
      <c r="AO5"/>
      <c r="AP5"/>
      <c r="AR5" s="2">
        <v>4</v>
      </c>
      <c r="AS5" s="1">
        <v>13.38</v>
      </c>
      <c r="AT5">
        <v>0.98836435061806527</v>
      </c>
      <c r="AU5">
        <v>0.83484077198104234</v>
      </c>
      <c r="AV5">
        <v>1.0188962551119825</v>
      </c>
      <c r="AW5">
        <v>0.85676144431759316</v>
      </c>
      <c r="AY5" s="5" t="s">
        <v>13</v>
      </c>
      <c r="AZ5" s="5">
        <v>0.90199363494414375</v>
      </c>
      <c r="BA5"/>
      <c r="BB5"/>
      <c r="BC5"/>
      <c r="BD5"/>
      <c r="BE5"/>
    </row>
    <row r="6" spans="1:59">
      <c r="B6" s="15" t="s">
        <v>3</v>
      </c>
      <c r="C6" s="18">
        <v>0.87791715785212288</v>
      </c>
      <c r="D6" s="18">
        <v>-2.5993078664683967E-2</v>
      </c>
      <c r="E6" s="18">
        <v>7.0065482052845116E-2</v>
      </c>
      <c r="F6" s="18">
        <v>0.94609999949719459</v>
      </c>
      <c r="G6" s="5">
        <v>1</v>
      </c>
      <c r="H6" s="5"/>
      <c r="I6" s="5"/>
      <c r="J6" s="5"/>
      <c r="K6" s="5"/>
      <c r="L6" s="5"/>
      <c r="O6" s="2">
        <v>5</v>
      </c>
      <c r="P6" s="1">
        <v>13.83</v>
      </c>
      <c r="Q6">
        <v>0.84721640266250009</v>
      </c>
      <c r="R6">
        <v>0.98022630874807859</v>
      </c>
      <c r="S6">
        <v>0.8710747313864432</v>
      </c>
      <c r="T6">
        <v>1.0491054455655384</v>
      </c>
      <c r="U6">
        <v>0.8075385729490685</v>
      </c>
      <c r="V6">
        <v>0.9525595370435872</v>
      </c>
      <c r="W6">
        <v>1.1147649109245479</v>
      </c>
      <c r="X6">
        <v>1.0104647307276351</v>
      </c>
      <c r="Y6">
        <v>0.88308992894105376</v>
      </c>
      <c r="AA6" s="5" t="s">
        <v>39</v>
      </c>
      <c r="AB6" s="5">
        <v>0.84492367112581312</v>
      </c>
      <c r="AI6" s="5" t="s">
        <v>39</v>
      </c>
      <c r="AJ6" s="5">
        <v>0.88078619936376013</v>
      </c>
      <c r="AK6"/>
      <c r="AL6"/>
      <c r="AM6"/>
      <c r="AN6"/>
      <c r="AO6"/>
      <c r="AP6"/>
      <c r="AR6" s="2">
        <v>5</v>
      </c>
      <c r="AS6" s="1">
        <v>13.83</v>
      </c>
      <c r="AT6">
        <v>0.98022630874807859</v>
      </c>
      <c r="AU6">
        <v>0.8710747313864432</v>
      </c>
      <c r="AV6">
        <v>1.0491054455655384</v>
      </c>
      <c r="AW6">
        <v>0.8075385729490685</v>
      </c>
      <c r="AY6" s="5" t="s">
        <v>14</v>
      </c>
      <c r="AZ6" s="5">
        <v>0.89473390419926557</v>
      </c>
      <c r="BA6"/>
      <c r="BB6"/>
      <c r="BC6"/>
      <c r="BD6"/>
      <c r="BE6"/>
    </row>
    <row r="7" spans="1:59">
      <c r="B7" s="15" t="s">
        <v>4</v>
      </c>
      <c r="C7" s="18">
        <v>-1.0332641961442931E-2</v>
      </c>
      <c r="D7" s="18">
        <v>-0.9123491893150607</v>
      </c>
      <c r="E7" s="18">
        <v>-0.92145644574636598</v>
      </c>
      <c r="F7" s="18">
        <v>-0.27830256681345888</v>
      </c>
      <c r="G7" s="18">
        <v>-0.2582895707710573</v>
      </c>
      <c r="H7" s="5">
        <v>1</v>
      </c>
      <c r="I7" s="5"/>
      <c r="J7" s="5"/>
      <c r="K7" s="5"/>
      <c r="L7" s="5"/>
      <c r="O7" s="2">
        <v>6</v>
      </c>
      <c r="P7" s="1">
        <v>11.86</v>
      </c>
      <c r="Q7">
        <v>0.80855444306824764</v>
      </c>
      <c r="R7">
        <v>0.90291782200118664</v>
      </c>
      <c r="S7">
        <v>0.87552775750408818</v>
      </c>
      <c r="T7">
        <v>1.1112897031029922</v>
      </c>
      <c r="U7">
        <v>0.85333388311758596</v>
      </c>
      <c r="V7">
        <v>0.89133131549959077</v>
      </c>
      <c r="W7">
        <v>1.1838878326512225</v>
      </c>
      <c r="X7">
        <v>0.96463311465960955</v>
      </c>
      <c r="Y7">
        <v>0.83577525487617643</v>
      </c>
      <c r="AA7" s="5" t="s">
        <v>15</v>
      </c>
      <c r="AB7" s="5">
        <v>0.53458902996536983</v>
      </c>
      <c r="AI7" s="5" t="s">
        <v>15</v>
      </c>
      <c r="AJ7" s="5">
        <v>0.46871683647347134</v>
      </c>
      <c r="AK7"/>
      <c r="AL7"/>
      <c r="AM7"/>
      <c r="AN7"/>
      <c r="AO7"/>
      <c r="AP7"/>
      <c r="AR7" s="2">
        <v>6</v>
      </c>
      <c r="AS7" s="1">
        <v>11.86</v>
      </c>
      <c r="AT7">
        <v>0.90291782200118664</v>
      </c>
      <c r="AU7">
        <v>0.87552775750408818</v>
      </c>
      <c r="AV7">
        <v>1.1112897031029922</v>
      </c>
      <c r="AW7">
        <v>0.85333388311758596</v>
      </c>
      <c r="AY7" s="5" t="s">
        <v>15</v>
      </c>
      <c r="AZ7" s="5">
        <v>0.44381368845536656</v>
      </c>
      <c r="BA7"/>
      <c r="BB7"/>
      <c r="BC7"/>
      <c r="BD7"/>
      <c r="BE7"/>
    </row>
    <row r="8" spans="1:59" ht="13" thickBot="1">
      <c r="B8" s="15" t="s">
        <v>5</v>
      </c>
      <c r="C8" s="18">
        <v>3.2652857512013224E-2</v>
      </c>
      <c r="D8" s="18">
        <v>-0.9083804830651816</v>
      </c>
      <c r="E8" s="18">
        <v>-0.91154134460541236</v>
      </c>
      <c r="F8" s="18">
        <v>-0.21476677284645934</v>
      </c>
      <c r="G8" s="18">
        <v>-0.20865264050255988</v>
      </c>
      <c r="H8" s="18">
        <v>0.98920308122624223</v>
      </c>
      <c r="I8" s="5">
        <v>1</v>
      </c>
      <c r="J8" s="5"/>
      <c r="K8" s="5"/>
      <c r="L8" s="5"/>
      <c r="O8" s="2">
        <v>7</v>
      </c>
      <c r="P8" s="1">
        <v>11.15</v>
      </c>
      <c r="Q8">
        <v>0.74500411615631712</v>
      </c>
      <c r="R8">
        <v>0.79522568210294098</v>
      </c>
      <c r="S8">
        <v>0.80514777210114463</v>
      </c>
      <c r="T8">
        <v>1.1684141538045378</v>
      </c>
      <c r="U8">
        <v>0.79764245640167919</v>
      </c>
      <c r="V8">
        <v>0.79319404301118746</v>
      </c>
      <c r="W8">
        <v>1.2701733512553242</v>
      </c>
      <c r="X8">
        <v>1.0202570165136364</v>
      </c>
      <c r="Y8">
        <v>0.78601120366376853</v>
      </c>
      <c r="AA8" s="9" t="s">
        <v>16</v>
      </c>
      <c r="AB8" s="9">
        <v>60</v>
      </c>
      <c r="AI8" s="9" t="s">
        <v>16</v>
      </c>
      <c r="AJ8" s="9">
        <v>60</v>
      </c>
      <c r="AK8"/>
      <c r="AL8"/>
      <c r="AM8"/>
      <c r="AN8"/>
      <c r="AO8"/>
      <c r="AP8"/>
      <c r="AR8" s="2">
        <v>7</v>
      </c>
      <c r="AS8" s="1">
        <v>11.15</v>
      </c>
      <c r="AT8">
        <v>0.79522568210294098</v>
      </c>
      <c r="AU8">
        <v>0.80514777210114463</v>
      </c>
      <c r="AV8">
        <v>1.1684141538045378</v>
      </c>
      <c r="AW8">
        <v>0.79764245640167919</v>
      </c>
      <c r="AY8" s="9" t="s">
        <v>16</v>
      </c>
      <c r="AZ8" s="9">
        <v>59</v>
      </c>
      <c r="BA8"/>
      <c r="BB8"/>
      <c r="BC8"/>
      <c r="BD8"/>
      <c r="BE8"/>
    </row>
    <row r="9" spans="1:59">
      <c r="B9" s="15" t="s">
        <v>6</v>
      </c>
      <c r="C9" s="18">
        <v>0.21070467801975826</v>
      </c>
      <c r="D9" s="18">
        <v>0.14645557580107466</v>
      </c>
      <c r="E9" s="18">
        <v>0.17585868446390884</v>
      </c>
      <c r="F9" s="18">
        <v>0.1143920949758291</v>
      </c>
      <c r="G9" s="18">
        <v>0.13310210151201488</v>
      </c>
      <c r="H9" s="18">
        <v>-0.17580879890516657</v>
      </c>
      <c r="I9" s="18">
        <v>-0.21893386078882351</v>
      </c>
      <c r="J9" s="5">
        <v>1</v>
      </c>
      <c r="K9" s="5"/>
      <c r="L9" s="5"/>
      <c r="O9" s="2">
        <v>8</v>
      </c>
      <c r="P9" s="1">
        <v>11.07</v>
      </c>
      <c r="Q9">
        <v>0.7419017388234046</v>
      </c>
      <c r="R9">
        <v>0.76510013921264253</v>
      </c>
      <c r="S9">
        <v>0.8061640228748812</v>
      </c>
      <c r="T9">
        <v>1.1938442333409802</v>
      </c>
      <c r="U9">
        <v>0.7847568879805995</v>
      </c>
      <c r="V9">
        <v>0.77978620731473158</v>
      </c>
      <c r="W9">
        <v>1.3009299071584475</v>
      </c>
      <c r="X9">
        <v>1.0448926722094309</v>
      </c>
      <c r="Y9">
        <v>0.76850853863677215</v>
      </c>
      <c r="AI9"/>
      <c r="AJ9"/>
      <c r="AK9"/>
      <c r="AL9"/>
      <c r="AM9"/>
      <c r="AN9"/>
      <c r="AO9"/>
      <c r="AP9"/>
      <c r="AR9" s="2">
        <v>8</v>
      </c>
      <c r="AS9" s="1">
        <v>11.07</v>
      </c>
      <c r="AT9">
        <v>0.76510013921264253</v>
      </c>
      <c r="AU9">
        <v>0.8061640228748812</v>
      </c>
      <c r="AV9">
        <v>1.1938442333409802</v>
      </c>
      <c r="AW9">
        <v>0.7847568879805995</v>
      </c>
      <c r="AY9"/>
      <c r="AZ9"/>
      <c r="BA9"/>
      <c r="BB9"/>
      <c r="BC9"/>
      <c r="BD9"/>
      <c r="BE9"/>
    </row>
    <row r="10" spans="1:59" ht="13" thickBot="1">
      <c r="B10" s="15" t="s">
        <v>7</v>
      </c>
      <c r="C10" s="18">
        <v>3.5707488180264681E-2</v>
      </c>
      <c r="D10" s="18">
        <v>2.4176036306820289E-2</v>
      </c>
      <c r="E10" s="18">
        <v>2.0131115680205078E-2</v>
      </c>
      <c r="F10" s="18">
        <v>0.11170470456330887</v>
      </c>
      <c r="G10" s="18">
        <v>0.10011816282657759</v>
      </c>
      <c r="H10" s="18">
        <v>-7.4417794030606318E-2</v>
      </c>
      <c r="I10" s="18">
        <v>-6.7217724764989759E-2</v>
      </c>
      <c r="J10" s="18">
        <v>0.16150589335386373</v>
      </c>
      <c r="K10" s="5">
        <v>1</v>
      </c>
      <c r="L10" s="5"/>
      <c r="O10" s="2">
        <v>9</v>
      </c>
      <c r="P10" s="1">
        <v>10.65</v>
      </c>
      <c r="Q10">
        <v>0.78064372913860236</v>
      </c>
      <c r="R10">
        <v>0.75582563592255181</v>
      </c>
      <c r="S10">
        <v>0.87545384835690743</v>
      </c>
      <c r="T10">
        <v>1.1503921815427953</v>
      </c>
      <c r="U10">
        <v>0.8576892052439109</v>
      </c>
      <c r="V10">
        <v>0.76969756495639252</v>
      </c>
      <c r="W10">
        <v>1.2423513511795314</v>
      </c>
      <c r="X10">
        <v>0.97588184801504785</v>
      </c>
      <c r="Y10">
        <v>0.80349614404565872</v>
      </c>
      <c r="AA10" t="s">
        <v>17</v>
      </c>
      <c r="AI10" t="s">
        <v>17</v>
      </c>
      <c r="AJ10"/>
      <c r="AK10"/>
      <c r="AL10"/>
      <c r="AM10"/>
      <c r="AN10"/>
      <c r="AO10"/>
      <c r="AP10"/>
      <c r="AR10" s="2">
        <v>9</v>
      </c>
      <c r="AS10" s="1">
        <v>10.65</v>
      </c>
      <c r="AT10">
        <v>0.75582563592255181</v>
      </c>
      <c r="AU10">
        <v>0.87545384835690743</v>
      </c>
      <c r="AV10">
        <v>1.1503921815427953</v>
      </c>
      <c r="AW10">
        <v>0.8576892052439109</v>
      </c>
      <c r="AY10" t="s">
        <v>17</v>
      </c>
      <c r="AZ10"/>
      <c r="BA10"/>
      <c r="BB10"/>
      <c r="BC10"/>
      <c r="BD10"/>
      <c r="BE10"/>
    </row>
    <row r="11" spans="1:59" ht="13.5" thickBot="1">
      <c r="B11" s="16" t="s">
        <v>8</v>
      </c>
      <c r="C11" s="17">
        <v>-7.94344899390452E-2</v>
      </c>
      <c r="D11" s="17">
        <v>0.23944418493755917</v>
      </c>
      <c r="E11" s="17">
        <v>0.22641553706482254</v>
      </c>
      <c r="F11" s="17">
        <v>-0.17089279755490588</v>
      </c>
      <c r="G11" s="17">
        <v>1.8457900455940746E-2</v>
      </c>
      <c r="H11" s="17">
        <v>-0.1969333441167031</v>
      </c>
      <c r="I11" s="17">
        <v>-0.24997787083180972</v>
      </c>
      <c r="J11" s="17">
        <v>0.32271407715302841</v>
      </c>
      <c r="K11" s="17">
        <v>-0.23716201868478157</v>
      </c>
      <c r="L11" s="9">
        <v>1</v>
      </c>
      <c r="O11" s="2">
        <v>10</v>
      </c>
      <c r="P11" s="1">
        <v>10.54</v>
      </c>
      <c r="Q11">
        <v>0.77663473260040572</v>
      </c>
      <c r="R11">
        <v>0.74734409393070989</v>
      </c>
      <c r="S11">
        <v>0.91791465341229306</v>
      </c>
      <c r="T11">
        <v>1.1727370327383659</v>
      </c>
      <c r="U11">
        <v>0.81320822305434359</v>
      </c>
      <c r="V11">
        <v>0.74344088235591355</v>
      </c>
      <c r="W11">
        <v>1.2590956300547504</v>
      </c>
      <c r="X11">
        <v>0.9878123227859672</v>
      </c>
      <c r="Y11">
        <v>0.8047638781861105</v>
      </c>
      <c r="AA11" s="10"/>
      <c r="AB11" s="10" t="s">
        <v>22</v>
      </c>
      <c r="AC11" s="10" t="s">
        <v>23</v>
      </c>
      <c r="AD11" s="10" t="s">
        <v>24</v>
      </c>
      <c r="AE11" s="10" t="s">
        <v>25</v>
      </c>
      <c r="AF11" s="10" t="s">
        <v>38</v>
      </c>
      <c r="AI11" s="10"/>
      <c r="AJ11" s="10" t="s">
        <v>22</v>
      </c>
      <c r="AK11" s="10" t="s">
        <v>23</v>
      </c>
      <c r="AL11" s="10" t="s">
        <v>24</v>
      </c>
      <c r="AM11" s="10" t="s">
        <v>25</v>
      </c>
      <c r="AN11" s="10" t="s">
        <v>38</v>
      </c>
      <c r="AO11"/>
      <c r="AP11"/>
      <c r="AR11" s="2">
        <v>10</v>
      </c>
      <c r="AS11" s="1">
        <v>10.54</v>
      </c>
      <c r="AT11">
        <v>0.74734409393070989</v>
      </c>
      <c r="AU11">
        <v>0.91791465341229306</v>
      </c>
      <c r="AV11">
        <v>1.1727370327383659</v>
      </c>
      <c r="AW11">
        <v>0.81320822305434359</v>
      </c>
      <c r="AY11" s="10"/>
      <c r="AZ11" s="10" t="s">
        <v>22</v>
      </c>
      <c r="BA11" s="10" t="s">
        <v>23</v>
      </c>
      <c r="BB11" s="10" t="s">
        <v>24</v>
      </c>
      <c r="BC11" s="10" t="s">
        <v>25</v>
      </c>
      <c r="BD11" s="10" t="s">
        <v>26</v>
      </c>
      <c r="BE11"/>
    </row>
    <row r="12" spans="1:59">
      <c r="D12" s="12"/>
      <c r="E12" s="6"/>
      <c r="F12" s="12"/>
      <c r="G12" s="6"/>
      <c r="H12" s="5"/>
      <c r="I12" s="5"/>
      <c r="J12" s="5"/>
      <c r="K12" s="5"/>
      <c r="L12" s="5"/>
      <c r="M12" s="5"/>
      <c r="N12" s="5"/>
      <c r="O12" s="2">
        <v>11</v>
      </c>
      <c r="P12" s="1">
        <v>11.48</v>
      </c>
      <c r="Q12">
        <v>0.76315176035709442</v>
      </c>
      <c r="R12">
        <v>0.7648882171035658</v>
      </c>
      <c r="S12">
        <v>0.86776729705010114</v>
      </c>
      <c r="T12">
        <v>1.1751824038118992</v>
      </c>
      <c r="U12">
        <v>0.81333707873855443</v>
      </c>
      <c r="V12">
        <v>0.77581959757859953</v>
      </c>
      <c r="W12">
        <v>1.2609612733027551</v>
      </c>
      <c r="X12">
        <v>1.055707570118654</v>
      </c>
      <c r="Y12">
        <v>0.78964137978765869</v>
      </c>
      <c r="AA12" s="5" t="s">
        <v>18</v>
      </c>
      <c r="AB12" s="14">
        <v>2</v>
      </c>
      <c r="AC12" s="5">
        <v>92.439528768652366</v>
      </c>
      <c r="AD12" s="5">
        <v>46.219764384326183</v>
      </c>
      <c r="AE12" s="5">
        <v>161.72890349650507</v>
      </c>
      <c r="AF12" s="5">
        <v>3.1893202443107107E-24</v>
      </c>
      <c r="AI12" s="5" t="s">
        <v>18</v>
      </c>
      <c r="AJ12" s="5">
        <v>4</v>
      </c>
      <c r="AK12" s="5">
        <v>96.646047329679874</v>
      </c>
      <c r="AL12" s="5">
        <v>24.161511832419968</v>
      </c>
      <c r="AM12" s="5">
        <v>109.97728594575277</v>
      </c>
      <c r="AN12" s="5">
        <v>1.4659080198614292E-25</v>
      </c>
      <c r="AO12"/>
      <c r="AP12"/>
      <c r="AR12" s="2">
        <v>11</v>
      </c>
      <c r="AS12" s="1">
        <v>11.48</v>
      </c>
      <c r="AT12">
        <v>0.7648882171035658</v>
      </c>
      <c r="AU12">
        <v>0.86776729705010114</v>
      </c>
      <c r="AV12">
        <v>1.1751824038118992</v>
      </c>
      <c r="AW12">
        <v>0.81333707873855443</v>
      </c>
      <c r="AY12" s="5" t="s">
        <v>18</v>
      </c>
      <c r="AZ12" s="5">
        <v>4</v>
      </c>
      <c r="BA12" s="5">
        <v>97.891354238435596</v>
      </c>
      <c r="BB12" s="5">
        <v>24.472838559608899</v>
      </c>
      <c r="BC12" s="5">
        <v>124.24615549006454</v>
      </c>
      <c r="BD12" s="5">
        <v>1.4720045636798976E-26</v>
      </c>
      <c r="BE12"/>
    </row>
    <row r="13" spans="1:59">
      <c r="D13" s="12"/>
      <c r="E13" s="6"/>
      <c r="F13" s="12"/>
      <c r="G13" s="6"/>
      <c r="H13" s="5"/>
      <c r="I13" s="5"/>
      <c r="J13" s="5"/>
      <c r="K13" s="5"/>
      <c r="L13" s="5"/>
      <c r="M13" s="5"/>
      <c r="N13" s="5"/>
      <c r="O13" s="2">
        <v>12</v>
      </c>
      <c r="P13" s="1">
        <v>15.73</v>
      </c>
      <c r="Q13">
        <v>0.78641255375453278</v>
      </c>
      <c r="R13">
        <v>1.0925869452177077</v>
      </c>
      <c r="S13">
        <v>0.94592622019382677</v>
      </c>
      <c r="T13">
        <v>1.1151385537704983</v>
      </c>
      <c r="U13">
        <v>0.95531027160201121</v>
      </c>
      <c r="V13">
        <v>1.0635851330456489</v>
      </c>
      <c r="W13">
        <v>1.2031676139964029</v>
      </c>
      <c r="X13">
        <v>1.0776162601525241</v>
      </c>
      <c r="Y13">
        <v>0.84421809416175508</v>
      </c>
      <c r="AA13" s="5" t="s">
        <v>19</v>
      </c>
      <c r="AB13" s="14">
        <v>57</v>
      </c>
      <c r="AC13" s="5">
        <v>16.289769564680959</v>
      </c>
      <c r="AD13" s="5">
        <v>0.28578543095931508</v>
      </c>
      <c r="AE13" s="5"/>
      <c r="AF13" s="5"/>
      <c r="AI13" s="5" t="s">
        <v>19</v>
      </c>
      <c r="AJ13" s="5">
        <v>55</v>
      </c>
      <c r="AK13" s="5">
        <v>12.083251003653437</v>
      </c>
      <c r="AL13" s="5">
        <v>0.21969547279369886</v>
      </c>
      <c r="AM13" s="5"/>
      <c r="AN13" s="5"/>
      <c r="AO13"/>
      <c r="AP13"/>
      <c r="AR13" s="2">
        <v>12</v>
      </c>
      <c r="AS13" s="1">
        <v>15.73</v>
      </c>
      <c r="AT13">
        <v>1.0925869452177077</v>
      </c>
      <c r="AU13">
        <v>0.94592622019382677</v>
      </c>
      <c r="AV13">
        <v>1.1151385537704983</v>
      </c>
      <c r="AW13">
        <v>0.95531027160201121</v>
      </c>
      <c r="AY13" s="5" t="s">
        <v>19</v>
      </c>
      <c r="AZ13" s="5">
        <v>54</v>
      </c>
      <c r="BA13" s="5">
        <v>10.636411863259289</v>
      </c>
      <c r="BB13" s="5">
        <v>0.19697059006035719</v>
      </c>
      <c r="BC13" s="5"/>
      <c r="BD13" s="5"/>
      <c r="BE13"/>
    </row>
    <row r="14" spans="1:59" ht="13" thickBot="1">
      <c r="D14" s="12"/>
      <c r="E14" s="6"/>
      <c r="F14" s="12"/>
      <c r="G14" s="6"/>
      <c r="H14" s="5"/>
      <c r="I14" s="5"/>
      <c r="J14" s="5"/>
      <c r="K14" s="5"/>
      <c r="L14" s="5"/>
      <c r="M14" s="5"/>
      <c r="N14" s="5"/>
      <c r="O14" s="2">
        <v>13</v>
      </c>
      <c r="P14" s="1">
        <v>18.329999999999998</v>
      </c>
      <c r="Q14">
        <v>0.63090319823107688</v>
      </c>
      <c r="R14">
        <v>1.1861381360317149</v>
      </c>
      <c r="S14">
        <v>0.89400504429929517</v>
      </c>
      <c r="T14">
        <v>1.2341236932270259</v>
      </c>
      <c r="U14">
        <v>0.93330172073880691</v>
      </c>
      <c r="V14">
        <v>1.1599080605552243</v>
      </c>
      <c r="W14">
        <v>1.3501887783829107</v>
      </c>
      <c r="X14">
        <v>1.0335819623616762</v>
      </c>
      <c r="Y14">
        <v>0.70700992833335163</v>
      </c>
      <c r="AA14" s="9" t="s">
        <v>20</v>
      </c>
      <c r="AB14" s="19">
        <v>59</v>
      </c>
      <c r="AC14" s="9">
        <v>108.72929833333333</v>
      </c>
      <c r="AD14" s="9"/>
      <c r="AE14" s="9"/>
      <c r="AF14" s="9"/>
      <c r="AI14" s="9" t="s">
        <v>20</v>
      </c>
      <c r="AJ14" s="9">
        <v>59</v>
      </c>
      <c r="AK14" s="9">
        <v>108.7292983333333</v>
      </c>
      <c r="AL14" s="9"/>
      <c r="AM14" s="9"/>
      <c r="AN14" s="9"/>
      <c r="AO14"/>
      <c r="AP14"/>
      <c r="AR14" s="2">
        <v>13</v>
      </c>
      <c r="AS14" s="1">
        <v>18.329999999999998</v>
      </c>
      <c r="AT14">
        <v>1.1861381360317149</v>
      </c>
      <c r="AU14">
        <v>0.89400504429929517</v>
      </c>
      <c r="AV14">
        <v>1.2341236932270259</v>
      </c>
      <c r="AW14">
        <v>0.93330172073880691</v>
      </c>
      <c r="AY14" s="9" t="s">
        <v>20</v>
      </c>
      <c r="AZ14" s="9">
        <v>58</v>
      </c>
      <c r="BA14" s="9">
        <v>108.52776610169488</v>
      </c>
      <c r="BB14" s="9"/>
      <c r="BC14" s="9"/>
      <c r="BD14" s="9"/>
      <c r="BE14"/>
    </row>
    <row r="15" spans="1:59" ht="13" thickBot="1">
      <c r="B15" s="6"/>
      <c r="C15" s="6"/>
      <c r="D15" s="12"/>
      <c r="E15" s="6"/>
      <c r="F15" s="12"/>
      <c r="G15" s="6"/>
      <c r="H15" s="6"/>
      <c r="I15" s="6"/>
      <c r="J15" s="6"/>
      <c r="K15" s="6"/>
      <c r="L15" s="6"/>
      <c r="M15" s="6"/>
      <c r="N15" s="6"/>
      <c r="O15" s="2">
        <v>14</v>
      </c>
      <c r="P15" s="1">
        <v>16.100000000000001</v>
      </c>
      <c r="Q15">
        <v>0.81938894102943116</v>
      </c>
      <c r="R15">
        <v>1.0614759257066291</v>
      </c>
      <c r="S15">
        <v>1.0194103897783651</v>
      </c>
      <c r="T15">
        <v>1.0826069483807486</v>
      </c>
      <c r="U15">
        <v>0.83629916166491847</v>
      </c>
      <c r="V15">
        <v>1.0169964174187225</v>
      </c>
      <c r="W15">
        <v>1.1522971176265913</v>
      </c>
      <c r="X15">
        <v>0.99893710315677253</v>
      </c>
      <c r="Y15">
        <v>0.8556960679140877</v>
      </c>
      <c r="AI15"/>
      <c r="AJ15"/>
      <c r="AK15"/>
      <c r="AL15"/>
      <c r="AM15"/>
      <c r="AN15"/>
      <c r="AO15"/>
      <c r="AP15"/>
      <c r="AR15" s="2">
        <v>14</v>
      </c>
      <c r="AS15" s="1">
        <v>16.100000000000001</v>
      </c>
      <c r="AT15">
        <v>1.0614759257066291</v>
      </c>
      <c r="AU15">
        <v>1.0194103897783651</v>
      </c>
      <c r="AV15">
        <v>1.0826069483807486</v>
      </c>
      <c r="AW15">
        <v>0.83629916166491847</v>
      </c>
      <c r="AY15"/>
      <c r="AZ15"/>
      <c r="BA15"/>
      <c r="BB15"/>
      <c r="BC15"/>
      <c r="BD15"/>
      <c r="BE15"/>
    </row>
    <row r="16" spans="1:59" ht="13">
      <c r="B16" s="8"/>
      <c r="C16" s="8"/>
      <c r="D16" s="12"/>
      <c r="E16" s="6"/>
      <c r="F16" s="12"/>
      <c r="G16" s="6"/>
      <c r="H16" s="8"/>
      <c r="I16" s="8"/>
      <c r="J16" s="8"/>
      <c r="K16" s="8"/>
      <c r="L16" s="8"/>
      <c r="M16" s="8"/>
      <c r="N16" s="8"/>
      <c r="O16" s="2">
        <v>15</v>
      </c>
      <c r="P16" s="1">
        <v>13.79</v>
      </c>
      <c r="Q16">
        <v>0.84539282129858939</v>
      </c>
      <c r="R16">
        <v>0.92251401878336281</v>
      </c>
      <c r="S16">
        <v>0.9608373906375588</v>
      </c>
      <c r="T16">
        <v>1.1061821698716694</v>
      </c>
      <c r="U16">
        <v>0.83560334097018019</v>
      </c>
      <c r="V16">
        <v>0.88339967509171202</v>
      </c>
      <c r="W16">
        <v>1.1985823533156228</v>
      </c>
      <c r="X16">
        <v>1.046906908209716</v>
      </c>
      <c r="Y16">
        <v>0.88399472987218841</v>
      </c>
      <c r="AA16" s="10"/>
      <c r="AB16" s="10" t="s">
        <v>27</v>
      </c>
      <c r="AC16" s="10" t="s">
        <v>40</v>
      </c>
      <c r="AD16" s="10" t="s">
        <v>28</v>
      </c>
      <c r="AE16" s="10" t="s">
        <v>29</v>
      </c>
      <c r="AF16" s="10" t="s">
        <v>30</v>
      </c>
      <c r="AG16" s="10" t="s">
        <v>31</v>
      </c>
      <c r="AH16" s="8"/>
      <c r="AI16" s="10"/>
      <c r="AJ16" s="10" t="s">
        <v>27</v>
      </c>
      <c r="AK16" s="10" t="s">
        <v>40</v>
      </c>
      <c r="AL16" s="10" t="s">
        <v>28</v>
      </c>
      <c r="AM16" s="10" t="s">
        <v>29</v>
      </c>
      <c r="AN16" s="10" t="s">
        <v>30</v>
      </c>
      <c r="AO16" s="10" t="s">
        <v>31</v>
      </c>
      <c r="AP16" s="8"/>
      <c r="AQ16" s="8"/>
      <c r="AR16" s="2">
        <v>15</v>
      </c>
      <c r="AS16" s="1">
        <v>13.79</v>
      </c>
      <c r="AT16">
        <v>0.92251401878336281</v>
      </c>
      <c r="AU16">
        <v>0.9608373906375588</v>
      </c>
      <c r="AV16">
        <v>1.1061821698716694</v>
      </c>
      <c r="AW16">
        <v>0.83560334097018019</v>
      </c>
      <c r="AY16" s="10"/>
      <c r="AZ16" s="10" t="s">
        <v>27</v>
      </c>
      <c r="BA16" s="10" t="s">
        <v>15</v>
      </c>
      <c r="BB16" s="10" t="s">
        <v>28</v>
      </c>
      <c r="BC16" s="10" t="s">
        <v>29</v>
      </c>
      <c r="BD16" s="10" t="s">
        <v>30</v>
      </c>
      <c r="BE16" s="10" t="s">
        <v>31</v>
      </c>
      <c r="BF16" s="8"/>
      <c r="BG16" s="8"/>
    </row>
    <row r="17" spans="2:59">
      <c r="B17" s="5"/>
      <c r="C17" s="5"/>
      <c r="D17" s="12"/>
      <c r="E17" s="6"/>
      <c r="F17" s="12"/>
      <c r="G17" s="6"/>
      <c r="H17" s="5"/>
      <c r="I17" s="5"/>
      <c r="J17" s="5"/>
      <c r="K17" s="5"/>
      <c r="L17" s="5"/>
      <c r="M17" s="5"/>
      <c r="N17" s="5"/>
      <c r="O17" s="2">
        <v>16</v>
      </c>
      <c r="P17" s="1">
        <v>12.55</v>
      </c>
      <c r="Q17">
        <v>0.88853855290078143</v>
      </c>
      <c r="R17">
        <v>0.95545913487728273</v>
      </c>
      <c r="S17">
        <v>0.85314622000905393</v>
      </c>
      <c r="T17">
        <v>1.0364862630491245</v>
      </c>
      <c r="U17">
        <v>0.80767773708801616</v>
      </c>
      <c r="V17">
        <v>0.92620526826409033</v>
      </c>
      <c r="W17">
        <v>1.1064632800870475</v>
      </c>
      <c r="X17">
        <v>1.0562591609002705</v>
      </c>
      <c r="Y17">
        <v>0.91360999534939069</v>
      </c>
      <c r="AA17" s="5" t="s">
        <v>21</v>
      </c>
      <c r="AB17" s="5">
        <v>5.6252025945117037</v>
      </c>
      <c r="AC17" s="5">
        <v>1.0025584321778616</v>
      </c>
      <c r="AD17" s="5">
        <v>5.6108476214120051</v>
      </c>
      <c r="AE17" s="5">
        <v>6.1823951403342661E-7</v>
      </c>
      <c r="AF17" s="5">
        <v>3.617613978580438</v>
      </c>
      <c r="AG17" s="5">
        <v>7.6327912104429689</v>
      </c>
      <c r="AH17" s="5"/>
      <c r="AI17" s="5" t="s">
        <v>21</v>
      </c>
      <c r="AJ17" s="5">
        <v>-9.3771815937811294</v>
      </c>
      <c r="AK17" s="5">
        <v>1.7984734034032159</v>
      </c>
      <c r="AL17" s="5">
        <v>-5.2139673436576111</v>
      </c>
      <c r="AM17" s="5">
        <v>2.8763968984877665E-6</v>
      </c>
      <c r="AN17" s="5">
        <v>-12.981402810736519</v>
      </c>
      <c r="AO17" s="5">
        <v>-5.7729603768257398</v>
      </c>
      <c r="AP17" s="5"/>
      <c r="AQ17" s="5"/>
      <c r="AR17" s="2">
        <v>16</v>
      </c>
      <c r="AS17" s="1">
        <v>12.55</v>
      </c>
      <c r="AT17">
        <v>0.95545913487728273</v>
      </c>
      <c r="AU17">
        <v>0.85314622000905393</v>
      </c>
      <c r="AV17">
        <v>1.0364862630491245</v>
      </c>
      <c r="AW17">
        <v>0.80767773708801616</v>
      </c>
      <c r="AY17" s="5" t="s">
        <v>21</v>
      </c>
      <c r="AZ17" s="5">
        <v>-9.3171434479366404</v>
      </c>
      <c r="BA17" s="5">
        <v>1.7030637342603381</v>
      </c>
      <c r="BB17" s="5">
        <v>-5.4708131354715226</v>
      </c>
      <c r="BC17" s="5">
        <v>1.1843750078268557E-6</v>
      </c>
      <c r="BD17" s="5">
        <v>-12.731580632751452</v>
      </c>
      <c r="BE17" s="5">
        <v>-5.9027062631218294</v>
      </c>
      <c r="BF17" s="5"/>
      <c r="BG17" s="5"/>
    </row>
    <row r="18" spans="2:59">
      <c r="B18" s="5"/>
      <c r="C18" s="5"/>
      <c r="D18" s="12"/>
      <c r="E18" s="6"/>
      <c r="F18" s="12"/>
      <c r="G18" s="6"/>
      <c r="H18" s="5"/>
      <c r="I18" s="5"/>
      <c r="J18" s="5"/>
      <c r="K18" s="5"/>
      <c r="L18" s="5"/>
      <c r="M18" s="5"/>
      <c r="N18" s="5"/>
      <c r="O18" s="2">
        <v>17</v>
      </c>
      <c r="P18" s="1">
        <v>12.67</v>
      </c>
      <c r="Q18">
        <v>0.6939618448790309</v>
      </c>
      <c r="R18">
        <v>0.85673634595748671</v>
      </c>
      <c r="S18">
        <v>0.8479577978769598</v>
      </c>
      <c r="T18">
        <v>1.2098597555826132</v>
      </c>
      <c r="U18">
        <v>0.74207730825629914</v>
      </c>
      <c r="V18">
        <v>0.91245003840284578</v>
      </c>
      <c r="W18">
        <v>1.3260084566837074</v>
      </c>
      <c r="X18">
        <v>0.97595931863044338</v>
      </c>
      <c r="Y18">
        <v>0.74585340368048025</v>
      </c>
      <c r="AA18" s="5" t="s">
        <v>0</v>
      </c>
      <c r="AB18" s="5">
        <v>-4.5320282649507408</v>
      </c>
      <c r="AC18" s="5">
        <v>0.99340877140382466</v>
      </c>
      <c r="AD18" s="5">
        <v>-4.5620980963821722</v>
      </c>
      <c r="AE18" s="5">
        <v>2.739441416997559E-5</v>
      </c>
      <c r="AF18" s="5">
        <v>-6.5212950013585491</v>
      </c>
      <c r="AG18" s="5">
        <v>-2.5427615285429326</v>
      </c>
      <c r="AH18" s="5"/>
      <c r="AI18" s="5" t="s">
        <v>2</v>
      </c>
      <c r="AJ18" s="5">
        <v>13.33892365381651</v>
      </c>
      <c r="AK18" s="5">
        <v>0.66206324426671026</v>
      </c>
      <c r="AL18" s="5">
        <v>20.147506706236911</v>
      </c>
      <c r="AM18" s="5">
        <v>4.6405492597729914E-27</v>
      </c>
      <c r="AN18" s="5">
        <v>12.012119272146482</v>
      </c>
      <c r="AO18" s="5">
        <v>14.665728035486538</v>
      </c>
      <c r="AP18" s="5"/>
      <c r="AQ18" s="5"/>
      <c r="AR18" s="2">
        <v>17</v>
      </c>
      <c r="AS18" s="1">
        <v>12.67</v>
      </c>
      <c r="AT18">
        <v>0.85673634595748671</v>
      </c>
      <c r="AU18">
        <v>0.8479577978769598</v>
      </c>
      <c r="AV18">
        <v>1.2098597555826132</v>
      </c>
      <c r="AW18">
        <v>0.74207730825629914</v>
      </c>
      <c r="AY18" s="5" t="s">
        <v>2</v>
      </c>
      <c r="AZ18" s="5">
        <v>13.463673777657268</v>
      </c>
      <c r="BA18" s="5">
        <v>0.62857507025857806</v>
      </c>
      <c r="BB18" s="5">
        <v>21.419356914868885</v>
      </c>
      <c r="BC18" s="5">
        <v>4.6055054786487423E-28</v>
      </c>
      <c r="BD18" s="5">
        <v>12.203456646517074</v>
      </c>
      <c r="BE18" s="5">
        <v>14.723890908797463</v>
      </c>
      <c r="BF18" s="5"/>
      <c r="BG18" s="5"/>
    </row>
    <row r="19" spans="2:59" ht="13" thickBot="1">
      <c r="B19" s="5"/>
      <c r="C19" s="5"/>
      <c r="D19" s="12"/>
      <c r="E19" s="6"/>
      <c r="F19" s="12"/>
      <c r="G19" s="6"/>
      <c r="H19" s="6"/>
      <c r="I19" s="6"/>
      <c r="J19" s="6"/>
      <c r="K19" s="6"/>
      <c r="L19" s="6"/>
      <c r="M19" s="6"/>
      <c r="N19" s="6"/>
      <c r="O19" s="2">
        <v>18</v>
      </c>
      <c r="P19" s="1">
        <v>13.39</v>
      </c>
      <c r="Q19">
        <v>0.82845043636411497</v>
      </c>
      <c r="R19">
        <v>0.95011338026903458</v>
      </c>
      <c r="S19">
        <v>0.8298537522750159</v>
      </c>
      <c r="T19">
        <v>1.0852261567826651</v>
      </c>
      <c r="U19">
        <v>0.73353417639312324</v>
      </c>
      <c r="V19">
        <v>0.94509908944831289</v>
      </c>
      <c r="W19">
        <v>1.1672347856297749</v>
      </c>
      <c r="X19">
        <v>1.0692959160590387</v>
      </c>
      <c r="Y19">
        <v>0.84799276834479664</v>
      </c>
      <c r="AA19" s="9" t="s">
        <v>2</v>
      </c>
      <c r="AB19" s="9">
        <v>12.17584732351291</v>
      </c>
      <c r="AC19" s="9">
        <v>0.69612363286026557</v>
      </c>
      <c r="AD19" s="9">
        <v>17.49092653769592</v>
      </c>
      <c r="AE19" s="9">
        <v>1.3971171989695479E-24</v>
      </c>
      <c r="AF19" s="9">
        <v>10.781883804024949</v>
      </c>
      <c r="AG19" s="9">
        <v>13.569810843000871</v>
      </c>
      <c r="AH19" s="5"/>
      <c r="AI19" s="5" t="s">
        <v>6</v>
      </c>
      <c r="AJ19" s="5">
        <v>2.6772294791122238</v>
      </c>
      <c r="AK19" s="5">
        <v>1.1159465275589047</v>
      </c>
      <c r="AL19" s="5">
        <v>2.3990660959074561</v>
      </c>
      <c r="AM19" s="5">
        <v>1.9853409076471585E-2</v>
      </c>
      <c r="AN19" s="5">
        <v>0.44082267765242911</v>
      </c>
      <c r="AO19" s="5">
        <v>4.9136362805720184</v>
      </c>
      <c r="AP19" s="5"/>
      <c r="AQ19" s="5"/>
      <c r="AR19" s="2">
        <v>18</v>
      </c>
      <c r="AS19" s="1">
        <v>13.39</v>
      </c>
      <c r="AT19">
        <v>0.95011338026903458</v>
      </c>
      <c r="AU19">
        <v>0.8298537522750159</v>
      </c>
      <c r="AV19">
        <v>1.0852261567826651</v>
      </c>
      <c r="AW19">
        <v>0.73353417639312324</v>
      </c>
      <c r="AY19" s="5" t="s">
        <v>6</v>
      </c>
      <c r="AZ19" s="5">
        <v>2.6221913509990236</v>
      </c>
      <c r="BA19" s="5">
        <v>1.0568508801856098</v>
      </c>
      <c r="BB19" s="5">
        <v>2.4811365540410963</v>
      </c>
      <c r="BC19" s="5">
        <v>1.6242045818546512E-2</v>
      </c>
      <c r="BD19" s="5">
        <v>0.5033329245542566</v>
      </c>
      <c r="BE19" s="5">
        <v>4.7410497774437905</v>
      </c>
      <c r="BF19" s="5"/>
      <c r="BG19" s="5"/>
    </row>
    <row r="20" spans="2:59">
      <c r="B20" s="5"/>
      <c r="C20" s="5"/>
      <c r="D20" s="12"/>
      <c r="E20" s="6"/>
      <c r="F20" s="12"/>
      <c r="G20" s="6"/>
      <c r="H20" s="6"/>
      <c r="I20" s="6"/>
      <c r="J20" s="6"/>
      <c r="K20" s="6"/>
      <c r="L20" s="6"/>
      <c r="M20" s="6"/>
      <c r="N20" s="6"/>
      <c r="O20" s="2">
        <v>19</v>
      </c>
      <c r="P20" s="1">
        <v>12.21</v>
      </c>
      <c r="Q20">
        <v>0.8388578042635757</v>
      </c>
      <c r="R20">
        <v>0.87354840632827357</v>
      </c>
      <c r="S20">
        <v>0.7751018560434586</v>
      </c>
      <c r="T20">
        <v>1.0647104399144096</v>
      </c>
      <c r="U20">
        <v>0.80849983635328104</v>
      </c>
      <c r="V20">
        <v>0.95438651453749834</v>
      </c>
      <c r="W20">
        <v>1.1425439783632718</v>
      </c>
      <c r="X20">
        <v>1.054111675441505</v>
      </c>
      <c r="Y20">
        <v>0.87634755834573352</v>
      </c>
      <c r="AI20" s="5" t="s">
        <v>4</v>
      </c>
      <c r="AJ20" s="5">
        <v>5.6616195409502605</v>
      </c>
      <c r="AK20" s="5">
        <v>0.89998193256641956</v>
      </c>
      <c r="AL20" s="5">
        <v>6.2908146664737936</v>
      </c>
      <c r="AM20" s="5">
        <v>5.4342699450177443E-8</v>
      </c>
      <c r="AN20" s="5">
        <v>3.858015456455961</v>
      </c>
      <c r="AO20" s="5">
        <v>7.4652236254445601</v>
      </c>
      <c r="AP20" s="5"/>
      <c r="AQ20" s="5"/>
      <c r="AR20" s="2">
        <v>19</v>
      </c>
      <c r="AS20" s="1">
        <v>12.21</v>
      </c>
      <c r="AT20">
        <v>0.87354840632827357</v>
      </c>
      <c r="AU20">
        <v>0.7751018560434586</v>
      </c>
      <c r="AV20">
        <v>1.0647104399144096</v>
      </c>
      <c r="AW20">
        <v>0.80849983635328104</v>
      </c>
      <c r="AY20" s="5" t="s">
        <v>4</v>
      </c>
      <c r="AZ20" s="5">
        <v>5.675201034239322</v>
      </c>
      <c r="BA20" s="5">
        <v>0.85218019920133192</v>
      </c>
      <c r="BB20" s="5">
        <v>6.659625557550096</v>
      </c>
      <c r="BC20" s="5">
        <v>1.4700375535544068E-8</v>
      </c>
      <c r="BD20" s="5">
        <v>3.9666826142991272</v>
      </c>
      <c r="BE20" s="5">
        <v>7.3837194541795164</v>
      </c>
      <c r="BF20" s="5"/>
      <c r="BG20" s="5"/>
    </row>
    <row r="21" spans="2:59" ht="13" thickBot="1">
      <c r="B21" s="5"/>
      <c r="C21" s="5"/>
      <c r="D21" s="12"/>
      <c r="E21" s="6"/>
      <c r="F21" s="12"/>
      <c r="G21" s="6"/>
      <c r="H21" s="6"/>
      <c r="I21" s="6"/>
      <c r="J21" s="6"/>
      <c r="K21" s="6"/>
      <c r="L21" s="6"/>
      <c r="M21" s="6"/>
      <c r="N21" s="6"/>
      <c r="O21" s="2">
        <v>20</v>
      </c>
      <c r="P21" s="1">
        <v>12.54</v>
      </c>
      <c r="Q21">
        <v>0.88978447184268294</v>
      </c>
      <c r="R21">
        <v>0.89838063174756977</v>
      </c>
      <c r="S21">
        <v>0.83489805157010744</v>
      </c>
      <c r="T21">
        <v>1.0519366724121697</v>
      </c>
      <c r="U21">
        <v>0.82900850705227158</v>
      </c>
      <c r="V21">
        <v>0.88824503415832079</v>
      </c>
      <c r="W21">
        <v>1.1216554615694689</v>
      </c>
      <c r="X21">
        <v>1.0996117172756374</v>
      </c>
      <c r="Y21">
        <v>0.8855934084576943</v>
      </c>
      <c r="AI21" s="9" t="s">
        <v>8</v>
      </c>
      <c r="AJ21" s="9">
        <v>1.8556617541275795</v>
      </c>
      <c r="AK21" s="9">
        <v>0.83369627546248248</v>
      </c>
      <c r="AL21" s="9">
        <v>2.2258246902904473</v>
      </c>
      <c r="AM21" s="9">
        <v>3.0143371190470235E-2</v>
      </c>
      <c r="AN21" s="9">
        <v>0.18489709403719856</v>
      </c>
      <c r="AO21" s="9">
        <v>3.5264264142179602</v>
      </c>
      <c r="AP21" s="5"/>
      <c r="AQ21" s="5"/>
      <c r="AR21" s="2">
        <v>20</v>
      </c>
      <c r="AS21" s="1">
        <v>12.54</v>
      </c>
      <c r="AT21">
        <v>0.89838063174756977</v>
      </c>
      <c r="AU21">
        <v>0.83489805157010744</v>
      </c>
      <c r="AV21">
        <v>1.0519366724121697</v>
      </c>
      <c r="AW21">
        <v>0.82900850705227158</v>
      </c>
      <c r="AY21" s="9" t="s">
        <v>8</v>
      </c>
      <c r="AZ21" s="9">
        <v>1.7251858632662598</v>
      </c>
      <c r="BA21" s="9">
        <v>0.79086819241197848</v>
      </c>
      <c r="BB21" s="9">
        <v>2.1813822831903411</v>
      </c>
      <c r="BC21" s="9">
        <v>3.3528266188986071E-2</v>
      </c>
      <c r="BD21" s="9">
        <v>0.13959061504641657</v>
      </c>
      <c r="BE21" s="9">
        <v>3.310781111486103</v>
      </c>
      <c r="BF21" s="5"/>
      <c r="BG21" s="5"/>
    </row>
    <row r="22" spans="2:59">
      <c r="B22" s="5"/>
      <c r="C22" s="5"/>
      <c r="D22" s="12"/>
      <c r="E22" s="6"/>
      <c r="F22" s="12"/>
      <c r="G22" s="6"/>
      <c r="H22" s="6"/>
      <c r="I22" s="6"/>
      <c r="J22" s="6"/>
      <c r="K22" s="6"/>
      <c r="L22" s="6"/>
      <c r="M22" s="6"/>
      <c r="N22" s="6"/>
      <c r="O22" s="2">
        <v>21</v>
      </c>
      <c r="P22" s="1">
        <v>14.66</v>
      </c>
      <c r="Q22">
        <v>0.84443233395761819</v>
      </c>
      <c r="R22">
        <v>1.054772317057366</v>
      </c>
      <c r="S22">
        <v>0.90064578117349259</v>
      </c>
      <c r="T22">
        <v>1.0730819732389203</v>
      </c>
      <c r="U22">
        <v>0.83376070468596586</v>
      </c>
      <c r="V22">
        <v>1.003139811623935</v>
      </c>
      <c r="W22">
        <v>1.1450110913440565</v>
      </c>
      <c r="X22">
        <v>1.0380349733346141</v>
      </c>
      <c r="Y22">
        <v>0.8799690409532146</v>
      </c>
      <c r="AI22"/>
      <c r="AJ22"/>
      <c r="AK22"/>
      <c r="AL22"/>
      <c r="AM22"/>
      <c r="AN22"/>
      <c r="AO22"/>
      <c r="AP22"/>
      <c r="AR22" s="2">
        <v>21</v>
      </c>
      <c r="AS22" s="1">
        <v>14.66</v>
      </c>
      <c r="AT22">
        <v>1.054772317057366</v>
      </c>
      <c r="AU22">
        <v>0.90064578117349259</v>
      </c>
      <c r="AV22">
        <v>1.0730819732389203</v>
      </c>
      <c r="AW22">
        <v>0.83376070468596586</v>
      </c>
      <c r="AY22"/>
      <c r="AZ22"/>
      <c r="BA22"/>
      <c r="BB22"/>
      <c r="BC22"/>
      <c r="BD22"/>
      <c r="BE22"/>
    </row>
    <row r="23" spans="2:59">
      <c r="B23" s="5"/>
      <c r="C23" s="5"/>
      <c r="D23" s="12"/>
      <c r="E23" s="6"/>
      <c r="F23" s="12"/>
      <c r="G23" s="6"/>
      <c r="H23" s="6"/>
      <c r="I23" s="6"/>
      <c r="J23" s="6"/>
      <c r="K23" s="6"/>
      <c r="L23" s="6"/>
      <c r="M23" s="6"/>
      <c r="N23" s="6"/>
      <c r="O23" s="2">
        <v>22</v>
      </c>
      <c r="P23" s="1">
        <v>13.83</v>
      </c>
      <c r="Q23">
        <v>0.7718554742844338</v>
      </c>
      <c r="R23">
        <v>0.9344343657239198</v>
      </c>
      <c r="S23">
        <v>0.91407692094492843</v>
      </c>
      <c r="T23">
        <v>1.171168128604354</v>
      </c>
      <c r="U23">
        <v>0.81601469985645469</v>
      </c>
      <c r="V23">
        <v>0.9033312573900214</v>
      </c>
      <c r="W23">
        <v>1.2869920467014622</v>
      </c>
      <c r="X23">
        <v>0.97453385930716474</v>
      </c>
      <c r="Y23">
        <v>0.81018154256742325</v>
      </c>
      <c r="AA23" t="s">
        <v>33</v>
      </c>
      <c r="AI23"/>
      <c r="AJ23"/>
      <c r="AK23"/>
      <c r="AL23"/>
      <c r="AM23"/>
      <c r="AN23"/>
      <c r="AO23"/>
      <c r="AP23"/>
      <c r="AR23" s="2">
        <v>22</v>
      </c>
      <c r="AS23" s="1">
        <v>13.83</v>
      </c>
      <c r="AT23">
        <v>0.9344343657239198</v>
      </c>
      <c r="AU23">
        <v>0.91407692094492843</v>
      </c>
      <c r="AV23">
        <v>1.171168128604354</v>
      </c>
      <c r="AW23">
        <v>0.81601469985645469</v>
      </c>
      <c r="AY23"/>
      <c r="AZ23"/>
      <c r="BA23"/>
      <c r="BB23"/>
      <c r="BC23"/>
      <c r="BD23"/>
      <c r="BE23"/>
    </row>
    <row r="24" spans="2:59" ht="13.5" thickBot="1">
      <c r="B24" s="5"/>
      <c r="C24" s="5"/>
      <c r="D24" s="12"/>
      <c r="E24" s="6"/>
      <c r="F24" s="12"/>
      <c r="G24" s="6"/>
      <c r="H24" s="7"/>
      <c r="I24" s="7"/>
      <c r="J24" s="6"/>
      <c r="K24" s="6"/>
      <c r="L24" s="6"/>
      <c r="M24" s="6"/>
      <c r="N24" s="6"/>
      <c r="O24" s="2">
        <v>23</v>
      </c>
      <c r="P24" s="1">
        <v>13.38</v>
      </c>
      <c r="Q24">
        <v>0.66566359235660499</v>
      </c>
      <c r="R24">
        <v>0.89746672735556954</v>
      </c>
      <c r="S24">
        <v>0.7576500586653856</v>
      </c>
      <c r="T24">
        <v>1.2704881326295496</v>
      </c>
      <c r="U24">
        <v>0.81279846197855332</v>
      </c>
      <c r="V24">
        <v>0.91212743554890807</v>
      </c>
      <c r="W24">
        <v>1.4012121809908979</v>
      </c>
      <c r="X24">
        <v>1.0825743795378413</v>
      </c>
      <c r="Y24">
        <v>0.71815873010514086</v>
      </c>
      <c r="AI24"/>
      <c r="AJ24"/>
      <c r="AK24"/>
      <c r="AL24"/>
      <c r="AM24"/>
      <c r="AN24"/>
      <c r="AO24"/>
      <c r="AP24"/>
      <c r="AR24" s="2">
        <v>23</v>
      </c>
      <c r="AS24" s="1">
        <v>13.38</v>
      </c>
      <c r="AT24">
        <v>0.89746672735556954</v>
      </c>
      <c r="AU24">
        <v>0.7576500586653856</v>
      </c>
      <c r="AV24">
        <v>1.2704881326295496</v>
      </c>
      <c r="AW24">
        <v>0.81279846197855332</v>
      </c>
      <c r="AY24"/>
      <c r="AZ24"/>
      <c r="BA24"/>
      <c r="BB24"/>
      <c r="BC24"/>
      <c r="BD24"/>
      <c r="BE24"/>
    </row>
    <row r="25" spans="2:59" ht="13">
      <c r="B25" s="5"/>
      <c r="C25" s="5"/>
      <c r="D25" s="12"/>
      <c r="E25" s="6"/>
      <c r="F25" s="12"/>
      <c r="G25" s="6"/>
      <c r="H25" s="5"/>
      <c r="I25" s="5"/>
      <c r="J25" s="6"/>
      <c r="K25" s="6"/>
      <c r="L25" s="6"/>
      <c r="M25" s="6"/>
      <c r="N25" s="6"/>
      <c r="O25" s="2">
        <v>24</v>
      </c>
      <c r="P25" s="1">
        <v>11.59</v>
      </c>
      <c r="Q25">
        <v>0.79680735750903164</v>
      </c>
      <c r="R25">
        <v>0.84957081697486769</v>
      </c>
      <c r="S25">
        <v>0.86134089670272818</v>
      </c>
      <c r="T25">
        <v>1.1424458984906487</v>
      </c>
      <c r="U25">
        <v>0.78429300751744058</v>
      </c>
      <c r="V25">
        <v>0.83792167335347789</v>
      </c>
      <c r="W25">
        <v>1.2210316365924001</v>
      </c>
      <c r="X25">
        <v>1.0950657415642246</v>
      </c>
      <c r="Y25">
        <v>0.83931064635028452</v>
      </c>
      <c r="AA25" s="10" t="s">
        <v>32</v>
      </c>
      <c r="AB25" s="10" t="s">
        <v>34</v>
      </c>
      <c r="AC25" s="10" t="s">
        <v>35</v>
      </c>
      <c r="AD25" s="10" t="s">
        <v>36</v>
      </c>
      <c r="AI25" t="s">
        <v>33</v>
      </c>
      <c r="AJ25"/>
      <c r="AK25"/>
      <c r="AL25"/>
      <c r="AM25"/>
      <c r="AN25"/>
      <c r="AO25"/>
      <c r="AP25"/>
      <c r="AR25" s="2">
        <v>24</v>
      </c>
      <c r="AS25" s="1">
        <v>11.59</v>
      </c>
      <c r="AT25">
        <v>0.84957081697486769</v>
      </c>
      <c r="AU25">
        <v>0.86134089670272818</v>
      </c>
      <c r="AV25">
        <v>1.1424458984906487</v>
      </c>
      <c r="AW25">
        <v>0.78429300751744058</v>
      </c>
      <c r="AY25" t="s">
        <v>33</v>
      </c>
      <c r="AZ25"/>
      <c r="BA25"/>
      <c r="BB25"/>
      <c r="BC25"/>
      <c r="BD25"/>
      <c r="BE25"/>
    </row>
    <row r="26" spans="2:59" ht="13" thickBot="1">
      <c r="B26" s="5"/>
      <c r="C26" s="5"/>
      <c r="D26" s="12"/>
      <c r="E26" s="6"/>
      <c r="F26" s="12"/>
      <c r="G26" s="6"/>
      <c r="H26" s="5"/>
      <c r="I26" s="5"/>
      <c r="J26" s="6"/>
      <c r="K26" s="6"/>
      <c r="L26" s="6"/>
      <c r="M26" s="6"/>
      <c r="N26" s="6"/>
      <c r="O26" s="2">
        <v>25</v>
      </c>
      <c r="P26" s="1">
        <v>12.32</v>
      </c>
      <c r="Q26">
        <v>0.78274682457767863</v>
      </c>
      <c r="R26">
        <v>0.86822900613615417</v>
      </c>
      <c r="S26">
        <v>0.8501602904629485</v>
      </c>
      <c r="T26">
        <v>1.1690426052722944</v>
      </c>
      <c r="U26">
        <v>0.75289087727526927</v>
      </c>
      <c r="V26">
        <v>0.87627398914614307</v>
      </c>
      <c r="W26">
        <v>1.2578519871467388</v>
      </c>
      <c r="X26">
        <v>1.0765812527308392</v>
      </c>
      <c r="Y26">
        <v>0.82040722794146814</v>
      </c>
      <c r="AA26" s="5">
        <v>1</v>
      </c>
      <c r="AB26" s="5">
        <v>13.141869167421783</v>
      </c>
      <c r="AC26" s="5">
        <v>-7.186916742178262E-2</v>
      </c>
      <c r="AD26" s="5">
        <v>-0.13677639382145607</v>
      </c>
      <c r="AI26"/>
      <c r="AJ26"/>
      <c r="AK26"/>
      <c r="AL26"/>
      <c r="AM26"/>
      <c r="AN26"/>
      <c r="AO26"/>
      <c r="AP26"/>
      <c r="AR26" s="2">
        <v>25</v>
      </c>
      <c r="AS26" s="1">
        <v>12.32</v>
      </c>
      <c r="AT26">
        <v>0.86822900613615417</v>
      </c>
      <c r="AU26">
        <v>0.8501602904629485</v>
      </c>
      <c r="AV26">
        <v>1.1690426052722944</v>
      </c>
      <c r="AW26">
        <v>0.75289087727526927</v>
      </c>
      <c r="AY26"/>
      <c r="AZ26"/>
      <c r="BA26"/>
      <c r="BB26"/>
      <c r="BC26"/>
      <c r="BD26"/>
      <c r="BE26"/>
    </row>
    <row r="27" spans="2:59" ht="13">
      <c r="D27" s="12"/>
      <c r="E27" s="6"/>
      <c r="F27" s="12"/>
      <c r="G27" s="6"/>
      <c r="H27" s="5"/>
      <c r="I27" s="5"/>
      <c r="J27" s="6"/>
      <c r="K27" s="6"/>
      <c r="L27" s="6"/>
      <c r="M27" s="6"/>
      <c r="N27" s="6"/>
      <c r="O27" s="2">
        <v>26</v>
      </c>
      <c r="P27" s="1">
        <v>13.28</v>
      </c>
      <c r="Q27">
        <v>0.83070496281352213</v>
      </c>
      <c r="R27">
        <v>0.94950051394992796</v>
      </c>
      <c r="S27">
        <v>0.86893506157555833</v>
      </c>
      <c r="T27">
        <v>1.0882607466090801</v>
      </c>
      <c r="U27">
        <v>0.81810989328172223</v>
      </c>
      <c r="V27">
        <v>0.92422527943123367</v>
      </c>
      <c r="W27">
        <v>1.1714479359350383</v>
      </c>
      <c r="X27">
        <v>1.1057225994180406</v>
      </c>
      <c r="Y27">
        <v>0.85124237101733546</v>
      </c>
      <c r="AA27" s="5">
        <v>2</v>
      </c>
      <c r="AB27" s="5">
        <v>12.852154372699793</v>
      </c>
      <c r="AC27" s="5">
        <v>-0.35215437269979333</v>
      </c>
      <c r="AD27" s="5">
        <v>-0.67019567492215215</v>
      </c>
      <c r="AI27" s="10" t="s">
        <v>32</v>
      </c>
      <c r="AJ27" s="10" t="s">
        <v>34</v>
      </c>
      <c r="AK27" s="10" t="s">
        <v>35</v>
      </c>
      <c r="AL27" s="10" t="s">
        <v>36</v>
      </c>
      <c r="AM27"/>
      <c r="AN27"/>
      <c r="AO27"/>
      <c r="AP27"/>
      <c r="AR27" s="2">
        <v>26</v>
      </c>
      <c r="AS27" s="1">
        <v>13.28</v>
      </c>
      <c r="AT27">
        <v>0.94950051394992796</v>
      </c>
      <c r="AU27">
        <v>0.86893506157555833</v>
      </c>
      <c r="AV27">
        <v>1.0882607466090801</v>
      </c>
      <c r="AW27">
        <v>0.81810989328172223</v>
      </c>
      <c r="AY27" s="10" t="s">
        <v>32</v>
      </c>
      <c r="AZ27" s="10" t="s">
        <v>34</v>
      </c>
      <c r="BA27" s="10" t="s">
        <v>35</v>
      </c>
      <c r="BB27" s="10" t="s">
        <v>36</v>
      </c>
      <c r="BC27"/>
      <c r="BD27"/>
      <c r="BE27"/>
    </row>
    <row r="28" spans="2:59">
      <c r="D28" s="12"/>
      <c r="E28" s="6"/>
      <c r="F28" s="12"/>
      <c r="G28" s="6"/>
      <c r="H28" s="5"/>
      <c r="I28" s="5"/>
      <c r="J28" s="6"/>
      <c r="K28" s="6"/>
      <c r="L28" s="6"/>
      <c r="M28" s="6"/>
      <c r="N28" s="6"/>
      <c r="O28" s="2">
        <v>27</v>
      </c>
      <c r="P28" s="1">
        <v>13.4</v>
      </c>
      <c r="Q28">
        <v>0.82277880159828143</v>
      </c>
      <c r="R28">
        <v>0.95982496320570287</v>
      </c>
      <c r="S28">
        <v>0.87079018116979712</v>
      </c>
      <c r="T28">
        <v>1.1015618503345541</v>
      </c>
      <c r="U28">
        <v>0.79893616747115559</v>
      </c>
      <c r="V28">
        <v>0.91367507655304148</v>
      </c>
      <c r="W28">
        <v>1.1839157663862385</v>
      </c>
      <c r="X28">
        <v>1.0559647725617674</v>
      </c>
      <c r="Y28">
        <v>0.85605317731144137</v>
      </c>
      <c r="AA28" s="5">
        <v>3</v>
      </c>
      <c r="AB28" s="5">
        <v>12.894604839766687</v>
      </c>
      <c r="AC28" s="5">
        <v>-0.43460483976668662</v>
      </c>
      <c r="AD28" s="5">
        <v>-0.82710966125123808</v>
      </c>
      <c r="AI28" s="5">
        <v>1</v>
      </c>
      <c r="AJ28" s="5">
        <v>13.294351740697222</v>
      </c>
      <c r="AK28" s="5">
        <v>-0.2243517406972213</v>
      </c>
      <c r="AL28" s="5">
        <v>-0.49575094501545475</v>
      </c>
      <c r="AM28"/>
      <c r="AN28"/>
      <c r="AO28"/>
      <c r="AP28"/>
      <c r="AR28" s="2">
        <v>27</v>
      </c>
      <c r="AS28" s="1">
        <v>13.4</v>
      </c>
      <c r="AT28">
        <v>0.95982496320570287</v>
      </c>
      <c r="AU28">
        <v>0.87079018116979712</v>
      </c>
      <c r="AV28">
        <v>1.1015618503345541</v>
      </c>
      <c r="AW28">
        <v>0.79893616747115559</v>
      </c>
      <c r="AY28" s="5">
        <v>1</v>
      </c>
      <c r="AZ28" s="5">
        <v>13.31139170495843</v>
      </c>
      <c r="BA28" s="5">
        <v>-0.24139170495842954</v>
      </c>
      <c r="BB28" s="5">
        <v>-0.56368796962098411</v>
      </c>
      <c r="BC28"/>
      <c r="BD28"/>
      <c r="BE28"/>
    </row>
    <row r="29" spans="2:59">
      <c r="D29" s="12"/>
      <c r="E29" s="6"/>
      <c r="F29" s="12"/>
      <c r="G29" s="6"/>
      <c r="H29" s="5"/>
      <c r="I29" s="5"/>
      <c r="J29" s="6"/>
      <c r="K29" s="6"/>
      <c r="L29" s="6"/>
      <c r="M29" s="6"/>
      <c r="N29" s="6"/>
      <c r="O29" s="2">
        <v>28</v>
      </c>
      <c r="P29" s="1">
        <v>12</v>
      </c>
      <c r="Q29">
        <v>0.78350555650582621</v>
      </c>
      <c r="R29">
        <v>0.84533862377859981</v>
      </c>
      <c r="S29">
        <v>0.83379126209107468</v>
      </c>
      <c r="T29">
        <v>1.156201616355496</v>
      </c>
      <c r="U29">
        <v>0.74357203419314433</v>
      </c>
      <c r="V29">
        <v>0.82665583849582125</v>
      </c>
      <c r="W29">
        <v>1.2568316489933273</v>
      </c>
      <c r="X29">
        <v>1.0840277282826625</v>
      </c>
      <c r="Y29">
        <v>0.80215784893706987</v>
      </c>
      <c r="AA29" s="5">
        <v>4</v>
      </c>
      <c r="AB29" s="5">
        <v>13.620859388470317</v>
      </c>
      <c r="AC29" s="5">
        <v>-0.24085938847031585</v>
      </c>
      <c r="AD29" s="5">
        <v>-0.45838681252102736</v>
      </c>
      <c r="AI29" s="5">
        <v>2</v>
      </c>
      <c r="AJ29" s="5">
        <v>12.926294907149467</v>
      </c>
      <c r="AK29" s="5">
        <v>-0.42629490714946705</v>
      </c>
      <c r="AL29" s="5">
        <v>-0.94198557326923971</v>
      </c>
      <c r="AM29"/>
      <c r="AN29"/>
      <c r="AO29"/>
      <c r="AP29"/>
      <c r="AR29" s="2">
        <v>28</v>
      </c>
      <c r="AS29" s="1">
        <v>12</v>
      </c>
      <c r="AT29">
        <v>0.84533862377859981</v>
      </c>
      <c r="AU29">
        <v>0.83379126209107468</v>
      </c>
      <c r="AV29">
        <v>1.156201616355496</v>
      </c>
      <c r="AW29">
        <v>0.74357203419314433</v>
      </c>
      <c r="AY29" s="5">
        <v>2</v>
      </c>
      <c r="AZ29" s="5">
        <v>12.954967730590932</v>
      </c>
      <c r="BA29" s="5">
        <v>-0.45496773059093165</v>
      </c>
      <c r="BB29" s="5">
        <v>-1.0624219102476389</v>
      </c>
      <c r="BC29"/>
      <c r="BD29"/>
      <c r="BE29"/>
    </row>
    <row r="30" spans="2:59">
      <c r="D30" s="12"/>
      <c r="E30" s="6"/>
      <c r="F30" s="12"/>
      <c r="G30" s="6"/>
      <c r="H30" s="6"/>
      <c r="I30" s="6"/>
      <c r="J30" s="6"/>
      <c r="K30" s="6"/>
      <c r="L30" s="6"/>
      <c r="M30" s="6"/>
      <c r="N30" s="6"/>
      <c r="O30" s="2">
        <v>29</v>
      </c>
      <c r="P30" s="1">
        <v>12.87</v>
      </c>
      <c r="Q30">
        <v>0.80103950750450792</v>
      </c>
      <c r="R30">
        <v>0.88037066807047593</v>
      </c>
      <c r="S30">
        <v>0.80466736264446925</v>
      </c>
      <c r="T30">
        <v>1.1506388218472348</v>
      </c>
      <c r="U30">
        <v>0.78450948506691476</v>
      </c>
      <c r="V30">
        <v>0.85087537013269188</v>
      </c>
      <c r="W30">
        <v>1.2393438373901051</v>
      </c>
      <c r="X30">
        <v>1.0409850543688779</v>
      </c>
      <c r="Y30">
        <v>0.82052750231897442</v>
      </c>
      <c r="AA30" s="5">
        <v>5</v>
      </c>
      <c r="AB30" s="5">
        <v>13.720679788922597</v>
      </c>
      <c r="AC30" s="5">
        <v>0.10932021107740297</v>
      </c>
      <c r="AD30" s="5">
        <v>0.20805061167907291</v>
      </c>
      <c r="AI30" s="5">
        <v>3</v>
      </c>
      <c r="AJ30" s="5">
        <v>12.773873338439575</v>
      </c>
      <c r="AK30" s="5">
        <v>-0.31387333843957421</v>
      </c>
      <c r="AL30" s="5">
        <v>-0.69356718010301488</v>
      </c>
      <c r="AM30"/>
      <c r="AN30"/>
      <c r="AO30"/>
      <c r="AP30"/>
      <c r="AR30" s="2">
        <v>29</v>
      </c>
      <c r="AS30" s="1">
        <v>12.87</v>
      </c>
      <c r="AT30">
        <v>0.88037066807047593</v>
      </c>
      <c r="AU30">
        <v>0.80466736264446925</v>
      </c>
      <c r="AV30">
        <v>1.1506388218472348</v>
      </c>
      <c r="AW30">
        <v>0.78450948506691476</v>
      </c>
      <c r="AY30" s="5">
        <v>3</v>
      </c>
      <c r="AZ30" s="5">
        <v>12.794573280707489</v>
      </c>
      <c r="BA30" s="5">
        <v>-0.33457328070748815</v>
      </c>
      <c r="BB30" s="5">
        <v>-0.78128174836792263</v>
      </c>
      <c r="BC30"/>
      <c r="BD30"/>
      <c r="BE30"/>
    </row>
    <row r="31" spans="2:59">
      <c r="D31" s="12"/>
      <c r="E31" s="6"/>
      <c r="F31" s="12"/>
      <c r="G31" s="6"/>
      <c r="H31" s="6"/>
      <c r="I31" s="6"/>
      <c r="J31" s="6"/>
      <c r="K31" s="6"/>
      <c r="L31" s="6"/>
      <c r="M31" s="6"/>
      <c r="N31" s="6"/>
      <c r="O31" s="2">
        <v>30</v>
      </c>
      <c r="P31" s="1">
        <v>11.99</v>
      </c>
      <c r="Q31">
        <v>0.81004291274386142</v>
      </c>
      <c r="R31">
        <v>0.92957940874740708</v>
      </c>
      <c r="S31">
        <v>0.85767500300255906</v>
      </c>
      <c r="T31">
        <v>1.1178590392013288</v>
      </c>
      <c r="U31">
        <v>0.82299094659962735</v>
      </c>
      <c r="V31">
        <v>0.90909310542591781</v>
      </c>
      <c r="W31">
        <v>1.2016979968044357</v>
      </c>
      <c r="X31">
        <v>1.0383572510946597</v>
      </c>
      <c r="Y31">
        <v>0.84691544753462844</v>
      </c>
      <c r="AA31" s="5">
        <v>6</v>
      </c>
      <c r="AB31" s="5">
        <v>12.954600551140155</v>
      </c>
      <c r="AC31" s="5">
        <v>-1.0946005511401555</v>
      </c>
      <c r="AD31" s="5">
        <v>-2.0831675310955657</v>
      </c>
      <c r="AI31" s="5">
        <v>4</v>
      </c>
      <c r="AJ31" s="5">
        <v>13.400057739153935</v>
      </c>
      <c r="AK31" s="5">
        <v>-2.0057739153934051E-2</v>
      </c>
      <c r="AL31" s="5">
        <v>-4.4321666992795702E-2</v>
      </c>
      <c r="AM31"/>
      <c r="AN31"/>
      <c r="AO31"/>
      <c r="AP31"/>
      <c r="AR31" s="2">
        <v>31</v>
      </c>
      <c r="AS31" s="1">
        <v>12.16</v>
      </c>
      <c r="AT31">
        <v>0.93196566722104079</v>
      </c>
      <c r="AU31">
        <v>0.90181724115630857</v>
      </c>
      <c r="AV31">
        <v>0.98305502643071607</v>
      </c>
      <c r="AW31">
        <v>0.93167556200406665</v>
      </c>
      <c r="AY31" s="5">
        <v>4</v>
      </c>
      <c r="AZ31" s="5">
        <v>13.439497806723486</v>
      </c>
      <c r="BA31" s="5">
        <v>-5.9497806723484814E-2</v>
      </c>
      <c r="BB31" s="5">
        <v>-0.13893682831660914</v>
      </c>
      <c r="BC31"/>
      <c r="BD31"/>
      <c r="BE31"/>
    </row>
    <row r="32" spans="2:59" ht="13">
      <c r="D32" s="12"/>
      <c r="E32" s="6"/>
      <c r="F32" s="12"/>
      <c r="G32" s="6"/>
      <c r="H32" s="8"/>
      <c r="I32" s="8"/>
      <c r="J32" s="8"/>
      <c r="K32" s="8"/>
      <c r="L32" s="8"/>
      <c r="M32" s="8"/>
      <c r="N32" s="8"/>
      <c r="O32" s="2">
        <v>31</v>
      </c>
      <c r="P32" s="1">
        <v>12.16</v>
      </c>
      <c r="Q32">
        <v>0.90475643938710582</v>
      </c>
      <c r="R32">
        <v>0.93196566722104079</v>
      </c>
      <c r="S32">
        <v>0.90181724115630857</v>
      </c>
      <c r="T32">
        <v>0.98305502643071607</v>
      </c>
      <c r="U32">
        <v>0.93167556200406665</v>
      </c>
      <c r="V32">
        <v>0.94004166203474449</v>
      </c>
      <c r="W32">
        <v>1.0475468222376638</v>
      </c>
      <c r="X32">
        <v>1.0960511677920564</v>
      </c>
      <c r="Y32">
        <v>0.92944105753673001</v>
      </c>
      <c r="AA32" s="5">
        <v>7</v>
      </c>
      <c r="AB32" s="5">
        <v>11.931369375608453</v>
      </c>
      <c r="AC32" s="5">
        <v>-0.78136937560845254</v>
      </c>
      <c r="AD32" s="5">
        <v>-1.4870477740619428</v>
      </c>
      <c r="AI32" s="5">
        <v>5</v>
      </c>
      <c r="AJ32" s="5">
        <v>13.468203587384941</v>
      </c>
      <c r="AK32" s="5">
        <v>0.36179641261505857</v>
      </c>
      <c r="AL32" s="5">
        <v>0.7994629901230722</v>
      </c>
      <c r="AM32"/>
      <c r="AN32"/>
      <c r="AO32"/>
      <c r="AP32"/>
      <c r="AR32" s="2">
        <v>32</v>
      </c>
      <c r="AS32" s="1">
        <v>12.34</v>
      </c>
      <c r="AT32">
        <v>0.95126377576187837</v>
      </c>
      <c r="AU32">
        <v>0.90005635572472542</v>
      </c>
      <c r="AV32">
        <v>1.007858110558923</v>
      </c>
      <c r="AW32">
        <v>0.88542925694081143</v>
      </c>
      <c r="AY32" s="5">
        <v>5</v>
      </c>
      <c r="AZ32" s="5">
        <v>13.511466867833564</v>
      </c>
      <c r="BA32" s="5">
        <v>0.31853313216643642</v>
      </c>
      <c r="BB32" s="5">
        <v>0.74382545398083288</v>
      </c>
      <c r="BC32"/>
      <c r="BD32"/>
      <c r="BE32"/>
    </row>
    <row r="33" spans="4:57">
      <c r="D33" s="12"/>
      <c r="E33" s="6"/>
      <c r="F33" s="12"/>
      <c r="G33" s="6"/>
      <c r="H33" s="5"/>
      <c r="I33" s="5"/>
      <c r="J33" s="5"/>
      <c r="K33" s="5"/>
      <c r="L33" s="5"/>
      <c r="M33" s="5"/>
      <c r="N33" s="5"/>
      <c r="O33" s="2">
        <v>32</v>
      </c>
      <c r="P33" s="1">
        <v>12.34</v>
      </c>
      <c r="Q33">
        <v>0.89869173848293493</v>
      </c>
      <c r="R33">
        <v>0.95126377576187837</v>
      </c>
      <c r="S33">
        <v>0.90005635572472542</v>
      </c>
      <c r="T33">
        <v>1.007858110558923</v>
      </c>
      <c r="U33">
        <v>0.88542925694081143</v>
      </c>
      <c r="V33">
        <v>0.94793351002011095</v>
      </c>
      <c r="W33">
        <v>1.0550536213500481</v>
      </c>
      <c r="X33">
        <v>1.080089122195951</v>
      </c>
      <c r="Y33">
        <v>0.91563389661130101</v>
      </c>
      <c r="AA33" s="5">
        <v>8</v>
      </c>
      <c r="AB33" s="5">
        <v>11.57862542659954</v>
      </c>
      <c r="AC33" s="5">
        <v>-0.50862542659954002</v>
      </c>
      <c r="AD33" s="5">
        <v>-0.96798048665163239</v>
      </c>
      <c r="AI33" s="5">
        <v>6</v>
      </c>
      <c r="AJ33" s="5">
        <v>12.885957570881141</v>
      </c>
      <c r="AK33" s="5">
        <v>-1.0259575708811415</v>
      </c>
      <c r="AL33" s="5">
        <v>-2.2670625765124086</v>
      </c>
      <c r="AM33"/>
      <c r="AN33"/>
      <c r="AO33"/>
      <c r="AP33"/>
      <c r="AR33" s="2">
        <v>33</v>
      </c>
      <c r="AS33" s="1">
        <v>12.69</v>
      </c>
      <c r="AT33">
        <v>0.79912679552074273</v>
      </c>
      <c r="AU33">
        <v>0.89196145637974533</v>
      </c>
      <c r="AV33">
        <v>1.2471321289887538</v>
      </c>
      <c r="AW33">
        <v>0.87335032510289123</v>
      </c>
      <c r="AY33" s="5">
        <v>6</v>
      </c>
      <c r="AZ33" s="5">
        <v>12.914200892997112</v>
      </c>
      <c r="BA33" s="5">
        <v>-1.0542008929971125</v>
      </c>
      <c r="BB33" s="5">
        <v>-2.4617265164455664</v>
      </c>
      <c r="BC33"/>
      <c r="BD33"/>
      <c r="BE33"/>
    </row>
    <row r="34" spans="4:57">
      <c r="D34" s="12"/>
      <c r="E34" s="6"/>
      <c r="F34" s="12"/>
      <c r="G34" s="6"/>
      <c r="H34" s="5"/>
      <c r="I34" s="5"/>
      <c r="J34" s="5"/>
      <c r="K34" s="5"/>
      <c r="L34" s="5"/>
      <c r="M34" s="5"/>
      <c r="N34" s="5"/>
      <c r="O34" s="2">
        <v>33</v>
      </c>
      <c r="P34" s="1">
        <v>12.69</v>
      </c>
      <c r="Q34">
        <v>0.71108706270841049</v>
      </c>
      <c r="R34">
        <v>0.79912679552074273</v>
      </c>
      <c r="S34">
        <v>0.89196145637974533</v>
      </c>
      <c r="T34">
        <v>1.2471321289887538</v>
      </c>
      <c r="U34">
        <v>0.87335032510289123</v>
      </c>
      <c r="V34">
        <v>0.82329543157724527</v>
      </c>
      <c r="W34">
        <v>1.3879308871509304</v>
      </c>
      <c r="X34">
        <v>1.0535043058168037</v>
      </c>
      <c r="Y34">
        <v>0.74867179105850734</v>
      </c>
      <c r="AA34" s="5">
        <v>9</v>
      </c>
      <c r="AB34" s="5">
        <v>11.290120695389053</v>
      </c>
      <c r="AC34" s="5">
        <v>-0.64012069538905259</v>
      </c>
      <c r="AD34" s="5">
        <v>-1.2182331236977857</v>
      </c>
      <c r="AI34" s="5">
        <v>7</v>
      </c>
      <c r="AJ34" s="5">
        <v>11.48110942277048</v>
      </c>
      <c r="AK34" s="5">
        <v>-0.33110942277047961</v>
      </c>
      <c r="AL34" s="5">
        <v>-0.73165382506889576</v>
      </c>
      <c r="AM34"/>
      <c r="AN34"/>
      <c r="AO34"/>
      <c r="AP34"/>
      <c r="AR34" s="2">
        <v>34</v>
      </c>
      <c r="AS34" s="1">
        <v>11.34</v>
      </c>
      <c r="AT34">
        <v>0.77806495940507781</v>
      </c>
      <c r="AU34">
        <v>0.85002171081198441</v>
      </c>
      <c r="AV34">
        <v>1.1811182731263508</v>
      </c>
      <c r="AW34">
        <v>0.9305957513703802</v>
      </c>
      <c r="AY34" s="5">
        <v>7</v>
      </c>
      <c r="AZ34" s="5">
        <v>11.50783394360862</v>
      </c>
      <c r="BA34" s="5">
        <v>-0.35783394360861998</v>
      </c>
      <c r="BB34" s="5">
        <v>-0.83559909056920145</v>
      </c>
      <c r="BC34"/>
      <c r="BD34"/>
      <c r="BE34"/>
    </row>
    <row r="35" spans="4:57">
      <c r="D35" s="12"/>
      <c r="E35" s="6"/>
      <c r="F35" s="12"/>
      <c r="G35" s="6"/>
      <c r="H35" s="5"/>
      <c r="I35" s="5"/>
      <c r="J35" s="5"/>
      <c r="K35" s="5"/>
      <c r="L35" s="5"/>
      <c r="M35" s="5"/>
      <c r="N35" s="5"/>
      <c r="O35" s="2">
        <v>34</v>
      </c>
      <c r="P35" s="1">
        <v>11.34</v>
      </c>
      <c r="Q35">
        <v>0.73807699945565552</v>
      </c>
      <c r="R35">
        <v>0.77806495940507781</v>
      </c>
      <c r="S35">
        <v>0.85002171081198441</v>
      </c>
      <c r="T35">
        <v>1.1811182731263508</v>
      </c>
      <c r="U35">
        <v>0.9305957513703802</v>
      </c>
      <c r="V35">
        <v>0.83945099721074068</v>
      </c>
      <c r="W35">
        <v>1.2687938650802799</v>
      </c>
      <c r="X35">
        <v>1.1588302556840191</v>
      </c>
      <c r="Y35">
        <v>0.76083250125971591</v>
      </c>
      <c r="AA35" s="5">
        <v>10</v>
      </c>
      <c r="AB35" s="5">
        <v>11.205019620653619</v>
      </c>
      <c r="AC35" s="5">
        <v>-0.66501962065362008</v>
      </c>
      <c r="AD35" s="5">
        <v>-1.2656190240760514</v>
      </c>
      <c r="AI35" s="5">
        <v>8</v>
      </c>
      <c r="AJ35" s="5">
        <v>11.20205202138888</v>
      </c>
      <c r="AK35" s="5">
        <v>-0.13205202138887984</v>
      </c>
      <c r="AL35" s="5">
        <v>-0.29179588351439539</v>
      </c>
      <c r="AM35"/>
      <c r="AN35"/>
      <c r="AO35"/>
      <c r="AP35"/>
      <c r="AR35" s="2">
        <v>35</v>
      </c>
      <c r="AS35" s="1">
        <v>11.41</v>
      </c>
      <c r="AT35">
        <v>0.78236950110158732</v>
      </c>
      <c r="AU35">
        <v>1.0354191110577324</v>
      </c>
      <c r="AV35">
        <v>1.0930582200545991</v>
      </c>
      <c r="AW35">
        <v>0.89778651705662693</v>
      </c>
      <c r="AY35" s="5">
        <v>8</v>
      </c>
      <c r="AZ35" s="5">
        <v>11.226989078953968</v>
      </c>
      <c r="BA35" s="5">
        <v>-0.15698907895396808</v>
      </c>
      <c r="BB35" s="5">
        <v>-0.36659443282638948</v>
      </c>
      <c r="BC35"/>
      <c r="BD35"/>
      <c r="BE35"/>
    </row>
    <row r="36" spans="4:57">
      <c r="D36" s="12"/>
      <c r="E36" s="6"/>
      <c r="F36" s="12"/>
      <c r="G36" s="6"/>
      <c r="H36" s="6"/>
      <c r="I36" s="6"/>
      <c r="J36" s="6"/>
      <c r="K36" s="6"/>
      <c r="L36" s="6"/>
      <c r="M36" s="6"/>
      <c r="N36" s="6"/>
      <c r="O36" s="2">
        <v>35</v>
      </c>
      <c r="P36" s="1">
        <v>11.41</v>
      </c>
      <c r="Q36">
        <v>0.83919710400019321</v>
      </c>
      <c r="R36">
        <v>0.78236950110158732</v>
      </c>
      <c r="S36">
        <v>1.0354191110577324</v>
      </c>
      <c r="T36">
        <v>1.0930582200545991</v>
      </c>
      <c r="U36">
        <v>0.89778651705662693</v>
      </c>
      <c r="V36">
        <v>0.83854777238229017</v>
      </c>
      <c r="W36">
        <v>1.1222482346911504</v>
      </c>
      <c r="X36">
        <v>1.2038840667734727</v>
      </c>
      <c r="Y36">
        <v>0.86879466505062919</v>
      </c>
      <c r="AA36" s="5">
        <v>11</v>
      </c>
      <c r="AB36" s="5">
        <v>11.47973939713345</v>
      </c>
      <c r="AC36" s="5">
        <v>2.6060286655038567E-4</v>
      </c>
      <c r="AD36" s="5">
        <v>4.9596122488950074E-4</v>
      </c>
      <c r="AI36" s="5">
        <v>9</v>
      </c>
      <c r="AJ36" s="5">
        <v>11.153173619688751</v>
      </c>
      <c r="AK36" s="5">
        <v>-0.50317361968875041</v>
      </c>
      <c r="AL36" s="5">
        <v>-1.1118647740032204</v>
      </c>
      <c r="AM36"/>
      <c r="AN36"/>
      <c r="AO36"/>
      <c r="AP36"/>
      <c r="AR36" s="2">
        <v>36</v>
      </c>
      <c r="AS36" s="1">
        <v>11.7</v>
      </c>
      <c r="AT36">
        <v>0.80878714454093104</v>
      </c>
      <c r="AU36">
        <v>0.82532127382415177</v>
      </c>
      <c r="AV36">
        <v>1.0678608673649497</v>
      </c>
      <c r="AW36">
        <v>0.94231904151987844</v>
      </c>
      <c r="AY36" s="5">
        <v>9</v>
      </c>
      <c r="AZ36" s="5">
        <v>11.163034046710614</v>
      </c>
      <c r="BA36" s="5">
        <v>-0.51303404671061337</v>
      </c>
      <c r="BB36" s="5">
        <v>-1.1980159806508051</v>
      </c>
      <c r="BC36"/>
      <c r="BD36"/>
      <c r="BE36"/>
    </row>
    <row r="37" spans="4:57" ht="13">
      <c r="D37" s="12"/>
      <c r="E37" s="6"/>
      <c r="F37" s="12"/>
      <c r="G37" s="6"/>
      <c r="H37" s="8"/>
      <c r="I37" s="8"/>
      <c r="J37" s="8"/>
      <c r="K37" s="8"/>
      <c r="L37" s="8"/>
      <c r="M37" s="8"/>
      <c r="N37" s="8"/>
      <c r="O37" s="2">
        <v>36</v>
      </c>
      <c r="P37" s="1">
        <v>11.7</v>
      </c>
      <c r="Q37">
        <v>0.86260095231132117</v>
      </c>
      <c r="R37">
        <v>0.80878714454093104</v>
      </c>
      <c r="S37">
        <v>0.82532127382415177</v>
      </c>
      <c r="T37">
        <v>1.0678608673649497</v>
      </c>
      <c r="U37">
        <v>0.94231904151987844</v>
      </c>
      <c r="V37">
        <v>0.84402380976442881</v>
      </c>
      <c r="W37">
        <v>1.0902466323130346</v>
      </c>
      <c r="X37">
        <v>1.0372819589529692</v>
      </c>
      <c r="Y37">
        <v>0.87427098956693627</v>
      </c>
      <c r="AA37" s="5">
        <v>12</v>
      </c>
      <c r="AB37" s="5">
        <v>15.36433050561824</v>
      </c>
      <c r="AC37" s="5">
        <v>0.36566949438176088</v>
      </c>
      <c r="AD37" s="5">
        <v>0.69591671319255544</v>
      </c>
      <c r="AI37" s="5">
        <v>10</v>
      </c>
      <c r="AJ37" s="5">
        <v>11.19768268632731</v>
      </c>
      <c r="AK37" s="5">
        <v>-0.65768268632731086</v>
      </c>
      <c r="AL37" s="5">
        <v>-1.4532840808536036</v>
      </c>
      <c r="AM37"/>
      <c r="AN37"/>
      <c r="AO37"/>
      <c r="AP37"/>
      <c r="AR37" s="2">
        <v>37</v>
      </c>
      <c r="AS37" s="1">
        <v>11.72</v>
      </c>
      <c r="AT37">
        <v>0.74080039720258151</v>
      </c>
      <c r="AU37">
        <v>0.93637531064938428</v>
      </c>
      <c r="AV37">
        <v>1.0672784435564997</v>
      </c>
      <c r="AW37">
        <v>0.95015604423357924</v>
      </c>
      <c r="AY37" s="5">
        <v>10</v>
      </c>
      <c r="AZ37" s="5">
        <v>11.210255248931027</v>
      </c>
      <c r="BA37" s="5">
        <v>-0.67025524893102784</v>
      </c>
      <c r="BB37" s="5">
        <v>-1.5651524581708491</v>
      </c>
      <c r="BC37"/>
      <c r="BD37"/>
      <c r="BE37"/>
    </row>
    <row r="38" spans="4:57">
      <c r="D38" s="12"/>
      <c r="E38" s="6"/>
      <c r="F38" s="12"/>
      <c r="G38" s="6"/>
      <c r="H38" s="5"/>
      <c r="I38" s="5"/>
      <c r="J38" s="5"/>
      <c r="K38" s="5"/>
      <c r="L38" s="5"/>
      <c r="M38" s="5"/>
      <c r="N38" s="5"/>
      <c r="O38" s="2">
        <v>37</v>
      </c>
      <c r="P38" s="1">
        <v>11.72</v>
      </c>
      <c r="Q38">
        <v>0.8503269865354417</v>
      </c>
      <c r="R38">
        <v>0.74080039720258151</v>
      </c>
      <c r="S38">
        <v>0.93637531064938428</v>
      </c>
      <c r="T38">
        <v>1.0672784435564997</v>
      </c>
      <c r="U38">
        <v>0.95015604423357924</v>
      </c>
      <c r="V38">
        <v>0.79595298430536321</v>
      </c>
      <c r="W38">
        <v>1.1054211728849683</v>
      </c>
      <c r="X38">
        <v>0.99583208089171771</v>
      </c>
      <c r="Y38">
        <v>0.85783332250160571</v>
      </c>
      <c r="AA38" s="5">
        <v>13</v>
      </c>
      <c r="AB38" s="5">
        <v>17.208168316598993</v>
      </c>
      <c r="AC38" s="5">
        <v>1.1218316834010054</v>
      </c>
      <c r="AD38" s="5">
        <v>2.1349919253932699</v>
      </c>
      <c r="AI38" s="5">
        <v>11</v>
      </c>
      <c r="AJ38" s="5">
        <v>11.311530298370563</v>
      </c>
      <c r="AK38" s="5">
        <v>0.1684697016294372</v>
      </c>
      <c r="AL38" s="5">
        <v>0.37226817821743607</v>
      </c>
      <c r="AM38"/>
      <c r="AN38"/>
      <c r="AO38"/>
      <c r="AP38"/>
      <c r="AR38" s="2">
        <v>38</v>
      </c>
      <c r="AS38" s="1">
        <v>12.02</v>
      </c>
      <c r="AT38">
        <v>0.76380788011015133</v>
      </c>
      <c r="AU38">
        <v>0.96559344425864502</v>
      </c>
      <c r="AV38">
        <v>1.086236338521543</v>
      </c>
      <c r="AW38">
        <v>0.93979089299566265</v>
      </c>
      <c r="AY38" s="5">
        <v>11</v>
      </c>
      <c r="AZ38" s="5">
        <v>11.329067908367408</v>
      </c>
      <c r="BA38" s="5">
        <v>0.15093209163259225</v>
      </c>
      <c r="BB38" s="5">
        <v>0.35245040544237333</v>
      </c>
      <c r="BC38"/>
      <c r="BD38"/>
      <c r="BE38"/>
    </row>
    <row r="39" spans="4:57">
      <c r="D39" s="12"/>
      <c r="E39" s="6"/>
      <c r="F39" s="12"/>
      <c r="G39" s="6"/>
      <c r="H39" s="5"/>
      <c r="I39" s="5"/>
      <c r="J39" s="5"/>
      <c r="K39" s="5"/>
      <c r="L39" s="5"/>
      <c r="M39" s="5"/>
      <c r="N39" s="5"/>
      <c r="O39" s="2">
        <v>38</v>
      </c>
      <c r="P39" s="1">
        <v>12.02</v>
      </c>
      <c r="Q39">
        <v>0.82372999723690554</v>
      </c>
      <c r="R39">
        <v>0.76380788011015133</v>
      </c>
      <c r="S39">
        <v>0.96559344425864502</v>
      </c>
      <c r="T39">
        <v>1.086236338521543</v>
      </c>
      <c r="U39">
        <v>0.93979089299566265</v>
      </c>
      <c r="V39">
        <v>0.8150055014603188</v>
      </c>
      <c r="W39">
        <v>1.1246207307448568</v>
      </c>
      <c r="X39">
        <v>1.0339383271924958</v>
      </c>
      <c r="Y39">
        <v>0.8453874143203316</v>
      </c>
      <c r="AA39" s="5">
        <v>14</v>
      </c>
      <c r="AB39" s="5">
        <v>14.836077562766713</v>
      </c>
      <c r="AC39" s="5">
        <v>1.2639224372332887</v>
      </c>
      <c r="AD39" s="5">
        <v>2.405409151607881</v>
      </c>
      <c r="AI39" s="5">
        <v>12</v>
      </c>
      <c r="AJ39" s="5">
        <v>15.815436776633739</v>
      </c>
      <c r="AK39" s="5">
        <v>-8.5436776633738276E-2</v>
      </c>
      <c r="AL39" s="5">
        <v>-0.18878998943187011</v>
      </c>
      <c r="AM39"/>
      <c r="AN39"/>
      <c r="AO39"/>
      <c r="AP39"/>
      <c r="AR39" s="2">
        <v>39</v>
      </c>
      <c r="AS39" s="1">
        <v>12.6</v>
      </c>
      <c r="AT39">
        <v>0.81356994708506758</v>
      </c>
      <c r="AU39">
        <v>0.9798597573932244</v>
      </c>
      <c r="AV39">
        <v>1.0844610783965096</v>
      </c>
      <c r="AW39">
        <v>0.96345652795781778</v>
      </c>
      <c r="AY39" s="5">
        <v>12</v>
      </c>
      <c r="AZ39" s="5">
        <v>15.850213558756435</v>
      </c>
      <c r="BA39" s="5">
        <v>-0.12021355875643458</v>
      </c>
      <c r="BB39" s="5">
        <v>-0.28071775236848778</v>
      </c>
      <c r="BC39"/>
      <c r="BD39"/>
      <c r="BE39"/>
    </row>
    <row r="40" spans="4:57">
      <c r="D40" s="12"/>
      <c r="E40" s="6"/>
      <c r="F40" s="12"/>
      <c r="G40" s="6"/>
      <c r="H40" s="6"/>
      <c r="I40" s="6"/>
      <c r="J40" s="6"/>
      <c r="K40" s="6"/>
      <c r="L40" s="6"/>
      <c r="M40" s="6"/>
      <c r="N40" s="6"/>
      <c r="O40" s="2">
        <v>39</v>
      </c>
      <c r="P40" s="1">
        <v>12.6</v>
      </c>
      <c r="Q40">
        <v>0.82138513102453303</v>
      </c>
      <c r="R40">
        <v>0.81356994708506758</v>
      </c>
      <c r="S40">
        <v>0.9798597573932244</v>
      </c>
      <c r="T40">
        <v>1.0844610783965096</v>
      </c>
      <c r="U40">
        <v>0.96345652795781778</v>
      </c>
      <c r="V40">
        <v>0.85511342103667476</v>
      </c>
      <c r="W40">
        <v>1.1153116965869077</v>
      </c>
      <c r="X40">
        <v>1.0259743479298302</v>
      </c>
      <c r="Y40">
        <v>0.84155509283915886</v>
      </c>
      <c r="AA40" s="5">
        <v>15</v>
      </c>
      <c r="AB40" s="5">
        <v>13.026248279906593</v>
      </c>
      <c r="AC40" s="5">
        <v>0.76375172009340631</v>
      </c>
      <c r="AD40" s="5">
        <v>1.4535190791378052</v>
      </c>
      <c r="AI40" s="5">
        <v>13</v>
      </c>
      <c r="AJ40" s="5">
        <v>17.557112230459538</v>
      </c>
      <c r="AK40" s="5">
        <v>0.77288776954046057</v>
      </c>
      <c r="AL40" s="5">
        <v>1.7078532172285301</v>
      </c>
      <c r="AM40"/>
      <c r="AN40"/>
      <c r="AO40"/>
      <c r="AP40"/>
      <c r="AR40" s="2">
        <v>40</v>
      </c>
      <c r="AS40" s="1">
        <v>11.71</v>
      </c>
      <c r="AT40">
        <v>0.73128715162440805</v>
      </c>
      <c r="AU40">
        <v>0.9582062249979213</v>
      </c>
      <c r="AV40">
        <v>1.322727341853331</v>
      </c>
      <c r="AW40">
        <v>0.94132169852408698</v>
      </c>
      <c r="AY40" s="5">
        <v>13</v>
      </c>
      <c r="AZ40" s="5">
        <v>17.610904760705875</v>
      </c>
      <c r="BA40" s="5">
        <v>0.71909523929412345</v>
      </c>
      <c r="BB40" s="5">
        <v>1.6792015925800985</v>
      </c>
      <c r="BC40"/>
      <c r="BD40"/>
      <c r="BE40"/>
    </row>
    <row r="41" spans="4:57">
      <c r="D41" s="12"/>
      <c r="E41" s="6"/>
      <c r="F41" s="12"/>
      <c r="G41" s="6"/>
      <c r="H41" s="6"/>
      <c r="I41" s="6"/>
      <c r="J41" s="6"/>
      <c r="K41" s="6"/>
      <c r="L41" s="6"/>
      <c r="M41" s="6"/>
      <c r="N41" s="6"/>
      <c r="O41" s="2">
        <v>40</v>
      </c>
      <c r="P41" s="1">
        <v>11.71</v>
      </c>
      <c r="Q41">
        <v>0.64669261515844256</v>
      </c>
      <c r="R41">
        <v>0.73128715162440805</v>
      </c>
      <c r="S41">
        <v>0.9582062249979213</v>
      </c>
      <c r="T41">
        <v>1.322727341853331</v>
      </c>
      <c r="U41">
        <v>0.94132169852408698</v>
      </c>
      <c r="V41">
        <v>0.78078717622863847</v>
      </c>
      <c r="W41">
        <v>1.4691279800719907</v>
      </c>
      <c r="X41">
        <v>1.0189152254549849</v>
      </c>
      <c r="Y41">
        <v>0.69178758110080174</v>
      </c>
      <c r="AA41" s="5">
        <v>16</v>
      </c>
      <c r="AB41" s="5">
        <v>13.231845308388456</v>
      </c>
      <c r="AC41" s="5">
        <v>-0.68184530838845525</v>
      </c>
      <c r="AD41" s="5">
        <v>-1.2976405010806555</v>
      </c>
      <c r="AI41" s="5">
        <v>14</v>
      </c>
      <c r="AJ41" s="5">
        <v>15.192157309843246</v>
      </c>
      <c r="AK41" s="5">
        <v>0.90784269015675534</v>
      </c>
      <c r="AL41" s="5">
        <v>2.0060636488574319</v>
      </c>
      <c r="AM41"/>
      <c r="AN41"/>
      <c r="AO41"/>
      <c r="AP41"/>
      <c r="AR41" s="2">
        <v>41</v>
      </c>
      <c r="AS41" s="1">
        <v>11.71</v>
      </c>
      <c r="AT41">
        <v>0.7214456596586043</v>
      </c>
      <c r="AU41">
        <v>0.80703984626897396</v>
      </c>
      <c r="AV41">
        <v>1.2953864268719992</v>
      </c>
      <c r="AW41">
        <v>0.88653999293870844</v>
      </c>
      <c r="AY41" s="5">
        <v>14</v>
      </c>
      <c r="AZ41" s="5">
        <v>15.234094810100389</v>
      </c>
      <c r="BA41" s="5">
        <v>0.86590518989961218</v>
      </c>
      <c r="BB41" s="5">
        <v>2.0220261440335809</v>
      </c>
      <c r="BC41"/>
      <c r="BD41"/>
      <c r="BE41"/>
    </row>
    <row r="42" spans="4:57">
      <c r="D42" s="12"/>
      <c r="E42" s="6"/>
      <c r="F42" s="12"/>
      <c r="G42" s="6"/>
      <c r="H42" s="6"/>
      <c r="I42" s="6"/>
      <c r="J42" s="6"/>
      <c r="K42" s="6"/>
      <c r="L42" s="6"/>
      <c r="M42" s="6"/>
      <c r="N42" s="6"/>
      <c r="O42" s="2">
        <v>41</v>
      </c>
      <c r="P42" s="1">
        <v>11.71</v>
      </c>
      <c r="Q42">
        <v>0.6815354646644699</v>
      </c>
      <c r="R42">
        <v>0.7214456596586043</v>
      </c>
      <c r="S42">
        <v>0.80703984626897396</v>
      </c>
      <c r="T42">
        <v>1.2953864268719992</v>
      </c>
      <c r="U42">
        <v>0.88653999293870844</v>
      </c>
      <c r="V42">
        <v>0.78106524946690781</v>
      </c>
      <c r="W42">
        <v>1.4292196720755641</v>
      </c>
      <c r="X42">
        <v>0.99665946706414255</v>
      </c>
      <c r="Y42">
        <v>0.72401841337417305</v>
      </c>
      <c r="AA42" s="5">
        <v>17</v>
      </c>
      <c r="AB42" s="5">
        <v>12.911638843605269</v>
      </c>
      <c r="AC42" s="5">
        <v>-0.24163884360526922</v>
      </c>
      <c r="AD42" s="5">
        <v>-0.45987021724559946</v>
      </c>
      <c r="AI42" s="5">
        <v>15</v>
      </c>
      <c r="AJ42" s="5">
        <v>13.31392440944953</v>
      </c>
      <c r="AK42" s="5">
        <v>0.47607559055046877</v>
      </c>
      <c r="AL42" s="5">
        <v>1.051986149876611</v>
      </c>
      <c r="AM42"/>
      <c r="AN42"/>
      <c r="AO42"/>
      <c r="AP42"/>
      <c r="AR42" s="2">
        <v>42</v>
      </c>
      <c r="AS42" s="1">
        <v>11.67</v>
      </c>
      <c r="AT42">
        <v>0.82143054953459993</v>
      </c>
      <c r="AU42">
        <v>0.76093532025757338</v>
      </c>
      <c r="AV42">
        <v>1.0721695092723489</v>
      </c>
      <c r="AW42">
        <v>0.90404632619558745</v>
      </c>
      <c r="AY42" s="5">
        <v>15</v>
      </c>
      <c r="AZ42" s="5">
        <v>13.342161117377032</v>
      </c>
      <c r="BA42" s="5">
        <v>0.44783888262296756</v>
      </c>
      <c r="BB42" s="5">
        <v>1.0457749180177676</v>
      </c>
      <c r="BC42"/>
      <c r="BD42"/>
      <c r="BE42"/>
    </row>
    <row r="43" spans="4:57">
      <c r="D43" s="12"/>
      <c r="E43" s="6"/>
      <c r="F43" s="12"/>
      <c r="G43" s="6"/>
      <c r="H43" s="6"/>
      <c r="I43" s="6"/>
      <c r="J43" s="6"/>
      <c r="K43" s="6"/>
      <c r="L43" s="6"/>
      <c r="M43" s="6"/>
      <c r="N43" s="6"/>
      <c r="O43" s="2">
        <v>42</v>
      </c>
      <c r="P43" s="1">
        <v>11.67</v>
      </c>
      <c r="Q43">
        <v>0.86029482978483007</v>
      </c>
      <c r="R43">
        <v>0.82143054953459993</v>
      </c>
      <c r="S43">
        <v>0.76093532025757338</v>
      </c>
      <c r="T43">
        <v>1.0721695092723489</v>
      </c>
      <c r="U43">
        <v>0.90404632619558745</v>
      </c>
      <c r="V43">
        <v>0.85901749982314479</v>
      </c>
      <c r="W43">
        <v>1.1345394909119451</v>
      </c>
      <c r="X43">
        <v>0.95767625339708651</v>
      </c>
      <c r="Y43">
        <v>0.86686664567843608</v>
      </c>
      <c r="AA43" s="5">
        <v>18</v>
      </c>
      <c r="AB43" s="5">
        <v>13.439077258981287</v>
      </c>
      <c r="AC43" s="5">
        <v>-4.9077258981286676E-2</v>
      </c>
      <c r="AD43" s="5">
        <v>-9.3400421111147477E-2</v>
      </c>
      <c r="AI43" s="5">
        <v>16</v>
      </c>
      <c r="AJ43" s="5">
        <v>13.018650638069895</v>
      </c>
      <c r="AK43" s="5">
        <v>-0.46865063806989404</v>
      </c>
      <c r="AL43" s="5">
        <v>-1.0355792024756214</v>
      </c>
      <c r="AM43"/>
      <c r="AN43"/>
      <c r="AO43"/>
      <c r="AP43"/>
      <c r="AR43" s="2">
        <v>43</v>
      </c>
      <c r="AS43" s="1">
        <v>12.01</v>
      </c>
      <c r="AT43">
        <v>0.83493841042815131</v>
      </c>
      <c r="AU43">
        <v>0.90330651047200239</v>
      </c>
      <c r="AV43">
        <v>1.0319184425469652</v>
      </c>
      <c r="AW43">
        <v>1.0080895598547539</v>
      </c>
      <c r="AY43" s="5">
        <v>16</v>
      </c>
      <c r="AZ43" s="5">
        <v>13.059621417309351</v>
      </c>
      <c r="BA43" s="5">
        <v>-0.50962141730935073</v>
      </c>
      <c r="BB43" s="5">
        <v>-1.190046948994983</v>
      </c>
      <c r="BC43"/>
      <c r="BD43"/>
      <c r="BE43"/>
    </row>
    <row r="44" spans="4:57">
      <c r="D44" s="12"/>
      <c r="E44" s="6"/>
      <c r="F44" s="12"/>
      <c r="G44" s="6"/>
      <c r="H44" s="6"/>
      <c r="I44" s="6"/>
      <c r="J44" s="6"/>
      <c r="K44" s="6"/>
      <c r="L44" s="6"/>
      <c r="M44" s="6"/>
      <c r="N44" s="6"/>
      <c r="O44" s="2">
        <v>43</v>
      </c>
      <c r="P44" s="1">
        <v>12.01</v>
      </c>
      <c r="Q44">
        <v>0.8918147935838151</v>
      </c>
      <c r="R44">
        <v>0.83493841042815131</v>
      </c>
      <c r="S44">
        <v>0.90330651047200239</v>
      </c>
      <c r="T44">
        <v>1.0319184425469652</v>
      </c>
      <c r="U44">
        <v>1.0080895598547539</v>
      </c>
      <c r="V44">
        <v>0.86222221099331997</v>
      </c>
      <c r="W44">
        <v>1.0777041100817033</v>
      </c>
      <c r="X44">
        <v>0.99117144866951956</v>
      </c>
      <c r="Y44">
        <v>0.90858607129865099</v>
      </c>
      <c r="AA44" s="5">
        <v>19</v>
      </c>
      <c r="AB44" s="5">
        <v>12.459667340465739</v>
      </c>
      <c r="AC44" s="5">
        <v>-0.24966734046573791</v>
      </c>
      <c r="AD44" s="5">
        <v>-0.4751494932936613</v>
      </c>
      <c r="AI44" s="5">
        <v>17</v>
      </c>
      <c r="AJ44" s="5">
        <v>12.547746843467783</v>
      </c>
      <c r="AK44" s="5">
        <v>0.12225315653221713</v>
      </c>
      <c r="AL44" s="5">
        <v>0.27014329237481866</v>
      </c>
      <c r="AM44"/>
      <c r="AN44"/>
      <c r="AO44"/>
      <c r="AP44"/>
      <c r="AR44" s="2">
        <v>44</v>
      </c>
      <c r="AS44" s="1">
        <v>12.99</v>
      </c>
      <c r="AT44">
        <v>0.90416730854613159</v>
      </c>
      <c r="AU44">
        <v>0.77244666993098732</v>
      </c>
      <c r="AV44">
        <v>1.1299463555315541</v>
      </c>
      <c r="AW44">
        <v>0.84082715040808587</v>
      </c>
      <c r="AY44" s="5">
        <v>17</v>
      </c>
      <c r="AZ44" s="5">
        <v>12.587601448923648</v>
      </c>
      <c r="BA44" s="5">
        <v>8.2398551076352078E-2</v>
      </c>
      <c r="BB44" s="5">
        <v>0.19241370354436407</v>
      </c>
      <c r="BC44"/>
      <c r="BD44"/>
      <c r="BE44"/>
    </row>
    <row r="45" spans="4:57">
      <c r="D45" s="12"/>
      <c r="E45" s="6"/>
      <c r="F45" s="12"/>
      <c r="G45" s="6"/>
      <c r="H45" s="6"/>
      <c r="I45" s="6"/>
      <c r="J45" s="6"/>
      <c r="K45" s="6"/>
      <c r="L45" s="6"/>
      <c r="M45" s="6"/>
      <c r="N45" s="6"/>
      <c r="O45" s="2">
        <v>44</v>
      </c>
      <c r="P45" s="1">
        <v>12.99</v>
      </c>
      <c r="Q45">
        <v>0.77410198070608527</v>
      </c>
      <c r="R45">
        <v>0.90416730854613159</v>
      </c>
      <c r="S45">
        <v>0.77244666993098732</v>
      </c>
      <c r="T45">
        <v>1.1299463555315541</v>
      </c>
      <c r="U45">
        <v>0.84082715040808587</v>
      </c>
      <c r="V45">
        <v>0.89157417560206564</v>
      </c>
      <c r="W45">
        <v>1.2003188133595248</v>
      </c>
      <c r="X45">
        <v>0.90327328844169408</v>
      </c>
      <c r="Y45">
        <v>0.8119766271013199</v>
      </c>
      <c r="AA45" s="5">
        <v>20</v>
      </c>
      <c r="AB45" s="5">
        <v>12.531219628965882</v>
      </c>
      <c r="AC45" s="5">
        <v>8.780371034116996E-3</v>
      </c>
      <c r="AD45" s="5">
        <v>1.6710190608064564E-2</v>
      </c>
      <c r="AI45" s="5">
        <v>18</v>
      </c>
      <c r="AJ45" s="5">
        <v>13.023346109108902</v>
      </c>
      <c r="AK45" s="5">
        <v>0.36665389089109901</v>
      </c>
      <c r="AL45" s="5">
        <v>0.81019657943356915</v>
      </c>
      <c r="AM45"/>
      <c r="AN45"/>
      <c r="AO45"/>
      <c r="AP45"/>
      <c r="AR45" s="2">
        <v>45</v>
      </c>
      <c r="AS45" s="1">
        <v>12.21</v>
      </c>
      <c r="AT45">
        <v>0.86497041260730056</v>
      </c>
      <c r="AU45">
        <v>0.83018449570865027</v>
      </c>
      <c r="AV45">
        <v>1.0972371917724224</v>
      </c>
      <c r="AW45">
        <v>0.84973880952810465</v>
      </c>
      <c r="AY45" s="5">
        <v>18</v>
      </c>
      <c r="AZ45" s="5">
        <v>13.075267886295121</v>
      </c>
      <c r="BA45" s="5">
        <v>0.31473211370487952</v>
      </c>
      <c r="BB45" s="5">
        <v>0.73494947218412676</v>
      </c>
      <c r="BC45"/>
      <c r="BD45"/>
      <c r="BE45"/>
    </row>
    <row r="46" spans="4:57">
      <c r="D46" s="12"/>
      <c r="E46" s="6"/>
      <c r="F46" s="12"/>
      <c r="G46" s="6"/>
      <c r="H46" s="6"/>
      <c r="I46" s="6"/>
      <c r="J46" s="6"/>
      <c r="K46" s="6"/>
      <c r="L46" s="6"/>
      <c r="M46" s="6"/>
      <c r="N46" s="6"/>
      <c r="O46" s="2">
        <v>45</v>
      </c>
      <c r="P46" s="1">
        <v>12.21</v>
      </c>
      <c r="Q46">
        <v>0.81321387572639758</v>
      </c>
      <c r="R46">
        <v>0.86497041260730056</v>
      </c>
      <c r="S46">
        <v>0.83018449570865027</v>
      </c>
      <c r="T46">
        <v>1.0972371917724224</v>
      </c>
      <c r="U46">
        <v>0.84973880952810465</v>
      </c>
      <c r="V46">
        <v>0.87477150938343229</v>
      </c>
      <c r="W46">
        <v>1.171278929957962</v>
      </c>
      <c r="X46">
        <v>0.98515043244097511</v>
      </c>
      <c r="Y46">
        <v>0.84308278844116813</v>
      </c>
      <c r="AA46" s="5">
        <v>21</v>
      </c>
      <c r="AB46" s="5">
        <v>14.640958082735894</v>
      </c>
      <c r="AC46" s="5">
        <v>1.904191726410609E-2</v>
      </c>
      <c r="AD46" s="5">
        <v>3.6239250686540887E-2</v>
      </c>
      <c r="AI46" s="5">
        <v>19</v>
      </c>
      <c r="AJ46" s="5">
        <v>11.878427101071301</v>
      </c>
      <c r="AK46" s="5">
        <v>0.3315728989286999</v>
      </c>
      <c r="AL46" s="5">
        <v>0.73267797020240699</v>
      </c>
      <c r="AM46"/>
      <c r="AN46"/>
      <c r="AO46"/>
      <c r="AP46"/>
      <c r="AR46" s="2">
        <v>46</v>
      </c>
      <c r="AS46" s="1">
        <v>12.4</v>
      </c>
      <c r="AT46">
        <v>0.8680137072462184</v>
      </c>
      <c r="AU46">
        <v>0.87360242422002754</v>
      </c>
      <c r="AV46">
        <v>1.137351065334038</v>
      </c>
      <c r="AW46">
        <v>0.84653288010493999</v>
      </c>
      <c r="AY46" s="5">
        <v>19</v>
      </c>
      <c r="AZ46" s="5">
        <v>11.913750984817508</v>
      </c>
      <c r="BA46" s="5">
        <v>0.29624901518249303</v>
      </c>
      <c r="BB46" s="5">
        <v>0.691788501594094</v>
      </c>
      <c r="BC46"/>
      <c r="BD46"/>
      <c r="BE46"/>
    </row>
    <row r="47" spans="4:57">
      <c r="D47" s="12"/>
      <c r="E47" s="6"/>
      <c r="F47" s="12"/>
      <c r="G47" s="6"/>
      <c r="H47" s="6"/>
      <c r="I47" s="6"/>
      <c r="J47" s="6"/>
      <c r="K47" s="6"/>
      <c r="L47" s="6"/>
      <c r="M47" s="6"/>
      <c r="N47" s="6"/>
      <c r="O47" s="2">
        <v>46</v>
      </c>
      <c r="P47" s="1">
        <v>12.4</v>
      </c>
      <c r="Q47">
        <v>0.7854564748854781</v>
      </c>
      <c r="R47">
        <v>0.8680137072462184</v>
      </c>
      <c r="S47">
        <v>0.87360242422002754</v>
      </c>
      <c r="T47">
        <v>1.137351065334038</v>
      </c>
      <c r="U47">
        <v>0.84653288010493999</v>
      </c>
      <c r="V47">
        <v>0.86755013213610777</v>
      </c>
      <c r="W47">
        <v>1.2160482582655714</v>
      </c>
      <c r="X47">
        <v>0.94782199111876864</v>
      </c>
      <c r="Y47">
        <v>0.82107958281249604</v>
      </c>
      <c r="AA47" s="5">
        <v>22</v>
      </c>
      <c r="AB47" s="5">
        <v>13.504661939495762</v>
      </c>
      <c r="AC47" s="5">
        <v>0.32533806050423841</v>
      </c>
      <c r="AD47" s="5">
        <v>0.61916073728091459</v>
      </c>
      <c r="AI47" s="5">
        <v>20</v>
      </c>
      <c r="AJ47" s="5">
        <v>12.335487341638235</v>
      </c>
      <c r="AK47" s="5">
        <v>0.20451265836176447</v>
      </c>
      <c r="AL47" s="5">
        <v>0.45191244487510818</v>
      </c>
      <c r="AM47"/>
      <c r="AN47"/>
      <c r="AO47"/>
      <c r="AP47"/>
      <c r="AR47" s="2">
        <v>47</v>
      </c>
      <c r="AS47" s="1">
        <v>11.21</v>
      </c>
      <c r="AT47">
        <v>0.76512276752575459</v>
      </c>
      <c r="AU47">
        <v>0.86389815319518493</v>
      </c>
      <c r="AV47">
        <v>1.1128925010669679</v>
      </c>
      <c r="AW47">
        <v>0.92005277928825269</v>
      </c>
      <c r="AY47" s="5">
        <v>20</v>
      </c>
      <c r="AZ47" s="5">
        <v>12.367768603993222</v>
      </c>
      <c r="BA47" s="5">
        <v>0.17223139600677762</v>
      </c>
      <c r="BB47" s="5">
        <v>0.40218766397448191</v>
      </c>
      <c r="BC47"/>
      <c r="BD47"/>
      <c r="BE47"/>
    </row>
    <row r="48" spans="4:57">
      <c r="D48" s="12"/>
      <c r="E48" s="6"/>
      <c r="F48" s="12"/>
      <c r="G48" s="6"/>
      <c r="H48" s="6"/>
      <c r="I48" s="6"/>
      <c r="J48" s="6"/>
      <c r="K48" s="6"/>
      <c r="L48" s="6"/>
      <c r="M48" s="6"/>
      <c r="N48" s="6"/>
      <c r="O48" s="2">
        <v>47</v>
      </c>
      <c r="P48" s="1">
        <v>11.21</v>
      </c>
      <c r="Q48">
        <v>0.84297684304307186</v>
      </c>
      <c r="R48">
        <v>0.76512276752575459</v>
      </c>
      <c r="S48">
        <v>0.86389815319518493</v>
      </c>
      <c r="T48">
        <v>1.1128925010669679</v>
      </c>
      <c r="U48">
        <v>0.92005277928825269</v>
      </c>
      <c r="V48">
        <v>0.81324326560620919</v>
      </c>
      <c r="W48">
        <v>1.1780020708392365</v>
      </c>
      <c r="X48">
        <v>0.99988844231383034</v>
      </c>
      <c r="Y48">
        <v>0.86170936477404025</v>
      </c>
      <c r="AA48" s="5">
        <v>23</v>
      </c>
      <c r="AB48" s="5">
        <v>13.535814229217124</v>
      </c>
      <c r="AC48" s="5">
        <v>-0.15581422921712296</v>
      </c>
      <c r="AD48" s="5">
        <v>-0.29653478874069344</v>
      </c>
      <c r="AI48" s="5">
        <v>21</v>
      </c>
      <c r="AJ48" s="5">
        <v>14.726140971713091</v>
      </c>
      <c r="AK48" s="5">
        <v>-6.614097171309119E-2</v>
      </c>
      <c r="AL48" s="5">
        <v>-0.14615197158312723</v>
      </c>
      <c r="AM48"/>
      <c r="AN48"/>
      <c r="AO48"/>
      <c r="AP48"/>
      <c r="AR48" s="2">
        <v>48</v>
      </c>
      <c r="AS48" s="1">
        <v>11.91</v>
      </c>
      <c r="AT48">
        <v>0.79712234616560507</v>
      </c>
      <c r="AU48">
        <v>0.83661274378470274</v>
      </c>
      <c r="AV48">
        <v>1.1531466416957852</v>
      </c>
      <c r="AW48">
        <v>0.96529658712834798</v>
      </c>
      <c r="AY48" s="5">
        <v>21</v>
      </c>
      <c r="AZ48" s="5">
        <v>14.773980621754545</v>
      </c>
      <c r="BA48" s="5">
        <v>-0.11398062175454449</v>
      </c>
      <c r="BB48" s="5">
        <v>-0.26616285453562322</v>
      </c>
      <c r="BC48"/>
      <c r="BD48"/>
      <c r="BE48"/>
    </row>
    <row r="49" spans="4:57">
      <c r="D49" s="12"/>
      <c r="E49" s="6"/>
      <c r="F49" s="12"/>
      <c r="G49" s="6"/>
      <c r="H49" s="6"/>
      <c r="I49" s="6"/>
      <c r="J49" s="6"/>
      <c r="K49" s="6"/>
      <c r="L49" s="6"/>
      <c r="M49" s="6"/>
      <c r="N49" s="6"/>
      <c r="O49" s="2">
        <v>48</v>
      </c>
      <c r="P49" s="1">
        <v>11.91</v>
      </c>
      <c r="Q49">
        <v>0.83719379262738014</v>
      </c>
      <c r="R49">
        <v>0.79712234616560507</v>
      </c>
      <c r="S49">
        <v>0.83661274378470274</v>
      </c>
      <c r="T49">
        <v>1.1531466416957852</v>
      </c>
      <c r="U49">
        <v>0.96529658712834798</v>
      </c>
      <c r="V49">
        <v>0.83569519257005986</v>
      </c>
      <c r="W49">
        <v>1.2486063336703086</v>
      </c>
      <c r="X49">
        <v>0.95391737913809294</v>
      </c>
      <c r="Y49">
        <v>0.86209880054794474</v>
      </c>
      <c r="AA49" s="5">
        <v>24</v>
      </c>
      <c r="AB49" s="5">
        <v>12.358293686558181</v>
      </c>
      <c r="AC49" s="5">
        <v>-0.76829368655818087</v>
      </c>
      <c r="AD49" s="5">
        <v>-1.4621630333701394</v>
      </c>
      <c r="AI49" s="5">
        <v>22</v>
      </c>
      <c r="AJ49" s="5">
        <v>13.679316381016665</v>
      </c>
      <c r="AK49" s="5">
        <v>0.15068361898333471</v>
      </c>
      <c r="AL49" s="5">
        <v>0.33296619975929659</v>
      </c>
      <c r="AM49"/>
      <c r="AN49"/>
      <c r="AO49"/>
      <c r="AP49"/>
      <c r="AR49" s="2">
        <v>49</v>
      </c>
      <c r="AS49" s="1">
        <v>11.5</v>
      </c>
      <c r="AT49">
        <v>0.75118772444676396</v>
      </c>
      <c r="AU49">
        <v>0.78096100368621879</v>
      </c>
      <c r="AV49">
        <v>1.2397564594844968</v>
      </c>
      <c r="AW49">
        <v>0.82088029049225442</v>
      </c>
      <c r="AY49" s="5">
        <v>22</v>
      </c>
      <c r="AZ49" s="5">
        <v>13.715052214185286</v>
      </c>
      <c r="BA49" s="5">
        <v>0.11494778581471365</v>
      </c>
      <c r="BB49" s="5">
        <v>0.26842133622396885</v>
      </c>
      <c r="BC49"/>
      <c r="BD49"/>
      <c r="BE49"/>
    </row>
    <row r="50" spans="4:57">
      <c r="D50" s="12"/>
      <c r="E50" s="6"/>
      <c r="F50" s="12"/>
      <c r="G50" s="6"/>
      <c r="H50" s="6"/>
      <c r="I50" s="6"/>
      <c r="J50" s="6"/>
      <c r="K50" s="6"/>
      <c r="L50" s="6"/>
      <c r="M50" s="6"/>
      <c r="N50" s="6"/>
      <c r="O50" s="2">
        <v>49</v>
      </c>
      <c r="P50" s="1">
        <v>11.5</v>
      </c>
      <c r="Q50">
        <v>0.76184698831510789</v>
      </c>
      <c r="R50">
        <v>0.75118772444676396</v>
      </c>
      <c r="S50">
        <v>0.78096100368621879</v>
      </c>
      <c r="T50">
        <v>1.2397564594844968</v>
      </c>
      <c r="U50">
        <v>0.82088029049225442</v>
      </c>
      <c r="V50">
        <v>0.74928342058190411</v>
      </c>
      <c r="W50">
        <v>1.3557679846536737</v>
      </c>
      <c r="X50">
        <v>1.0149735205436579</v>
      </c>
      <c r="Y50">
        <v>0.78743981005932684</v>
      </c>
      <c r="AA50" s="5">
        <v>25</v>
      </c>
      <c r="AB50" s="5">
        <v>12.649195681784391</v>
      </c>
      <c r="AC50" s="5">
        <v>-0.32919568178439107</v>
      </c>
      <c r="AD50" s="5">
        <v>-0.6265022934218345</v>
      </c>
      <c r="AI50" s="5">
        <v>23</v>
      </c>
      <c r="AJ50" s="5">
        <v>13.323761094113632</v>
      </c>
      <c r="AK50" s="5">
        <v>5.6238905886369039E-2</v>
      </c>
      <c r="AL50" s="5">
        <v>0.124271336844359</v>
      </c>
      <c r="AM50"/>
      <c r="AN50"/>
      <c r="AO50"/>
      <c r="AP50"/>
      <c r="AR50" s="2">
        <v>50</v>
      </c>
      <c r="AS50" s="1">
        <v>11.89</v>
      </c>
      <c r="AT50">
        <v>0.79284396481735897</v>
      </c>
      <c r="AU50">
        <v>0.81699356066555195</v>
      </c>
      <c r="AV50">
        <v>1.0934926111450678</v>
      </c>
      <c r="AW50">
        <v>0.88985931536397855</v>
      </c>
      <c r="AY50" s="5">
        <v>23</v>
      </c>
      <c r="AZ50" s="5">
        <v>13.365263206974667</v>
      </c>
      <c r="BA50" s="5">
        <v>1.4736793025333483E-2</v>
      </c>
      <c r="BB50" s="5">
        <v>3.4412752255117737E-2</v>
      </c>
      <c r="BC50"/>
      <c r="BD50"/>
      <c r="BE50"/>
    </row>
    <row r="51" spans="4:57">
      <c r="D51" s="12"/>
      <c r="E51" s="6"/>
      <c r="F51" s="12"/>
      <c r="G51" s="6"/>
      <c r="H51" s="6"/>
      <c r="I51" s="6"/>
      <c r="J51" s="6"/>
      <c r="K51" s="6"/>
      <c r="L51" s="6"/>
      <c r="M51" s="6"/>
      <c r="N51" s="6"/>
      <c r="O51" s="2">
        <v>50</v>
      </c>
      <c r="P51" s="1">
        <v>11.89</v>
      </c>
      <c r="Q51">
        <v>0.86947930453032218</v>
      </c>
      <c r="R51">
        <v>0.79284396481735897</v>
      </c>
      <c r="S51">
        <v>0.81699356066555195</v>
      </c>
      <c r="T51">
        <v>1.0934926111450678</v>
      </c>
      <c r="U51">
        <v>0.88985931536397855</v>
      </c>
      <c r="V51">
        <v>0.80199937974350943</v>
      </c>
      <c r="W51">
        <v>1.1719999230515041</v>
      </c>
      <c r="X51">
        <v>0.91825300663458342</v>
      </c>
      <c r="Y51">
        <v>0.9036385320280117</v>
      </c>
      <c r="AA51" s="5">
        <v>26</v>
      </c>
      <c r="AB51" s="5">
        <v>13.421397514657331</v>
      </c>
      <c r="AC51" s="5">
        <v>-0.14139751465733141</v>
      </c>
      <c r="AD51" s="5">
        <v>-0.26909790170025832</v>
      </c>
      <c r="AI51" s="5">
        <v>24</v>
      </c>
      <c r="AJ51" s="5">
        <v>12.184662474027592</v>
      </c>
      <c r="AK51" s="5">
        <v>-0.59466247402759187</v>
      </c>
      <c r="AL51" s="5">
        <v>-1.3140280639153441</v>
      </c>
      <c r="AM51"/>
      <c r="AN51"/>
      <c r="AO51"/>
      <c r="AP51"/>
      <c r="AR51" s="2">
        <v>51</v>
      </c>
      <c r="AS51" s="1">
        <v>9.6300000000000008</v>
      </c>
      <c r="AT51">
        <v>0.65987068171344687</v>
      </c>
      <c r="AU51">
        <v>0.87262867120592014</v>
      </c>
      <c r="AV51">
        <v>1.1140862271977034</v>
      </c>
      <c r="AW51">
        <v>0.95898008148833469</v>
      </c>
      <c r="AY51" s="5">
        <v>24</v>
      </c>
      <c r="AZ51" s="5">
        <v>12.216462886330655</v>
      </c>
      <c r="BA51" s="5">
        <v>-0.62646288633065517</v>
      </c>
      <c r="BB51" s="5">
        <v>-1.4628903362666974</v>
      </c>
      <c r="BC51"/>
      <c r="BD51"/>
      <c r="BE51"/>
    </row>
    <row r="52" spans="4:57">
      <c r="D52" s="12"/>
      <c r="E52" s="6"/>
      <c r="F52" s="12"/>
      <c r="G52" s="6"/>
      <c r="H52" s="6"/>
      <c r="I52" s="6"/>
      <c r="J52" s="6"/>
      <c r="K52" s="6"/>
      <c r="L52" s="6"/>
      <c r="M52" s="6"/>
      <c r="N52" s="6"/>
      <c r="O52" s="2">
        <v>51</v>
      </c>
      <c r="P52" s="1">
        <v>9.6300000000000008</v>
      </c>
      <c r="Q52">
        <v>0.90412229765758223</v>
      </c>
      <c r="R52">
        <v>0.65987068171344687</v>
      </c>
      <c r="S52">
        <v>0.87262867120592014</v>
      </c>
      <c r="T52">
        <v>1.1140862271977034</v>
      </c>
      <c r="U52">
        <v>0.95898008148833469</v>
      </c>
      <c r="V52">
        <v>0.69897474507584567</v>
      </c>
      <c r="W52">
        <v>1.1885438220994813</v>
      </c>
      <c r="X52">
        <v>1.0283046640409292</v>
      </c>
      <c r="Y52">
        <v>0.9144585838346172</v>
      </c>
      <c r="AA52" s="5">
        <v>27</v>
      </c>
      <c r="AB52" s="5">
        <v>13.58302801915503</v>
      </c>
      <c r="AC52" s="5">
        <v>-0.18302801915502975</v>
      </c>
      <c r="AD52" s="5">
        <v>-0.34832617833724755</v>
      </c>
      <c r="AI52" s="5">
        <v>25</v>
      </c>
      <c r="AJ52" s="5">
        <v>12.495918288900338</v>
      </c>
      <c r="AK52" s="5">
        <v>-0.17591828890033767</v>
      </c>
      <c r="AL52" s="5">
        <v>-0.38872735150979976</v>
      </c>
      <c r="AM52"/>
      <c r="AN52"/>
      <c r="AO52"/>
      <c r="AP52"/>
      <c r="AR52" s="2">
        <v>52</v>
      </c>
      <c r="AS52" s="1">
        <v>12.18</v>
      </c>
      <c r="AT52">
        <v>0.85093806390057081</v>
      </c>
      <c r="AU52">
        <v>0.89543703402592356</v>
      </c>
      <c r="AV52">
        <v>1.1609517678665784</v>
      </c>
      <c r="AW52">
        <v>0.88060490012395909</v>
      </c>
      <c r="AY52" s="5">
        <v>25</v>
      </c>
      <c r="AZ52" s="5">
        <v>12.535120116163476</v>
      </c>
      <c r="BA52" s="5">
        <v>-0.21512011616347593</v>
      </c>
      <c r="BB52" s="5">
        <v>-0.50233963725349418</v>
      </c>
      <c r="BC52"/>
      <c r="BD52"/>
      <c r="BE52"/>
    </row>
    <row r="53" spans="4:57">
      <c r="D53" s="12"/>
      <c r="E53" s="6"/>
      <c r="F53" s="12"/>
      <c r="G53" s="6"/>
      <c r="H53" s="6"/>
      <c r="I53" s="6"/>
      <c r="J53" s="6"/>
      <c r="K53" s="6"/>
      <c r="L53" s="6"/>
      <c r="M53" s="6"/>
      <c r="N53" s="6"/>
      <c r="O53" s="2">
        <v>52</v>
      </c>
      <c r="P53" s="1">
        <v>12.18</v>
      </c>
      <c r="Q53">
        <v>0.80438221437951307</v>
      </c>
      <c r="R53">
        <v>0.85093806390057081</v>
      </c>
      <c r="S53">
        <v>0.89543703402592356</v>
      </c>
      <c r="T53">
        <v>1.1609517678665784</v>
      </c>
      <c r="U53">
        <v>0.88060490012395909</v>
      </c>
      <c r="V53">
        <v>0.86144452178350905</v>
      </c>
      <c r="W53">
        <v>1.2425636475656521</v>
      </c>
      <c r="X53">
        <v>0.96342147423482272</v>
      </c>
      <c r="Y53">
        <v>0.83075707023432832</v>
      </c>
      <c r="AA53" s="5">
        <v>28</v>
      </c>
      <c r="AB53" s="5">
        <v>12.36704728647809</v>
      </c>
      <c r="AC53" s="5">
        <v>-0.36704728647809048</v>
      </c>
      <c r="AD53" s="5">
        <v>-0.6985388311484475</v>
      </c>
      <c r="AI53" s="5">
        <v>26</v>
      </c>
      <c r="AJ53" s="5">
        <v>13.293925381628153</v>
      </c>
      <c r="AK53" s="5">
        <v>-1.3925381628153488E-2</v>
      </c>
      <c r="AL53" s="5">
        <v>-3.077097186945716E-2</v>
      </c>
      <c r="AM53"/>
      <c r="AN53"/>
      <c r="AO53"/>
      <c r="AP53"/>
      <c r="AR53" s="2">
        <v>53</v>
      </c>
      <c r="AS53" s="1">
        <v>12.98</v>
      </c>
      <c r="AT53">
        <v>0.90447661391009371</v>
      </c>
      <c r="AU53">
        <v>0.9219057473600577</v>
      </c>
      <c r="AV53">
        <v>1.1786318088174437</v>
      </c>
      <c r="AW53">
        <v>0.97430617656836682</v>
      </c>
      <c r="AY53" s="5">
        <v>26</v>
      </c>
      <c r="AZ53" s="5">
        <v>13.332625863812142</v>
      </c>
      <c r="BA53" s="5">
        <v>-5.2625863812142626E-2</v>
      </c>
      <c r="BB53" s="5">
        <v>-0.12288975019636936</v>
      </c>
      <c r="BC53"/>
      <c r="BD53"/>
      <c r="BE53"/>
    </row>
    <row r="54" spans="4:57">
      <c r="D54" s="12"/>
      <c r="E54" s="6"/>
      <c r="F54" s="12"/>
      <c r="G54" s="6"/>
      <c r="H54" s="6"/>
      <c r="I54" s="6"/>
      <c r="J54" s="6"/>
      <c r="K54" s="6"/>
      <c r="L54" s="6"/>
      <c r="M54" s="6"/>
      <c r="N54" s="6"/>
      <c r="O54" s="2">
        <v>53</v>
      </c>
      <c r="P54" s="1">
        <v>12.98</v>
      </c>
      <c r="Q54">
        <v>0.7977257439432005</v>
      </c>
      <c r="R54">
        <v>0.90447661391009371</v>
      </c>
      <c r="S54">
        <v>0.9219057473600577</v>
      </c>
      <c r="T54">
        <v>1.1786318088174437</v>
      </c>
      <c r="U54">
        <v>0.97430617656836682</v>
      </c>
      <c r="V54">
        <v>0.92770127386282097</v>
      </c>
      <c r="W54">
        <v>1.27265565578461</v>
      </c>
      <c r="X54">
        <v>0.97591593508582186</v>
      </c>
      <c r="Y54">
        <v>0.83007045124414347</v>
      </c>
      <c r="AA54" s="5">
        <v>29</v>
      </c>
      <c r="AB54" s="5">
        <v>12.71412774768423</v>
      </c>
      <c r="AC54" s="5">
        <v>0.15587225231576873</v>
      </c>
      <c r="AD54" s="5">
        <v>0.29664521426078527</v>
      </c>
      <c r="AI54" s="5">
        <v>27</v>
      </c>
      <c r="AJ54" s="5">
        <v>13.476334841981163</v>
      </c>
      <c r="AK54" s="5">
        <v>-7.6334841981163137E-2</v>
      </c>
      <c r="AL54" s="5">
        <v>-0.16867740777121476</v>
      </c>
      <c r="AM54"/>
      <c r="AN54"/>
      <c r="AO54"/>
      <c r="AP54"/>
      <c r="AR54" s="2">
        <v>54</v>
      </c>
      <c r="AS54" s="1">
        <v>11.32</v>
      </c>
      <c r="AT54">
        <v>0.75694439835332639</v>
      </c>
      <c r="AU54">
        <v>0.8838055819883408</v>
      </c>
      <c r="AV54">
        <v>1.0830687619255319</v>
      </c>
      <c r="AW54">
        <v>0.92130010231141324</v>
      </c>
      <c r="AY54" s="5">
        <v>27</v>
      </c>
      <c r="AZ54" s="5">
        <v>13.518903555985755</v>
      </c>
      <c r="BA54" s="5">
        <v>-0.11890355598575475</v>
      </c>
      <c r="BB54" s="5">
        <v>-0.27765868784044384</v>
      </c>
      <c r="BC54"/>
      <c r="BD54"/>
      <c r="BE54"/>
    </row>
    <row r="55" spans="4:57">
      <c r="D55" s="12"/>
      <c r="E55" s="6"/>
      <c r="F55" s="12"/>
      <c r="G55" s="6"/>
      <c r="H55" s="6"/>
      <c r="I55" s="6"/>
      <c r="J55" s="6"/>
      <c r="K55" s="6"/>
      <c r="L55" s="6"/>
      <c r="M55" s="6"/>
      <c r="N55" s="6"/>
      <c r="O55" s="2">
        <v>54</v>
      </c>
      <c r="P55" s="1">
        <v>11.32</v>
      </c>
      <c r="Q55">
        <v>0.92569649447808378</v>
      </c>
      <c r="R55">
        <v>0.75694439835332639</v>
      </c>
      <c r="S55">
        <v>0.8838055819883408</v>
      </c>
      <c r="T55">
        <v>1.0830687619255319</v>
      </c>
      <c r="U55">
        <v>0.92130010231141324</v>
      </c>
      <c r="V55">
        <v>0.77460261265676955</v>
      </c>
      <c r="W55">
        <v>1.1481252211822035</v>
      </c>
      <c r="X55">
        <v>1.0161324809499757</v>
      </c>
      <c r="Y55">
        <v>0.93498633936280751</v>
      </c>
      <c r="AA55" s="5">
        <v>30</v>
      </c>
      <c r="AB55" s="5">
        <v>13.272482174123327</v>
      </c>
      <c r="AC55" s="5">
        <v>-1.2824821741233272</v>
      </c>
      <c r="AD55" s="5">
        <v>-2.4407307501898776</v>
      </c>
      <c r="AI55" s="5">
        <v>28</v>
      </c>
      <c r="AJ55" s="5">
        <v>12.056768166447958</v>
      </c>
      <c r="AK55" s="5">
        <v>-5.6768166447957569E-2</v>
      </c>
      <c r="AL55" s="5">
        <v>-0.12544084603894567</v>
      </c>
      <c r="AM55"/>
      <c r="AN55"/>
      <c r="AO55"/>
      <c r="AP55"/>
      <c r="AR55" s="2">
        <v>55</v>
      </c>
      <c r="AS55" s="1">
        <v>11.23</v>
      </c>
      <c r="AT55">
        <v>0.76005907115315863</v>
      </c>
      <c r="AU55">
        <v>0.90161399100156137</v>
      </c>
      <c r="AV55">
        <v>1.0269048251547548</v>
      </c>
      <c r="AW55">
        <v>0.84353827400388115</v>
      </c>
      <c r="AY55" s="5">
        <v>28</v>
      </c>
      <c r="AZ55" s="5">
        <v>12.095056820905988</v>
      </c>
      <c r="BA55" s="5">
        <v>-9.5056820905988104E-2</v>
      </c>
      <c r="BB55" s="5">
        <v>-0.22197277402033952</v>
      </c>
      <c r="BC55"/>
      <c r="BD55"/>
      <c r="BE55"/>
    </row>
    <row r="56" spans="4:57">
      <c r="D56" s="12"/>
      <c r="E56" s="6"/>
      <c r="F56" s="12"/>
      <c r="G56" s="6"/>
      <c r="H56" s="6"/>
      <c r="I56" s="6"/>
      <c r="J56" s="6"/>
      <c r="K56" s="6"/>
      <c r="L56" s="6"/>
      <c r="M56" s="6"/>
      <c r="N56" s="6"/>
      <c r="O56" s="2">
        <v>55</v>
      </c>
      <c r="P56" s="1">
        <v>11.23</v>
      </c>
      <c r="Q56">
        <v>0.96687869268867832</v>
      </c>
      <c r="R56">
        <v>0.76005907115315863</v>
      </c>
      <c r="S56">
        <v>0.90161399100156137</v>
      </c>
      <c r="T56">
        <v>1.0269048251547548</v>
      </c>
      <c r="U56">
        <v>0.84353827400388115</v>
      </c>
      <c r="V56">
        <v>0.75985478292286079</v>
      </c>
      <c r="W56">
        <v>1.0634290082563589</v>
      </c>
      <c r="X56">
        <v>1.0649668580707337</v>
      </c>
      <c r="Y56">
        <v>0.98535454776412046</v>
      </c>
      <c r="AA56" s="5">
        <v>31</v>
      </c>
      <c r="AB56" s="5">
        <v>12.872292513152381</v>
      </c>
      <c r="AC56" s="5">
        <v>-0.71229251315238074</v>
      </c>
      <c r="AD56" s="5">
        <v>-1.3555855005699775</v>
      </c>
      <c r="AI56" s="5">
        <v>29</v>
      </c>
      <c r="AJ56" s="5">
        <v>12.490558204356931</v>
      </c>
      <c r="AK56" s="5">
        <v>0.37944179564306779</v>
      </c>
      <c r="AL56" s="5">
        <v>0.83845406406843059</v>
      </c>
      <c r="AM56"/>
      <c r="AN56"/>
      <c r="AO56"/>
      <c r="AP56"/>
      <c r="AR56" s="2">
        <v>56</v>
      </c>
      <c r="AS56" s="1">
        <v>13.02</v>
      </c>
      <c r="AT56">
        <v>0.87812336218850784</v>
      </c>
      <c r="AU56">
        <v>0.87315712160826309</v>
      </c>
      <c r="AV56">
        <v>1.1037599339660829</v>
      </c>
      <c r="AW56">
        <v>0.89172772278503509</v>
      </c>
      <c r="AY56" s="5">
        <v>29</v>
      </c>
      <c r="AZ56" s="5">
        <v>12.529403134159034</v>
      </c>
      <c r="BA56" s="5">
        <v>0.34059686584096482</v>
      </c>
      <c r="BB56" s="5">
        <v>0.79534777633816023</v>
      </c>
      <c r="BC56"/>
      <c r="BD56"/>
      <c r="BE56"/>
    </row>
    <row r="57" spans="4:57">
      <c r="D57" s="12"/>
      <c r="E57" s="6"/>
      <c r="F57" s="12"/>
      <c r="G57" s="6"/>
      <c r="H57" s="6"/>
      <c r="I57" s="6"/>
      <c r="J57" s="6"/>
      <c r="K57" s="6"/>
      <c r="L57" s="6"/>
      <c r="M57" s="6"/>
      <c r="N57" s="6"/>
      <c r="O57" s="2">
        <v>56</v>
      </c>
      <c r="P57" s="1">
        <v>13.02</v>
      </c>
      <c r="Q57">
        <v>0.85417614205534353</v>
      </c>
      <c r="R57">
        <v>0.87812336218850784</v>
      </c>
      <c r="S57">
        <v>0.87315712160826309</v>
      </c>
      <c r="T57">
        <v>1.1037599339660829</v>
      </c>
      <c r="U57">
        <v>0.89172772278503509</v>
      </c>
      <c r="V57">
        <v>0.87494883831391301</v>
      </c>
      <c r="W57">
        <v>1.1786737739629132</v>
      </c>
      <c r="X57">
        <v>0.98917270679231362</v>
      </c>
      <c r="Y57">
        <v>0.87162343400650411</v>
      </c>
      <c r="AA57" s="5">
        <v>32</v>
      </c>
      <c r="AB57" s="5">
        <v>13.134748732294373</v>
      </c>
      <c r="AC57" s="5">
        <v>-0.79474873229437293</v>
      </c>
      <c r="AD57" s="5">
        <v>-1.5125104338477653</v>
      </c>
      <c r="AI57" s="5">
        <v>30</v>
      </c>
      <c r="AJ57" s="5">
        <v>13.174685375164849</v>
      </c>
      <c r="AK57" s="5">
        <v>-1.1846853751648485</v>
      </c>
      <c r="AL57" s="5">
        <v>-2.6178040449286173</v>
      </c>
      <c r="AM57"/>
      <c r="AN57"/>
      <c r="AO57"/>
      <c r="AP57"/>
      <c r="AR57" s="2">
        <v>57</v>
      </c>
      <c r="AS57" s="1">
        <v>11.63</v>
      </c>
      <c r="AT57">
        <v>0.79082965681465611</v>
      </c>
      <c r="AU57">
        <v>0.93456638427213357</v>
      </c>
      <c r="AV57">
        <v>1.1083309092638713</v>
      </c>
      <c r="AW57">
        <v>1.0626419023222371</v>
      </c>
      <c r="AY57" s="5">
        <v>30</v>
      </c>
      <c r="AZ57" s="5">
        <v>12.781624048879847</v>
      </c>
      <c r="BA57" s="5">
        <v>-0.62162404887984657</v>
      </c>
      <c r="BB57" s="5">
        <v>-1.4515908823006134</v>
      </c>
      <c r="BC57"/>
      <c r="BD57"/>
      <c r="BE57"/>
    </row>
    <row r="58" spans="4:57">
      <c r="D58" s="12"/>
      <c r="E58" s="6"/>
      <c r="F58" s="12"/>
      <c r="G58" s="6"/>
      <c r="H58" s="6"/>
      <c r="I58" s="6"/>
      <c r="J58" s="6"/>
      <c r="K58" s="6"/>
      <c r="L58" s="6"/>
      <c r="M58" s="6"/>
      <c r="N58" s="6"/>
      <c r="O58" s="2">
        <v>57</v>
      </c>
      <c r="P58" s="1">
        <v>11.63</v>
      </c>
      <c r="Q58">
        <v>0.83931504757962005</v>
      </c>
      <c r="R58">
        <v>0.79082965681465611</v>
      </c>
      <c r="S58">
        <v>0.93456638427213357</v>
      </c>
      <c r="T58">
        <v>1.1083309092638713</v>
      </c>
      <c r="U58">
        <v>1.0626419023222371</v>
      </c>
      <c r="V58">
        <v>0.86835166521813822</v>
      </c>
      <c r="W58">
        <v>1.1633985893821588</v>
      </c>
      <c r="X58">
        <v>1.0036411189235923</v>
      </c>
      <c r="Y58">
        <v>0.8570297208537202</v>
      </c>
      <c r="AA58" s="5">
        <v>33</v>
      </c>
      <c r="AB58" s="5">
        <v>12.132581781865071</v>
      </c>
      <c r="AC58" s="5">
        <v>0.55741821813492898</v>
      </c>
      <c r="AD58" s="5">
        <v>1.0608395291326207</v>
      </c>
      <c r="AI58" s="5">
        <v>31</v>
      </c>
      <c r="AJ58" s="5">
        <v>12.763167247189605</v>
      </c>
      <c r="AK58" s="5">
        <v>-0.60316724718960479</v>
      </c>
      <c r="AL58" s="5">
        <v>-1.3328210954251825</v>
      </c>
      <c r="AM58"/>
      <c r="AN58"/>
      <c r="AO58"/>
      <c r="AP58"/>
      <c r="AR58" s="2">
        <v>58</v>
      </c>
      <c r="AS58" s="1">
        <v>12.19</v>
      </c>
      <c r="AT58">
        <v>0.84109696007049783</v>
      </c>
      <c r="AU58">
        <v>0.8869227002706922</v>
      </c>
      <c r="AV58">
        <v>1.0908110348603299</v>
      </c>
      <c r="AW58">
        <v>1.0561166504738024</v>
      </c>
      <c r="AY58" s="5">
        <v>31</v>
      </c>
      <c r="AZ58" s="5">
        <v>13.097809125224007</v>
      </c>
      <c r="BA58" s="5">
        <v>-0.75780912522400712</v>
      </c>
      <c r="BB58" s="5">
        <v>-1.7696046648800048</v>
      </c>
      <c r="BC58"/>
      <c r="BD58"/>
      <c r="BE58"/>
    </row>
    <row r="59" spans="4:57">
      <c r="D59" s="12"/>
      <c r="E59" s="6"/>
      <c r="F59" s="12"/>
      <c r="G59" s="6"/>
      <c r="H59" s="6"/>
      <c r="I59" s="6"/>
      <c r="J59" s="6"/>
      <c r="K59" s="6"/>
      <c r="L59" s="6"/>
      <c r="M59" s="6"/>
      <c r="N59" s="6"/>
      <c r="O59" s="2">
        <v>58</v>
      </c>
      <c r="P59" s="1">
        <v>12.19</v>
      </c>
      <c r="Q59">
        <v>0.82890510241965432</v>
      </c>
      <c r="R59">
        <v>0.84109696007049783</v>
      </c>
      <c r="S59">
        <v>0.8869227002706922</v>
      </c>
      <c r="T59">
        <v>1.0908110348603299</v>
      </c>
      <c r="U59">
        <v>1.0561166504738024</v>
      </c>
      <c r="V59">
        <v>0.90482836833382174</v>
      </c>
      <c r="W59">
        <v>1.152645312321587</v>
      </c>
      <c r="X59">
        <v>0.91544547153264766</v>
      </c>
      <c r="Y59">
        <v>0.85305180407346104</v>
      </c>
      <c r="AA59" s="5">
        <v>34</v>
      </c>
      <c r="AB59" s="5">
        <v>11.753816924760137</v>
      </c>
      <c r="AC59" s="5">
        <v>-0.41381692476013754</v>
      </c>
      <c r="AD59" s="5">
        <v>-0.78754754926827741</v>
      </c>
      <c r="AI59" s="5">
        <v>32</v>
      </c>
      <c r="AJ59" s="5">
        <v>13.070477075492621</v>
      </c>
      <c r="AK59" s="5">
        <v>-0.73047707549262064</v>
      </c>
      <c r="AL59" s="5">
        <v>-1.6141381357781353</v>
      </c>
      <c r="AM59"/>
      <c r="AN59"/>
      <c r="AO59"/>
      <c r="AP59"/>
      <c r="AR59" s="2">
        <v>59</v>
      </c>
      <c r="AS59" s="1">
        <v>12.42</v>
      </c>
      <c r="AT59">
        <v>0.86626593204993141</v>
      </c>
      <c r="AU59">
        <v>0.87407359503330528</v>
      </c>
      <c r="AV59">
        <v>1.0727821867619598</v>
      </c>
      <c r="AW59">
        <v>1.0575417943411736</v>
      </c>
      <c r="AY59" s="5">
        <v>32</v>
      </c>
      <c r="AZ59" s="5">
        <v>12.365349833099289</v>
      </c>
      <c r="BA59" s="5">
        <v>0.32465016690071025</v>
      </c>
      <c r="BB59" s="5">
        <v>0.75810970161087332</v>
      </c>
      <c r="BC59"/>
      <c r="BD59"/>
      <c r="BE59"/>
    </row>
    <row r="60" spans="4:57">
      <c r="D60" s="12"/>
      <c r="E60" s="6"/>
      <c r="F60" s="12"/>
      <c r="G60" s="6"/>
      <c r="H60" s="6"/>
      <c r="I60" s="6"/>
      <c r="J60" s="6"/>
      <c r="K60" s="6"/>
      <c r="L60" s="6"/>
      <c r="M60" s="6"/>
      <c r="N60" s="6"/>
      <c r="O60" s="2">
        <v>59</v>
      </c>
      <c r="P60" s="1">
        <v>12.42</v>
      </c>
      <c r="Q60">
        <v>0.85716433996561936</v>
      </c>
      <c r="R60">
        <v>0.86626593204993141</v>
      </c>
      <c r="S60">
        <v>0.87407359503330528</v>
      </c>
      <c r="T60">
        <v>1.0727821867619598</v>
      </c>
      <c r="U60">
        <v>1.0575417943411736</v>
      </c>
      <c r="V60">
        <v>0.94199528049236492</v>
      </c>
      <c r="W60">
        <v>1.1371502906223037</v>
      </c>
      <c r="X60">
        <v>1.0398229951379441</v>
      </c>
      <c r="Y60">
        <v>0.88275662120998555</v>
      </c>
      <c r="AA60" s="5">
        <v>35</v>
      </c>
      <c r="AB60" s="5">
        <v>11.347949195303913</v>
      </c>
      <c r="AC60" s="5">
        <v>6.2050804696086814E-2</v>
      </c>
      <c r="AD60" s="5">
        <v>0.11809076972106261</v>
      </c>
      <c r="AI60" s="5">
        <v>33</v>
      </c>
      <c r="AJ60" s="5">
        <v>12.351725654518773</v>
      </c>
      <c r="AK60" s="5">
        <v>0.33827434548122604</v>
      </c>
      <c r="AL60" s="5">
        <v>0.74748618364020247</v>
      </c>
      <c r="AM60"/>
      <c r="AN60"/>
      <c r="AO60"/>
      <c r="AP60"/>
      <c r="AR60" s="2">
        <v>60</v>
      </c>
      <c r="AS60" s="1">
        <v>11.7</v>
      </c>
      <c r="AT60">
        <v>0.79776451673239546</v>
      </c>
      <c r="AU60">
        <v>0.85120056170951863</v>
      </c>
      <c r="AV60">
        <v>1.0907624186507634</v>
      </c>
      <c r="AW60">
        <v>1.0422492017390363</v>
      </c>
      <c r="AY60" s="5">
        <v>33</v>
      </c>
      <c r="AZ60" s="5">
        <v>11.695923201457502</v>
      </c>
      <c r="BA60" s="5">
        <v>-0.355923201457502</v>
      </c>
      <c r="BB60" s="5">
        <v>-0.83113720417663295</v>
      </c>
      <c r="BC60"/>
      <c r="BD60"/>
      <c r="BE60"/>
    </row>
    <row r="61" spans="4:57">
      <c r="D61" s="12"/>
      <c r="E61" s="6"/>
      <c r="F61" s="12"/>
      <c r="G61" s="6"/>
      <c r="H61" s="6"/>
      <c r="I61" s="6"/>
      <c r="J61" s="6"/>
      <c r="K61" s="6"/>
      <c r="L61" s="6"/>
      <c r="M61" s="6"/>
      <c r="N61" s="6"/>
      <c r="O61" s="2">
        <v>60</v>
      </c>
      <c r="P61" s="1">
        <v>11.7</v>
      </c>
      <c r="Q61">
        <v>0.85101623416392114</v>
      </c>
      <c r="R61">
        <v>0.79776451673239546</v>
      </c>
      <c r="S61">
        <v>0.85120056170951863</v>
      </c>
      <c r="T61">
        <v>1.0907624186507634</v>
      </c>
      <c r="U61">
        <v>1.0422492017390363</v>
      </c>
      <c r="V61">
        <v>0.85054676683408958</v>
      </c>
      <c r="W61">
        <v>1.1495889764179554</v>
      </c>
      <c r="X61">
        <v>0.95868647022184494</v>
      </c>
      <c r="Y61">
        <v>0.87503213646963884</v>
      </c>
      <c r="AA61" s="5">
        <v>36</v>
      </c>
      <c r="AB61" s="5">
        <v>11.563539486413713</v>
      </c>
      <c r="AC61" s="5">
        <v>0.13646051358628597</v>
      </c>
      <c r="AD61" s="5">
        <v>0.25970214511903494</v>
      </c>
      <c r="AI61" s="5">
        <v>34</v>
      </c>
      <c r="AJ61" s="5">
        <v>11.690983919181503</v>
      </c>
      <c r="AK61" s="5">
        <v>-0.35098391918150362</v>
      </c>
      <c r="AL61" s="5">
        <v>-0.77557057983465649</v>
      </c>
      <c r="AM61"/>
      <c r="AN61"/>
      <c r="AO61"/>
      <c r="AP61"/>
      <c r="AR61" s="2"/>
      <c r="AS61" s="1"/>
      <c r="AY61" s="5">
        <v>34</v>
      </c>
      <c r="AZ61" s="5">
        <v>11.683665074553081</v>
      </c>
      <c r="BA61" s="5">
        <v>-0.27366507455308131</v>
      </c>
      <c r="BB61" s="5">
        <v>-0.63905141337631011</v>
      </c>
      <c r="BC61"/>
      <c r="BD61"/>
      <c r="BE61"/>
    </row>
    <row r="62" spans="4:57">
      <c r="D62" s="12"/>
      <c r="E62" s="6"/>
      <c r="F62" s="12"/>
      <c r="G62" s="6"/>
      <c r="H62" s="6"/>
      <c r="I62" s="6"/>
      <c r="J62" s="6"/>
      <c r="K62" s="6"/>
      <c r="L62" s="6"/>
      <c r="M62" s="6"/>
      <c r="N62" s="6"/>
      <c r="O62" s="2"/>
      <c r="P62" s="1"/>
      <c r="AA62" s="5">
        <v>37</v>
      </c>
      <c r="AB62" s="5">
        <v>10.791369190619047</v>
      </c>
      <c r="AC62" s="5">
        <v>0.92863080938095344</v>
      </c>
      <c r="AD62" s="5">
        <v>1.767305478206086</v>
      </c>
      <c r="AI62" s="5">
        <v>35</v>
      </c>
      <c r="AJ62" s="5">
        <v>11.685307898978209</v>
      </c>
      <c r="AK62" s="5">
        <v>-0.27530789897820895</v>
      </c>
      <c r="AL62" s="5">
        <v>-0.60834897319946157</v>
      </c>
      <c r="AM62"/>
      <c r="AN62"/>
      <c r="AO62"/>
      <c r="AP62"/>
      <c r="AR62" s="2"/>
      <c r="AS62" s="1"/>
      <c r="AY62" s="5">
        <v>35</v>
      </c>
      <c r="AZ62" s="5">
        <v>11.422253715752547</v>
      </c>
      <c r="BA62" s="5">
        <v>0.27774628424745273</v>
      </c>
      <c r="BB62" s="5">
        <v>0.64858168620243684</v>
      </c>
      <c r="BC62"/>
      <c r="BD62"/>
      <c r="BE62"/>
    </row>
    <row r="63" spans="4:57">
      <c r="D63" s="12"/>
      <c r="E63" s="6"/>
      <c r="F63" s="12"/>
      <c r="G63" s="6"/>
      <c r="H63" s="6"/>
      <c r="I63" s="6"/>
      <c r="J63" s="6"/>
      <c r="K63" s="6"/>
      <c r="L63" s="6"/>
      <c r="M63" s="6"/>
      <c r="N63" s="6"/>
      <c r="O63" s="2"/>
      <c r="P63" s="1"/>
      <c r="AA63" s="5">
        <v>38</v>
      </c>
      <c r="AB63" s="5">
        <v>11.192043097063507</v>
      </c>
      <c r="AC63" s="5">
        <v>0.82795690293649216</v>
      </c>
      <c r="AD63" s="5">
        <v>1.5757099112979516</v>
      </c>
      <c r="AI63" s="5">
        <v>36</v>
      </c>
      <c r="AJ63" s="5">
        <v>11.415190182683169</v>
      </c>
      <c r="AK63" s="5">
        <v>0.2848098173168303</v>
      </c>
      <c r="AL63" s="5">
        <v>0.6293454004221436</v>
      </c>
      <c r="AM63"/>
      <c r="AN63"/>
      <c r="AO63"/>
      <c r="AP63"/>
      <c r="AR63" s="2"/>
      <c r="AS63" s="1"/>
      <c r="AY63" s="5">
        <v>36</v>
      </c>
      <c r="AZ63" s="5">
        <v>10.808322177333627</v>
      </c>
      <c r="BA63" s="5">
        <v>0.91167782266637332</v>
      </c>
      <c r="BB63" s="5">
        <v>2.1289125112886023</v>
      </c>
      <c r="BC63"/>
      <c r="BD63"/>
      <c r="BE63"/>
    </row>
    <row r="64" spans="4:57">
      <c r="D64" s="12"/>
      <c r="E64" s="6"/>
      <c r="F64" s="12"/>
      <c r="G64" s="6"/>
      <c r="H64" s="6"/>
      <c r="I64" s="6"/>
      <c r="J64" s="6"/>
      <c r="K64" s="6"/>
      <c r="L64" s="6"/>
      <c r="M64" s="6"/>
      <c r="N64" s="6"/>
      <c r="O64" s="2"/>
      <c r="P64" s="1"/>
      <c r="AA64" s="5">
        <v>39</v>
      </c>
      <c r="AB64" s="5">
        <v>11.808565427004512</v>
      </c>
      <c r="AC64" s="5">
        <v>0.79143457299548814</v>
      </c>
      <c r="AD64" s="5">
        <v>1.5062031566980105</v>
      </c>
      <c r="AI64" s="5">
        <v>37</v>
      </c>
      <c r="AJ64" s="5">
        <v>10.816882655816313</v>
      </c>
      <c r="AK64" s="5">
        <v>0.90311734418368772</v>
      </c>
      <c r="AL64" s="5">
        <v>1.9956220328289886</v>
      </c>
      <c r="AM64"/>
      <c r="AN64"/>
      <c r="AO64"/>
      <c r="AP64"/>
      <c r="AR64" s="2"/>
      <c r="AS64" s="1"/>
      <c r="AY64" s="5">
        <v>37</v>
      </c>
      <c r="AZ64" s="5">
        <v>11.284411011615054</v>
      </c>
      <c r="BA64" s="5">
        <v>0.73558898838494535</v>
      </c>
      <c r="BB64" s="5">
        <v>1.7177171162930798</v>
      </c>
      <c r="BC64"/>
      <c r="BD64"/>
      <c r="BE64"/>
    </row>
    <row r="65" spans="4:57">
      <c r="D65" s="12"/>
      <c r="E65" s="6"/>
      <c r="F65" s="12"/>
      <c r="G65" s="6"/>
      <c r="H65" s="6"/>
      <c r="I65" s="6"/>
      <c r="J65" s="6"/>
      <c r="K65" s="6"/>
      <c r="L65" s="6"/>
      <c r="M65" s="6"/>
      <c r="N65" s="6"/>
      <c r="O65" s="2"/>
      <c r="P65" s="1"/>
      <c r="AA65" s="5">
        <v>40</v>
      </c>
      <c r="AB65" s="5">
        <v>11.598414091704159</v>
      </c>
      <c r="AC65" s="5">
        <v>0.11158590829584192</v>
      </c>
      <c r="AD65" s="5">
        <v>0.21236252882165912</v>
      </c>
      <c r="AI65" s="5">
        <v>38</v>
      </c>
      <c r="AJ65" s="5">
        <v>11.290099536271651</v>
      </c>
      <c r="AK65" s="5">
        <v>0.72990046372834883</v>
      </c>
      <c r="AL65" s="5">
        <v>1.6128639944402681</v>
      </c>
      <c r="AM65"/>
      <c r="AN65"/>
      <c r="AO65"/>
      <c r="AP65"/>
      <c r="AR65" s="2"/>
      <c r="AS65" s="1"/>
      <c r="AY65" s="5">
        <v>38</v>
      </c>
      <c r="AZ65" s="5">
        <v>12.022552911563693</v>
      </c>
      <c r="BA65" s="5">
        <v>0.57744708843630654</v>
      </c>
      <c r="BB65" s="5">
        <v>1.3484306633497012</v>
      </c>
      <c r="BC65"/>
      <c r="BD65"/>
      <c r="BE65"/>
    </row>
    <row r="66" spans="4:57">
      <c r="D66" s="12"/>
      <c r="E66" s="6"/>
      <c r="F66" s="12"/>
      <c r="G66" s="6"/>
      <c r="H66" s="6"/>
      <c r="I66" s="6"/>
      <c r="J66" s="6"/>
      <c r="K66" s="6"/>
      <c r="L66" s="6"/>
      <c r="M66" s="6"/>
      <c r="N66" s="6"/>
      <c r="O66" s="2"/>
      <c r="P66" s="1"/>
      <c r="AA66" s="5">
        <v>41</v>
      </c>
      <c r="AB66" s="5">
        <v>11.320676809300211</v>
      </c>
      <c r="AC66" s="5">
        <v>0.38932319069978938</v>
      </c>
      <c r="AD66" s="5">
        <v>0.74093278056871958</v>
      </c>
      <c r="AI66" s="5">
        <v>39</v>
      </c>
      <c r="AJ66" s="5">
        <v>12.02593070886056</v>
      </c>
      <c r="AK66" s="5">
        <v>0.57406929113943939</v>
      </c>
      <c r="AL66" s="5">
        <v>1.2685232247464981</v>
      </c>
      <c r="AM66"/>
      <c r="AN66"/>
      <c r="AO66"/>
      <c r="AP66"/>
      <c r="AR66" s="2"/>
      <c r="AS66" s="1"/>
      <c r="AY66" s="5">
        <v>39</v>
      </c>
      <c r="AZ66" s="5">
        <v>12.17196674057174</v>
      </c>
      <c r="BA66" s="5">
        <v>-0.46196674057173936</v>
      </c>
      <c r="BB66" s="5">
        <v>-1.0787657101562478</v>
      </c>
      <c r="BC66"/>
      <c r="BD66"/>
      <c r="BE66"/>
    </row>
    <row r="67" spans="4:57">
      <c r="D67" s="12"/>
      <c r="E67" s="6"/>
      <c r="F67" s="12"/>
      <c r="G67" s="6"/>
      <c r="H67" s="6"/>
      <c r="I67" s="6"/>
      <c r="J67" s="6"/>
      <c r="K67" s="6"/>
      <c r="L67" s="6"/>
      <c r="M67" s="6"/>
      <c r="N67" s="6"/>
      <c r="O67" s="2"/>
      <c r="P67" s="1"/>
      <c r="AA67" s="5">
        <v>42</v>
      </c>
      <c r="AB67" s="5">
        <v>11.727935067738464</v>
      </c>
      <c r="AC67" s="5">
        <v>-5.7935067738464241E-2</v>
      </c>
      <c r="AD67" s="5">
        <v>-0.11025798580028091</v>
      </c>
      <c r="AI67" s="5">
        <v>40</v>
      </c>
      <c r="AJ67" s="5">
        <v>12.178293483654638</v>
      </c>
      <c r="AK67" s="5">
        <v>-0.4682934836546373</v>
      </c>
      <c r="AL67" s="5">
        <v>-1.034789996925757</v>
      </c>
      <c r="AM67"/>
      <c r="AN67"/>
      <c r="AO67"/>
      <c r="AP67"/>
      <c r="AR67" s="2"/>
      <c r="AS67" s="1"/>
      <c r="AY67" s="5">
        <v>40</v>
      </c>
      <c r="AZ67" s="5">
        <v>11.393403119373225</v>
      </c>
      <c r="BA67" s="5">
        <v>0.3165968806267756</v>
      </c>
      <c r="BB67" s="5">
        <v>0.73930399911454048</v>
      </c>
      <c r="BC67"/>
      <c r="BD67"/>
      <c r="BE67"/>
    </row>
    <row r="68" spans="4:57">
      <c r="D68" s="12"/>
      <c r="E68" s="6"/>
      <c r="F68" s="12"/>
      <c r="G68" s="6"/>
      <c r="H68" s="6"/>
      <c r="I68" s="6"/>
      <c r="J68" s="6"/>
      <c r="K68" s="6"/>
      <c r="L68" s="6"/>
      <c r="M68" s="6"/>
      <c r="N68" s="6"/>
      <c r="O68" s="2"/>
      <c r="P68" s="1"/>
      <c r="AA68" s="5">
        <v>43</v>
      </c>
      <c r="AB68" s="5">
        <v>11.749555352798371</v>
      </c>
      <c r="AC68" s="5">
        <v>0.26044464720162885</v>
      </c>
      <c r="AD68" s="5">
        <v>0.4956601128447663</v>
      </c>
      <c r="AI68" s="5">
        <v>41</v>
      </c>
      <c r="AJ68" s="5">
        <v>11.385861313892917</v>
      </c>
      <c r="AK68" s="5">
        <v>0.32413868610708363</v>
      </c>
      <c r="AL68" s="5">
        <v>0.71625056018852107</v>
      </c>
      <c r="AM68"/>
      <c r="AN68"/>
      <c r="AO68"/>
      <c r="AP68"/>
      <c r="AR68" s="2"/>
      <c r="AS68" s="1"/>
      <c r="AY68" s="5">
        <v>41</v>
      </c>
      <c r="AZ68" s="5">
        <v>11.382072967040759</v>
      </c>
      <c r="BA68" s="5">
        <v>0.28792703295924049</v>
      </c>
      <c r="BB68" s="5">
        <v>0.67235535138102021</v>
      </c>
      <c r="BC68"/>
      <c r="BD68"/>
      <c r="BE68"/>
    </row>
    <row r="69" spans="4:57">
      <c r="D69" s="12"/>
      <c r="E69" s="6"/>
      <c r="F69" s="12"/>
      <c r="G69" s="6"/>
      <c r="H69" s="6"/>
      <c r="I69" s="6"/>
      <c r="J69" s="6"/>
      <c r="K69" s="6"/>
      <c r="L69" s="6"/>
      <c r="M69" s="6"/>
      <c r="N69" s="6"/>
      <c r="O69" s="2"/>
      <c r="P69" s="1"/>
      <c r="AA69" s="5">
        <v>44</v>
      </c>
      <c r="AB69" s="5">
        <v>13.12595364176666</v>
      </c>
      <c r="AC69" s="5">
        <v>-0.13595364176666003</v>
      </c>
      <c r="AD69" s="5">
        <v>-0.25873750197503848</v>
      </c>
      <c r="AI69" s="5">
        <v>42</v>
      </c>
      <c r="AJ69" s="5">
        <v>11.364836300852797</v>
      </c>
      <c r="AK69" s="5">
        <v>0.30516369914720265</v>
      </c>
      <c r="AL69" s="5">
        <v>0.67432145507980623</v>
      </c>
      <c r="AM69"/>
      <c r="AN69"/>
      <c r="AO69"/>
      <c r="AP69"/>
      <c r="AR69" s="2"/>
      <c r="AS69" s="1"/>
      <c r="AY69" s="5">
        <v>42</v>
      </c>
      <c r="AZ69" s="5">
        <v>11.888323923525391</v>
      </c>
      <c r="BA69" s="5">
        <v>0.12167607647460876</v>
      </c>
      <c r="BB69" s="5">
        <v>0.28413296352180512</v>
      </c>
      <c r="BC69"/>
      <c r="BD69"/>
      <c r="BE69"/>
    </row>
    <row r="70" spans="4:57">
      <c r="D70" s="12"/>
      <c r="E70" s="6"/>
      <c r="F70" s="12"/>
      <c r="G70" s="6"/>
      <c r="H70" s="6"/>
      <c r="I70" s="6"/>
      <c r="J70" s="6"/>
      <c r="K70" s="6"/>
      <c r="L70" s="6"/>
      <c r="M70" s="6"/>
      <c r="N70" s="6"/>
      <c r="O70" s="2"/>
      <c r="P70" s="1"/>
      <c r="AA70" s="5">
        <v>45</v>
      </c>
      <c r="AB70" s="5">
        <v>12.471442007531987</v>
      </c>
      <c r="AC70" s="5">
        <v>-0.26144200753198632</v>
      </c>
      <c r="AD70" s="5">
        <v>-0.49755821956035245</v>
      </c>
      <c r="AI70" s="5">
        <v>43</v>
      </c>
      <c r="AJ70" s="5">
        <v>11.891359797017165</v>
      </c>
      <c r="AK70" s="5">
        <v>0.11864020298283506</v>
      </c>
      <c r="AL70" s="5">
        <v>0.26215973436525392</v>
      </c>
      <c r="AM70"/>
      <c r="AN70"/>
      <c r="AO70"/>
      <c r="AP70"/>
      <c r="AR70" s="2"/>
      <c r="AS70" s="1"/>
      <c r="AY70" s="5">
        <v>43</v>
      </c>
      <c r="AZ70" s="5">
        <v>12.745029050634004</v>
      </c>
      <c r="BA70" s="5">
        <v>0.24497094936599595</v>
      </c>
      <c r="BB70" s="5">
        <v>0.57204607377881267</v>
      </c>
      <c r="BC70"/>
      <c r="BD70"/>
      <c r="BE70"/>
    </row>
    <row r="71" spans="4:57">
      <c r="D71" s="12"/>
      <c r="E71" s="6"/>
      <c r="F71" s="12"/>
      <c r="G71" s="6"/>
      <c r="H71" s="6"/>
      <c r="I71" s="6"/>
      <c r="J71" s="6"/>
      <c r="K71" s="6"/>
      <c r="L71" s="6"/>
      <c r="M71" s="6"/>
      <c r="N71" s="6"/>
      <c r="O71" s="2"/>
      <c r="P71" s="1"/>
      <c r="AA71" s="5">
        <v>46</v>
      </c>
      <c r="AB71" s="5">
        <v>12.634294023588531</v>
      </c>
      <c r="AC71" s="5">
        <v>-0.23429402358853046</v>
      </c>
      <c r="AD71" s="5">
        <v>-0.44589206734911563</v>
      </c>
      <c r="AI71" s="5">
        <v>44</v>
      </c>
      <c r="AJ71" s="5">
        <v>12.709071252521124</v>
      </c>
      <c r="AK71" s="5">
        <v>0.28092874747887642</v>
      </c>
      <c r="AL71" s="5">
        <v>0.62076938476985921</v>
      </c>
      <c r="AM71"/>
      <c r="AN71"/>
      <c r="AO71"/>
      <c r="AP71"/>
      <c r="AR71" s="2"/>
      <c r="AS71" s="1"/>
      <c r="AY71" s="5">
        <v>44</v>
      </c>
      <c r="AZ71" s="5">
        <v>12.198437646333657</v>
      </c>
      <c r="BA71" s="5">
        <v>1.1562353666343839E-2</v>
      </c>
      <c r="BB71" s="5">
        <v>2.6999932178048535E-2</v>
      </c>
      <c r="BC71"/>
      <c r="BD71"/>
      <c r="BE71"/>
    </row>
    <row r="72" spans="4:57">
      <c r="D72" s="12"/>
      <c r="E72" s="6"/>
      <c r="F72" s="12"/>
      <c r="G72" s="6"/>
      <c r="H72" s="6"/>
      <c r="I72" s="6"/>
      <c r="J72" s="6"/>
      <c r="K72" s="6"/>
      <c r="L72" s="6"/>
      <c r="M72" s="6"/>
      <c r="N72" s="6"/>
      <c r="O72" s="2"/>
      <c r="P72" s="1"/>
      <c r="AA72" s="5">
        <v>47</v>
      </c>
      <c r="AB72" s="5">
        <v>11.120825716278809</v>
      </c>
      <c r="AC72" s="5">
        <v>8.9174283721192182E-2</v>
      </c>
      <c r="AD72" s="5">
        <v>0.16971028587843787</v>
      </c>
      <c r="AI72" s="5">
        <v>45</v>
      </c>
      <c r="AJ72" s="5">
        <v>12.172154443646269</v>
      </c>
      <c r="AK72" s="5">
        <v>3.784555635373188E-2</v>
      </c>
      <c r="AL72" s="5">
        <v>8.3627478301221858E-2</v>
      </c>
      <c r="AM72"/>
      <c r="AN72"/>
      <c r="AO72"/>
      <c r="AP72"/>
      <c r="AR72" s="2"/>
      <c r="AS72" s="1"/>
      <c r="AY72" s="5">
        <v>45</v>
      </c>
      <c r="AZ72" s="5">
        <v>12.575385161786921</v>
      </c>
      <c r="BA72" s="5">
        <v>-0.17538516178692021</v>
      </c>
      <c r="BB72" s="5">
        <v>-0.40955220796150443</v>
      </c>
      <c r="BC72"/>
      <c r="BD72"/>
      <c r="BE72"/>
    </row>
    <row r="73" spans="4:57">
      <c r="D73" s="12"/>
      <c r="E73" s="6"/>
      <c r="F73" s="12"/>
      <c r="G73" s="6"/>
      <c r="H73" s="6"/>
      <c r="I73" s="6"/>
      <c r="J73" s="6"/>
      <c r="K73" s="6"/>
      <c r="L73" s="6"/>
      <c r="M73" s="6"/>
      <c r="N73" s="6"/>
      <c r="O73" s="2"/>
      <c r="P73" s="1"/>
      <c r="AA73" s="5">
        <v>48</v>
      </c>
      <c r="AB73" s="5">
        <v>11.536656648155923</v>
      </c>
      <c r="AC73" s="5">
        <v>0.37334335184407763</v>
      </c>
      <c r="AD73" s="5">
        <v>0.71052106423833417</v>
      </c>
      <c r="AI73" s="5">
        <v>46</v>
      </c>
      <c r="AJ73" s="5">
        <v>12.550148846426165</v>
      </c>
      <c r="AK73" s="5">
        <v>-0.15014884642616444</v>
      </c>
      <c r="AL73" s="5">
        <v>-0.33178451068587289</v>
      </c>
      <c r="AM73"/>
      <c r="AN73"/>
      <c r="AO73"/>
      <c r="AP73"/>
      <c r="AR73" s="2"/>
      <c r="AS73" s="1"/>
      <c r="AY73" s="5">
        <v>46</v>
      </c>
      <c r="AZ73" s="5">
        <v>11.152676880680232</v>
      </c>
      <c r="BA73" s="5">
        <v>5.7323119319768523E-2</v>
      </c>
      <c r="BB73" s="5">
        <v>0.13385858783865953</v>
      </c>
      <c r="BC73"/>
      <c r="BD73"/>
      <c r="BE73"/>
    </row>
    <row r="74" spans="4:57">
      <c r="D74" s="12"/>
      <c r="E74" s="6"/>
      <c r="F74" s="12"/>
      <c r="G74" s="6"/>
      <c r="H74" s="6"/>
      <c r="I74" s="6"/>
      <c r="J74" s="6"/>
      <c r="K74" s="6"/>
      <c r="L74" s="6"/>
      <c r="M74" s="6"/>
      <c r="N74" s="6"/>
      <c r="O74" s="2"/>
      <c r="P74" s="1"/>
      <c r="AA74" s="5">
        <v>49</v>
      </c>
      <c r="AB74" s="5">
        <v>11.318837554060922</v>
      </c>
      <c r="AC74" s="5">
        <v>0.18116244593907815</v>
      </c>
      <c r="AD74" s="5">
        <v>0.3447757493279584</v>
      </c>
      <c r="AI74" s="5">
        <v>47</v>
      </c>
      <c r="AJ74" s="5">
        <v>11.149666876048213</v>
      </c>
      <c r="AK74" s="5">
        <v>6.0333123951787471E-2</v>
      </c>
      <c r="AL74" s="5">
        <v>0.13331834699334544</v>
      </c>
      <c r="AM74"/>
      <c r="AN74"/>
      <c r="AO74"/>
      <c r="AP74"/>
      <c r="AR74" s="2"/>
      <c r="AS74" s="1"/>
      <c r="AY74" s="5">
        <v>47</v>
      </c>
      <c r="AZ74" s="5">
        <v>11.81846552216018</v>
      </c>
      <c r="BA74" s="5">
        <v>9.1534477839820383E-2</v>
      </c>
      <c r="BB74" s="5">
        <v>0.21374754353191588</v>
      </c>
      <c r="BC74"/>
      <c r="BD74"/>
      <c r="BE74"/>
    </row>
    <row r="75" spans="4:57">
      <c r="D75" s="12"/>
      <c r="E75" s="6"/>
      <c r="F75" s="12"/>
      <c r="G75" s="6"/>
      <c r="H75" s="6"/>
      <c r="I75" s="6"/>
      <c r="J75" s="6"/>
      <c r="K75" s="6"/>
      <c r="L75" s="6"/>
      <c r="M75" s="6"/>
      <c r="N75" s="6"/>
      <c r="O75" s="2"/>
      <c r="P75" s="1"/>
      <c r="AA75" s="5">
        <v>50</v>
      </c>
      <c r="AB75" s="5">
        <v>11.338244877575374</v>
      </c>
      <c r="AC75" s="5">
        <v>0.55175512242462688</v>
      </c>
      <c r="AD75" s="5">
        <v>1.0500619198057299</v>
      </c>
      <c r="AI75" s="5">
        <v>48</v>
      </c>
      <c r="AJ75" s="5">
        <v>11.815318343064323</v>
      </c>
      <c r="AK75" s="5">
        <v>9.4681656935676983E-2</v>
      </c>
      <c r="AL75" s="5">
        <v>0.20921843866965062</v>
      </c>
      <c r="AM75"/>
      <c r="AN75"/>
      <c r="AO75"/>
      <c r="AP75"/>
      <c r="AR75" s="2"/>
      <c r="AS75" s="1"/>
      <c r="AY75" s="5">
        <v>48</v>
      </c>
      <c r="AZ75" s="5">
        <v>11.296470422791243</v>
      </c>
      <c r="BA75" s="5">
        <v>0.20352957720875686</v>
      </c>
      <c r="BB75" s="5">
        <v>0.47527388795061881</v>
      </c>
      <c r="BC75"/>
      <c r="BD75"/>
      <c r="BE75"/>
    </row>
    <row r="76" spans="4:57">
      <c r="D76" s="12"/>
      <c r="E76" s="6"/>
      <c r="F76" s="12"/>
      <c r="G76" s="6"/>
      <c r="H76" s="6"/>
      <c r="I76" s="6"/>
      <c r="J76" s="6"/>
      <c r="K76" s="6"/>
      <c r="L76" s="6"/>
      <c r="M76" s="6"/>
      <c r="N76" s="6"/>
      <c r="O76" s="2"/>
      <c r="P76" s="1"/>
      <c r="AA76" s="5">
        <v>51</v>
      </c>
      <c r="AB76" s="5">
        <v>9.562179460360646</v>
      </c>
      <c r="AC76" s="5">
        <v>6.7820539639354749E-2</v>
      </c>
      <c r="AD76" s="5">
        <v>0.12907132740881797</v>
      </c>
      <c r="AI76" s="5">
        <v>49</v>
      </c>
      <c r="AJ76" s="5">
        <v>11.275971490224574</v>
      </c>
      <c r="AK76" s="5">
        <v>0.22402850977542599</v>
      </c>
      <c r="AL76" s="5">
        <v>0.49503670034572206</v>
      </c>
      <c r="AM76"/>
      <c r="AN76"/>
      <c r="AO76"/>
      <c r="AP76"/>
      <c r="AR76" s="2"/>
      <c r="AS76" s="1"/>
      <c r="AY76" s="5">
        <v>49</v>
      </c>
      <c r="AZ76" s="5">
        <v>11.240725608413037</v>
      </c>
      <c r="BA76" s="5">
        <v>0.64927439158696387</v>
      </c>
      <c r="BB76" s="5">
        <v>1.5161588240307713</v>
      </c>
      <c r="BC76"/>
      <c r="BD76"/>
      <c r="BE76"/>
    </row>
    <row r="77" spans="4:57">
      <c r="D77" s="12"/>
      <c r="E77" s="6"/>
      <c r="F77" s="12"/>
      <c r="G77" s="6"/>
      <c r="H77" s="6"/>
      <c r="I77" s="6"/>
      <c r="J77" s="6"/>
      <c r="K77" s="6"/>
      <c r="L77" s="6"/>
      <c r="M77" s="6"/>
      <c r="N77" s="6"/>
      <c r="O77" s="2"/>
      <c r="P77" s="1"/>
      <c r="AA77" s="5">
        <v>52</v>
      </c>
      <c r="AB77" s="5">
        <v>12.340611610939106</v>
      </c>
      <c r="AC77" s="5">
        <v>-0.1606116109391067</v>
      </c>
      <c r="AD77" s="5">
        <v>-0.30566483150113072</v>
      </c>
      <c r="AI77" s="5">
        <v>50</v>
      </c>
      <c r="AJ77" s="5">
        <v>11.227999800384207</v>
      </c>
      <c r="AK77" s="5">
        <v>0.66200019961579315</v>
      </c>
      <c r="AL77" s="5">
        <v>1.4628245073563357</v>
      </c>
      <c r="AM77"/>
      <c r="AN77"/>
      <c r="AO77"/>
      <c r="AP77"/>
      <c r="AR77" s="2"/>
      <c r="AS77" s="1"/>
      <c r="AY77" s="5">
        <v>50</v>
      </c>
      <c r="AZ77" s="5">
        <v>9.8324216889252458</v>
      </c>
      <c r="BA77" s="5">
        <v>-0.20242168892524504</v>
      </c>
      <c r="BB77" s="5">
        <v>-0.47268679285053156</v>
      </c>
      <c r="BC77"/>
      <c r="BD77"/>
      <c r="BE77"/>
    </row>
    <row r="78" spans="4:57">
      <c r="D78" s="12"/>
      <c r="E78" s="6"/>
      <c r="F78" s="12"/>
      <c r="G78" s="6"/>
      <c r="H78" s="6"/>
      <c r="I78" s="6"/>
      <c r="J78" s="6"/>
      <c r="K78" s="6"/>
      <c r="L78" s="6"/>
      <c r="M78" s="6"/>
      <c r="N78" s="6"/>
      <c r="O78" s="2"/>
      <c r="P78" s="1"/>
      <c r="AA78" s="5">
        <v>53</v>
      </c>
      <c r="AB78" s="5">
        <v>13.022656133939496</v>
      </c>
      <c r="AC78" s="5">
        <v>-4.2656133939495078E-2</v>
      </c>
      <c r="AD78" s="5">
        <v>-8.1180183156551219E-2</v>
      </c>
      <c r="AI78" s="5">
        <v>51</v>
      </c>
      <c r="AJ78" s="5">
        <v>9.8480852682515305</v>
      </c>
      <c r="AK78" s="5">
        <v>-0.21808526825152974</v>
      </c>
      <c r="AL78" s="5">
        <v>-0.481903895613429</v>
      </c>
      <c r="AM78"/>
      <c r="AN78"/>
      <c r="AO78"/>
      <c r="AP78"/>
      <c r="AR78" s="2"/>
      <c r="AS78" s="1"/>
      <c r="AY78" s="5">
        <v>51</v>
      </c>
      <c r="AZ78" s="5">
        <v>12.595458093914143</v>
      </c>
      <c r="BA78" s="5">
        <v>-0.41545809391414323</v>
      </c>
      <c r="BB78" s="5">
        <v>-0.97016063357022797</v>
      </c>
      <c r="BC78"/>
      <c r="BD78"/>
      <c r="BE78"/>
    </row>
    <row r="79" spans="4:57">
      <c r="D79" s="12"/>
      <c r="E79" s="6"/>
      <c r="F79" s="12"/>
      <c r="G79" s="6"/>
      <c r="H79" s="6"/>
      <c r="I79" s="6"/>
      <c r="J79" s="6"/>
      <c r="K79" s="6"/>
      <c r="L79" s="6"/>
      <c r="M79" s="6"/>
      <c r="N79" s="6"/>
      <c r="O79" s="2"/>
      <c r="P79" s="1"/>
      <c r="AA79" s="5">
        <v>54</v>
      </c>
      <c r="AB79" s="5">
        <v>10.646359343509651</v>
      </c>
      <c r="AC79" s="5">
        <v>0.67364065649034899</v>
      </c>
      <c r="AD79" s="5">
        <v>1.2820259790339841</v>
      </c>
      <c r="AI79" s="5">
        <v>52</v>
      </c>
      <c r="AJ79" s="5">
        <v>12.577678747609575</v>
      </c>
      <c r="AK79" s="5">
        <v>-0.39767874760957511</v>
      </c>
      <c r="AL79" s="5">
        <v>-0.87875233027978539</v>
      </c>
      <c r="AM79"/>
      <c r="AN79"/>
      <c r="AO79"/>
      <c r="AP79"/>
      <c r="AR79" s="2"/>
      <c r="AS79" s="1"/>
      <c r="AY79" s="5">
        <v>52</v>
      </c>
      <c r="AZ79" s="5">
        <v>13.647679601129626</v>
      </c>
      <c r="BA79" s="5">
        <v>-0.66767960112962577</v>
      </c>
      <c r="BB79" s="5">
        <v>-1.5591379114825896</v>
      </c>
      <c r="BC79"/>
      <c r="BD79"/>
      <c r="BE79"/>
    </row>
    <row r="80" spans="4:57">
      <c r="D80" s="12"/>
      <c r="E80" s="6"/>
      <c r="F80" s="12"/>
      <c r="G80" s="6"/>
      <c r="H80" s="6"/>
      <c r="I80" s="6"/>
      <c r="J80" s="6"/>
      <c r="K80" s="6"/>
      <c r="L80" s="6"/>
      <c r="M80" s="6"/>
      <c r="N80" s="6"/>
      <c r="O80" s="2"/>
      <c r="P80" s="1"/>
      <c r="AA80" s="5">
        <v>55</v>
      </c>
      <c r="AB80" s="5">
        <v>10.497644237679888</v>
      </c>
      <c r="AC80" s="5">
        <v>0.7323557623201129</v>
      </c>
      <c r="AD80" s="5">
        <v>1.3937684790007532</v>
      </c>
      <c r="AI80" s="5">
        <v>53</v>
      </c>
      <c r="AJ80" s="5">
        <v>13.636663738677999</v>
      </c>
      <c r="AK80" s="5">
        <v>-0.65666373867799877</v>
      </c>
      <c r="AL80" s="5">
        <v>-1.4510325081290154</v>
      </c>
      <c r="AM80"/>
      <c r="AN80"/>
      <c r="AO80"/>
      <c r="AP80"/>
      <c r="AR80" s="2"/>
      <c r="AS80" s="1"/>
      <c r="AY80" s="5">
        <v>53</v>
      </c>
      <c r="AZ80" s="5">
        <v>10.927663222537573</v>
      </c>
      <c r="BA80" s="5">
        <v>0.39233677746242712</v>
      </c>
      <c r="BB80" s="5">
        <v>0.91616868745974922</v>
      </c>
      <c r="BC80"/>
      <c r="BD80"/>
      <c r="BE80"/>
    </row>
    <row r="81" spans="4:57">
      <c r="D81" s="12"/>
      <c r="E81" s="6"/>
      <c r="F81" s="12"/>
      <c r="G81" s="6"/>
      <c r="H81" s="6"/>
      <c r="I81" s="6"/>
      <c r="J81" s="6"/>
      <c r="K81" s="6"/>
      <c r="L81" s="6"/>
      <c r="M81" s="6"/>
      <c r="N81" s="6"/>
      <c r="O81" s="2"/>
      <c r="P81" s="1"/>
      <c r="AA81" s="5">
        <v>56</v>
      </c>
      <c r="AB81" s="5">
        <v>12.445948164687408</v>
      </c>
      <c r="AC81" s="5">
        <v>0.57405183531259141</v>
      </c>
      <c r="AD81" s="5">
        <v>1.092495470830336</v>
      </c>
      <c r="AI81" s="5">
        <v>54</v>
      </c>
      <c r="AJ81" s="5">
        <v>10.927336934584597</v>
      </c>
      <c r="AK81" s="5">
        <v>0.39266306541540352</v>
      </c>
      <c r="AL81" s="5">
        <v>0.86766915713421344</v>
      </c>
      <c r="AM81"/>
      <c r="AN81"/>
      <c r="AO81"/>
      <c r="AP81"/>
      <c r="AR81" s="2"/>
      <c r="AS81" s="1"/>
      <c r="AY81" s="5">
        <v>54</v>
      </c>
      <c r="AZ81" s="5">
        <v>10.563399978181817</v>
      </c>
      <c r="BA81" s="5">
        <v>0.66660002181818356</v>
      </c>
      <c r="BB81" s="5">
        <v>1.5566169223283994</v>
      </c>
      <c r="BC81"/>
      <c r="BD81"/>
      <c r="BE81"/>
    </row>
    <row r="82" spans="4:57">
      <c r="D82" s="12"/>
      <c r="E82" s="6"/>
      <c r="F82" s="12"/>
      <c r="G82" s="6"/>
      <c r="H82" s="6"/>
      <c r="I82" s="6"/>
      <c r="J82" s="6"/>
      <c r="K82" s="6"/>
      <c r="L82" s="6"/>
      <c r="M82" s="6"/>
      <c r="N82" s="6"/>
      <c r="O82" s="2"/>
      <c r="P82" s="1"/>
      <c r="AA82" s="5">
        <v>57</v>
      </c>
      <c r="AB82" s="5">
        <v>11.450424235963753</v>
      </c>
      <c r="AC82" s="5">
        <v>0.17957576403624742</v>
      </c>
      <c r="AD82" s="5">
        <v>0.34175608684129966</v>
      </c>
      <c r="AI82" s="5">
        <v>55</v>
      </c>
      <c r="AJ82" s="5">
        <v>10.554282022215009</v>
      </c>
      <c r="AK82" s="5">
        <v>0.67571797778499132</v>
      </c>
      <c r="AL82" s="5">
        <v>1.4931367370263979</v>
      </c>
      <c r="AM82"/>
      <c r="AN82"/>
      <c r="AO82"/>
      <c r="AP82"/>
      <c r="AR82" s="2"/>
      <c r="AS82" s="1"/>
      <c r="AY82" s="5">
        <v>55</v>
      </c>
      <c r="AZ82" s="5">
        <v>12.597663669480994</v>
      </c>
      <c r="BA82" s="5">
        <v>0.42233633051900554</v>
      </c>
      <c r="BB82" s="5">
        <v>0.98622240846442022</v>
      </c>
      <c r="BC82"/>
      <c r="BD82"/>
      <c r="BE82"/>
    </row>
    <row r="83" spans="4:57">
      <c r="D83" s="12"/>
      <c r="E83" s="6"/>
      <c r="F83" s="12"/>
      <c r="G83" s="6"/>
      <c r="H83" s="6"/>
      <c r="I83" s="6"/>
      <c r="J83" s="6"/>
      <c r="K83" s="6"/>
      <c r="L83" s="6"/>
      <c r="M83" s="6"/>
      <c r="N83" s="6"/>
      <c r="O83" s="2"/>
      <c r="P83" s="1"/>
      <c r="AA83" s="5">
        <v>58</v>
      </c>
      <c r="AB83" s="5">
        <v>12.109649411473157</v>
      </c>
      <c r="AC83" s="5">
        <v>8.0350588526842515E-2</v>
      </c>
      <c r="AD83" s="5">
        <v>0.15291764374610292</v>
      </c>
      <c r="AI83" s="5">
        <v>56</v>
      </c>
      <c r="AJ83" s="5">
        <v>12.577494719878274</v>
      </c>
      <c r="AK83" s="5">
        <v>0.44250528012172552</v>
      </c>
      <c r="AL83" s="5">
        <v>0.97780569971477371</v>
      </c>
      <c r="AM83"/>
      <c r="AN83"/>
      <c r="AO83"/>
      <c r="AP83"/>
      <c r="AR83" s="2"/>
      <c r="AS83" s="1"/>
      <c r="AY83" s="5">
        <v>56</v>
      </c>
      <c r="AZ83" s="5">
        <v>11.90419646501978</v>
      </c>
      <c r="BA83" s="5">
        <v>-0.27419646501977901</v>
      </c>
      <c r="BB83" s="5">
        <v>-0.64029229451305159</v>
      </c>
      <c r="BC83"/>
      <c r="BD83"/>
      <c r="BE83"/>
    </row>
    <row r="84" spans="4:57">
      <c r="D84" s="12"/>
      <c r="E84" s="6"/>
      <c r="F84" s="12"/>
      <c r="G84" s="6"/>
      <c r="H84" s="6"/>
      <c r="I84" s="6"/>
      <c r="J84" s="6"/>
      <c r="K84" s="6"/>
      <c r="L84" s="6"/>
      <c r="M84" s="6"/>
      <c r="N84" s="6"/>
      <c r="O84" s="2"/>
      <c r="P84" s="1"/>
      <c r="AA84" s="5">
        <v>59</v>
      </c>
      <c r="AB84" s="5">
        <v>12.288031308280244</v>
      </c>
      <c r="AC84" s="5">
        <v>0.13196869171975578</v>
      </c>
      <c r="AD84" s="5">
        <v>0.25115362259355828</v>
      </c>
      <c r="AI84" s="5">
        <v>57</v>
      </c>
      <c r="AJ84" s="5">
        <v>11.920535366004414</v>
      </c>
      <c r="AK84" s="5">
        <v>-0.29053536600441277</v>
      </c>
      <c r="AL84" s="5">
        <v>-0.64199716841725663</v>
      </c>
      <c r="AM84"/>
      <c r="AN84"/>
      <c r="AO84"/>
      <c r="AP84"/>
      <c r="AY84" s="5">
        <v>57</v>
      </c>
      <c r="AZ84" s="5">
        <v>12.3453621000428</v>
      </c>
      <c r="BA84" s="5">
        <v>-0.15536210004280093</v>
      </c>
      <c r="BB84" s="5">
        <v>-0.3627951786672215</v>
      </c>
      <c r="BC84"/>
      <c r="BD84"/>
      <c r="BE84"/>
    </row>
    <row r="85" spans="4:57" ht="13" thickBot="1">
      <c r="AA85" s="9">
        <v>60</v>
      </c>
      <c r="AB85" s="9">
        <v>11.481831923198582</v>
      </c>
      <c r="AC85" s="9">
        <v>0.21816807680141714</v>
      </c>
      <c r="AD85" s="9">
        <v>0.415202288579958</v>
      </c>
      <c r="AI85" s="5">
        <v>58</v>
      </c>
      <c r="AJ85" s="5">
        <v>12.352194487545887</v>
      </c>
      <c r="AK85" s="5">
        <v>-0.16219448754588761</v>
      </c>
      <c r="AL85" s="5">
        <v>-0.35840181238302771</v>
      </c>
      <c r="AM85"/>
      <c r="AN85"/>
      <c r="AO85"/>
      <c r="AP85"/>
      <c r="AY85" s="5">
        <v>58</v>
      </c>
      <c r="AZ85" s="5">
        <v>12.550677416150432</v>
      </c>
      <c r="BA85" s="5">
        <v>-0.13067741615043182</v>
      </c>
      <c r="BB85" s="5">
        <v>-0.3051525212841868</v>
      </c>
      <c r="BC85"/>
      <c r="BD85"/>
      <c r="BE85"/>
    </row>
    <row r="86" spans="4:57" ht="13" thickBot="1">
      <c r="AI86" s="5">
        <v>59</v>
      </c>
      <c r="AJ86" s="5">
        <v>12.554093586177105</v>
      </c>
      <c r="AK86" s="5">
        <v>-0.1340935861771051</v>
      </c>
      <c r="AL86" s="5">
        <v>-0.29630713744952247</v>
      </c>
      <c r="AM86"/>
      <c r="AN86"/>
      <c r="AO86"/>
      <c r="AP86"/>
      <c r="AY86" s="9">
        <v>59</v>
      </c>
      <c r="AZ86" s="9">
        <v>11.644078102895872</v>
      </c>
      <c r="BA86" s="9">
        <v>5.5921897104127538E-2</v>
      </c>
      <c r="BB86" s="9">
        <v>0.13058651141888983</v>
      </c>
      <c r="BC86"/>
      <c r="BD86"/>
      <c r="BE86"/>
    </row>
    <row r="87" spans="4:57" ht="13" thickBot="1">
      <c r="AI87" s="9">
        <v>60</v>
      </c>
      <c r="AJ87" s="9">
        <v>11.652541430986187</v>
      </c>
      <c r="AK87" s="9">
        <v>4.7458569013812735E-2</v>
      </c>
      <c r="AL87" s="9">
        <v>0.10486939109347522</v>
      </c>
      <c r="AM87"/>
      <c r="AN87"/>
      <c r="AO87"/>
      <c r="AP87"/>
      <c r="AY87" s="5"/>
      <c r="AZ87" s="5"/>
      <c r="BA87" s="5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5"/>
  <sheetViews>
    <sheetView workbookViewId="0">
      <selection activeCell="X1" sqref="X1"/>
    </sheetView>
  </sheetViews>
  <sheetFormatPr defaultRowHeight="13"/>
  <cols>
    <col min="1" max="1" width="11.81640625" bestFit="1" customWidth="1"/>
    <col min="2" max="2" width="10.1796875" bestFit="1" customWidth="1"/>
    <col min="3" max="11" width="7.26953125" customWidth="1"/>
    <col min="13" max="13" width="10.26953125" bestFit="1" customWidth="1"/>
    <col min="14" max="14" width="12" bestFit="1" customWidth="1"/>
    <col min="15" max="15" width="10.453125" bestFit="1" customWidth="1"/>
    <col min="16" max="16" width="10.1796875" bestFit="1" customWidth="1"/>
    <col min="19" max="19" width="12.1796875" style="42" bestFit="1" customWidth="1"/>
    <col min="20" max="20" width="10.1796875" bestFit="1" customWidth="1"/>
    <col min="21" max="21" width="10.453125" style="13" bestFit="1" customWidth="1"/>
    <col min="22" max="22" width="10.1796875" style="6" bestFit="1" customWidth="1"/>
    <col min="23" max="23" width="10.453125" style="2" bestFit="1" customWidth="1"/>
    <col min="25" max="25" width="12.26953125" style="2" customWidth="1"/>
    <col min="26" max="30" width="6.54296875" style="2" customWidth="1"/>
    <col min="31" max="31" width="8" style="2" hidden="1" customWidth="1"/>
    <col min="32" max="32" width="7.81640625" hidden="1" customWidth="1"/>
    <col min="33" max="33" width="7.453125" hidden="1" customWidth="1"/>
    <col min="34" max="34" width="6.26953125" hidden="1" customWidth="1"/>
    <col min="35" max="35" width="6.54296875" hidden="1" customWidth="1"/>
    <col min="36" max="36" width="24.1796875" hidden="1" customWidth="1"/>
    <col min="38" max="43" width="9.1796875" style="6" customWidth="1"/>
  </cols>
  <sheetData>
    <row r="1" spans="1:38">
      <c r="A1" s="3" t="s">
        <v>32</v>
      </c>
      <c r="B1" s="4" t="s">
        <v>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M1" s="3" t="s">
        <v>44</v>
      </c>
      <c r="N1" s="3" t="s">
        <v>45</v>
      </c>
      <c r="O1" s="3" t="s">
        <v>46</v>
      </c>
      <c r="P1" s="4" t="s">
        <v>9</v>
      </c>
      <c r="S1" s="42" t="s">
        <v>108</v>
      </c>
      <c r="T1" s="3" t="s">
        <v>44</v>
      </c>
      <c r="U1" s="4" t="s">
        <v>9</v>
      </c>
      <c r="V1" s="3" t="s">
        <v>45</v>
      </c>
      <c r="W1" s="4" t="s">
        <v>9</v>
      </c>
      <c r="Y1" s="43"/>
      <c r="Z1" s="43" t="s">
        <v>110</v>
      </c>
      <c r="AA1" s="43" t="s">
        <v>111</v>
      </c>
      <c r="AB1" s="43"/>
      <c r="AC1" s="43"/>
      <c r="AD1" s="43"/>
      <c r="AE1" s="21" t="s">
        <v>47</v>
      </c>
      <c r="AF1" s="23" t="s">
        <v>48</v>
      </c>
      <c r="AG1" s="23" t="s">
        <v>49</v>
      </c>
      <c r="AH1" s="21" t="s">
        <v>20</v>
      </c>
      <c r="AI1" s="22" t="s">
        <v>50</v>
      </c>
      <c r="AJ1" s="44" t="s">
        <v>112</v>
      </c>
    </row>
    <row r="2" spans="1:38">
      <c r="A2" s="2">
        <v>61</v>
      </c>
      <c r="B2" s="1">
        <v>11.99</v>
      </c>
      <c r="C2">
        <v>0.82523411698782279</v>
      </c>
      <c r="D2">
        <v>0.8552317666153777</v>
      </c>
      <c r="E2">
        <v>0.83227591575482907</v>
      </c>
      <c r="F2">
        <v>0.87482867151418375</v>
      </c>
      <c r="G2">
        <v>1.1004694821249281</v>
      </c>
      <c r="H2">
        <v>1.162340272357494</v>
      </c>
      <c r="I2">
        <v>0.82569266728873525</v>
      </c>
      <c r="J2">
        <v>0.95783429345249338</v>
      </c>
      <c r="K2">
        <v>1.0173362437537206</v>
      </c>
      <c r="M2">
        <f t="shared" ref="M2:M24" si="0">-9.377+13.3389*E2+2.6772*I2+5.6616*G2+1.8557*K2</f>
        <v>12.053478509059763</v>
      </c>
      <c r="N2">
        <f>14.726+10.1177*E2-9.2888*C2-2.4929*H2</f>
        <v>12.583685301996148</v>
      </c>
      <c r="O2">
        <f>4.7183+8.8511*E2+0.6344*H2</f>
        <v>12.822246026721164</v>
      </c>
      <c r="P2" s="1">
        <v>11.99</v>
      </c>
      <c r="S2" s="42" t="s">
        <v>109</v>
      </c>
      <c r="T2">
        <v>12.053478509059763</v>
      </c>
      <c r="U2" s="1">
        <v>11.99</v>
      </c>
      <c r="V2">
        <v>12.583685301996148</v>
      </c>
      <c r="W2" s="1">
        <v>11.99</v>
      </c>
      <c r="Y2" s="24" t="s">
        <v>113</v>
      </c>
      <c r="Z2" s="24">
        <f>AF4</f>
        <v>11.663530354012336</v>
      </c>
      <c r="AA2" s="24">
        <f>AG4</f>
        <v>11.834557378472899</v>
      </c>
      <c r="AB2" s="24"/>
      <c r="AC2" s="24"/>
      <c r="AD2" s="24"/>
      <c r="AE2" s="24" t="s">
        <v>51</v>
      </c>
      <c r="AF2" s="25">
        <f>COUNT(T:T)</f>
        <v>23</v>
      </c>
      <c r="AG2" s="25">
        <f>COUNT(V:V)</f>
        <v>23</v>
      </c>
      <c r="AH2" s="25">
        <f>AF2+AG2</f>
        <v>46</v>
      </c>
      <c r="AI2" s="26"/>
      <c r="AJ2" s="45" t="s">
        <v>114</v>
      </c>
    </row>
    <row r="3" spans="1:38">
      <c r="A3" s="2">
        <v>62</v>
      </c>
      <c r="B3" s="1">
        <v>12.41</v>
      </c>
      <c r="C3">
        <v>0.81606646225825819</v>
      </c>
      <c r="D3">
        <v>0.85186475926977834</v>
      </c>
      <c r="E3">
        <v>0.86161136955128748</v>
      </c>
      <c r="F3">
        <v>0.90876165981142187</v>
      </c>
      <c r="G3">
        <v>1.1003169194439923</v>
      </c>
      <c r="H3">
        <v>1.1514518125319981</v>
      </c>
      <c r="I3">
        <v>0.83696565996249117</v>
      </c>
      <c r="J3">
        <v>0.96668143773066872</v>
      </c>
      <c r="K3">
        <v>0.9535217547051652</v>
      </c>
      <c r="M3">
        <f t="shared" si="0"/>
        <v>12.355676953489731</v>
      </c>
      <c r="N3">
        <f t="shared" ref="N3:N24" si="1">14.726+10.1177*E3-9.2888*C3-2.4929*H3</f>
        <v>12.992792975623537</v>
      </c>
      <c r="O3">
        <f t="shared" ref="O3:O24" si="2">4.7183+8.8511*E3+0.6344*H3</f>
        <v>13.0749894229057</v>
      </c>
      <c r="P3" s="1">
        <v>12.41</v>
      </c>
      <c r="T3">
        <v>12.355676953489731</v>
      </c>
      <c r="U3" s="1">
        <v>12.41</v>
      </c>
      <c r="V3">
        <v>12.992792975623537</v>
      </c>
      <c r="W3" s="1">
        <v>12.41</v>
      </c>
      <c r="Y3" s="24" t="s">
        <v>115</v>
      </c>
      <c r="Z3" s="24">
        <f>AF6</f>
        <v>11.566956521739131</v>
      </c>
      <c r="AA3" s="24">
        <f>AG6</f>
        <v>11.566956521739131</v>
      </c>
      <c r="AB3" s="24"/>
      <c r="AC3" s="24"/>
      <c r="AD3" s="24"/>
      <c r="AE3" s="27" t="s">
        <v>92</v>
      </c>
      <c r="AF3" s="28">
        <f>SUM(T:T)</f>
        <v>268.26119814228372</v>
      </c>
      <c r="AG3" s="28">
        <f>SUM(V:V)</f>
        <v>272.19481970487669</v>
      </c>
      <c r="AH3" s="25">
        <f>AF3+AG3</f>
        <v>540.45601784716041</v>
      </c>
      <c r="AI3" s="26"/>
      <c r="AJ3" s="46"/>
    </row>
    <row r="4" spans="1:38">
      <c r="A4" s="2">
        <v>63</v>
      </c>
      <c r="B4" s="1">
        <v>12.5</v>
      </c>
      <c r="C4">
        <v>0.8038737988779151</v>
      </c>
      <c r="D4">
        <v>0.8283833182392506</v>
      </c>
      <c r="E4">
        <v>0.82734371976786525</v>
      </c>
      <c r="F4">
        <v>0.8648445632181585</v>
      </c>
      <c r="G4">
        <v>1.1166678207286576</v>
      </c>
      <c r="H4">
        <v>1.1712989376676728</v>
      </c>
      <c r="I4">
        <v>0.83200820391533703</v>
      </c>
      <c r="J4">
        <v>1.0725031995364158</v>
      </c>
      <c r="K4">
        <v>0.96734023827993121</v>
      </c>
      <c r="M4">
        <f t="shared" si="0"/>
        <v>12.003527321147153</v>
      </c>
      <c r="N4">
        <f t="shared" si="1"/>
        <v>12.709861488766414</v>
      </c>
      <c r="O4">
        <f t="shared" si="2"/>
        <v>12.784274044093722</v>
      </c>
      <c r="P4" s="1">
        <v>12.5</v>
      </c>
      <c r="T4">
        <v>12.003527321147153</v>
      </c>
      <c r="U4" s="1">
        <v>12.5</v>
      </c>
      <c r="V4">
        <v>12.709861488766414</v>
      </c>
      <c r="W4" s="1">
        <v>12.5</v>
      </c>
      <c r="Y4" s="24" t="s">
        <v>116</v>
      </c>
      <c r="Z4" s="24">
        <f>AF16</f>
        <v>0.88569844757257776</v>
      </c>
      <c r="AA4" s="24">
        <f>AF18</f>
        <v>0.91252463000357886</v>
      </c>
      <c r="AB4" s="47" t="s">
        <v>117</v>
      </c>
      <c r="AD4" s="24"/>
      <c r="AE4" s="24" t="s">
        <v>52</v>
      </c>
      <c r="AF4" s="25">
        <f>AF3/AF2</f>
        <v>11.663530354012336</v>
      </c>
      <c r="AG4" s="25">
        <f>AG3/AG2</f>
        <v>11.834557378472899</v>
      </c>
      <c r="AH4" s="25">
        <f>AH3/AH2</f>
        <v>11.749043866242618</v>
      </c>
      <c r="AI4" s="26"/>
      <c r="AJ4" s="48" t="s">
        <v>118</v>
      </c>
    </row>
    <row r="5" spans="1:38">
      <c r="A5" s="2">
        <v>64</v>
      </c>
      <c r="B5" s="1">
        <v>13.25</v>
      </c>
      <c r="C5">
        <v>0.7367030144045803</v>
      </c>
      <c r="D5">
        <v>0.76795552970945935</v>
      </c>
      <c r="E5">
        <v>0.9270601749723637</v>
      </c>
      <c r="F5">
        <v>0.93974432421097309</v>
      </c>
      <c r="G5">
        <v>1.227955986879933</v>
      </c>
      <c r="H5">
        <v>1.3334010714940416</v>
      </c>
      <c r="I5">
        <v>0.86468713334134018</v>
      </c>
      <c r="J5">
        <v>1.0700675233883787</v>
      </c>
      <c r="K5">
        <v>0.9612917524630763</v>
      </c>
      <c r="M5">
        <f t="shared" si="0"/>
        <v>14.039968081685458</v>
      </c>
      <c r="N5">
        <f t="shared" si="1"/>
        <v>13.938594240989122</v>
      </c>
      <c r="O5">
        <f t="shared" si="2"/>
        <v>13.769711954453708</v>
      </c>
      <c r="P5" s="1">
        <v>13.25</v>
      </c>
      <c r="T5">
        <v>14.039968081685458</v>
      </c>
      <c r="U5" s="1">
        <v>13.25</v>
      </c>
      <c r="V5">
        <v>13.938594240989122</v>
      </c>
      <c r="W5" s="1">
        <v>13.25</v>
      </c>
      <c r="Y5" s="49" t="s">
        <v>119</v>
      </c>
      <c r="Z5" s="35">
        <f>AH17</f>
        <v>1.9289798842956321E-8</v>
      </c>
      <c r="AA5" s="35">
        <f>AH19</f>
        <v>1.3133210330050239E-9</v>
      </c>
      <c r="AB5" s="47" t="s">
        <v>120</v>
      </c>
      <c r="AD5" s="24"/>
      <c r="AE5" s="27" t="s">
        <v>93</v>
      </c>
      <c r="AF5" s="28">
        <f>SUM(U:U)</f>
        <v>266.04000000000002</v>
      </c>
      <c r="AG5" s="28">
        <f>SUM(W:W)</f>
        <v>266.04000000000002</v>
      </c>
      <c r="AH5" s="25">
        <f>AF5+AG5</f>
        <v>532.08000000000004</v>
      </c>
      <c r="AI5" s="26"/>
      <c r="AJ5" s="50"/>
    </row>
    <row r="6" spans="1:38">
      <c r="A6" s="2">
        <v>65</v>
      </c>
      <c r="B6" s="1">
        <v>12.61</v>
      </c>
      <c r="C6">
        <v>0.87559975564857506</v>
      </c>
      <c r="D6">
        <v>0.88270344727466699</v>
      </c>
      <c r="E6">
        <v>0.82960208751816411</v>
      </c>
      <c r="F6">
        <v>0.84879053142464456</v>
      </c>
      <c r="G6">
        <v>1.1185484833845813</v>
      </c>
      <c r="H6">
        <v>1.1753651262537395</v>
      </c>
      <c r="I6">
        <v>0.87395164494045696</v>
      </c>
      <c r="J6">
        <v>1.0851742933905169</v>
      </c>
      <c r="K6">
        <v>0.91259718939981593</v>
      </c>
      <c r="M6">
        <f t="shared" si="0"/>
        <v>12.055003326930015</v>
      </c>
      <c r="N6">
        <f t="shared" si="1"/>
        <v>12.0563263073761</v>
      </c>
      <c r="O6">
        <f t="shared" si="2"/>
        <v>12.806842672927395</v>
      </c>
      <c r="P6" s="1">
        <v>12.61</v>
      </c>
      <c r="T6">
        <v>12.055003326930015</v>
      </c>
      <c r="U6" s="1">
        <v>12.61</v>
      </c>
      <c r="V6">
        <v>12.0563263073761</v>
      </c>
      <c r="W6" s="1">
        <v>12.61</v>
      </c>
      <c r="Y6" s="24"/>
      <c r="Z6" s="24"/>
      <c r="AA6" s="24"/>
      <c r="AB6" s="24"/>
      <c r="AC6" s="47"/>
      <c r="AD6" s="24"/>
      <c r="AE6" s="24" t="s">
        <v>53</v>
      </c>
      <c r="AF6" s="25">
        <f>AF5/AF2</f>
        <v>11.566956521739131</v>
      </c>
      <c r="AG6" s="25">
        <f>AG5/AG2</f>
        <v>11.566956521739131</v>
      </c>
      <c r="AH6" s="25">
        <f>AH5/AH2</f>
        <v>11.566956521739131</v>
      </c>
      <c r="AI6" s="26"/>
      <c r="AJ6" s="48" t="s">
        <v>121</v>
      </c>
    </row>
    <row r="7" spans="1:38">
      <c r="A7" s="2">
        <v>66</v>
      </c>
      <c r="B7" s="1">
        <v>13.51</v>
      </c>
      <c r="C7">
        <v>0.82977977715920515</v>
      </c>
      <c r="D7">
        <v>0.86277630400636063</v>
      </c>
      <c r="E7">
        <v>0.87377368030649372</v>
      </c>
      <c r="F7">
        <v>0.90687815181251319</v>
      </c>
      <c r="G7">
        <v>1.151517634660429</v>
      </c>
      <c r="H7">
        <v>1.2156686346785679</v>
      </c>
      <c r="I7">
        <v>0.93275745789488262</v>
      </c>
      <c r="J7">
        <v>1.0436221541169435</v>
      </c>
      <c r="K7">
        <v>0.92135937592615014</v>
      </c>
      <c r="M7">
        <f t="shared" si="0"/>
        <v>13.00455684481611</v>
      </c>
      <c r="N7">
        <f t="shared" si="1"/>
        <v>12.828381231770384</v>
      </c>
      <c r="O7">
        <f t="shared" si="2"/>
        <v>13.223378403600892</v>
      </c>
      <c r="P7" s="1">
        <v>13.51</v>
      </c>
      <c r="T7">
        <v>13.00455684481611</v>
      </c>
      <c r="U7" s="1">
        <v>13.51</v>
      </c>
      <c r="V7">
        <v>12.828381231770384</v>
      </c>
      <c r="W7" s="1">
        <v>13.51</v>
      </c>
      <c r="Y7" s="24" t="s">
        <v>55</v>
      </c>
      <c r="Z7" s="51">
        <f>AF12</f>
        <v>1.2527875673434554</v>
      </c>
      <c r="AA7" s="51">
        <f>AG12</f>
        <v>-1.4260109110376291</v>
      </c>
      <c r="AD7" s="24"/>
      <c r="AE7" s="27" t="s">
        <v>94</v>
      </c>
      <c r="AF7" s="25">
        <f t="array" ref="AF7">SUMSQ(T:T)-(AF3^2)/AF2</f>
        <v>33.530781366364408</v>
      </c>
      <c r="AG7" s="25">
        <f t="array" ref="AG7">SUMSQ(V:V)-(AG3^2)/AG2</f>
        <v>23.091751314069825</v>
      </c>
      <c r="AH7" s="25">
        <f t="array" ref="AH7">(SUM(T2:T1000*T2:T1000)+SUM(V2:V1000*V2:V1000))-(AH3^2)/AH2</f>
        <v>56.958910476038</v>
      </c>
      <c r="AI7" s="26">
        <f>AF7+AG7</f>
        <v>56.622532680434233</v>
      </c>
      <c r="AJ7" s="50"/>
    </row>
    <row r="8" spans="1:38">
      <c r="A8" s="2">
        <v>67</v>
      </c>
      <c r="B8" s="1">
        <v>11.52</v>
      </c>
      <c r="C8">
        <v>0.86258726909271888</v>
      </c>
      <c r="D8">
        <v>0.87862745412482035</v>
      </c>
      <c r="E8">
        <v>0.73951842369695941</v>
      </c>
      <c r="F8">
        <v>0.76549204277874905</v>
      </c>
      <c r="G8">
        <v>1.139670891719972</v>
      </c>
      <c r="H8">
        <v>1.2094642081200311</v>
      </c>
      <c r="I8">
        <v>0.81214881606784861</v>
      </c>
      <c r="J8">
        <v>1.0925154089054021</v>
      </c>
      <c r="K8">
        <v>0.88101981542711783</v>
      </c>
      <c r="M8">
        <f t="shared" si="0"/>
        <v>10.748916304278113</v>
      </c>
      <c r="N8">
        <f t="shared" si="1"/>
        <v>11.180751605867853</v>
      </c>
      <c r="O8">
        <f t="shared" si="2"/>
        <v>12.031135613615506</v>
      </c>
      <c r="P8" s="1">
        <v>11.52</v>
      </c>
      <c r="T8">
        <v>10.748916304278113</v>
      </c>
      <c r="U8" s="1">
        <v>11.52</v>
      </c>
      <c r="V8">
        <v>11.180751605867853</v>
      </c>
      <c r="W8" s="1">
        <v>11.52</v>
      </c>
      <c r="Y8" s="24" t="s">
        <v>57</v>
      </c>
      <c r="Z8" s="51">
        <f>AF14</f>
        <v>0.88430935071451422</v>
      </c>
      <c r="AA8" s="51">
        <f>AG14</f>
        <v>1.0978836822753517</v>
      </c>
      <c r="AD8" s="24"/>
      <c r="AE8" s="27" t="s">
        <v>95</v>
      </c>
      <c r="AF8" s="25">
        <f t="array" ref="AF8">SUMSQ(U:U)-(AF5^2)/AF2</f>
        <v>33.425686956521076</v>
      </c>
      <c r="AG8" s="25">
        <f t="array" ref="AG8">SUMSQ(W:W)-(AG5^2)/AG2</f>
        <v>33.425686956521076</v>
      </c>
      <c r="AH8" s="25">
        <f t="array" ref="AH8">(SUM(U2:U1000*U2:U1000)+SUM(W2:W1000*W2:W1000))-(AH5^2)/AH2</f>
        <v>66.851373913042153</v>
      </c>
      <c r="AI8" s="26">
        <f>AF8+AG8</f>
        <v>66.851373913042153</v>
      </c>
      <c r="AJ8" s="50"/>
    </row>
    <row r="9" spans="1:38">
      <c r="A9" s="2">
        <v>68</v>
      </c>
      <c r="B9" s="1">
        <v>13.5</v>
      </c>
      <c r="C9">
        <v>0.81717873667844565</v>
      </c>
      <c r="D9">
        <v>0.84026592031843594</v>
      </c>
      <c r="E9">
        <v>0.88313283599949577</v>
      </c>
      <c r="F9">
        <v>0.89670866135764171</v>
      </c>
      <c r="G9">
        <v>1.1526795701582866</v>
      </c>
      <c r="H9">
        <v>1.2118233014851143</v>
      </c>
      <c r="I9">
        <v>0.88535397862177911</v>
      </c>
      <c r="J9">
        <v>1.1003213481126608</v>
      </c>
      <c r="K9">
        <v>0.95562210235780132</v>
      </c>
      <c r="M9">
        <f t="shared" si="0"/>
        <v>13.072648847433429</v>
      </c>
      <c r="N9">
        <f t="shared" si="1"/>
        <v>13.049708937261112</v>
      </c>
      <c r="O9">
        <f t="shared" si="2"/>
        <v>13.303777747177293</v>
      </c>
      <c r="P9" s="1">
        <v>13.5</v>
      </c>
      <c r="T9">
        <v>13.072648847433429</v>
      </c>
      <c r="U9" s="1">
        <v>13.5</v>
      </c>
      <c r="V9">
        <v>13.049708937261112</v>
      </c>
      <c r="W9" s="1">
        <v>13.5</v>
      </c>
      <c r="AD9" s="24"/>
      <c r="AE9" s="27" t="s">
        <v>96</v>
      </c>
      <c r="AF9" s="25">
        <f t="array" ref="AF9">SUM(T2:T1000*U2:U1000)-(AF3*AF5)/AF2</f>
        <v>29.651583499040044</v>
      </c>
      <c r="AG9" s="25">
        <f t="array" ref="AG9">(SUM(V2:V1000*W2:W1000))-(AG3*AG5)/AG2</f>
        <v>25.352056962877668</v>
      </c>
      <c r="AH9" s="25">
        <f t="array" ref="AH9">(SUM(T2:T1000*U2:U1000)+SUM(V2:V1000*W2:W1000))-(AH3*AH5/AH2)</f>
        <v>55.003640461916802</v>
      </c>
      <c r="AI9" s="26">
        <f>AF9+AG9</f>
        <v>55.003640461917712</v>
      </c>
      <c r="AJ9" s="50"/>
    </row>
    <row r="10" spans="1:38">
      <c r="A10" s="2">
        <v>69</v>
      </c>
      <c r="B10" s="1">
        <v>10.96</v>
      </c>
      <c r="C10">
        <v>0.92233549244462532</v>
      </c>
      <c r="D10">
        <v>0.93461336218793023</v>
      </c>
      <c r="E10">
        <v>0.75282131011101716</v>
      </c>
      <c r="F10">
        <v>0.80693253478994653</v>
      </c>
      <c r="G10">
        <v>1.0880194451895515</v>
      </c>
      <c r="H10">
        <v>1.1296413999199086</v>
      </c>
      <c r="I10">
        <v>0.84936207167339561</v>
      </c>
      <c r="J10">
        <v>1.081579656836162</v>
      </c>
      <c r="K10">
        <v>0.9682551136378279</v>
      </c>
      <c r="M10">
        <f t="shared" si="0"/>
        <v>10.895442216986744</v>
      </c>
      <c r="N10">
        <f t="shared" si="1"/>
        <v>10.95934720123026</v>
      </c>
      <c r="O10">
        <f t="shared" si="2"/>
        <v>12.098241202032815</v>
      </c>
      <c r="P10" s="1">
        <v>10.96</v>
      </c>
      <c r="T10">
        <v>10.895442216986744</v>
      </c>
      <c r="U10" s="1">
        <v>10.96</v>
      </c>
      <c r="V10">
        <v>10.95934720123026</v>
      </c>
      <c r="W10" s="1">
        <v>10.96</v>
      </c>
      <c r="Y10" s="33" t="str">
        <f>AE21</f>
        <v>Analysis of Variance - A</v>
      </c>
      <c r="Z10" s="24"/>
      <c r="AA10" s="24"/>
      <c r="AB10" s="24"/>
      <c r="AC10" s="24"/>
      <c r="AD10" s="24"/>
      <c r="AE10" s="24" t="s">
        <v>54</v>
      </c>
      <c r="AF10" s="25"/>
      <c r="AG10" s="25"/>
      <c r="AH10" s="25"/>
      <c r="AI10" s="26">
        <f>(AG24+AG30)/(AF24+AF30)</f>
        <v>0.30468075499262476</v>
      </c>
      <c r="AJ10" s="50"/>
    </row>
    <row r="11" spans="1:38">
      <c r="A11" s="2">
        <v>70</v>
      </c>
      <c r="B11" s="1">
        <v>10.97</v>
      </c>
      <c r="C11">
        <v>0.91475008915286671</v>
      </c>
      <c r="D11">
        <v>0.94257037739145555</v>
      </c>
      <c r="E11">
        <v>0.75747540684678416</v>
      </c>
      <c r="F11">
        <v>0.80110483976917868</v>
      </c>
      <c r="G11">
        <v>1.0963941333096912</v>
      </c>
      <c r="H11">
        <v>1.1366947368137152</v>
      </c>
      <c r="I11">
        <v>0.8236453839118264</v>
      </c>
      <c r="J11">
        <v>1.05307666801982</v>
      </c>
      <c r="K11">
        <v>0.98846226203576515</v>
      </c>
      <c r="M11">
        <f t="shared" si="0"/>
        <v>10.973586571003228</v>
      </c>
      <c r="N11">
        <f t="shared" si="1"/>
        <v>11.05931198632765</v>
      </c>
      <c r="O11">
        <f t="shared" si="2"/>
        <v>12.143909714576193</v>
      </c>
      <c r="P11" s="1">
        <v>10.97</v>
      </c>
      <c r="T11">
        <v>10.973586571003228</v>
      </c>
      <c r="U11" s="1">
        <v>10.97</v>
      </c>
      <c r="V11">
        <v>11.05931198632765</v>
      </c>
      <c r="W11" s="1">
        <v>10.97</v>
      </c>
      <c r="Y11" s="24" t="str">
        <f>AE22</f>
        <v>Source</v>
      </c>
      <c r="Z11" s="24" t="str">
        <f t="shared" ref="Z11:AC13" si="3">AF22</f>
        <v>D.F</v>
      </c>
      <c r="AA11" s="24" t="str">
        <f t="shared" si="3"/>
        <v>SS</v>
      </c>
      <c r="AB11" s="24" t="str">
        <f t="shared" si="3"/>
        <v>MS</v>
      </c>
      <c r="AC11" s="24" t="str">
        <f t="shared" si="3"/>
        <v>F (p)</v>
      </c>
      <c r="AD11" s="24"/>
      <c r="AE11" s="24"/>
      <c r="AF11" s="25"/>
      <c r="AG11" s="25"/>
      <c r="AH11" s="25"/>
      <c r="AI11" s="26"/>
      <c r="AJ11" s="50"/>
    </row>
    <row r="12" spans="1:38">
      <c r="A12" s="2">
        <v>71</v>
      </c>
      <c r="B12" s="1">
        <v>9.52</v>
      </c>
      <c r="C12">
        <v>0.92857629484619797</v>
      </c>
      <c r="D12">
        <v>0.91536043065823425</v>
      </c>
      <c r="E12">
        <v>0.667918443212424</v>
      </c>
      <c r="F12">
        <v>0.70136702761973102</v>
      </c>
      <c r="G12">
        <v>1.0845894543109555</v>
      </c>
      <c r="H12">
        <v>1.124153067730941</v>
      </c>
      <c r="I12">
        <v>0.87319592391053302</v>
      </c>
      <c r="J12">
        <v>1.0126525009064062</v>
      </c>
      <c r="K12">
        <v>0.83483536109228385</v>
      </c>
      <c r="M12">
        <f t="shared" si="0"/>
        <v>9.5597330837653391</v>
      </c>
      <c r="N12">
        <f t="shared" si="1"/>
        <v>10.056037762776516</v>
      </c>
      <c r="O12">
        <f t="shared" si="2"/>
        <v>11.343275638885997</v>
      </c>
      <c r="P12" s="1">
        <v>9.52</v>
      </c>
      <c r="T12">
        <v>9.5597330837653391</v>
      </c>
      <c r="U12" s="1">
        <v>9.52</v>
      </c>
      <c r="V12">
        <v>10.056037762776516</v>
      </c>
      <c r="W12" s="1">
        <v>9.52</v>
      </c>
      <c r="Y12" s="24" t="str">
        <f>AE23</f>
        <v>Regre</v>
      </c>
      <c r="Z12" s="24">
        <f t="shared" si="3"/>
        <v>1</v>
      </c>
      <c r="AA12" s="24">
        <f t="shared" si="3"/>
        <v>26.221172551693307</v>
      </c>
      <c r="AB12" s="24">
        <f t="shared" si="3"/>
        <v>26.221172551693307</v>
      </c>
      <c r="AC12" s="24">
        <f t="shared" si="3"/>
        <v>76.430497968963834</v>
      </c>
      <c r="AD12" s="24"/>
      <c r="AE12" s="24" t="s">
        <v>55</v>
      </c>
      <c r="AF12" s="24">
        <f>AF6-AF14*AF4</f>
        <v>1.2527875673434554</v>
      </c>
      <c r="AG12" s="24">
        <f>AG6-AG14*AG4</f>
        <v>-1.4260109110376291</v>
      </c>
      <c r="AH12" s="25"/>
      <c r="AI12" s="26"/>
      <c r="AJ12" s="52" t="s">
        <v>122</v>
      </c>
    </row>
    <row r="13" spans="1:38">
      <c r="A13" s="2">
        <v>72</v>
      </c>
      <c r="B13" s="1">
        <v>9.33</v>
      </c>
      <c r="C13">
        <v>0.87296961043622312</v>
      </c>
      <c r="D13">
        <v>0.84382789876020325</v>
      </c>
      <c r="E13">
        <v>0.65772790078381294</v>
      </c>
      <c r="F13">
        <v>0.70256853771058403</v>
      </c>
      <c r="G13">
        <v>1.1235671969851155</v>
      </c>
      <c r="H13">
        <v>1.1785267847227952</v>
      </c>
      <c r="I13">
        <v>0.88545375597047327</v>
      </c>
      <c r="J13">
        <v>0.93225969389810448</v>
      </c>
      <c r="K13">
        <v>0.8165945504354033</v>
      </c>
      <c r="M13">
        <f t="shared" si="0"/>
        <v>9.6434460409432621</v>
      </c>
      <c r="N13">
        <f t="shared" si="1"/>
        <v>10.333904042704937</v>
      </c>
      <c r="O13">
        <f t="shared" si="2"/>
        <v>11.28757281485575</v>
      </c>
      <c r="P13" s="1">
        <v>9.33</v>
      </c>
      <c r="T13">
        <v>9.6434460409432621</v>
      </c>
      <c r="U13" s="1">
        <v>9.33</v>
      </c>
      <c r="V13">
        <v>10.333904042704937</v>
      </c>
      <c r="W13" s="1">
        <v>9.33</v>
      </c>
      <c r="Y13" s="24" t="str">
        <f>AE24</f>
        <v>Residual</v>
      </c>
      <c r="Z13" s="24">
        <f t="shared" si="3"/>
        <v>21</v>
      </c>
      <c r="AA13" s="24">
        <f t="shared" si="3"/>
        <v>7.2045144048277692</v>
      </c>
      <c r="AB13" s="24">
        <f t="shared" si="3"/>
        <v>0.34307211451560804</v>
      </c>
      <c r="AC13" s="24">
        <f t="shared" si="3"/>
        <v>1.9289798842956185E-8</v>
      </c>
      <c r="AD13" s="24"/>
      <c r="AE13" s="24" t="s">
        <v>56</v>
      </c>
      <c r="AF13" s="24">
        <f>AH24*(AF7+AF3^2/AF2)/(AF2*AF7)</f>
        <v>1.4067961750555333</v>
      </c>
      <c r="AG13" s="24">
        <f>AH30*(AG7+AG3^2/AG2)/(AG2*AG7)</f>
        <v>1.6266838322909594</v>
      </c>
      <c r="AH13" s="25"/>
      <c r="AI13" s="26"/>
      <c r="AJ13" s="50"/>
    </row>
    <row r="14" spans="1:38">
      <c r="A14" s="2">
        <v>73</v>
      </c>
      <c r="B14" s="1">
        <v>9.24</v>
      </c>
      <c r="C14">
        <v>0.75167228599886959</v>
      </c>
      <c r="D14">
        <v>0.77706987983534648</v>
      </c>
      <c r="E14">
        <v>0.62908934469220312</v>
      </c>
      <c r="F14">
        <v>0.66044273175612167</v>
      </c>
      <c r="G14">
        <v>1.2437689550637383</v>
      </c>
      <c r="H14">
        <v>1.3285186674270881</v>
      </c>
      <c r="I14">
        <v>0.92408606720189213</v>
      </c>
      <c r="J14">
        <v>0.97167364418675994</v>
      </c>
      <c r="K14">
        <v>0.8820506609008042</v>
      </c>
      <c r="M14">
        <f t="shared" si="0"/>
        <v>10.166866806450217</v>
      </c>
      <c r="N14">
        <f t="shared" si="1"/>
        <v>10.796939546577015</v>
      </c>
      <c r="O14">
        <f t="shared" si="2"/>
        <v>11.129244941420906</v>
      </c>
      <c r="P14" s="1">
        <v>9.24</v>
      </c>
      <c r="T14">
        <v>10.166866806450217</v>
      </c>
      <c r="U14" s="1">
        <v>9.24</v>
      </c>
      <c r="V14">
        <v>10.796939546577015</v>
      </c>
      <c r="W14" s="1">
        <v>9.24</v>
      </c>
      <c r="Y14" s="24" t="str">
        <f>AE25</f>
        <v>Total</v>
      </c>
      <c r="Z14" s="24">
        <f>AF25</f>
        <v>22</v>
      </c>
      <c r="AA14" s="24">
        <f>AG25</f>
        <v>33.425686956521076</v>
      </c>
      <c r="AB14" s="24" t="str">
        <f>AH25</f>
        <v>-</v>
      </c>
      <c r="AC14" s="24"/>
      <c r="AD14" s="24"/>
      <c r="AE14" s="24" t="s">
        <v>57</v>
      </c>
      <c r="AF14" s="24">
        <f>AF9/AF7</f>
        <v>0.88430935071451422</v>
      </c>
      <c r="AG14" s="24">
        <f>AG9/AG7</f>
        <v>1.0978836822753517</v>
      </c>
      <c r="AH14" s="25"/>
      <c r="AI14" s="26">
        <f>AI9/AI7</f>
        <v>0.97140904615388346</v>
      </c>
      <c r="AJ14" s="52" t="s">
        <v>123</v>
      </c>
    </row>
    <row r="15" spans="1:38">
      <c r="A15" s="2">
        <v>74</v>
      </c>
      <c r="B15" s="1">
        <v>10.93</v>
      </c>
      <c r="C15">
        <v>0.81685791861255486</v>
      </c>
      <c r="D15">
        <v>0.83802366830943176</v>
      </c>
      <c r="E15">
        <v>0.75555859853968577</v>
      </c>
      <c r="F15">
        <v>0.776182150761488</v>
      </c>
      <c r="G15">
        <v>1.1476259920214409</v>
      </c>
      <c r="H15">
        <v>1.1997982826559879</v>
      </c>
      <c r="I15">
        <v>0.99639323361757559</v>
      </c>
      <c r="J15">
        <v>0.96785899108468154</v>
      </c>
      <c r="K15">
        <v>0.89516559243977933</v>
      </c>
      <c r="M15">
        <f t="shared" si="0"/>
        <v>11.527422661421076</v>
      </c>
      <c r="N15">
        <f t="shared" si="1"/>
        <v>11.791908259203566</v>
      </c>
      <c r="O15">
        <f t="shared" si="2"/>
        <v>12.166976742051572</v>
      </c>
      <c r="P15" s="1">
        <v>10.93</v>
      </c>
      <c r="T15">
        <v>11.527422661421076</v>
      </c>
      <c r="U15" s="1">
        <v>10.93</v>
      </c>
      <c r="V15">
        <v>11.791908259203566</v>
      </c>
      <c r="W15" s="1">
        <v>10.93</v>
      </c>
      <c r="Y15" s="24"/>
      <c r="Z15" s="24"/>
      <c r="AA15" s="24"/>
      <c r="AB15" s="24"/>
      <c r="AC15" s="24"/>
      <c r="AD15" s="24"/>
      <c r="AE15" s="24" t="s">
        <v>58</v>
      </c>
      <c r="AF15" s="24">
        <f>AH24/AF7</f>
        <v>1.023155740891122E-2</v>
      </c>
      <c r="AG15" s="24">
        <f>AH30/AG7</f>
        <v>1.1531797300596733E-2</v>
      </c>
      <c r="AH15" s="24"/>
      <c r="AI15" s="29">
        <f>AI10/(AF7+AG7)</f>
        <v>5.3809100471040282E-3</v>
      </c>
      <c r="AJ15" s="50"/>
    </row>
    <row r="16" spans="1:38">
      <c r="A16" s="2">
        <v>75</v>
      </c>
      <c r="B16" s="1">
        <v>12</v>
      </c>
      <c r="C16">
        <v>0.90285893134028816</v>
      </c>
      <c r="D16">
        <v>0.91908902076399979</v>
      </c>
      <c r="E16">
        <v>0.84289569748825321</v>
      </c>
      <c r="F16">
        <v>0.85467617810835672</v>
      </c>
      <c r="G16">
        <v>1.0902840222058785</v>
      </c>
      <c r="H16">
        <v>1.1191991092688727</v>
      </c>
      <c r="I16">
        <v>0.88030228841196967</v>
      </c>
      <c r="J16">
        <v>1.0630641797566183</v>
      </c>
      <c r="K16">
        <v>0.9282016127577436</v>
      </c>
      <c r="M16">
        <f t="shared" si="0"/>
        <v>12.118262458677933</v>
      </c>
      <c r="N16">
        <f t="shared" si="1"/>
        <v>12.077638297546855</v>
      </c>
      <c r="O16">
        <f t="shared" si="2"/>
        <v>12.888874022958452</v>
      </c>
      <c r="P16" s="1">
        <v>12</v>
      </c>
      <c r="T16">
        <v>12.118262458677933</v>
      </c>
      <c r="U16" s="1">
        <v>12</v>
      </c>
      <c r="V16">
        <v>12.077638297546855</v>
      </c>
      <c r="W16" s="1">
        <v>12</v>
      </c>
      <c r="Y16" s="33" t="str">
        <f>AE27</f>
        <v>Analysis of Variance - B</v>
      </c>
      <c r="Z16" s="24"/>
      <c r="AA16" s="24"/>
      <c r="AB16" s="24"/>
      <c r="AC16" s="24"/>
      <c r="AD16" s="24"/>
      <c r="AE16" s="24" t="s">
        <v>59</v>
      </c>
      <c r="AF16" s="30">
        <f>AF9/(SQRT(AF7*AF8))</f>
        <v>0.88569844757257776</v>
      </c>
      <c r="AG16" s="24" t="s">
        <v>60</v>
      </c>
      <c r="AH16" s="31">
        <f>AF16*SQRT(AF2-2)/(SQRT(1-AF16^2))</f>
        <v>8.7424537727667602</v>
      </c>
      <c r="AI16" s="29"/>
      <c r="AJ16" s="50"/>
      <c r="AL16" s="8"/>
    </row>
    <row r="17" spans="1:38">
      <c r="A17" s="2">
        <v>76</v>
      </c>
      <c r="B17" s="1">
        <v>12.81</v>
      </c>
      <c r="C17">
        <v>0.75314134144238964</v>
      </c>
      <c r="D17">
        <v>0.79403785140163963</v>
      </c>
      <c r="E17">
        <v>0.87452934176100194</v>
      </c>
      <c r="F17">
        <v>0.93611531844044027</v>
      </c>
      <c r="G17">
        <v>1.2320038323486597</v>
      </c>
      <c r="H17">
        <v>1.3227037995081075</v>
      </c>
      <c r="I17">
        <v>0.92545523415341691</v>
      </c>
      <c r="J17">
        <v>1.0715146744839681</v>
      </c>
      <c r="K17">
        <v>1.0932631671180912</v>
      </c>
      <c r="M17">
        <f t="shared" si="0"/>
        <v>13.769769546137571</v>
      </c>
      <c r="N17">
        <f t="shared" si="1"/>
        <v>13.281077926951461</v>
      </c>
      <c r="O17">
        <f t="shared" si="2"/>
        <v>13.297969947268749</v>
      </c>
      <c r="P17" s="1">
        <v>12.81</v>
      </c>
      <c r="T17">
        <v>13.769769546137571</v>
      </c>
      <c r="U17" s="1">
        <v>12.81</v>
      </c>
      <c r="V17">
        <v>13.281077926951461</v>
      </c>
      <c r="W17" s="1">
        <v>12.81</v>
      </c>
      <c r="Y17" s="24" t="str">
        <f>AE28</f>
        <v>Source</v>
      </c>
      <c r="Z17" s="24" t="str">
        <f t="shared" ref="Z17:AC19" si="4">AF28</f>
        <v>D.F.</v>
      </c>
      <c r="AA17" s="24" t="str">
        <f t="shared" si="4"/>
        <v>SS</v>
      </c>
      <c r="AB17" s="24" t="str">
        <f t="shared" si="4"/>
        <v>MS</v>
      </c>
      <c r="AC17" s="24" t="str">
        <f t="shared" si="4"/>
        <v>F (p)</v>
      </c>
      <c r="AD17" s="24"/>
      <c r="AE17" s="24" t="s">
        <v>61</v>
      </c>
      <c r="AF17" s="31">
        <f>AF2-2</f>
        <v>21</v>
      </c>
      <c r="AG17" s="32" t="s">
        <v>62</v>
      </c>
      <c r="AH17" s="30">
        <f>TDIST(ABS(AH16),AF17,2)</f>
        <v>1.9289798842956321E-8</v>
      </c>
      <c r="AI17" s="29"/>
      <c r="AJ17" s="52" t="s">
        <v>124</v>
      </c>
      <c r="AL17" s="5"/>
    </row>
    <row r="18" spans="1:38">
      <c r="A18" s="2">
        <v>77</v>
      </c>
      <c r="B18" s="1">
        <v>10.84</v>
      </c>
      <c r="C18">
        <v>0.91609285883164115</v>
      </c>
      <c r="D18">
        <v>0.92934492243779709</v>
      </c>
      <c r="E18">
        <v>0.76975536154202906</v>
      </c>
      <c r="F18">
        <v>0.87969171610190899</v>
      </c>
      <c r="G18">
        <v>1.0813472142183889</v>
      </c>
      <c r="H18">
        <v>1.1187136402189419</v>
      </c>
      <c r="I18">
        <v>0.95673543296902286</v>
      </c>
      <c r="J18">
        <v>1.0126401056079428</v>
      </c>
      <c r="K18">
        <v>1.1020537018949514</v>
      </c>
      <c r="M18">
        <f t="shared" si="0"/>
        <v>11.619298335842931</v>
      </c>
      <c r="N18">
        <f t="shared" si="1"/>
        <v>11.215909240656638</v>
      </c>
      <c r="O18">
        <f t="shared" si="2"/>
        <v>12.241193613899551</v>
      </c>
      <c r="P18" s="1">
        <v>10.84</v>
      </c>
      <c r="T18">
        <v>11.619298335842931</v>
      </c>
      <c r="U18" s="1">
        <v>10.84</v>
      </c>
      <c r="V18">
        <v>11.215909240656638</v>
      </c>
      <c r="W18" s="1">
        <v>10.84</v>
      </c>
      <c r="Y18" s="24" t="str">
        <f>AE29</f>
        <v>Regre</v>
      </c>
      <c r="Z18" s="24">
        <f t="shared" si="4"/>
        <v>1</v>
      </c>
      <c r="AA18" s="24">
        <f t="shared" si="4"/>
        <v>27.833609651658605</v>
      </c>
      <c r="AB18" s="24">
        <f t="shared" si="4"/>
        <v>27.833609651658605</v>
      </c>
      <c r="AC18" s="24">
        <f t="shared" si="4"/>
        <v>104.52391317562549</v>
      </c>
      <c r="AD18" s="24"/>
      <c r="AE18" s="24" t="s">
        <v>63</v>
      </c>
      <c r="AF18" s="30">
        <f>AG9/(SQRT(AG7*AG8))</f>
        <v>0.91252463000357886</v>
      </c>
      <c r="AG18" s="24" t="s">
        <v>64</v>
      </c>
      <c r="AH18" s="31">
        <f>AF18*SQRT(AG2-2)/(SQRT(1-AF18^2))</f>
        <v>10.22369371487749</v>
      </c>
      <c r="AI18" s="29"/>
      <c r="AJ18" s="50"/>
      <c r="AL18" s="5"/>
    </row>
    <row r="19" spans="1:38">
      <c r="A19" s="2">
        <v>78</v>
      </c>
      <c r="B19" s="1">
        <v>11.97</v>
      </c>
      <c r="C19">
        <v>0.89453278607693332</v>
      </c>
      <c r="D19">
        <v>0.91397655789080101</v>
      </c>
      <c r="E19">
        <v>0.83319944591295592</v>
      </c>
      <c r="F19">
        <v>1.0273838187587796</v>
      </c>
      <c r="G19">
        <v>1.0905069610970017</v>
      </c>
      <c r="H19">
        <v>1.1091427444957951</v>
      </c>
      <c r="I19">
        <v>0.89121497399321881</v>
      </c>
      <c r="J19">
        <v>1.058301286322098</v>
      </c>
      <c r="K19">
        <v>1.3863376895144974</v>
      </c>
      <c r="M19">
        <f t="shared" si="0"/>
        <v>12.869565878841811</v>
      </c>
      <c r="N19">
        <f t="shared" si="1"/>
        <v>12.081943942848529</v>
      </c>
      <c r="O19">
        <f t="shared" si="2"/>
        <v>12.796671772828297</v>
      </c>
      <c r="P19" s="1">
        <v>11.97</v>
      </c>
      <c r="T19">
        <v>12.869565878841811</v>
      </c>
      <c r="U19" s="1">
        <v>11.97</v>
      </c>
      <c r="V19">
        <v>12.081943942848529</v>
      </c>
      <c r="W19" s="1">
        <v>11.97</v>
      </c>
      <c r="Y19" s="24" t="str">
        <f>AE30</f>
        <v>Residual</v>
      </c>
      <c r="Z19" s="24">
        <f t="shared" si="4"/>
        <v>21</v>
      </c>
      <c r="AA19" s="24">
        <f t="shared" si="4"/>
        <v>5.592077304862471</v>
      </c>
      <c r="AB19" s="24">
        <f t="shared" si="4"/>
        <v>0.26628939546964148</v>
      </c>
      <c r="AC19" s="24">
        <f t="shared" si="4"/>
        <v>1.3133210330050239E-9</v>
      </c>
      <c r="AD19" s="24"/>
      <c r="AE19" s="24" t="s">
        <v>65</v>
      </c>
      <c r="AF19" s="31">
        <f>AG2-2</f>
        <v>21</v>
      </c>
      <c r="AG19" s="25" t="s">
        <v>66</v>
      </c>
      <c r="AH19" s="30">
        <f>TDIST(ABS(AH18),AF19,2)</f>
        <v>1.3133210330050239E-9</v>
      </c>
      <c r="AI19" s="26"/>
      <c r="AJ19" s="48" t="s">
        <v>125</v>
      </c>
    </row>
    <row r="20" spans="1:38">
      <c r="A20" s="2">
        <v>79</v>
      </c>
      <c r="B20" s="1">
        <v>11.15</v>
      </c>
      <c r="C20">
        <v>0.97957193805513687</v>
      </c>
      <c r="D20">
        <v>0.99649955139767266</v>
      </c>
      <c r="E20">
        <v>0.82115637045428524</v>
      </c>
      <c r="F20">
        <v>1.0260049797374458</v>
      </c>
      <c r="G20">
        <v>1.0062540183198174</v>
      </c>
      <c r="H20">
        <v>1.0104537943960963</v>
      </c>
      <c r="I20">
        <v>0.9001653717168171</v>
      </c>
      <c r="J20">
        <v>1.0192746891104203</v>
      </c>
      <c r="K20">
        <v>1.3963240050408343</v>
      </c>
      <c r="M20">
        <f t="shared" si="0"/>
        <v>12.274411649286684</v>
      </c>
      <c r="N20">
        <f t="shared" si="1"/>
        <v>11.416205727088741</v>
      </c>
      <c r="O20">
        <f t="shared" si="2"/>
        <v>12.627469037692808</v>
      </c>
      <c r="P20" s="1">
        <v>11.15</v>
      </c>
      <c r="T20">
        <v>12.274411649286684</v>
      </c>
      <c r="U20" s="1">
        <v>11.15</v>
      </c>
      <c r="V20">
        <v>11.416205727088741</v>
      </c>
      <c r="W20" s="1">
        <v>11.15</v>
      </c>
      <c r="Y20" s="24" t="str">
        <f>AE31</f>
        <v>Total</v>
      </c>
      <c r="Z20" s="24">
        <f>AF31</f>
        <v>22</v>
      </c>
      <c r="AA20" s="24">
        <f>AG31</f>
        <v>33.425686956521076</v>
      </c>
      <c r="AB20" s="24" t="str">
        <f>AH31</f>
        <v>-</v>
      </c>
      <c r="AC20" s="24"/>
      <c r="AD20" s="24"/>
      <c r="AE20" s="24"/>
      <c r="AF20" s="25"/>
      <c r="AG20" s="25"/>
      <c r="AH20" s="25"/>
      <c r="AI20" s="26"/>
      <c r="AJ20" s="50"/>
    </row>
    <row r="21" spans="1:38">
      <c r="A21" s="2">
        <v>80</v>
      </c>
      <c r="B21" s="1">
        <v>11.7</v>
      </c>
      <c r="C21">
        <v>0.86266351870121261</v>
      </c>
      <c r="D21">
        <v>0.8755035276263915</v>
      </c>
      <c r="E21">
        <v>0.80928729624378148</v>
      </c>
      <c r="F21">
        <v>0.86399723726895128</v>
      </c>
      <c r="G21">
        <v>1.0802090610260431</v>
      </c>
      <c r="H21">
        <v>1.1214702457698074</v>
      </c>
      <c r="I21">
        <v>0.82437708446891667</v>
      </c>
      <c r="J21">
        <v>0.98028217896951686</v>
      </c>
      <c r="K21">
        <v>0.94759439323146855</v>
      </c>
      <c r="M21">
        <f t="shared" si="0"/>
        <v>11.499187181831044</v>
      </c>
      <c r="N21">
        <f t="shared" si="1"/>
        <v>12.105304009014333</v>
      </c>
      <c r="O21">
        <f t="shared" si="2"/>
        <v>12.5928435116997</v>
      </c>
      <c r="P21" s="1">
        <v>11.7</v>
      </c>
      <c r="T21">
        <v>11.499187181831044</v>
      </c>
      <c r="U21" s="1">
        <v>11.7</v>
      </c>
      <c r="V21">
        <v>12.105304009014333</v>
      </c>
      <c r="W21" s="1">
        <v>11.7</v>
      </c>
      <c r="Y21" s="24"/>
      <c r="Z21" s="24"/>
      <c r="AA21" s="24"/>
      <c r="AB21" s="24"/>
      <c r="AC21" s="24"/>
      <c r="AD21" s="24"/>
      <c r="AE21" s="33" t="s">
        <v>67</v>
      </c>
      <c r="AF21" s="25"/>
      <c r="AG21" s="25"/>
      <c r="AH21" s="25"/>
      <c r="AI21" s="26"/>
      <c r="AJ21" s="52" t="s">
        <v>126</v>
      </c>
    </row>
    <row r="22" spans="1:38">
      <c r="A22" s="2">
        <v>81</v>
      </c>
      <c r="B22" s="1">
        <v>11.99</v>
      </c>
      <c r="C22">
        <v>0.85041354518595558</v>
      </c>
      <c r="D22">
        <v>0.87101092091347754</v>
      </c>
      <c r="E22">
        <v>0.8036883995118338</v>
      </c>
      <c r="F22">
        <v>0.86382764575395909</v>
      </c>
      <c r="G22">
        <v>1.0889474404576815</v>
      </c>
      <c r="H22">
        <v>1.1340824234526905</v>
      </c>
      <c r="I22">
        <v>0.80405391672286852</v>
      </c>
      <c r="J22">
        <v>1.0666247292401991</v>
      </c>
      <c r="K22">
        <v>0.9991933634168404</v>
      </c>
      <c r="M22">
        <f t="shared" si="0"/>
        <v>11.515320291486706</v>
      </c>
      <c r="N22">
        <f t="shared" si="1"/>
        <v>12.131002707792366</v>
      </c>
      <c r="O22">
        <f t="shared" si="2"/>
        <v>12.55128828235758</v>
      </c>
      <c r="P22" s="1">
        <v>11.99</v>
      </c>
      <c r="T22">
        <v>11.515320291486706</v>
      </c>
      <c r="U22" s="1">
        <v>11.99</v>
      </c>
      <c r="V22">
        <v>12.131002707792366</v>
      </c>
      <c r="W22" s="1">
        <v>11.99</v>
      </c>
      <c r="Y22" s="33" t="s">
        <v>74</v>
      </c>
      <c r="Z22" s="24"/>
      <c r="AA22" s="24"/>
      <c r="AB22" s="24"/>
      <c r="AC22" s="24"/>
      <c r="AD22" s="24"/>
      <c r="AE22" s="24" t="s">
        <v>68</v>
      </c>
      <c r="AF22" s="24" t="s">
        <v>69</v>
      </c>
      <c r="AG22" s="24" t="s">
        <v>23</v>
      </c>
      <c r="AH22" s="24" t="s">
        <v>24</v>
      </c>
      <c r="AI22" s="29" t="s">
        <v>70</v>
      </c>
      <c r="AJ22" s="50"/>
    </row>
    <row r="23" spans="1:38">
      <c r="A23" s="2">
        <v>82</v>
      </c>
      <c r="B23" s="1">
        <v>10.88</v>
      </c>
      <c r="C23">
        <v>0.89849596841852108</v>
      </c>
      <c r="D23">
        <v>0.90668008112823273</v>
      </c>
      <c r="E23">
        <v>0.718113824917328</v>
      </c>
      <c r="F23">
        <v>0.75383633692433627</v>
      </c>
      <c r="G23">
        <v>1.0703612451315032</v>
      </c>
      <c r="H23">
        <v>1.1187997256604492</v>
      </c>
      <c r="I23">
        <v>0.84216147300930344</v>
      </c>
      <c r="J23">
        <v>1.0410563273350417</v>
      </c>
      <c r="K23">
        <v>0.9310415920377495</v>
      </c>
      <c r="M23">
        <f t="shared" si="0"/>
        <v>10.244174302511222</v>
      </c>
      <c r="N23">
        <f t="shared" si="1"/>
        <v>10.856655058821156</v>
      </c>
      <c r="O23">
        <f t="shared" si="2"/>
        <v>11.78416382168475</v>
      </c>
      <c r="P23" s="1">
        <v>10.88</v>
      </c>
      <c r="T23">
        <v>10.244174302511222</v>
      </c>
      <c r="U23" s="1">
        <v>10.88</v>
      </c>
      <c r="V23">
        <v>10.856655058821156</v>
      </c>
      <c r="W23" s="1">
        <v>10.88</v>
      </c>
      <c r="Y23" s="24" t="str">
        <f t="shared" ref="Y23:Z37" si="5">AE34</f>
        <v>F =</v>
      </c>
      <c r="Z23" s="24">
        <f t="shared" si="5"/>
        <v>1.2883431347709084</v>
      </c>
      <c r="AA23" s="24" t="str">
        <f>AG34</f>
        <v>D.F. =</v>
      </c>
      <c r="AB23" s="24">
        <f>AH34</f>
        <v>21</v>
      </c>
      <c r="AC23" s="24">
        <f>AI34</f>
        <v>21</v>
      </c>
      <c r="AD23" s="24"/>
      <c r="AE23" s="24" t="s">
        <v>71</v>
      </c>
      <c r="AF23" s="24">
        <v>1</v>
      </c>
      <c r="AG23" s="24">
        <f>AG25-AG24</f>
        <v>26.221172551693307</v>
      </c>
      <c r="AH23" s="24">
        <f>AG23/AF23</f>
        <v>26.221172551693307</v>
      </c>
      <c r="AI23" s="29">
        <f>AH23/AH24</f>
        <v>76.430497968963834</v>
      </c>
      <c r="AJ23" s="50"/>
    </row>
    <row r="24" spans="1:38">
      <c r="A24" s="2">
        <v>83</v>
      </c>
      <c r="B24" s="1">
        <v>10.46</v>
      </c>
      <c r="C24">
        <v>0.89280859879907815</v>
      </c>
      <c r="D24">
        <v>0.90312198522777432</v>
      </c>
      <c r="E24">
        <v>0.70206709058074912</v>
      </c>
      <c r="F24">
        <v>0.76985736627219525</v>
      </c>
      <c r="G24">
        <v>1.0962178692154394</v>
      </c>
      <c r="H24">
        <v>1.1411014417577634</v>
      </c>
      <c r="I24">
        <v>0.80677377333912292</v>
      </c>
      <c r="J24">
        <v>0.98242036795443488</v>
      </c>
      <c r="K24">
        <v>1.022196680162152</v>
      </c>
      <c r="M24">
        <f t="shared" si="0"/>
        <v>10.250934928258092</v>
      </c>
      <c r="N24">
        <f t="shared" si="1"/>
        <v>10.691531905686039</v>
      </c>
      <c r="O24">
        <f t="shared" si="2"/>
        <v>11.656280780090393</v>
      </c>
      <c r="P24" s="1">
        <v>10.46</v>
      </c>
      <c r="T24">
        <v>10.250934928258092</v>
      </c>
      <c r="U24" s="1">
        <v>10.46</v>
      </c>
      <c r="V24">
        <v>10.691531905686039</v>
      </c>
      <c r="W24" s="1">
        <v>10.46</v>
      </c>
      <c r="Y24" s="24" t="str">
        <f t="shared" si="5"/>
        <v>p(F) =</v>
      </c>
      <c r="Z24" s="53">
        <f t="shared" si="5"/>
        <v>0.28335910745856147</v>
      </c>
      <c r="AA24" s="24"/>
      <c r="AB24" s="47" t="s">
        <v>127</v>
      </c>
      <c r="AC24" s="24"/>
      <c r="AD24" s="24"/>
      <c r="AE24" s="24" t="s">
        <v>19</v>
      </c>
      <c r="AF24" s="24">
        <f>AF25-AF23</f>
        <v>21</v>
      </c>
      <c r="AG24" s="24">
        <f>AF8-(AF9^2)/AF7</f>
        <v>7.2045144048277692</v>
      </c>
      <c r="AH24" s="24">
        <f>AG24/AF24</f>
        <v>0.34307211451560804</v>
      </c>
      <c r="AI24" s="29">
        <f>FDIST(AI23,AF23,AF24)</f>
        <v>1.9289798842956185E-8</v>
      </c>
      <c r="AJ24" s="50"/>
    </row>
    <row r="25" spans="1:38">
      <c r="U25" s="29"/>
      <c r="W25" s="24"/>
      <c r="Y25" s="33" t="s">
        <v>78</v>
      </c>
      <c r="Z25" s="24"/>
      <c r="AA25" s="24"/>
      <c r="AB25" s="24"/>
      <c r="AC25" s="24"/>
      <c r="AD25" s="24"/>
      <c r="AE25" s="24" t="s">
        <v>20</v>
      </c>
      <c r="AF25" s="24">
        <f>AF2-1</f>
        <v>22</v>
      </c>
      <c r="AG25" s="24">
        <f>AF8</f>
        <v>33.425686956521076</v>
      </c>
      <c r="AH25" s="24" t="s">
        <v>37</v>
      </c>
      <c r="AI25" s="26"/>
      <c r="AJ25" s="50"/>
    </row>
    <row r="26" spans="1:38">
      <c r="U26" s="29"/>
      <c r="W26" s="24"/>
      <c r="Y26" s="24" t="str">
        <f t="shared" si="5"/>
        <v>F =</v>
      </c>
      <c r="Z26" s="24">
        <f t="shared" si="5"/>
        <v>2.0472191860768376</v>
      </c>
      <c r="AA26" s="24" t="str">
        <f>AG37</f>
        <v>D.F. = 1,</v>
      </c>
      <c r="AB26" s="24">
        <f>AH37</f>
        <v>42</v>
      </c>
      <c r="AC26" s="24"/>
      <c r="AD26" s="24"/>
      <c r="AE26" s="24"/>
      <c r="AF26" s="25"/>
      <c r="AG26" s="25"/>
      <c r="AH26" s="25"/>
      <c r="AI26" s="26"/>
      <c r="AJ26" s="50"/>
    </row>
    <row r="27" spans="1:38">
      <c r="U27" s="29"/>
      <c r="W27" s="24"/>
      <c r="Y27" s="24" t="str">
        <f t="shared" si="5"/>
        <v>p(F) =</v>
      </c>
      <c r="Z27" s="53">
        <f t="shared" si="5"/>
        <v>0.15988317364580695</v>
      </c>
      <c r="AA27" s="24"/>
      <c r="AB27" s="47" t="s">
        <v>128</v>
      </c>
      <c r="AC27" s="24"/>
      <c r="AD27" s="24"/>
      <c r="AE27" s="33" t="s">
        <v>72</v>
      </c>
      <c r="AF27" s="25"/>
      <c r="AG27" s="25"/>
      <c r="AH27" s="25"/>
      <c r="AI27" s="26"/>
      <c r="AJ27" s="52" t="s">
        <v>129</v>
      </c>
    </row>
    <row r="28" spans="1:38">
      <c r="N28" t="s">
        <v>98</v>
      </c>
      <c r="U28" s="29"/>
      <c r="W28" s="24"/>
      <c r="Y28" s="33" t="s">
        <v>80</v>
      </c>
      <c r="Z28" s="24"/>
      <c r="AA28" s="24"/>
      <c r="AB28" s="24"/>
      <c r="AC28" s="24"/>
      <c r="AD28" s="24"/>
      <c r="AE28" s="24" t="s">
        <v>68</v>
      </c>
      <c r="AF28" s="24" t="s">
        <v>73</v>
      </c>
      <c r="AG28" s="24" t="s">
        <v>23</v>
      </c>
      <c r="AH28" s="24" t="s">
        <v>24</v>
      </c>
      <c r="AI28" s="29" t="s">
        <v>70</v>
      </c>
      <c r="AJ28" s="50"/>
    </row>
    <row r="29" spans="1:38" ht="13.5" thickBot="1">
      <c r="U29" s="29"/>
      <c r="W29" s="24"/>
      <c r="Y29" s="24" t="str">
        <f t="shared" si="5"/>
        <v>F =</v>
      </c>
      <c r="Z29" s="24">
        <f t="shared" si="5"/>
        <v>1.0110302778243734</v>
      </c>
      <c r="AA29" s="24" t="str">
        <f>AG40</f>
        <v>D.F. = 1,</v>
      </c>
      <c r="AB29" s="24">
        <f>AH40</f>
        <v>43</v>
      </c>
      <c r="AC29" s="24"/>
      <c r="AD29" s="24"/>
      <c r="AE29" s="24" t="s">
        <v>71</v>
      </c>
      <c r="AF29" s="24">
        <f>1</f>
        <v>1</v>
      </c>
      <c r="AG29" s="24">
        <f>AG31-AG30</f>
        <v>27.833609651658605</v>
      </c>
      <c r="AH29" s="24">
        <f>AG29/AF29</f>
        <v>27.833609651658605</v>
      </c>
      <c r="AI29" s="29">
        <f>AH29/AH30</f>
        <v>104.52391317562549</v>
      </c>
      <c r="AJ29" s="50"/>
    </row>
    <row r="30" spans="1:38">
      <c r="N30" s="10"/>
      <c r="O30" s="10" t="s">
        <v>9</v>
      </c>
      <c r="P30" s="10" t="s">
        <v>44</v>
      </c>
      <c r="U30" s="29"/>
      <c r="W30" s="24"/>
      <c r="Y30" s="24" t="str">
        <f t="shared" si="5"/>
        <v>p(F) =</v>
      </c>
      <c r="Z30" s="53">
        <f t="shared" si="5"/>
        <v>0.32028109371464802</v>
      </c>
      <c r="AA30" s="24"/>
      <c r="AB30" s="47" t="s">
        <v>130</v>
      </c>
      <c r="AC30" s="24"/>
      <c r="AD30" s="24"/>
      <c r="AE30" s="24" t="s">
        <v>19</v>
      </c>
      <c r="AF30" s="24">
        <f>AF31-AF29</f>
        <v>21</v>
      </c>
      <c r="AG30" s="24">
        <f>AG8-(AG9^2)/AG7</f>
        <v>5.592077304862471</v>
      </c>
      <c r="AH30" s="24">
        <f>AG30/AF30</f>
        <v>0.26628939546964148</v>
      </c>
      <c r="AI30" s="29">
        <f>FDIST(AI29,AF29,AF30)</f>
        <v>1.3133210330050239E-9</v>
      </c>
      <c r="AJ30" s="50"/>
    </row>
    <row r="31" spans="1:38">
      <c r="N31" s="5" t="s">
        <v>41</v>
      </c>
      <c r="O31" s="5">
        <v>11.566956521739131</v>
      </c>
      <c r="P31" s="5">
        <v>11.708730354012333</v>
      </c>
      <c r="U31" s="29"/>
      <c r="W31" s="24"/>
      <c r="Y31" s="33" t="s">
        <v>131</v>
      </c>
      <c r="Z31" s="24"/>
      <c r="AA31" s="24"/>
      <c r="AB31" s="24"/>
      <c r="AC31" s="24"/>
      <c r="AD31" s="24"/>
      <c r="AE31" s="24" t="s">
        <v>20</v>
      </c>
      <c r="AF31" s="24">
        <f>AG2-1</f>
        <v>22</v>
      </c>
      <c r="AG31" s="24">
        <f>AG8</f>
        <v>33.425686956521076</v>
      </c>
      <c r="AH31" s="24" t="s">
        <v>37</v>
      </c>
      <c r="AI31" s="26"/>
      <c r="AJ31" s="50"/>
    </row>
    <row r="32" spans="1:38">
      <c r="N32" s="5" t="s">
        <v>99</v>
      </c>
      <c r="O32" s="5">
        <v>1.5193494071145943</v>
      </c>
      <c r="P32" s="5">
        <v>1.5241264257439402</v>
      </c>
      <c r="U32" s="29"/>
      <c r="W32" s="24"/>
      <c r="Y32" s="24" t="s">
        <v>132</v>
      </c>
      <c r="Z32" s="53">
        <f t="shared" si="5"/>
        <v>0.16613719869777321</v>
      </c>
      <c r="AA32" s="24" t="str">
        <f>AG43</f>
        <v>V(d) =</v>
      </c>
      <c r="AB32" s="54">
        <f>AH43</f>
        <v>2.6651371621965458E-2</v>
      </c>
      <c r="AC32" s="47" t="s">
        <v>133</v>
      </c>
      <c r="AE32" s="24"/>
      <c r="AF32" s="24"/>
      <c r="AG32" s="24"/>
      <c r="AH32" s="24"/>
      <c r="AI32" s="26"/>
      <c r="AJ32" s="50"/>
    </row>
    <row r="33" spans="14:36">
      <c r="N33" s="5" t="s">
        <v>16</v>
      </c>
      <c r="O33" s="5">
        <v>23</v>
      </c>
      <c r="P33" s="5">
        <v>23</v>
      </c>
      <c r="U33" s="29"/>
      <c r="W33" s="24"/>
      <c r="Y33" s="24" t="str">
        <f t="shared" si="5"/>
        <v>t =</v>
      </c>
      <c r="Z33" s="54">
        <f t="shared" si="5"/>
        <v>1.0176703017371205</v>
      </c>
      <c r="AA33" s="24" t="str">
        <f>AG44</f>
        <v>df =</v>
      </c>
      <c r="AB33" s="24">
        <f>AH44</f>
        <v>42</v>
      </c>
      <c r="AC33" s="24"/>
      <c r="AD33" s="24"/>
      <c r="AE33" s="33" t="s">
        <v>74</v>
      </c>
      <c r="AF33" s="24"/>
      <c r="AG33" s="24"/>
      <c r="AH33" s="24"/>
      <c r="AI33" s="26"/>
      <c r="AJ33" s="50"/>
    </row>
    <row r="34" spans="14:36">
      <c r="N34" s="5" t="s">
        <v>100</v>
      </c>
      <c r="O34" s="5">
        <v>0.885698447572563</v>
      </c>
      <c r="P34" s="5"/>
      <c r="U34" s="29"/>
      <c r="W34" s="24"/>
      <c r="Y34" s="24" t="str">
        <f t="shared" si="5"/>
        <v>p(t) =</v>
      </c>
      <c r="Z34" s="53">
        <f t="shared" si="5"/>
        <v>0.15733066677837165</v>
      </c>
      <c r="AA34" s="31" t="str">
        <f>AG45</f>
        <v>(one-sided)</v>
      </c>
      <c r="AB34" s="24"/>
      <c r="AC34" s="47" t="s">
        <v>134</v>
      </c>
      <c r="AD34" s="24"/>
      <c r="AE34" s="24" t="s">
        <v>75</v>
      </c>
      <c r="AF34" s="31">
        <f>IF(AH24/AH30&lt;1,AH30/AH24,AH24/AH30)</f>
        <v>1.2883431347709084</v>
      </c>
      <c r="AG34" s="24" t="s">
        <v>76</v>
      </c>
      <c r="AH34" s="24">
        <f>IF(AH24/AH30&lt;1,AF30,AF24)</f>
        <v>21</v>
      </c>
      <c r="AI34" s="34">
        <f>IF(AH30/AH24&lt;1,AF30,AF24)</f>
        <v>21</v>
      </c>
      <c r="AJ34" s="50"/>
    </row>
    <row r="35" spans="14:36">
      <c r="N35" s="5" t="s">
        <v>101</v>
      </c>
      <c r="O35" s="5">
        <v>0</v>
      </c>
      <c r="P35" s="5"/>
      <c r="U35" s="29"/>
      <c r="W35" s="24"/>
      <c r="Y35" s="55" t="s">
        <v>135</v>
      </c>
      <c r="Z35" s="24"/>
      <c r="AA35" s="24"/>
      <c r="AB35" s="24"/>
      <c r="AC35" s="56">
        <v>90</v>
      </c>
      <c r="AD35" s="47" t="s">
        <v>136</v>
      </c>
      <c r="AE35" s="35" t="s">
        <v>77</v>
      </c>
      <c r="AF35" s="30">
        <f>FDIST(AF34,AH34,AI34)</f>
        <v>0.28335910745856147</v>
      </c>
      <c r="AG35" s="24"/>
      <c r="AH35" s="24"/>
      <c r="AI35" s="26"/>
      <c r="AJ35" s="52" t="s">
        <v>137</v>
      </c>
    </row>
    <row r="36" spans="14:36">
      <c r="N36" s="5" t="s">
        <v>22</v>
      </c>
      <c r="O36" s="5">
        <v>22</v>
      </c>
      <c r="P36" s="5"/>
      <c r="U36" s="29"/>
      <c r="W36" s="24"/>
      <c r="Y36" s="24" t="str">
        <f t="shared" si="5"/>
        <v>Conf. interval ±</v>
      </c>
      <c r="Z36" s="53">
        <f>AG47</f>
        <v>0.27458289048603313</v>
      </c>
      <c r="AA36" s="31" t="str">
        <f>AH47</f>
        <v>(2-sided)</v>
      </c>
      <c r="AC36" s="47" t="s">
        <v>138</v>
      </c>
      <c r="AD36" s="24"/>
      <c r="AE36" s="33" t="s">
        <v>78</v>
      </c>
      <c r="AF36" s="25"/>
      <c r="AG36" s="25"/>
      <c r="AH36" s="25"/>
      <c r="AI36" s="26"/>
      <c r="AJ36" s="48" t="s">
        <v>139</v>
      </c>
    </row>
    <row r="37" spans="14:36">
      <c r="N37" s="5" t="s">
        <v>28</v>
      </c>
      <c r="O37" s="5">
        <v>-1.15278132145721</v>
      </c>
      <c r="P37" s="5"/>
      <c r="U37" s="29"/>
      <c r="W37" s="24"/>
      <c r="Y37" s="24" t="str">
        <f t="shared" si="5"/>
        <v>Lower conf. limit</v>
      </c>
      <c r="Z37" s="53">
        <f>AG48</f>
        <v>-4.6423321223413555E-2</v>
      </c>
      <c r="AA37" s="31" t="str">
        <f>AH48</f>
        <v>(1-sided)</v>
      </c>
      <c r="AC37" s="47" t="s">
        <v>140</v>
      </c>
      <c r="AD37" s="24"/>
      <c r="AE37" s="24" t="s">
        <v>75</v>
      </c>
      <c r="AF37" s="31">
        <f>((AI8-(AI9^2)/AI7)-AG24-AG30)/((AG24+AG30)/(AF24+AF30))</f>
        <v>2.0472191860768376</v>
      </c>
      <c r="AG37" s="24" t="s">
        <v>79</v>
      </c>
      <c r="AH37" s="31">
        <f>AF30+AF24</f>
        <v>42</v>
      </c>
      <c r="AI37" s="26"/>
      <c r="AJ37" s="50"/>
    </row>
    <row r="38" spans="14:36">
      <c r="N38" s="5" t="s">
        <v>102</v>
      </c>
      <c r="O38" s="5">
        <v>0.13068617974874014</v>
      </c>
      <c r="P38" s="5"/>
      <c r="U38" s="29"/>
      <c r="W38" s="24"/>
      <c r="Y38" s="24"/>
      <c r="Z38" s="24"/>
      <c r="AA38" s="24"/>
      <c r="AB38" s="24"/>
      <c r="AC38" s="24"/>
      <c r="AD38" s="24"/>
      <c r="AE38" s="35" t="s">
        <v>77</v>
      </c>
      <c r="AF38" s="30">
        <f>FDIST(AF37,1,AH37)</f>
        <v>0.15988317364580695</v>
      </c>
      <c r="AG38" s="24"/>
      <c r="AH38" s="31"/>
      <c r="AI38" s="26"/>
      <c r="AJ38" s="52" t="s">
        <v>137</v>
      </c>
    </row>
    <row r="39" spans="14:36">
      <c r="N39" s="5" t="s">
        <v>103</v>
      </c>
      <c r="O39" s="5">
        <v>1.7171443354398259</v>
      </c>
      <c r="P39" s="5"/>
      <c r="U39" s="29"/>
      <c r="W39" s="24"/>
      <c r="Y39" s="24"/>
      <c r="Z39" s="24"/>
      <c r="AA39" s="24"/>
      <c r="AB39" s="24"/>
      <c r="AC39" s="24"/>
      <c r="AD39" s="24"/>
      <c r="AE39" s="33" t="s">
        <v>80</v>
      </c>
      <c r="AF39" s="31"/>
      <c r="AG39" s="25"/>
      <c r="AH39" s="25"/>
      <c r="AI39" s="26"/>
      <c r="AJ39" s="48" t="s">
        <v>141</v>
      </c>
    </row>
    <row r="40" spans="14:36">
      <c r="N40" s="5" t="s">
        <v>104</v>
      </c>
      <c r="O40" s="5">
        <v>0.26137235949748028</v>
      </c>
      <c r="P40" s="5"/>
      <c r="U40" s="29"/>
      <c r="W40" s="24"/>
      <c r="Y40" s="24"/>
      <c r="Z40" s="24"/>
      <c r="AA40" s="24"/>
      <c r="AB40" s="24"/>
      <c r="AC40" s="24"/>
      <c r="AD40" s="24"/>
      <c r="AE40" s="24" t="s">
        <v>75</v>
      </c>
      <c r="AF40" s="31">
        <f>((AH8-(AH9^2)/AH7)-(AI8-(AI9^2)/AI7))/(((AI8-(AI9^2)/AI7)/(AH2-3)))</f>
        <v>1.0110302778243734</v>
      </c>
      <c r="AG40" s="24" t="s">
        <v>79</v>
      </c>
      <c r="AH40" s="31">
        <f>AF30+AF24+1</f>
        <v>43</v>
      </c>
      <c r="AI40" s="26"/>
      <c r="AJ40" s="50"/>
    </row>
    <row r="41" spans="14:36" ht="13.5" thickBot="1">
      <c r="N41" s="9" t="s">
        <v>105</v>
      </c>
      <c r="O41" s="9">
        <v>2.0738730583156064</v>
      </c>
      <c r="P41" s="9"/>
      <c r="U41" s="29"/>
      <c r="W41" s="24"/>
      <c r="Y41" s="24"/>
      <c r="Z41" s="24"/>
      <c r="AA41" s="24"/>
      <c r="AB41" s="24"/>
      <c r="AC41" s="24"/>
      <c r="AD41" s="24"/>
      <c r="AE41" s="35" t="s">
        <v>77</v>
      </c>
      <c r="AF41" s="30">
        <f>FDIST(AF40,1,AH40)</f>
        <v>0.32028109371464802</v>
      </c>
      <c r="AG41" s="24"/>
      <c r="AH41" s="31"/>
      <c r="AI41" s="26"/>
      <c r="AJ41" s="52" t="s">
        <v>142</v>
      </c>
    </row>
    <row r="42" spans="14:36">
      <c r="U42" s="29"/>
      <c r="W42" s="24"/>
      <c r="Y42" s="24"/>
      <c r="Z42" s="24"/>
      <c r="AA42" s="24"/>
      <c r="AB42" s="24"/>
      <c r="AC42" s="24"/>
      <c r="AD42" s="24"/>
      <c r="AE42" s="33" t="s">
        <v>89</v>
      </c>
      <c r="AF42" s="25"/>
      <c r="AG42" s="25"/>
      <c r="AH42" s="25"/>
      <c r="AI42" s="26"/>
      <c r="AJ42" s="52" t="s">
        <v>143</v>
      </c>
    </row>
    <row r="43" spans="14:36">
      <c r="N43" t="s">
        <v>98</v>
      </c>
      <c r="U43" s="29"/>
      <c r="W43" s="24"/>
      <c r="Y43" s="24"/>
      <c r="Z43" s="24"/>
      <c r="AA43" s="24"/>
      <c r="AB43" s="24"/>
      <c r="AC43" s="24"/>
      <c r="AD43" s="24"/>
      <c r="AE43" s="35" t="s">
        <v>81</v>
      </c>
      <c r="AF43" s="30">
        <f>AF6-AG6-AI14*(AF4-AG4)</f>
        <v>0.16613719869777321</v>
      </c>
      <c r="AG43" s="24" t="s">
        <v>82</v>
      </c>
      <c r="AH43" s="31">
        <f>AI10*(1/AF2+1/AG2+((AF4-AG4)^2)/(AF7+AG7))</f>
        <v>2.6651371621965458E-2</v>
      </c>
      <c r="AI43" s="26"/>
      <c r="AJ43" s="48" t="s">
        <v>144</v>
      </c>
    </row>
    <row r="44" spans="14:36" ht="13.5" thickBot="1">
      <c r="U44" s="29"/>
      <c r="W44" s="24"/>
      <c r="Y44" s="24"/>
      <c r="Z44" s="24"/>
      <c r="AA44" s="24"/>
      <c r="AB44" s="24"/>
      <c r="AC44" s="24"/>
      <c r="AD44" s="24"/>
      <c r="AE44" s="24" t="s">
        <v>83</v>
      </c>
      <c r="AF44" s="31">
        <f>AF43/SQRT(AH43)</f>
        <v>1.0176703017371205</v>
      </c>
      <c r="AG44" s="24" t="s">
        <v>84</v>
      </c>
      <c r="AH44" s="31">
        <f>AF2+AG2-4</f>
        <v>42</v>
      </c>
      <c r="AI44" s="26"/>
      <c r="AJ44" s="50"/>
    </row>
    <row r="45" spans="14:36">
      <c r="N45" s="10"/>
      <c r="O45" s="10" t="s">
        <v>44</v>
      </c>
      <c r="P45" s="10" t="s">
        <v>45</v>
      </c>
      <c r="U45" s="29"/>
      <c r="W45" s="24"/>
      <c r="Y45" s="24"/>
      <c r="Z45" s="24"/>
      <c r="AA45" s="24"/>
      <c r="AB45" s="24"/>
      <c r="AC45" s="24"/>
      <c r="AD45" s="24"/>
      <c r="AE45" s="35" t="s">
        <v>85</v>
      </c>
      <c r="AF45" s="30">
        <f>TDIST(ABS(AF44),AH44,1)</f>
        <v>0.15733066677837165</v>
      </c>
      <c r="AG45" s="25" t="s">
        <v>86</v>
      </c>
      <c r="AH45" s="25"/>
      <c r="AI45" s="26"/>
      <c r="AJ45" s="52" t="s">
        <v>145</v>
      </c>
    </row>
    <row r="46" spans="14:36">
      <c r="N46" s="5" t="s">
        <v>41</v>
      </c>
      <c r="O46" s="5">
        <v>11.708730354012333</v>
      </c>
      <c r="P46" s="5">
        <v>11.834557378472899</v>
      </c>
      <c r="U46" s="29"/>
      <c r="W46" s="24"/>
      <c r="Y46" s="24"/>
      <c r="Z46" s="24"/>
      <c r="AA46" s="24"/>
      <c r="AB46" s="24"/>
      <c r="AC46" s="24"/>
      <c r="AD46" s="24"/>
      <c r="AE46" s="30" t="s">
        <v>87</v>
      </c>
      <c r="AF46" s="36"/>
      <c r="AG46" s="37"/>
      <c r="AH46" s="37"/>
      <c r="AI46" s="56">
        <f>AC35</f>
        <v>90</v>
      </c>
      <c r="AJ46" s="57" t="s">
        <v>146</v>
      </c>
    </row>
    <row r="47" spans="14:36">
      <c r="N47" s="5" t="s">
        <v>99</v>
      </c>
      <c r="O47" s="5">
        <v>1.5241264257439402</v>
      </c>
      <c r="P47" s="5">
        <v>1.0496250597304466</v>
      </c>
      <c r="U47" s="29"/>
      <c r="W47" s="24"/>
      <c r="Y47" s="24"/>
      <c r="Z47" s="24"/>
      <c r="AA47" s="24"/>
      <c r="AB47" s="24"/>
      <c r="AC47" s="24"/>
      <c r="AD47" s="24"/>
      <c r="AE47" s="30" t="s">
        <v>97</v>
      </c>
      <c r="AF47" s="36"/>
      <c r="AG47" s="38">
        <f>TINV((100-AI46)/100,AH44)*SQRT(AH43)</f>
        <v>0.27458289048603313</v>
      </c>
      <c r="AH47" s="25" t="s">
        <v>90</v>
      </c>
      <c r="AI47" s="25"/>
      <c r="AJ47" s="57" t="s">
        <v>147</v>
      </c>
    </row>
    <row r="48" spans="14:36">
      <c r="N48" s="5" t="s">
        <v>16</v>
      </c>
      <c r="O48" s="5">
        <v>23</v>
      </c>
      <c r="P48" s="5">
        <v>23</v>
      </c>
      <c r="U48" s="29"/>
      <c r="W48" s="24"/>
      <c r="Y48" s="24"/>
      <c r="Z48" s="24"/>
      <c r="AA48" s="24"/>
      <c r="AB48" s="24"/>
      <c r="AC48" s="24"/>
      <c r="AD48" s="24"/>
      <c r="AE48" s="30" t="s">
        <v>88</v>
      </c>
      <c r="AF48" s="36"/>
      <c r="AG48" s="38">
        <f>AF43-TINV(2*(100-AI46)/100,AH44)*SQRT(AH43)</f>
        <v>-4.6423321223413555E-2</v>
      </c>
      <c r="AH48" s="25" t="s">
        <v>91</v>
      </c>
      <c r="AI48" s="25"/>
      <c r="AJ48" s="57" t="s">
        <v>148</v>
      </c>
    </row>
    <row r="49" spans="14:36">
      <c r="N49" s="5" t="s">
        <v>100</v>
      </c>
      <c r="O49" s="5">
        <v>0.92726036252240351</v>
      </c>
      <c r="P49" s="5"/>
      <c r="U49" s="29"/>
      <c r="W49" s="24"/>
      <c r="Y49" s="24"/>
      <c r="Z49" s="24"/>
      <c r="AA49" s="24"/>
      <c r="AB49" s="24"/>
      <c r="AC49" s="24"/>
      <c r="AD49" s="24"/>
      <c r="AE49" s="24"/>
      <c r="AF49" s="25"/>
      <c r="AG49" s="25"/>
      <c r="AH49" s="25"/>
      <c r="AI49" s="25"/>
      <c r="AJ49" s="25"/>
    </row>
    <row r="50" spans="14:36">
      <c r="N50" s="5" t="s">
        <v>101</v>
      </c>
      <c r="O50" s="5">
        <v>0</v>
      </c>
      <c r="P50" s="5"/>
      <c r="U50" s="29"/>
      <c r="W50" s="24"/>
      <c r="Y50" s="24"/>
      <c r="Z50" s="24"/>
      <c r="AA50" s="24"/>
      <c r="AB50" s="24"/>
      <c r="AC50" s="24"/>
      <c r="AD50" s="24"/>
      <c r="AE50" s="24"/>
      <c r="AF50" s="25"/>
      <c r="AG50" s="25"/>
      <c r="AH50" s="25"/>
      <c r="AI50" s="25"/>
      <c r="AJ50" s="25"/>
    </row>
    <row r="51" spans="14:36">
      <c r="N51" s="5" t="s">
        <v>22</v>
      </c>
      <c r="O51" s="5">
        <v>22</v>
      </c>
      <c r="P51" s="5"/>
      <c r="U51" s="29"/>
      <c r="W51" s="24"/>
      <c r="Y51" s="24"/>
      <c r="Z51" s="24"/>
      <c r="AA51" s="24"/>
      <c r="AB51" s="24"/>
      <c r="AC51" s="24"/>
      <c r="AD51" s="24"/>
      <c r="AE51" s="24"/>
      <c r="AF51" s="25"/>
      <c r="AG51" s="25"/>
      <c r="AH51" s="25"/>
      <c r="AI51" s="25"/>
      <c r="AJ51" s="25"/>
    </row>
    <row r="52" spans="14:36">
      <c r="N52" s="5" t="s">
        <v>28</v>
      </c>
      <c r="O52" s="5">
        <v>-1.2634370124157939</v>
      </c>
      <c r="P52" s="5"/>
      <c r="U52" s="29"/>
      <c r="W52" s="24"/>
      <c r="Y52" s="24"/>
      <c r="Z52" s="24"/>
      <c r="AA52" s="24"/>
      <c r="AB52" s="24"/>
      <c r="AC52" s="24"/>
      <c r="AD52" s="24"/>
      <c r="AE52" s="24"/>
      <c r="AF52" s="25"/>
      <c r="AG52" s="25"/>
      <c r="AH52" s="25"/>
      <c r="AI52" s="25"/>
      <c r="AJ52" s="25"/>
    </row>
    <row r="53" spans="14:36">
      <c r="N53" s="5" t="s">
        <v>102</v>
      </c>
      <c r="O53" s="5">
        <v>0.1098287825317234</v>
      </c>
      <c r="P53" s="5"/>
      <c r="U53" s="29"/>
      <c r="W53" s="24"/>
      <c r="Y53" s="24"/>
      <c r="Z53" s="24"/>
      <c r="AA53" s="24"/>
      <c r="AB53" s="24"/>
      <c r="AC53" s="24"/>
      <c r="AD53" s="24"/>
      <c r="AE53" s="24"/>
      <c r="AF53" s="25"/>
      <c r="AG53" s="25"/>
      <c r="AH53" s="25"/>
      <c r="AI53" s="25"/>
      <c r="AJ53" s="25"/>
    </row>
    <row r="54" spans="14:36">
      <c r="N54" s="5" t="s">
        <v>103</v>
      </c>
      <c r="O54" s="5">
        <v>1.7171443354398259</v>
      </c>
      <c r="P54" s="5"/>
      <c r="U54" s="29"/>
      <c r="W54" s="24"/>
      <c r="Y54" s="24"/>
      <c r="Z54" s="24"/>
      <c r="AA54" s="24"/>
      <c r="AB54" s="24"/>
      <c r="AC54" s="24"/>
      <c r="AD54" s="24"/>
      <c r="AE54" s="24"/>
      <c r="AF54" s="25"/>
      <c r="AG54" s="25"/>
      <c r="AH54" s="25"/>
      <c r="AI54" s="25"/>
      <c r="AJ54" s="25"/>
    </row>
    <row r="55" spans="14:36">
      <c r="N55" s="5" t="s">
        <v>104</v>
      </c>
      <c r="O55" s="5">
        <v>0.2196575650634468</v>
      </c>
      <c r="P55" s="5"/>
      <c r="U55" s="29"/>
      <c r="W55" s="24"/>
      <c r="Y55" s="24"/>
      <c r="Z55" s="24"/>
      <c r="AA55" s="24"/>
      <c r="AB55" s="24"/>
      <c r="AC55" s="24"/>
      <c r="AD55" s="24"/>
      <c r="AE55" s="24"/>
      <c r="AF55" s="25"/>
      <c r="AG55" s="25"/>
      <c r="AH55" s="25"/>
      <c r="AI55" s="25"/>
      <c r="AJ55" s="25"/>
    </row>
    <row r="56" spans="14:36" ht="13.5" thickBot="1">
      <c r="N56" s="9" t="s">
        <v>105</v>
      </c>
      <c r="O56" s="9">
        <v>2.0738730583156064</v>
      </c>
      <c r="P56" s="9"/>
      <c r="U56" s="29"/>
      <c r="W56" s="24"/>
      <c r="Y56" s="24"/>
      <c r="Z56" s="24"/>
      <c r="AA56" s="24"/>
      <c r="AB56" s="24"/>
      <c r="AC56" s="24"/>
      <c r="AD56" s="24"/>
      <c r="AE56" s="24"/>
      <c r="AF56" s="25"/>
      <c r="AG56" s="25"/>
      <c r="AH56" s="25"/>
      <c r="AI56" s="25"/>
      <c r="AJ56" s="25"/>
    </row>
    <row r="57" spans="14:36">
      <c r="U57" s="29"/>
      <c r="W57" s="24"/>
      <c r="Y57" s="24"/>
      <c r="Z57" s="24"/>
      <c r="AA57" s="24"/>
      <c r="AB57" s="24"/>
      <c r="AC57" s="24"/>
      <c r="AD57" s="24"/>
      <c r="AE57" s="24"/>
      <c r="AF57" s="25"/>
      <c r="AG57" s="25"/>
      <c r="AH57" s="25"/>
      <c r="AI57" s="25"/>
      <c r="AJ57" s="25"/>
    </row>
    <row r="58" spans="14:36">
      <c r="N58" t="s">
        <v>98</v>
      </c>
      <c r="AE58" s="24"/>
      <c r="AF58" s="25"/>
      <c r="AG58" s="25"/>
      <c r="AH58" s="25"/>
      <c r="AI58" s="25"/>
      <c r="AJ58" s="25"/>
    </row>
    <row r="59" spans="14:36" ht="13.5" thickBot="1">
      <c r="AE59" s="24"/>
      <c r="AF59" s="25"/>
      <c r="AG59" s="25"/>
      <c r="AH59" s="25"/>
      <c r="AI59" s="25"/>
      <c r="AJ59" s="25"/>
    </row>
    <row r="60" spans="14:36">
      <c r="N60" s="10"/>
      <c r="O60" s="10" t="s">
        <v>44</v>
      </c>
      <c r="P60" s="10" t="s">
        <v>45</v>
      </c>
      <c r="AE60" s="24"/>
      <c r="AF60" s="25"/>
      <c r="AG60" s="25"/>
      <c r="AH60" s="25"/>
      <c r="AI60" s="25"/>
      <c r="AJ60" s="25"/>
    </row>
    <row r="61" spans="14:36">
      <c r="N61" s="5" t="s">
        <v>41</v>
      </c>
      <c r="O61" s="5">
        <v>11.663530354012336</v>
      </c>
      <c r="P61" s="5">
        <v>11.834557378472899</v>
      </c>
      <c r="AE61" s="24"/>
      <c r="AF61" s="25"/>
      <c r="AG61" s="25"/>
      <c r="AH61" s="25"/>
      <c r="AI61" s="25"/>
      <c r="AJ61" s="25"/>
    </row>
    <row r="62" spans="14:36">
      <c r="N62" s="5" t="s">
        <v>99</v>
      </c>
      <c r="O62" s="5">
        <v>1.5241264257438367</v>
      </c>
      <c r="P62" s="5">
        <v>1.0496250597304466</v>
      </c>
      <c r="AE62" s="24"/>
      <c r="AF62" s="25"/>
      <c r="AG62" s="25"/>
      <c r="AH62" s="25"/>
      <c r="AI62" s="25"/>
      <c r="AJ62" s="25"/>
    </row>
    <row r="63" spans="14:36">
      <c r="N63" s="5" t="s">
        <v>16</v>
      </c>
      <c r="O63" s="5">
        <v>23</v>
      </c>
      <c r="P63" s="5">
        <v>23</v>
      </c>
      <c r="AE63" s="24"/>
      <c r="AF63" s="25"/>
      <c r="AG63" s="25"/>
      <c r="AH63" s="25"/>
      <c r="AI63" s="25"/>
      <c r="AJ63" s="25"/>
    </row>
    <row r="64" spans="14:36">
      <c r="N64" s="5" t="s">
        <v>100</v>
      </c>
      <c r="O64" s="5">
        <v>0.92726036252240396</v>
      </c>
      <c r="P64" s="5"/>
      <c r="AE64" s="24"/>
      <c r="AF64" s="25"/>
      <c r="AG64" s="25"/>
      <c r="AH64" s="25"/>
      <c r="AI64" s="25"/>
      <c r="AJ64" s="25"/>
    </row>
    <row r="65" spans="14:36">
      <c r="N65" s="5" t="s">
        <v>101</v>
      </c>
      <c r="O65" s="5">
        <v>0</v>
      </c>
      <c r="P65" s="5"/>
      <c r="AE65" s="24"/>
      <c r="AF65" s="25"/>
      <c r="AG65" s="25"/>
      <c r="AH65" s="25"/>
      <c r="AI65" s="25"/>
      <c r="AJ65" s="25"/>
    </row>
    <row r="66" spans="14:36">
      <c r="N66" s="5" t="s">
        <v>22</v>
      </c>
      <c r="O66" s="5">
        <v>22</v>
      </c>
      <c r="P66" s="5"/>
      <c r="AE66" s="24"/>
      <c r="AF66" s="25"/>
      <c r="AG66" s="25"/>
      <c r="AH66" s="25"/>
      <c r="AI66" s="25"/>
      <c r="AJ66" s="25"/>
    </row>
    <row r="67" spans="14:36">
      <c r="N67" s="5" t="s">
        <v>28</v>
      </c>
      <c r="O67" s="5">
        <v>-1.7172930358417613</v>
      </c>
      <c r="P67" s="5"/>
      <c r="AE67" s="24"/>
      <c r="AF67" s="25"/>
      <c r="AG67" s="25"/>
      <c r="AH67" s="25"/>
      <c r="AI67" s="25"/>
      <c r="AJ67" s="25"/>
    </row>
    <row r="68" spans="14:36">
      <c r="N68" s="5" t="s">
        <v>102</v>
      </c>
      <c r="O68" s="5">
        <v>4.9986193923782785E-2</v>
      </c>
      <c r="P68" s="5"/>
      <c r="AE68" s="24"/>
      <c r="AF68" s="25"/>
      <c r="AG68" s="25"/>
      <c r="AH68" s="25"/>
      <c r="AI68" s="25"/>
      <c r="AJ68" s="25"/>
    </row>
    <row r="69" spans="14:36">
      <c r="N69" s="5" t="s">
        <v>103</v>
      </c>
      <c r="O69" s="5">
        <v>1.7171443354398259</v>
      </c>
      <c r="P69" s="5"/>
      <c r="AE69" s="24"/>
      <c r="AF69" s="25"/>
      <c r="AG69" s="25"/>
      <c r="AH69" s="25"/>
      <c r="AI69" s="25"/>
      <c r="AJ69" s="25"/>
    </row>
    <row r="70" spans="14:36">
      <c r="N70" s="5" t="s">
        <v>104</v>
      </c>
      <c r="O70" s="5">
        <v>9.9972387847565569E-2</v>
      </c>
      <c r="P70" s="5"/>
      <c r="AE70" s="24"/>
      <c r="AF70" s="25"/>
      <c r="AG70" s="25"/>
      <c r="AH70" s="25"/>
      <c r="AI70" s="25"/>
      <c r="AJ70" s="25"/>
    </row>
    <row r="71" spans="14:36" ht="13.5" thickBot="1">
      <c r="N71" s="9" t="s">
        <v>105</v>
      </c>
      <c r="O71" s="9">
        <v>2.0738730583156064</v>
      </c>
      <c r="P71" s="9"/>
      <c r="AE71" s="24"/>
      <c r="AF71" s="25"/>
      <c r="AG71" s="25"/>
      <c r="AH71" s="25"/>
      <c r="AI71" s="25"/>
      <c r="AJ71" s="25"/>
    </row>
    <row r="72" spans="14:36">
      <c r="AE72" s="24"/>
      <c r="AF72" s="25"/>
      <c r="AG72" s="25"/>
      <c r="AH72" s="25"/>
      <c r="AI72" s="25"/>
      <c r="AJ72" s="25"/>
    </row>
    <row r="73" spans="14:36">
      <c r="AE73" s="24"/>
      <c r="AF73" s="25"/>
      <c r="AG73" s="25"/>
      <c r="AH73" s="25"/>
      <c r="AI73" s="25"/>
      <c r="AJ73" s="25"/>
    </row>
    <row r="74" spans="14:36">
      <c r="AE74" s="24"/>
      <c r="AF74" s="25"/>
      <c r="AG74" s="25"/>
      <c r="AH74" s="25"/>
      <c r="AI74" s="25"/>
      <c r="AJ74" s="25"/>
    </row>
    <row r="75" spans="14:36">
      <c r="AE75" s="24"/>
      <c r="AF75" s="25"/>
      <c r="AG75" s="25"/>
      <c r="AH75" s="25"/>
      <c r="AI75" s="25"/>
      <c r="AJ75" s="25"/>
    </row>
    <row r="76" spans="14:36">
      <c r="AE76" s="24"/>
      <c r="AF76" s="25"/>
      <c r="AG76" s="25"/>
      <c r="AH76" s="25"/>
      <c r="AI76" s="25"/>
      <c r="AJ76" s="25"/>
    </row>
    <row r="77" spans="14:36">
      <c r="AE77" s="24"/>
      <c r="AF77" s="25"/>
      <c r="AG77" s="25"/>
      <c r="AH77" s="25"/>
      <c r="AI77" s="25"/>
      <c r="AJ77" s="25"/>
    </row>
    <row r="78" spans="14:36">
      <c r="AE78" s="24"/>
      <c r="AF78" s="25"/>
      <c r="AG78" s="25"/>
      <c r="AH78" s="25"/>
      <c r="AI78" s="25"/>
      <c r="AJ78" s="25"/>
    </row>
    <row r="79" spans="14:36">
      <c r="AE79" s="24"/>
      <c r="AF79" s="25"/>
      <c r="AG79" s="25"/>
      <c r="AH79" s="25"/>
      <c r="AI79" s="25"/>
      <c r="AJ79" s="25"/>
    </row>
    <row r="80" spans="14:36">
      <c r="AE80" s="24"/>
      <c r="AF80" s="25"/>
      <c r="AG80" s="25"/>
      <c r="AH80" s="25"/>
      <c r="AI80" s="25"/>
      <c r="AJ80" s="25"/>
    </row>
    <row r="81" spans="31:36">
      <c r="AE81" s="24"/>
      <c r="AF81" s="25"/>
      <c r="AG81" s="25"/>
      <c r="AH81" s="25"/>
      <c r="AI81" s="25"/>
      <c r="AJ81" s="25"/>
    </row>
    <row r="82" spans="31:36">
      <c r="AE82" s="24"/>
      <c r="AF82" s="25"/>
      <c r="AG82" s="25"/>
      <c r="AH82" s="25"/>
      <c r="AI82" s="25"/>
      <c r="AJ82" s="25"/>
    </row>
    <row r="83" spans="31:36">
      <c r="AE83" s="24"/>
      <c r="AF83" s="25"/>
      <c r="AG83" s="25"/>
      <c r="AH83" s="25"/>
      <c r="AI83" s="25"/>
      <c r="AJ83" s="25"/>
    </row>
    <row r="84" spans="31:36">
      <c r="AE84" s="24"/>
      <c r="AF84" s="25"/>
      <c r="AG84" s="25"/>
      <c r="AH84" s="25"/>
      <c r="AI84" s="25"/>
      <c r="AJ84" s="25"/>
    </row>
    <row r="85" spans="31:36">
      <c r="AE85" s="24"/>
      <c r="AF85" s="25"/>
      <c r="AG85" s="25"/>
      <c r="AH85" s="25"/>
      <c r="AI85" s="25"/>
      <c r="AJ85" s="25"/>
    </row>
    <row r="86" spans="31:36">
      <c r="AE86" s="24"/>
      <c r="AF86" s="25"/>
      <c r="AG86" s="25"/>
      <c r="AH86" s="25"/>
      <c r="AI86" s="25"/>
      <c r="AJ86" s="25"/>
    </row>
    <row r="87" spans="31:36">
      <c r="AE87" s="24"/>
      <c r="AF87" s="25"/>
      <c r="AG87" s="25"/>
      <c r="AH87" s="25"/>
      <c r="AI87" s="25"/>
      <c r="AJ87" s="25"/>
    </row>
    <row r="88" spans="31:36">
      <c r="AE88" s="24"/>
      <c r="AF88" s="25"/>
      <c r="AG88" s="25"/>
      <c r="AH88" s="25"/>
      <c r="AI88" s="25"/>
      <c r="AJ88" s="25"/>
    </row>
    <row r="89" spans="31:36">
      <c r="AE89" s="24"/>
      <c r="AF89" s="25"/>
      <c r="AG89" s="25"/>
      <c r="AH89" s="25"/>
      <c r="AI89" s="25"/>
      <c r="AJ89" s="25"/>
    </row>
    <row r="90" spans="31:36">
      <c r="AE90" s="24"/>
      <c r="AF90" s="25"/>
      <c r="AG90" s="25"/>
      <c r="AH90" s="25"/>
      <c r="AI90" s="25"/>
      <c r="AJ90" s="25"/>
    </row>
    <row r="91" spans="31:36">
      <c r="AE91" s="24"/>
      <c r="AF91" s="25"/>
      <c r="AG91" s="25"/>
      <c r="AH91" s="25"/>
      <c r="AI91" s="25"/>
      <c r="AJ91" s="25"/>
    </row>
    <row r="92" spans="31:36">
      <c r="AE92" s="24"/>
      <c r="AF92" s="25"/>
      <c r="AG92" s="25"/>
      <c r="AH92" s="25"/>
      <c r="AI92" s="25"/>
      <c r="AJ92" s="25"/>
    </row>
    <row r="93" spans="31:36">
      <c r="AE93" s="24"/>
      <c r="AF93" s="25"/>
      <c r="AG93" s="25"/>
      <c r="AH93" s="25"/>
      <c r="AI93" s="25"/>
      <c r="AJ93" s="25"/>
    </row>
    <row r="94" spans="31:36">
      <c r="AE94" s="24"/>
      <c r="AF94" s="25"/>
      <c r="AG94" s="25"/>
      <c r="AH94" s="25"/>
      <c r="AI94" s="25"/>
      <c r="AJ94" s="25"/>
    </row>
    <row r="95" spans="31:36">
      <c r="AE95" s="24"/>
      <c r="AF95" s="25"/>
      <c r="AG95" s="25"/>
      <c r="AH95" s="25"/>
      <c r="AI95" s="25"/>
      <c r="AJ95" s="25"/>
    </row>
    <row r="96" spans="31:36">
      <c r="AE96" s="24"/>
      <c r="AF96" s="25"/>
      <c r="AG96" s="25"/>
      <c r="AH96" s="25"/>
      <c r="AI96" s="25"/>
      <c r="AJ96" s="25"/>
    </row>
    <row r="97" spans="31:36">
      <c r="AE97" s="24"/>
      <c r="AF97" s="25"/>
      <c r="AG97" s="25"/>
      <c r="AH97" s="25"/>
      <c r="AI97" s="25"/>
      <c r="AJ97" s="25"/>
    </row>
    <row r="98" spans="31:36">
      <c r="AE98" s="24"/>
      <c r="AF98" s="25"/>
      <c r="AG98" s="25"/>
      <c r="AH98" s="25"/>
      <c r="AI98" s="25"/>
      <c r="AJ98" s="25"/>
    </row>
    <row r="99" spans="31:36">
      <c r="AE99" s="24"/>
      <c r="AF99" s="25"/>
      <c r="AG99" s="25"/>
      <c r="AH99" s="25"/>
      <c r="AI99" s="25"/>
      <c r="AJ99" s="25"/>
    </row>
    <row r="100" spans="31:36">
      <c r="AE100" s="24"/>
      <c r="AF100" s="25"/>
      <c r="AG100" s="25"/>
      <c r="AH100" s="25"/>
      <c r="AI100" s="25"/>
      <c r="AJ100" s="25"/>
    </row>
    <row r="101" spans="31:36">
      <c r="AE101" s="24"/>
      <c r="AF101" s="25"/>
      <c r="AG101" s="25"/>
      <c r="AH101" s="25"/>
      <c r="AI101" s="25"/>
      <c r="AJ101" s="25"/>
    </row>
    <row r="102" spans="31:36">
      <c r="AE102" s="24"/>
      <c r="AF102" s="25"/>
      <c r="AG102" s="25"/>
      <c r="AH102" s="25"/>
      <c r="AI102" s="25"/>
      <c r="AJ102" s="25"/>
    </row>
    <row r="103" spans="31:36">
      <c r="AE103" s="24"/>
      <c r="AF103" s="25"/>
      <c r="AG103" s="25"/>
      <c r="AH103" s="25"/>
      <c r="AI103" s="25"/>
      <c r="AJ103" s="25"/>
    </row>
    <row r="104" spans="31:36">
      <c r="AE104" s="24"/>
      <c r="AF104" s="25"/>
      <c r="AG104" s="25"/>
      <c r="AH104" s="25"/>
      <c r="AI104" s="25"/>
      <c r="AJ104" s="25"/>
    </row>
    <row r="105" spans="31:36">
      <c r="AE105" s="24"/>
      <c r="AF105" s="25"/>
      <c r="AG105" s="25"/>
      <c r="AH105" s="25"/>
      <c r="AI105" s="25"/>
      <c r="AJ105" s="25"/>
    </row>
    <row r="106" spans="31:36">
      <c r="AE106" s="24"/>
      <c r="AF106" s="25"/>
      <c r="AG106" s="25"/>
      <c r="AH106" s="25"/>
      <c r="AI106" s="25"/>
      <c r="AJ106" s="25"/>
    </row>
    <row r="107" spans="31:36">
      <c r="AE107" s="24"/>
      <c r="AF107" s="25"/>
      <c r="AG107" s="25"/>
      <c r="AH107" s="25"/>
      <c r="AI107" s="25"/>
      <c r="AJ107" s="25"/>
    </row>
    <row r="108" spans="31:36">
      <c r="AE108" s="24"/>
      <c r="AF108" s="25"/>
      <c r="AG108" s="25"/>
      <c r="AH108" s="25"/>
      <c r="AI108" s="25"/>
      <c r="AJ108" s="25"/>
    </row>
    <row r="109" spans="31:36">
      <c r="AE109" s="24"/>
      <c r="AF109" s="25"/>
      <c r="AG109" s="25"/>
      <c r="AH109" s="25"/>
      <c r="AI109" s="25"/>
      <c r="AJ109" s="25"/>
    </row>
    <row r="110" spans="31:36">
      <c r="AE110" s="24"/>
      <c r="AF110" s="25"/>
      <c r="AG110" s="25"/>
      <c r="AH110" s="25"/>
      <c r="AI110" s="25"/>
      <c r="AJ110" s="25"/>
    </row>
    <row r="111" spans="31:36">
      <c r="AE111" s="24"/>
      <c r="AF111" s="25"/>
      <c r="AG111" s="25"/>
      <c r="AH111" s="25"/>
      <c r="AI111" s="25"/>
      <c r="AJ111" s="25"/>
    </row>
    <row r="112" spans="31:36">
      <c r="AE112" s="24"/>
      <c r="AF112" s="25"/>
      <c r="AG112" s="25"/>
      <c r="AH112" s="25"/>
      <c r="AI112" s="25"/>
      <c r="AJ112" s="25"/>
    </row>
    <row r="113" spans="31:36">
      <c r="AE113" s="24"/>
      <c r="AF113" s="25"/>
      <c r="AG113" s="25"/>
      <c r="AH113" s="25"/>
      <c r="AI113" s="25"/>
      <c r="AJ113" s="25"/>
    </row>
    <row r="114" spans="31:36">
      <c r="AE114" s="24"/>
      <c r="AF114" s="25"/>
      <c r="AG114" s="25"/>
      <c r="AH114" s="25"/>
      <c r="AI114" s="25"/>
      <c r="AJ114" s="25"/>
    </row>
    <row r="115" spans="31:36">
      <c r="AE115" s="24"/>
      <c r="AF115" s="25"/>
      <c r="AG115" s="25"/>
      <c r="AH115" s="25"/>
      <c r="AI115" s="25"/>
      <c r="AJ115" s="25"/>
    </row>
    <row r="116" spans="31:36">
      <c r="AE116" s="24"/>
      <c r="AF116" s="25"/>
      <c r="AG116" s="25"/>
      <c r="AH116" s="25"/>
      <c r="AI116" s="25"/>
      <c r="AJ116" s="25"/>
    </row>
    <row r="117" spans="31:36">
      <c r="AE117" s="24"/>
      <c r="AF117" s="25"/>
      <c r="AG117" s="25"/>
      <c r="AH117" s="25"/>
      <c r="AI117" s="25"/>
      <c r="AJ117" s="25"/>
    </row>
    <row r="118" spans="31:36">
      <c r="AE118" s="24"/>
      <c r="AF118" s="25"/>
      <c r="AG118" s="25"/>
      <c r="AH118" s="25"/>
      <c r="AI118" s="25"/>
      <c r="AJ118" s="25"/>
    </row>
    <row r="119" spans="31:36">
      <c r="AE119" s="24"/>
      <c r="AF119" s="25"/>
      <c r="AG119" s="25"/>
      <c r="AH119" s="25"/>
      <c r="AI119" s="25"/>
      <c r="AJ119" s="25"/>
    </row>
    <row r="120" spans="31:36">
      <c r="AE120" s="24"/>
      <c r="AF120" s="25"/>
      <c r="AG120" s="25"/>
      <c r="AH120" s="25"/>
      <c r="AI120" s="25"/>
      <c r="AJ120" s="25"/>
    </row>
    <row r="121" spans="31:36">
      <c r="AE121" s="24"/>
      <c r="AF121" s="25"/>
      <c r="AG121" s="25"/>
      <c r="AH121" s="25"/>
      <c r="AI121" s="25"/>
      <c r="AJ121" s="25"/>
    </row>
    <row r="122" spans="31:36">
      <c r="AE122" s="24"/>
      <c r="AF122" s="25"/>
      <c r="AG122" s="25"/>
      <c r="AH122" s="25"/>
      <c r="AI122" s="25"/>
      <c r="AJ122" s="25"/>
    </row>
    <row r="123" spans="31:36">
      <c r="AE123" s="24"/>
      <c r="AF123" s="25"/>
      <c r="AG123" s="25"/>
      <c r="AH123" s="25"/>
      <c r="AI123" s="25"/>
      <c r="AJ123" s="25"/>
    </row>
    <row r="124" spans="31:36">
      <c r="AE124" s="24"/>
      <c r="AF124" s="25"/>
      <c r="AG124" s="25"/>
      <c r="AH124" s="25"/>
      <c r="AI124" s="25"/>
      <c r="AJ124" s="25"/>
    </row>
    <row r="125" spans="31:36">
      <c r="AE125" s="24"/>
      <c r="AF125" s="25"/>
      <c r="AG125" s="25"/>
      <c r="AH125" s="25"/>
      <c r="AI125" s="25"/>
      <c r="AJ125" s="25"/>
    </row>
    <row r="126" spans="31:36">
      <c r="AE126" s="24"/>
      <c r="AF126" s="25"/>
      <c r="AG126" s="25"/>
      <c r="AH126" s="25"/>
      <c r="AI126" s="25"/>
      <c r="AJ126" s="25"/>
    </row>
    <row r="127" spans="31:36">
      <c r="AE127" s="24"/>
      <c r="AF127" s="25"/>
      <c r="AG127" s="25"/>
      <c r="AH127" s="25"/>
      <c r="AI127" s="25"/>
      <c r="AJ127" s="25"/>
    </row>
    <row r="128" spans="31:36">
      <c r="AE128" s="24"/>
      <c r="AF128" s="25"/>
      <c r="AG128" s="25"/>
      <c r="AH128" s="25"/>
      <c r="AI128" s="25"/>
      <c r="AJ128" s="25"/>
    </row>
    <row r="129" spans="31:36">
      <c r="AE129" s="24"/>
      <c r="AF129" s="25"/>
      <c r="AG129" s="25"/>
      <c r="AH129" s="25"/>
      <c r="AI129" s="25"/>
      <c r="AJ129" s="25"/>
    </row>
    <row r="130" spans="31:36">
      <c r="AE130" s="24"/>
      <c r="AF130" s="25"/>
      <c r="AG130" s="25"/>
      <c r="AH130" s="25"/>
      <c r="AI130" s="25"/>
      <c r="AJ130" s="25"/>
    </row>
    <row r="131" spans="31:36">
      <c r="AE131" s="24"/>
      <c r="AF131" s="25"/>
      <c r="AG131" s="25"/>
      <c r="AH131" s="25"/>
      <c r="AI131" s="25"/>
      <c r="AJ131" s="25"/>
    </row>
    <row r="132" spans="31:36">
      <c r="AE132" s="24"/>
      <c r="AF132" s="25"/>
      <c r="AG132" s="25"/>
      <c r="AH132" s="25"/>
      <c r="AI132" s="25"/>
      <c r="AJ132" s="25"/>
    </row>
    <row r="133" spans="31:36">
      <c r="AE133" s="24"/>
      <c r="AF133" s="25"/>
      <c r="AG133" s="25"/>
      <c r="AH133" s="25"/>
      <c r="AI133" s="25"/>
      <c r="AJ133" s="25"/>
    </row>
    <row r="134" spans="31:36">
      <c r="AE134" s="24"/>
      <c r="AF134" s="25"/>
      <c r="AG134" s="25"/>
      <c r="AH134" s="25"/>
      <c r="AI134" s="25"/>
      <c r="AJ134" s="25"/>
    </row>
    <row r="135" spans="31:36">
      <c r="AE135" s="24"/>
      <c r="AF135" s="25"/>
      <c r="AG135" s="25"/>
      <c r="AH135" s="25"/>
      <c r="AI135" s="25"/>
      <c r="AJ135" s="25"/>
    </row>
    <row r="136" spans="31:36">
      <c r="AE136" s="24"/>
      <c r="AF136" s="25"/>
      <c r="AG136" s="25"/>
      <c r="AH136" s="25"/>
      <c r="AI136" s="25"/>
      <c r="AJ136" s="25"/>
    </row>
    <row r="137" spans="31:36">
      <c r="AE137" s="24"/>
      <c r="AF137" s="25"/>
      <c r="AG137" s="25"/>
      <c r="AH137" s="25"/>
      <c r="AI137" s="25"/>
      <c r="AJ137" s="25"/>
    </row>
    <row r="138" spans="31:36">
      <c r="AE138" s="24"/>
      <c r="AF138" s="25"/>
      <c r="AG138" s="25"/>
      <c r="AH138" s="25"/>
      <c r="AI138" s="25"/>
      <c r="AJ138" s="25"/>
    </row>
    <row r="139" spans="31:36">
      <c r="AE139" s="24"/>
      <c r="AF139" s="25"/>
      <c r="AG139" s="25"/>
      <c r="AH139" s="25"/>
      <c r="AI139" s="25"/>
      <c r="AJ139" s="25"/>
    </row>
    <row r="140" spans="31:36">
      <c r="AE140" s="24"/>
      <c r="AF140" s="25"/>
      <c r="AG140" s="25"/>
      <c r="AH140" s="25"/>
      <c r="AI140" s="25"/>
      <c r="AJ140" s="25"/>
    </row>
    <row r="141" spans="31:36">
      <c r="AE141" s="24"/>
      <c r="AF141" s="25"/>
      <c r="AG141" s="25"/>
      <c r="AH141" s="25"/>
      <c r="AI141" s="25"/>
      <c r="AJ141" s="25"/>
    </row>
    <row r="142" spans="31:36">
      <c r="AE142" s="24"/>
      <c r="AF142" s="25"/>
      <c r="AG142" s="25"/>
      <c r="AH142" s="25"/>
      <c r="AI142" s="25"/>
      <c r="AJ142" s="25"/>
    </row>
    <row r="143" spans="31:36">
      <c r="AE143" s="24"/>
      <c r="AF143" s="25"/>
      <c r="AG143" s="25"/>
      <c r="AH143" s="25"/>
      <c r="AI143" s="25"/>
      <c r="AJ143" s="25"/>
    </row>
    <row r="144" spans="31:36">
      <c r="AE144" s="24"/>
      <c r="AF144" s="25"/>
      <c r="AG144" s="25"/>
      <c r="AH144" s="25"/>
      <c r="AI144" s="25"/>
      <c r="AJ144" s="25"/>
    </row>
    <row r="145" spans="31:36">
      <c r="AE145" s="24"/>
      <c r="AF145" s="25"/>
      <c r="AG145" s="25"/>
      <c r="AH145" s="25"/>
      <c r="AI145" s="25"/>
      <c r="AJ145" s="25"/>
    </row>
    <row r="146" spans="31:36">
      <c r="AE146" s="24"/>
      <c r="AF146" s="25"/>
      <c r="AG146" s="25"/>
      <c r="AH146" s="25"/>
      <c r="AI146" s="25"/>
      <c r="AJ146" s="25"/>
    </row>
    <row r="147" spans="31:36">
      <c r="AE147" s="24"/>
      <c r="AF147" s="25"/>
      <c r="AG147" s="25"/>
      <c r="AH147" s="25"/>
      <c r="AI147" s="25"/>
      <c r="AJ147" s="25"/>
    </row>
    <row r="148" spans="31:36">
      <c r="AE148" s="24"/>
      <c r="AF148" s="25"/>
      <c r="AG148" s="25"/>
      <c r="AH148" s="25"/>
      <c r="AI148" s="25"/>
      <c r="AJ148" s="25"/>
    </row>
    <row r="149" spans="31:36">
      <c r="AE149" s="24"/>
      <c r="AF149" s="25"/>
      <c r="AG149" s="25"/>
      <c r="AH149" s="25"/>
      <c r="AI149" s="25"/>
      <c r="AJ149" s="25"/>
    </row>
    <row r="150" spans="31:36">
      <c r="AE150" s="24"/>
      <c r="AF150" s="25"/>
      <c r="AG150" s="25"/>
      <c r="AH150" s="25"/>
      <c r="AI150" s="25"/>
      <c r="AJ150" s="25"/>
    </row>
    <row r="151" spans="31:36">
      <c r="AE151" s="24"/>
      <c r="AF151" s="25"/>
      <c r="AG151" s="25"/>
      <c r="AH151" s="25"/>
      <c r="AI151" s="25"/>
      <c r="AJ151" s="25"/>
    </row>
    <row r="152" spans="31:36">
      <c r="AE152" s="24"/>
      <c r="AF152" s="25"/>
      <c r="AG152" s="25"/>
      <c r="AH152" s="25"/>
      <c r="AI152" s="25"/>
      <c r="AJ152" s="25"/>
    </row>
    <row r="153" spans="31:36">
      <c r="AE153" s="24"/>
      <c r="AF153" s="25"/>
      <c r="AG153" s="25"/>
      <c r="AH153" s="25"/>
      <c r="AI153" s="25"/>
      <c r="AJ153" s="25"/>
    </row>
    <row r="154" spans="31:36">
      <c r="AE154" s="24"/>
      <c r="AF154" s="25"/>
      <c r="AG154" s="25"/>
      <c r="AH154" s="25"/>
      <c r="AI154" s="25"/>
      <c r="AJ154" s="25"/>
    </row>
    <row r="155" spans="31:36">
      <c r="AE155" s="24"/>
      <c r="AF155" s="25"/>
      <c r="AG155" s="25"/>
      <c r="AH155" s="25"/>
      <c r="AI155" s="25"/>
      <c r="AJ155" s="25"/>
    </row>
    <row r="156" spans="31:36">
      <c r="AE156" s="24"/>
      <c r="AF156" s="25"/>
      <c r="AG156" s="25"/>
      <c r="AH156" s="25"/>
      <c r="AI156" s="25"/>
      <c r="AJ156" s="25"/>
    </row>
    <row r="157" spans="31:36">
      <c r="AE157" s="24"/>
      <c r="AF157" s="25"/>
      <c r="AG157" s="25"/>
      <c r="AH157" s="25"/>
      <c r="AI157" s="25"/>
      <c r="AJ157" s="25"/>
    </row>
    <row r="158" spans="31:36">
      <c r="AE158" s="24"/>
      <c r="AF158" s="25"/>
      <c r="AG158" s="25"/>
      <c r="AH158" s="25"/>
      <c r="AI158" s="25"/>
      <c r="AJ158" s="25"/>
    </row>
    <row r="159" spans="31:36">
      <c r="AE159" s="24"/>
      <c r="AF159" s="25"/>
      <c r="AG159" s="25"/>
      <c r="AH159" s="25"/>
      <c r="AI159" s="25"/>
      <c r="AJ159" s="25"/>
    </row>
    <row r="160" spans="31:36">
      <c r="AE160" s="24"/>
      <c r="AF160" s="25"/>
      <c r="AG160" s="25"/>
      <c r="AH160" s="25"/>
      <c r="AI160" s="25"/>
      <c r="AJ160" s="25"/>
    </row>
    <row r="161" spans="31:36">
      <c r="AE161" s="24"/>
      <c r="AF161" s="25"/>
      <c r="AG161" s="25"/>
      <c r="AH161" s="25"/>
      <c r="AI161" s="25"/>
      <c r="AJ161" s="25"/>
    </row>
    <row r="162" spans="31:36">
      <c r="AE162" s="24"/>
      <c r="AF162" s="25"/>
      <c r="AG162" s="25"/>
      <c r="AH162" s="25"/>
      <c r="AI162" s="25"/>
      <c r="AJ162" s="25"/>
    </row>
    <row r="163" spans="31:36">
      <c r="AE163" s="24"/>
      <c r="AF163" s="25"/>
      <c r="AG163" s="25"/>
      <c r="AH163" s="25"/>
      <c r="AI163" s="25"/>
      <c r="AJ163" s="25"/>
    </row>
    <row r="164" spans="31:36">
      <c r="AE164" s="24"/>
      <c r="AF164" s="25"/>
      <c r="AG164" s="25"/>
      <c r="AH164" s="25"/>
      <c r="AI164" s="25"/>
    </row>
    <row r="165" spans="31:36">
      <c r="AE165" s="24"/>
      <c r="AF165" s="25"/>
      <c r="AG165" s="25"/>
      <c r="AH165" s="25"/>
      <c r="AI165" s="25"/>
    </row>
  </sheetData>
  <sheetCalcPr fullCalcOnLoad="1"/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&amp; Regressions</vt:lpstr>
      <vt:lpstr>Comparing calibrations</vt:lpstr>
    </vt:vector>
  </TitlesOfParts>
  <Company>BHP Billiton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Nickel West</dc:creator>
  <cp:lastModifiedBy>Tim Napier-Munn</cp:lastModifiedBy>
  <dcterms:created xsi:type="dcterms:W3CDTF">2006-02-24T00:17:03Z</dcterms:created>
  <dcterms:modified xsi:type="dcterms:W3CDTF">2014-10-16T05:16:19Z</dcterms:modified>
</cp:coreProperties>
</file>