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590" windowWidth="18590" windowHeight="8220" tabRatio="664"/>
  </bookViews>
  <sheets>
    <sheet name="Regressions" sheetId="7" r:id="rId1"/>
    <sheet name="Confidence intervals" sheetId="10" r:id="rId2"/>
    <sheet name="3D graph recovery" sheetId="11" r:id="rId3"/>
  </sheets>
  <externalReferences>
    <externalReference r:id="rId4"/>
    <externalReference r:id="rId5"/>
  </externalReferences>
  <definedNames>
    <definedName name="_1__123Graph_ACHART_1" hidden="1">[1]PRINTOUT!#REF!</definedName>
    <definedName name="_10__123Graph_XCHART_2" hidden="1">[1]PRINTOUT!#REF!</definedName>
    <definedName name="_11__123Graph_XCHART_3" hidden="1">[1]PRINTOUT!#REF!</definedName>
    <definedName name="_12__123Graph_XCHART_4" hidden="1">[1]PRINTOUT!#REF!</definedName>
    <definedName name="_2__123Graph_ACHART_2" hidden="1">[1]PRINTOUT!#REF!</definedName>
    <definedName name="_3__123Graph_ACHART_3" hidden="1">[1]PRINTOUT!#REF!</definedName>
    <definedName name="_4__123Graph_ACHART_4" hidden="1">[1]PRINTOUT!#REF!</definedName>
    <definedName name="_5__123Graph_BCHART_1" hidden="1">[1]PRINTOUT!#REF!</definedName>
    <definedName name="_6__123Graph_BCHART_2" hidden="1">[1]PRINTOUT!#REF!</definedName>
    <definedName name="_7__123Graph_BCHART_3" hidden="1">[1]PRINTOUT!#REF!</definedName>
    <definedName name="_8__123Graph_BCHART_4" hidden="1">[1]PRINTOUT!#REF!</definedName>
    <definedName name="_9__123Graph_CCHART_4" hidden="1">[1]PRINTOUT!#REF!</definedName>
    <definedName name="Availability">'[2]Database Shift'!$IQ$5</definedName>
    <definedName name="avgdata">#REF!</definedName>
    <definedName name="Downtime">'[2]Database Shift'!$IP$5</definedName>
    <definedName name="Elevation" localSheetId="2">'3D graph recovery'!$C$36</definedName>
    <definedName name="Elevation">#REF!</definedName>
    <definedName name="Flot_feed_assay">'[2]Database Shift'!$R$4</definedName>
    <definedName name="Lead_recovery">'[2]Database Shift'!#REF!</definedName>
    <definedName name="Month_to_date_table">#REF!</definedName>
    <definedName name="Ore_blends">'[2]Database Shift'!$B$4</definedName>
    <definedName name="Ore_zone_proportions">'[2]Database Shift'!$L$4</definedName>
    <definedName name="OreBlends">#REF!</definedName>
    <definedName name="Pb_Conc_Assays">'[2]Database Shift'!$CF$4</definedName>
    <definedName name="Pb_Conc_Distributions">'[2]Database Shift'!$CM$4</definedName>
    <definedName name="Rotation" localSheetId="2">'3D graph recovery'!$C$35</definedName>
    <definedName name="Rotation">#REF!</definedName>
    <definedName name="solver_adj" localSheetId="0" hidden="1">Regressions!$BS$2:$BS$6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Regressions!$BH$9</definedName>
    <definedName name="solver_lhs2" localSheetId="0" hidden="1">Regressions!$BH$11</definedName>
    <definedName name="solver_lhs3" localSheetId="0" hidden="1">Regressions!$BH$11</definedName>
    <definedName name="solver_lhs4" localSheetId="0" hidden="1">Regressions!$BH$11</definedName>
    <definedName name="solver_lhs5" localSheetId="0" hidden="1">Regressions!$BH$11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Regressions!$BS$8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hs1" localSheetId="0" hidden="1">100</definedName>
    <definedName name="solver_rhs2" localSheetId="0" hidden="1">4</definedName>
    <definedName name="solver_rhs3" localSheetId="0" hidden="1">10</definedName>
    <definedName name="solver_rhs4" localSheetId="0" hidden="1">10</definedName>
    <definedName name="solver_rhs5" localSheetId="0" hidden="1">4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tpoh_ore">'[2]Database Shift'!$IS$5</definedName>
    <definedName name="x" localSheetId="2">'3D graph recovery'!$P$1</definedName>
    <definedName name="x">#REF!</definedName>
    <definedName name="XMax" localSheetId="2">'3D graph recovery'!$B$5</definedName>
    <definedName name="XMax">#REF!</definedName>
    <definedName name="XMin" localSheetId="2">'3D graph recovery'!$B$4</definedName>
    <definedName name="XMin">#REF!</definedName>
    <definedName name="xStart" localSheetId="2">'3D graph recovery'!$B$4</definedName>
    <definedName name="xStart">#REF!</definedName>
    <definedName name="xStep" localSheetId="2">'3D graph recovery'!$N$1</definedName>
    <definedName name="xStep">#REF!</definedName>
    <definedName name="y" localSheetId="2">'3D graph recovery'!$P$2</definedName>
    <definedName name="y">#REF!</definedName>
    <definedName name="yMax" localSheetId="2">'3D graph recovery'!$B$7</definedName>
    <definedName name="yMax">#REF!</definedName>
    <definedName name="yMin" localSheetId="2">'3D graph recovery'!$B$6</definedName>
    <definedName name="yMin">#REF!</definedName>
    <definedName name="yStart" localSheetId="2">'3D graph recovery'!$B$6</definedName>
    <definedName name="yStart">#REF!</definedName>
    <definedName name="yStep" localSheetId="2">'3D graph recovery'!$N$2</definedName>
    <definedName name="yStep">#REF!</definedName>
    <definedName name="z" localSheetId="2">'3D graph recovery'!$B$3</definedName>
    <definedName name="z">#REF!</definedName>
    <definedName name="Zn_5_Clnr_Con_Assays">'[2]Database Shift'!$HH$4</definedName>
    <definedName name="Zn_5_Clnr_Con_Distributions">'[2]Database Shift'!$HO$4</definedName>
    <definedName name="Zn_Clnr_2_Feed_Assays">'[2]Database Shift'!$FP$4</definedName>
    <definedName name="Zn_Metal_Unit_input_rate">'[2]Database Shift'!$IT$5</definedName>
    <definedName name="Zn_Metal_Unit_Output_rate">'[2]Database Shift'!$IU$5</definedName>
  </definedNames>
  <calcPr calcId="145621"/>
</workbook>
</file>

<file path=xl/calcChain.xml><?xml version="1.0" encoding="utf-8"?>
<calcChain xmlns="http://schemas.openxmlformats.org/spreadsheetml/2006/main">
  <c r="P2" i="11" l="1"/>
  <c r="P1" i="11"/>
  <c r="B3" i="11" l="1"/>
  <c r="L7" i="11" s="1"/>
  <c r="AD53" i="7"/>
  <c r="AD55" i="7" s="1"/>
  <c r="N1" i="11"/>
  <c r="N2" i="11"/>
  <c r="M7" i="11"/>
  <c r="L8" i="11"/>
  <c r="BO3" i="7"/>
  <c r="BS8" i="7" s="1"/>
  <c r="BS9" i="7" s="1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" i="7"/>
  <c r="BH9" i="7"/>
  <c r="AT14" i="7"/>
  <c r="AT15" i="7"/>
  <c r="AT16" i="7"/>
  <c r="AT17" i="7"/>
  <c r="AT18" i="7"/>
  <c r="AT19" i="7"/>
  <c r="AT20" i="7"/>
  <c r="AT21" i="7"/>
  <c r="AT2" i="7"/>
  <c r="AT6" i="7"/>
  <c r="AT3" i="7"/>
  <c r="AT7" i="7"/>
  <c r="AT4" i="7"/>
  <c r="AT8" i="7"/>
  <c r="AT5" i="7"/>
  <c r="AT9" i="7"/>
  <c r="BF3" i="7"/>
  <c r="AJ3" i="7"/>
  <c r="AI3" i="7"/>
  <c r="F2" i="10"/>
  <c r="F3" i="10"/>
  <c r="F5" i="10"/>
  <c r="K5" i="10"/>
  <c r="K6" i="10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BB29" i="7"/>
  <c r="BB30" i="7"/>
  <c r="BB31" i="7"/>
  <c r="BB32" i="7"/>
  <c r="BB33" i="7"/>
  <c r="BB34" i="7"/>
  <c r="BB35" i="7"/>
  <c r="BB36" i="7"/>
  <c r="BB37" i="7"/>
  <c r="BB38" i="7"/>
  <c r="BB39" i="7"/>
  <c r="BB40" i="7"/>
  <c r="BB41" i="7"/>
  <c r="BB42" i="7"/>
  <c r="BB43" i="7"/>
  <c r="BB44" i="7"/>
  <c r="BB45" i="7"/>
  <c r="BB46" i="7"/>
  <c r="BB47" i="7"/>
  <c r="BB28" i="7"/>
  <c r="BF5" i="7"/>
  <c r="BE5" i="7"/>
  <c r="AT10" i="7"/>
  <c r="AT11" i="7"/>
  <c r="AT12" i="7"/>
  <c r="AT13" i="7"/>
  <c r="AQ3" i="7"/>
  <c r="AR3" i="7"/>
  <c r="AQ4" i="7"/>
  <c r="AR4" i="7"/>
  <c r="AQ5" i="7"/>
  <c r="AR5" i="7"/>
  <c r="AQ6" i="7"/>
  <c r="AR6" i="7"/>
  <c r="AQ7" i="7"/>
  <c r="AR7" i="7"/>
  <c r="AQ8" i="7"/>
  <c r="AR8" i="7"/>
  <c r="AQ9" i="7"/>
  <c r="AR9" i="7"/>
  <c r="AQ10" i="7"/>
  <c r="AR10" i="7"/>
  <c r="AQ11" i="7"/>
  <c r="AR11" i="7"/>
  <c r="AQ12" i="7"/>
  <c r="AR12" i="7"/>
  <c r="AQ13" i="7"/>
  <c r="AR13" i="7"/>
  <c r="AQ14" i="7"/>
  <c r="AR14" i="7"/>
  <c r="AQ15" i="7"/>
  <c r="AR15" i="7"/>
  <c r="AQ16" i="7"/>
  <c r="AR16" i="7"/>
  <c r="AQ17" i="7"/>
  <c r="AR17" i="7"/>
  <c r="AQ18" i="7"/>
  <c r="AR18" i="7"/>
  <c r="AQ19" i="7"/>
  <c r="AR19" i="7"/>
  <c r="AQ20" i="7"/>
  <c r="AR20" i="7"/>
  <c r="AQ21" i="7"/>
  <c r="AR21" i="7"/>
  <c r="AR2" i="7"/>
  <c r="AQ2" i="7"/>
  <c r="AP3" i="7"/>
  <c r="AP4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" i="7"/>
  <c r="AJ5" i="7"/>
  <c r="AI5" i="7"/>
  <c r="AI4" i="7" s="1"/>
  <c r="AK4" i="7" s="1"/>
  <c r="AL3" i="7" s="1"/>
  <c r="AK5" i="7"/>
  <c r="AJ4" i="7"/>
  <c r="Y23" i="7"/>
  <c r="Y24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W2" i="7"/>
  <c r="K24" i="7"/>
  <c r="K23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F7" i="10" a="1"/>
  <c r="F7" i="10" s="1"/>
  <c r="F9" i="10" a="1"/>
  <c r="F9" i="10" s="1"/>
  <c r="F20" i="10"/>
  <c r="F19" i="10" s="1"/>
  <c r="L9" i="11"/>
  <c r="L10" i="1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AK3" i="7"/>
  <c r="AM3" i="7"/>
  <c r="F12" i="10" l="1"/>
  <c r="BG5" i="7"/>
  <c r="BF4" i="7"/>
  <c r="BE3" i="7"/>
  <c r="BG3" i="7" s="1"/>
  <c r="F8" i="10" a="1"/>
  <c r="F8" i="10" s="1"/>
  <c r="F6" i="10"/>
  <c r="F4" i="10"/>
  <c r="H13" i="10"/>
  <c r="N7" i="1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G20" i="10" l="1"/>
  <c r="G18" i="10" s="1"/>
  <c r="H18" i="10" s="1"/>
  <c r="I18" i="10" s="1"/>
  <c r="I19" i="10" s="1"/>
  <c r="G19" i="10"/>
  <c r="H19" i="10" s="1"/>
  <c r="BE4" i="7"/>
  <c r="F11" i="10"/>
  <c r="BG4" i="7"/>
  <c r="BH3" i="7" s="1"/>
  <c r="BI3" i="7" s="1"/>
  <c r="F13" i="10"/>
  <c r="F14" i="10" s="1"/>
  <c r="H14" i="10" s="1"/>
  <c r="L22" i="10" l="1"/>
  <c r="L30" i="10"/>
  <c r="L5" i="10"/>
  <c r="L16" i="10"/>
  <c r="L38" i="10"/>
  <c r="L25" i="10"/>
  <c r="L33" i="10"/>
  <c r="O23" i="10"/>
  <c r="O31" i="10"/>
  <c r="O8" i="10"/>
  <c r="L14" i="10"/>
  <c r="L35" i="10"/>
  <c r="O19" i="10"/>
  <c r="L9" i="10"/>
  <c r="L23" i="10"/>
  <c r="O16" i="10"/>
  <c r="L20" i="10"/>
  <c r="O10" i="10"/>
  <c r="O38" i="10"/>
  <c r="O34" i="10"/>
  <c r="O29" i="10"/>
  <c r="O4" i="10"/>
  <c r="O15" i="10"/>
  <c r="O37" i="10"/>
  <c r="O24" i="10"/>
  <c r="O32" i="10"/>
  <c r="L36" i="10"/>
  <c r="L28" i="10"/>
  <c r="O7" i="10"/>
  <c r="O11" i="10"/>
  <c r="L19" i="10"/>
  <c r="O18" i="10"/>
  <c r="L7" i="10"/>
  <c r="O39" i="10"/>
  <c r="O12" i="10"/>
  <c r="O22" i="10"/>
  <c r="O5" i="10"/>
  <c r="O25" i="10"/>
  <c r="O33" i="10"/>
  <c r="O20" i="10"/>
  <c r="O28" i="10"/>
  <c r="L24" i="10"/>
  <c r="O9" i="10"/>
  <c r="O30" i="10"/>
  <c r="L11" i="10"/>
  <c r="O21" i="10"/>
  <c r="L26" i="10"/>
  <c r="O13" i="10"/>
  <c r="L34" i="10"/>
  <c r="O35" i="10"/>
  <c r="O6" i="10"/>
  <c r="L18" i="10"/>
  <c r="L31" i="10"/>
  <c r="L8" i="10"/>
  <c r="L27" i="10"/>
  <c r="L4" i="10"/>
  <c r="L21" i="10"/>
  <c r="L29" i="10"/>
  <c r="O27" i="10"/>
  <c r="L10" i="10"/>
  <c r="O14" i="10"/>
  <c r="L17" i="10"/>
  <c r="L15" i="10"/>
  <c r="L39" i="10"/>
  <c r="L12" i="10"/>
  <c r="O36" i="10"/>
  <c r="L37" i="10"/>
  <c r="L32" i="10"/>
  <c r="O17" i="10"/>
  <c r="O26" i="10"/>
  <c r="L6" i="10"/>
  <c r="L13" i="10"/>
  <c r="H11" i="10"/>
  <c r="I11" i="10" s="1"/>
  <c r="H12" i="10"/>
  <c r="I12" i="10" s="1"/>
  <c r="E23" i="10"/>
  <c r="P17" i="10" l="1"/>
  <c r="Q17" i="10"/>
  <c r="Q14" i="10"/>
  <c r="P14" i="10"/>
  <c r="N13" i="10"/>
  <c r="M13" i="10"/>
  <c r="M32" i="10"/>
  <c r="N32" i="10"/>
  <c r="M39" i="10"/>
  <c r="N39" i="10"/>
  <c r="M10" i="10"/>
  <c r="N10" i="10"/>
  <c r="N4" i="10"/>
  <c r="M4" i="10"/>
  <c r="M18" i="10"/>
  <c r="N18" i="10"/>
  <c r="P13" i="10"/>
  <c r="Q13" i="10"/>
  <c r="Q30" i="10"/>
  <c r="P30" i="10"/>
  <c r="P20" i="10"/>
  <c r="Q20" i="10"/>
  <c r="Q22" i="10"/>
  <c r="P22" i="10"/>
  <c r="Q18" i="10"/>
  <c r="P18" i="10"/>
  <c r="M28" i="10"/>
  <c r="N28" i="10"/>
  <c r="Q37" i="10"/>
  <c r="P37" i="10"/>
  <c r="Q34" i="10"/>
  <c r="P34" i="10"/>
  <c r="Q16" i="10"/>
  <c r="P16" i="10"/>
  <c r="N35" i="10"/>
  <c r="M35" i="10"/>
  <c r="P23" i="10"/>
  <c r="Q23" i="10"/>
  <c r="M16" i="10"/>
  <c r="N16" i="10"/>
  <c r="N6" i="10"/>
  <c r="M6" i="10"/>
  <c r="M37" i="10"/>
  <c r="N37" i="10"/>
  <c r="M15" i="10"/>
  <c r="N15" i="10"/>
  <c r="Q27" i="10"/>
  <c r="P27" i="10"/>
  <c r="N27" i="10"/>
  <c r="M27" i="10"/>
  <c r="P6" i="10"/>
  <c r="Q6" i="10"/>
  <c r="N26" i="10"/>
  <c r="M26" i="10"/>
  <c r="Q9" i="10"/>
  <c r="P9" i="10"/>
  <c r="P33" i="10"/>
  <c r="Q33" i="10"/>
  <c r="Q12" i="10"/>
  <c r="P12" i="10"/>
  <c r="M19" i="10"/>
  <c r="N19" i="10"/>
  <c r="M36" i="10"/>
  <c r="N36" i="10"/>
  <c r="P15" i="10"/>
  <c r="Q15" i="10"/>
  <c r="Q38" i="10"/>
  <c r="P38" i="10"/>
  <c r="N23" i="10"/>
  <c r="M23" i="10"/>
  <c r="M14" i="10"/>
  <c r="N14" i="10"/>
  <c r="N33" i="10"/>
  <c r="M33" i="10"/>
  <c r="N5" i="10"/>
  <c r="M5" i="10"/>
  <c r="Q26" i="10"/>
  <c r="P26" i="10"/>
  <c r="Q36" i="10"/>
  <c r="P36" i="10"/>
  <c r="N17" i="10"/>
  <c r="M17" i="10"/>
  <c r="N29" i="10"/>
  <c r="M29" i="10"/>
  <c r="N8" i="10"/>
  <c r="M8" i="10"/>
  <c r="P35" i="10"/>
  <c r="Q35" i="10"/>
  <c r="Q21" i="10"/>
  <c r="P21" i="10"/>
  <c r="M24" i="10"/>
  <c r="N24" i="10"/>
  <c r="Q25" i="10"/>
  <c r="P25" i="10"/>
  <c r="Q39" i="10"/>
  <c r="P39" i="10"/>
  <c r="P11" i="10"/>
  <c r="Q11" i="10"/>
  <c r="Q32" i="10"/>
  <c r="P32" i="10"/>
  <c r="Q4" i="10"/>
  <c r="P4" i="10"/>
  <c r="P10" i="10"/>
  <c r="Q10" i="10"/>
  <c r="N9" i="10"/>
  <c r="M9" i="10"/>
  <c r="P8" i="10"/>
  <c r="Q8" i="10"/>
  <c r="M25" i="10"/>
  <c r="N25" i="10"/>
  <c r="N30" i="10"/>
  <c r="M30" i="10"/>
  <c r="M12" i="10"/>
  <c r="N12" i="10"/>
  <c r="N21" i="10"/>
  <c r="M21" i="10"/>
  <c r="M31" i="10"/>
  <c r="N31" i="10"/>
  <c r="N34" i="10"/>
  <c r="M34" i="10"/>
  <c r="M11" i="10"/>
  <c r="N11" i="10"/>
  <c r="P28" i="10"/>
  <c r="Q28" i="10"/>
  <c r="P5" i="10"/>
  <c r="Q5" i="10"/>
  <c r="M7" i="10"/>
  <c r="N7" i="10"/>
  <c r="Q7" i="10"/>
  <c r="P7" i="10"/>
  <c r="P24" i="10"/>
  <c r="Q24" i="10"/>
  <c r="P29" i="10"/>
  <c r="Q29" i="10"/>
  <c r="N20" i="10"/>
  <c r="M20" i="10"/>
  <c r="P19" i="10"/>
  <c r="Q19" i="10"/>
  <c r="Q31" i="10"/>
  <c r="P31" i="10"/>
  <c r="N38" i="10"/>
  <c r="M38" i="10"/>
  <c r="N22" i="10"/>
  <c r="M22" i="10"/>
</calcChain>
</file>

<file path=xl/sharedStrings.xml><?xml version="1.0" encoding="utf-8"?>
<sst xmlns="http://schemas.openxmlformats.org/spreadsheetml/2006/main" count="266" uniqueCount="131">
  <si>
    <t>Vortex</t>
  </si>
  <si>
    <t>Spigot</t>
  </si>
  <si>
    <t>Pressure</t>
  </si>
  <si>
    <t>Recovery</t>
  </si>
  <si>
    <t>V*Spig</t>
  </si>
  <si>
    <t>V*Press</t>
  </si>
  <si>
    <t>Spig*Press</t>
  </si>
  <si>
    <t>Vor^2</t>
  </si>
  <si>
    <t>Spig^2</t>
  </si>
  <si>
    <t>Press^2/100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</si>
  <si>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</si>
  <si>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</si>
  <si>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</si>
  <si>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</si>
  <si>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</si>
  <si>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</si>
  <si>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</si>
  <si>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</si>
  <si>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</si>
  <si>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</si>
  <si>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</si>
  <si>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</si>
  <si>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</si>
  <si>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</si>
  <si>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</si>
  <si>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</si>
  <si>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</si>
  <si>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</si>
  <si>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</si>
  <si>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</si>
  <si>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</si>
  <si>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</si>
  <si>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</si>
  <si>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</si>
  <si>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</si>
  <si>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</si>
  <si>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</si>
  <si>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</si>
  <si>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</si>
  <si>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</si>
  <si>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</si>
  <si>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</si>
  <si>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</si>
  <si>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</si>
  <si>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</si>
  <si>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</si>
  <si>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P(F)</t>
  </si>
  <si>
    <t>RESIDUAL OUTPUT</t>
  </si>
  <si>
    <t>Observation</t>
  </si>
  <si>
    <t>Residuals</t>
  </si>
  <si>
    <t>Standard Residuals</t>
  </si>
  <si>
    <t>Total SSE</t>
  </si>
  <si>
    <t>Pure error</t>
  </si>
  <si>
    <t>Adjusted R Sq.</t>
  </si>
  <si>
    <t>Sig. F</t>
  </si>
  <si>
    <t>Std. Error</t>
  </si>
  <si>
    <t>Lack of Fit</t>
  </si>
  <si>
    <t>Lack of fit</t>
  </si>
  <si>
    <t>Plot Functions With Two Variables</t>
  </si>
  <si>
    <t xml:space="preserve">x-Step: </t>
  </si>
  <si>
    <t>x</t>
  </si>
  <si>
    <t xml:space="preserve">y-Step: </t>
  </si>
  <si>
    <t>y</t>
  </si>
  <si>
    <t xml:space="preserve">Function: z = </t>
  </si>
  <si>
    <t xml:space="preserve">x-Min: </t>
  </si>
  <si>
    <t>Enter equation in B3, plus xmin, xmax, ymin, ymax.</t>
  </si>
  <si>
    <t xml:space="preserve">x-Max: </t>
  </si>
  <si>
    <t>Chart can be annotated as usual.</t>
  </si>
  <si>
    <t xml:space="preserve">y-Min: </t>
  </si>
  <si>
    <t xml:space="preserve">y-Max: </t>
  </si>
  <si>
    <t>Pressure =</t>
  </si>
  <si>
    <t>x = VF</t>
  </si>
  <si>
    <t>y = Spigot</t>
  </si>
  <si>
    <t>1/spigot</t>
  </si>
  <si>
    <t>Predicted Recovery</t>
  </si>
  <si>
    <t>Var =</t>
  </si>
  <si>
    <t xml:space="preserve">SD = </t>
  </si>
  <si>
    <t xml:space="preserve">Var = </t>
  </si>
  <si>
    <t>Remove outlier 11</t>
  </si>
  <si>
    <t>Statistic</t>
  </si>
  <si>
    <t>Value</t>
  </si>
  <si>
    <t>Conf. Level %</t>
  </si>
  <si>
    <t>Prediction of Line</t>
  </si>
  <si>
    <t>Prediction of Values Y</t>
  </si>
  <si>
    <t>N</t>
  </si>
  <si>
    <t>Choose X</t>
  </si>
  <si>
    <t>Pred. Y</t>
  </si>
  <si>
    <t>Lower Y</t>
  </si>
  <si>
    <t>Upper Y</t>
  </si>
  <si>
    <t>Mean X</t>
  </si>
  <si>
    <t>Mean Y</t>
  </si>
  <si>
    <t>SE</t>
  </si>
  <si>
    <t>Ao =</t>
  </si>
  <si>
    <t xml:space="preserve">V(Ao) = </t>
  </si>
  <si>
    <t>A1 =</t>
  </si>
  <si>
    <t>V(A1) =</t>
  </si>
  <si>
    <t>R =</t>
  </si>
  <si>
    <t>D.f.(R) =</t>
  </si>
  <si>
    <t>t(R) =</t>
  </si>
  <si>
    <t>p(t{R}) =</t>
  </si>
  <si>
    <t>Analysis of Variance for Regression</t>
  </si>
  <si>
    <t>Source</t>
  </si>
  <si>
    <t>D.F</t>
  </si>
  <si>
    <t>F (p)</t>
  </si>
  <si>
    <t>Regre</t>
  </si>
  <si>
    <t>-</t>
  </si>
  <si>
    <t>Residual Standard Error</t>
  </si>
  <si>
    <r>
      <t>å</t>
    </r>
    <r>
      <rPr>
        <sz val="8"/>
        <rFont val="Geneva"/>
      </rPr>
      <t xml:space="preserve"> X</t>
    </r>
  </si>
  <si>
    <r>
      <t>å</t>
    </r>
    <r>
      <rPr>
        <sz val="8"/>
        <rFont val="Geneva"/>
      </rPr>
      <t xml:space="preserve"> Y</t>
    </r>
  </si>
  <si>
    <r>
      <t>å</t>
    </r>
    <r>
      <rPr>
        <sz val="8"/>
        <rFont val="Geneva"/>
      </rPr>
      <t xml:space="preserve"> x^2</t>
    </r>
  </si>
  <si>
    <r>
      <t>å</t>
    </r>
    <r>
      <rPr>
        <sz val="8"/>
        <rFont val="Geneva"/>
      </rPr>
      <t xml:space="preserve"> y^2</t>
    </r>
  </si>
  <si>
    <r>
      <t>å</t>
    </r>
    <r>
      <rPr>
        <sz val="8"/>
        <rFont val="Geneva"/>
      </rPr>
      <t xml:space="preserve"> xy</t>
    </r>
  </si>
  <si>
    <t>Vortex^2</t>
  </si>
  <si>
    <t>Spigot^2</t>
  </si>
  <si>
    <t>1/Spigot</t>
  </si>
  <si>
    <t>(Rec/100)^3</t>
  </si>
  <si>
    <t>Predicted (Rec/100)^3</t>
  </si>
  <si>
    <t>Pred. rec.</t>
  </si>
  <si>
    <t>V =</t>
  </si>
  <si>
    <t>S =</t>
  </si>
  <si>
    <t>Rec =</t>
  </si>
  <si>
    <t>Optimisation with Solver</t>
  </si>
  <si>
    <t>Fit final model</t>
  </si>
  <si>
    <t>using Solver</t>
  </si>
  <si>
    <t>Parameters</t>
  </si>
  <si>
    <t>SST</t>
  </si>
  <si>
    <t>SolvStats</t>
  </si>
  <si>
    <t>Max - Min =</t>
  </si>
  <si>
    <t>Box-Wetz</t>
  </si>
  <si>
    <t xml:space="preserve">Response is </t>
  </si>
  <si>
    <t>Recovery^3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</si>
</sst>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%"/>
    <numFmt numFmtId="168" formatCode="0.00000000000000"/>
    <numFmt numFmtId="169" formatCode="0.000000"/>
  </numFmts>
  <fonts count="18">
    <font>
      <sz val="10"/>
      <name val="Arial"/>
    </font>
    <font>
      <sz val="10"/>
      <name val="Arial"/>
      <family val="2"/>
    </font>
    <font>
      <sz val="12"/>
      <color indexed="14"/>
      <name val="Arial"/>
      <family val="2"/>
    </font>
    <font>
      <b/>
      <sz val="12"/>
      <name val="Arial MT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1"/>
      <color indexed="11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name val="Geneva"/>
    </font>
    <font>
      <sz val="8"/>
      <name val="Geneva"/>
    </font>
    <font>
      <sz val="8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167" fontId="2" fillId="0" borderId="0" applyNumberFormat="0" applyFill="0" applyBorder="0" applyAlignment="0" applyProtection="0"/>
    <xf numFmtId="0" fontId="1" fillId="2" borderId="0"/>
    <xf numFmtId="0" fontId="3" fillId="3" borderId="1"/>
  </cellStyleXfs>
  <cellXfs count="8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/>
    <xf numFmtId="0" fontId="9" fillId="0" borderId="0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/>
    </xf>
    <xf numFmtId="2" fontId="0" fillId="0" borderId="4" xfId="0" applyNumberFormat="1" applyBorder="1"/>
    <xf numFmtId="0" fontId="0" fillId="0" borderId="0" xfId="0" quotePrefix="1"/>
    <xf numFmtId="0" fontId="6" fillId="0" borderId="0" xfId="0" applyFont="1" applyAlignment="1">
      <alignment horizontal="right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right"/>
    </xf>
    <xf numFmtId="0" fontId="0" fillId="5" borderId="4" xfId="0" applyFill="1" applyBorder="1" applyProtection="1">
      <protection locked="0"/>
    </xf>
    <xf numFmtId="0" fontId="12" fillId="0" borderId="0" xfId="0" applyFont="1"/>
    <xf numFmtId="0" fontId="13" fillId="0" borderId="0" xfId="0" applyFont="1" applyAlignment="1">
      <alignment horizontal="right"/>
    </xf>
    <xf numFmtId="166" fontId="0" fillId="0" borderId="5" xfId="0" applyNumberFormat="1" applyBorder="1"/>
    <xf numFmtId="164" fontId="6" fillId="5" borderId="4" xfId="0" applyNumberFormat="1" applyFont="1" applyFill="1" applyBorder="1"/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14" fillId="0" borderId="0" xfId="0" applyFont="1" applyFill="1" applyBorder="1" applyAlignment="1">
      <alignment horizontal="center" vertical="center"/>
    </xf>
    <xf numFmtId="0" fontId="0" fillId="4" borderId="0" xfId="0" applyFill="1" applyBorder="1" applyAlignment="1"/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8" xfId="0" applyFont="1" applyBorder="1"/>
    <xf numFmtId="0" fontId="16" fillId="0" borderId="9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0" fontId="16" fillId="0" borderId="10" xfId="0" applyFont="1" applyBorder="1" applyAlignment="1">
      <alignment horizontal="center"/>
    </xf>
    <xf numFmtId="0" fontId="15" fillId="0" borderId="0" xfId="0" applyFont="1" applyBorder="1"/>
    <xf numFmtId="0" fontId="16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2" fontId="16" fillId="0" borderId="0" xfId="0" applyNumberFormat="1" applyFont="1"/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7" xfId="0" applyFont="1" applyFill="1" applyBorder="1" applyAlignment="1"/>
    <xf numFmtId="0" fontId="16" fillId="0" borderId="8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8" xfId="0" applyBorder="1"/>
    <xf numFmtId="0" fontId="15" fillId="0" borderId="0" xfId="0" applyFont="1" applyAlignment="1">
      <alignment horizontal="left"/>
    </xf>
    <xf numFmtId="2" fontId="0" fillId="0" borderId="0" xfId="0" applyNumberFormat="1" applyBorder="1" applyAlignment="1">
      <alignment horizontal="center"/>
    </xf>
    <xf numFmtId="169" fontId="0" fillId="0" borderId="0" xfId="0" applyNumberFormat="1" applyFill="1" applyBorder="1" applyAlignment="1"/>
    <xf numFmtId="0" fontId="0" fillId="0" borderId="0" xfId="0" applyFill="1" applyBorder="1"/>
    <xf numFmtId="168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/>
    </xf>
    <xf numFmtId="0" fontId="6" fillId="0" borderId="0" xfId="0" applyFont="1"/>
    <xf numFmtId="2" fontId="7" fillId="0" borderId="3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2" fontId="6" fillId="0" borderId="0" xfId="0" applyNumberFormat="1" applyFont="1" applyAlignment="1">
      <alignment horizontal="center"/>
    </xf>
    <xf numFmtId="2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11" xfId="0" applyFont="1" applyBorder="1" applyAlignment="1">
      <alignment horizontal="center"/>
    </xf>
  </cellXfs>
  <cellStyles count="4">
    <cellStyle name="Data" xfId="1"/>
    <cellStyle name="Normal" xfId="0" builtinId="0"/>
    <cellStyle name="SEHeader" xfId="2"/>
    <cellStyle name="User_Defined_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274806645368236"/>
          <c:y val="8.6666948785640574E-2"/>
          <c:w val="0.69890334897626949"/>
          <c:h val="0.55000179037041141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Regressions!$K$1</c:f>
              <c:strCache>
                <c:ptCount val="1"/>
                <c:pt idx="0">
                  <c:v>Recovery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Regressions!$A$2:$A$21</c:f>
              <c:numCache>
                <c:formatCode>General</c:formatCode>
                <c:ptCount val="20"/>
                <c:pt idx="0">
                  <c:v>17</c:v>
                </c:pt>
                <c:pt idx="1">
                  <c:v>22</c:v>
                </c:pt>
                <c:pt idx="2">
                  <c:v>17</c:v>
                </c:pt>
                <c:pt idx="3">
                  <c:v>22</c:v>
                </c:pt>
                <c:pt idx="4">
                  <c:v>17</c:v>
                </c:pt>
                <c:pt idx="5">
                  <c:v>22</c:v>
                </c:pt>
                <c:pt idx="6">
                  <c:v>17</c:v>
                </c:pt>
                <c:pt idx="7">
                  <c:v>22</c:v>
                </c:pt>
                <c:pt idx="8">
                  <c:v>15.4</c:v>
                </c:pt>
                <c:pt idx="9">
                  <c:v>23.999999999998003</c:v>
                </c:pt>
                <c:pt idx="10">
                  <c:v>19.699999999999001</c:v>
                </c:pt>
                <c:pt idx="11">
                  <c:v>19.699999999999001</c:v>
                </c:pt>
                <c:pt idx="12">
                  <c:v>19.699999999999001</c:v>
                </c:pt>
                <c:pt idx="13">
                  <c:v>19.699999999999001</c:v>
                </c:pt>
                <c:pt idx="14">
                  <c:v>19.699999999999001</c:v>
                </c:pt>
                <c:pt idx="15">
                  <c:v>19.699999999999001</c:v>
                </c:pt>
                <c:pt idx="16">
                  <c:v>19.699999999999001</c:v>
                </c:pt>
                <c:pt idx="17">
                  <c:v>19.699999999999001</c:v>
                </c:pt>
                <c:pt idx="18">
                  <c:v>19.699999999999001</c:v>
                </c:pt>
                <c:pt idx="19">
                  <c:v>19.699999999999001</c:v>
                </c:pt>
              </c:numCache>
            </c:numRef>
          </c:xVal>
          <c:yVal>
            <c:numRef>
              <c:f>Regressions!$K$2:$K$21</c:f>
              <c:numCache>
                <c:formatCode>0.0</c:formatCode>
                <c:ptCount val="20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01568"/>
        <c:axId val="170989056"/>
      </c:scatterChart>
      <c:valAx>
        <c:axId val="171101568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Vortex finder diameter (mm)</a:t>
                </a:r>
              </a:p>
            </c:rich>
          </c:tx>
          <c:layout>
            <c:manualLayout>
              <c:xMode val="edge"/>
              <c:yMode val="edge"/>
              <c:x val="0.30549554382625249"/>
              <c:y val="0.806669291338582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989056"/>
        <c:crosses val="autoZero"/>
        <c:crossBetween val="midCat"/>
      </c:valAx>
      <c:valAx>
        <c:axId val="170989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Solids recovery (%)</a:t>
                </a:r>
              </a:p>
            </c:rich>
          </c:tx>
          <c:layout>
            <c:manualLayout>
              <c:xMode val="edge"/>
              <c:yMode val="edge"/>
              <c:x val="5.054945054945055E-2"/>
              <c:y val="4.3333333333333335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1015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427369107847307"/>
          <c:y val="7.9470584145657261E-2"/>
          <c:w val="0.72017467998197271"/>
          <c:h val="0.5860955580742223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Regressions!$B$2:$B$21</c:f>
              <c:numCache>
                <c:formatCode>General</c:formatCode>
                <c:ptCount val="20"/>
                <c:pt idx="0">
                  <c:v>5.4</c:v>
                </c:pt>
                <c:pt idx="1">
                  <c:v>5.4</c:v>
                </c:pt>
                <c:pt idx="2">
                  <c:v>9.6</c:v>
                </c:pt>
                <c:pt idx="3">
                  <c:v>9.6</c:v>
                </c:pt>
                <c:pt idx="4">
                  <c:v>5.4</c:v>
                </c:pt>
                <c:pt idx="5">
                  <c:v>5.4</c:v>
                </c:pt>
                <c:pt idx="6">
                  <c:v>9.6</c:v>
                </c:pt>
                <c:pt idx="7">
                  <c:v>9.6</c:v>
                </c:pt>
                <c:pt idx="8">
                  <c:v>7.4999999999994493</c:v>
                </c:pt>
                <c:pt idx="9">
                  <c:v>7.4999999999994493</c:v>
                </c:pt>
                <c:pt idx="10">
                  <c:v>3.9999999999998979</c:v>
                </c:pt>
                <c:pt idx="11">
                  <c:v>10.999999999999002</c:v>
                </c:pt>
                <c:pt idx="12">
                  <c:v>7.4999999999994493</c:v>
                </c:pt>
                <c:pt idx="13">
                  <c:v>7.4999999999994493</c:v>
                </c:pt>
                <c:pt idx="14">
                  <c:v>7.4999999999994493</c:v>
                </c:pt>
                <c:pt idx="15">
                  <c:v>7.4999999999994493</c:v>
                </c:pt>
                <c:pt idx="16">
                  <c:v>7.4999999999994493</c:v>
                </c:pt>
                <c:pt idx="17">
                  <c:v>7.4999999999994493</c:v>
                </c:pt>
                <c:pt idx="18">
                  <c:v>7.4999999999994493</c:v>
                </c:pt>
                <c:pt idx="19">
                  <c:v>7.4999999999994493</c:v>
                </c:pt>
              </c:numCache>
            </c:numRef>
          </c:xVal>
          <c:yVal>
            <c:numRef>
              <c:f>Regressions!$K$2:$K$21</c:f>
              <c:numCache>
                <c:formatCode>0.0</c:formatCode>
                <c:ptCount val="20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45248"/>
        <c:axId val="171047552"/>
      </c:scatterChart>
      <c:valAx>
        <c:axId val="171045248"/>
        <c:scaling>
          <c:orientation val="minMax"/>
          <c:max val="10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Spigot diameter (mm)</a:t>
                </a:r>
              </a:p>
            </c:rich>
          </c:tx>
          <c:layout>
            <c:manualLayout>
              <c:xMode val="edge"/>
              <c:yMode val="edge"/>
              <c:x val="0.36876424069550956"/>
              <c:y val="0.814573708087813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047552"/>
        <c:crosses val="autoZero"/>
        <c:crossBetween val="midCat"/>
        <c:majorUnit val="1"/>
      </c:valAx>
      <c:valAx>
        <c:axId val="171047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Solids recovery (%)</a:t>
                </a:r>
              </a:p>
            </c:rich>
          </c:tx>
          <c:layout>
            <c:manualLayout>
              <c:xMode val="edge"/>
              <c:yMode val="edge"/>
              <c:x val="4.5553145336225599E-2"/>
              <c:y val="5.6291912186473378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0452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580786026200873"/>
          <c:y val="7.8688524590163941E-2"/>
          <c:w val="0.70742358078602618"/>
          <c:h val="0.590163934426229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Regressions!$C$2:$C$21</c:f>
              <c:numCache>
                <c:formatCode>General</c:formatCode>
                <c:ptCount val="20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  <c:pt idx="7">
                  <c:v>92</c:v>
                </c:pt>
                <c:pt idx="8">
                  <c:v>79.999999999998508</c:v>
                </c:pt>
                <c:pt idx="9">
                  <c:v>79.999999999998508</c:v>
                </c:pt>
                <c:pt idx="10">
                  <c:v>79.999999999998508</c:v>
                </c:pt>
                <c:pt idx="11">
                  <c:v>79.999999999998508</c:v>
                </c:pt>
                <c:pt idx="12">
                  <c:v>59.99999999999801</c:v>
                </c:pt>
                <c:pt idx="13">
                  <c:v>99.999999999999005</c:v>
                </c:pt>
                <c:pt idx="14">
                  <c:v>79.999999999998508</c:v>
                </c:pt>
                <c:pt idx="15">
                  <c:v>79.999999999998508</c:v>
                </c:pt>
                <c:pt idx="16">
                  <c:v>79.999999999998508</c:v>
                </c:pt>
                <c:pt idx="17">
                  <c:v>79.999999999998508</c:v>
                </c:pt>
                <c:pt idx="18">
                  <c:v>79.999999999998508</c:v>
                </c:pt>
                <c:pt idx="19">
                  <c:v>79.999999999998508</c:v>
                </c:pt>
              </c:numCache>
            </c:numRef>
          </c:xVal>
          <c:yVal>
            <c:numRef>
              <c:f>Regressions!$K$2:$K$21</c:f>
              <c:numCache>
                <c:formatCode>0.0</c:formatCode>
                <c:ptCount val="20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01280"/>
        <c:axId val="171616128"/>
      </c:scatterChart>
      <c:valAx>
        <c:axId val="171601280"/>
        <c:scaling>
          <c:orientation val="minMax"/>
          <c:max val="10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Pressure (kPa)</a:t>
                </a:r>
              </a:p>
            </c:rich>
          </c:tx>
          <c:layout>
            <c:manualLayout>
              <c:xMode val="edge"/>
              <c:yMode val="edge"/>
              <c:x val="0.43013100436681223"/>
              <c:y val="0.816393442622950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616128"/>
        <c:crosses val="autoZero"/>
        <c:crossBetween val="midCat"/>
        <c:majorUnit val="10"/>
      </c:valAx>
      <c:valAx>
        <c:axId val="171616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Solids recovery (%)</a:t>
                </a:r>
              </a:p>
            </c:rich>
          </c:tx>
          <c:layout>
            <c:manualLayout>
              <c:xMode val="edge"/>
              <c:yMode val="edge"/>
              <c:x val="4.5851528384279479E-2"/>
              <c:y val="6.2295081967213117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60128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16129032258066"/>
          <c:y val="5.9322197547552379E-2"/>
          <c:w val="0.8241935483870968"/>
          <c:h val="0.74858963571911341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Regressions!$AC$26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Regressions!$AB$27:$AB$45</c:f>
              <c:numCache>
                <c:formatCode>General</c:formatCode>
                <c:ptCount val="19"/>
                <c:pt idx="0">
                  <c:v>63.95771182844075</c:v>
                </c:pt>
                <c:pt idx="1">
                  <c:v>56.908862630714495</c:v>
                </c:pt>
                <c:pt idx="2">
                  <c:v>76.863911564748406</c:v>
                </c:pt>
                <c:pt idx="3">
                  <c:v>69.815062367022136</c:v>
                </c:pt>
                <c:pt idx="4">
                  <c:v>63.95771182844075</c:v>
                </c:pt>
                <c:pt idx="5">
                  <c:v>56.908862630714495</c:v>
                </c:pt>
                <c:pt idx="6">
                  <c:v>76.863911564748406</c:v>
                </c:pt>
                <c:pt idx="7">
                  <c:v>69.815062367022136</c:v>
                </c:pt>
                <c:pt idx="8">
                  <c:v>76.638388568571884</c:v>
                </c:pt>
                <c:pt idx="9">
                  <c:v>64.514367948485557</c:v>
                </c:pt>
                <c:pt idx="10">
                  <c:v>72.545120632861213</c:v>
                </c:pt>
                <c:pt idx="11">
                  <c:v>70.576378258528734</c:v>
                </c:pt>
                <c:pt idx="12">
                  <c:v>70.576378258528734</c:v>
                </c:pt>
                <c:pt idx="13">
                  <c:v>70.576378258528734</c:v>
                </c:pt>
                <c:pt idx="14">
                  <c:v>70.576378258528734</c:v>
                </c:pt>
                <c:pt idx="15">
                  <c:v>70.576378258528734</c:v>
                </c:pt>
                <c:pt idx="16">
                  <c:v>70.576378258528734</c:v>
                </c:pt>
                <c:pt idx="17">
                  <c:v>70.576378258528734</c:v>
                </c:pt>
                <c:pt idx="18">
                  <c:v>70.576378258528734</c:v>
                </c:pt>
              </c:numCache>
            </c:numRef>
          </c:xVal>
          <c:yVal>
            <c:numRef>
              <c:f>Regressions!$AC$27:$AC$45</c:f>
              <c:numCache>
                <c:formatCode>General</c:formatCode>
                <c:ptCount val="19"/>
                <c:pt idx="0">
                  <c:v>2.2422881715592524</c:v>
                </c:pt>
                <c:pt idx="1">
                  <c:v>-2.5088626307144963</c:v>
                </c:pt>
                <c:pt idx="2">
                  <c:v>-0.16391156474840329</c:v>
                </c:pt>
                <c:pt idx="3">
                  <c:v>-0.2150623670221421</c:v>
                </c:pt>
                <c:pt idx="4">
                  <c:v>-0.15771182844075327</c:v>
                </c:pt>
                <c:pt idx="5">
                  <c:v>0.19113736928550651</c:v>
                </c:pt>
                <c:pt idx="6">
                  <c:v>-0.96391156474840045</c:v>
                </c:pt>
                <c:pt idx="7">
                  <c:v>-0.31506236702213641</c:v>
                </c:pt>
                <c:pt idx="8">
                  <c:v>0.66161143142811341</c:v>
                </c:pt>
                <c:pt idx="9">
                  <c:v>2.7856320515144404</c:v>
                </c:pt>
                <c:pt idx="10">
                  <c:v>0.85487936713879265</c:v>
                </c:pt>
                <c:pt idx="11">
                  <c:v>-0.77637825852873732</c:v>
                </c:pt>
                <c:pt idx="12">
                  <c:v>0.62362174147126836</c:v>
                </c:pt>
                <c:pt idx="13">
                  <c:v>-0.77637825852873732</c:v>
                </c:pt>
                <c:pt idx="14">
                  <c:v>0.22362174147126268</c:v>
                </c:pt>
                <c:pt idx="15">
                  <c:v>-0.87637825852873164</c:v>
                </c:pt>
                <c:pt idx="16">
                  <c:v>-0.57637825852873448</c:v>
                </c:pt>
                <c:pt idx="17">
                  <c:v>2.3621741471259838E-2</c:v>
                </c:pt>
                <c:pt idx="18">
                  <c:v>-0.27637825852873732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33856"/>
        <c:axId val="172236160"/>
      </c:scatterChart>
      <c:valAx>
        <c:axId val="172233856"/>
        <c:scaling>
          <c:orientation val="minMax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(%)</a:t>
                </a:r>
              </a:p>
            </c:rich>
          </c:tx>
          <c:layout>
            <c:manualLayout>
              <c:xMode val="edge"/>
              <c:yMode val="edge"/>
              <c:x val="0.41129032258064518"/>
              <c:y val="0.898307753903643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236160"/>
        <c:crossesAt val="-3"/>
        <c:crossBetween val="midCat"/>
      </c:valAx>
      <c:valAx>
        <c:axId val="172236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Residual (%)</a:t>
                </a:r>
              </a:p>
            </c:rich>
          </c:tx>
          <c:layout>
            <c:manualLayout>
              <c:xMode val="edge"/>
              <c:yMode val="edge"/>
              <c:x val="0.05"/>
              <c:y val="0.288136482939632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23385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68737859995255"/>
          <c:y val="9.4444508493725918E-2"/>
          <c:w val="0.78207482040194443"/>
          <c:h val="0.64722266114818061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Regressions!$AF$26</c:f>
              <c:strCache>
                <c:ptCount val="1"/>
                <c:pt idx="0">
                  <c:v>Recovery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5"/>
            <c:backward val="5"/>
            <c:dispRSqr val="0"/>
            <c:dispEq val="0"/>
          </c:trendline>
          <c:xVal>
            <c:numRef>
              <c:f>Regressions!$AB$27:$AB$45</c:f>
              <c:numCache>
                <c:formatCode>General</c:formatCode>
                <c:ptCount val="19"/>
                <c:pt idx="0">
                  <c:v>63.95771182844075</c:v>
                </c:pt>
                <c:pt idx="1">
                  <c:v>56.908862630714495</c:v>
                </c:pt>
                <c:pt idx="2">
                  <c:v>76.863911564748406</c:v>
                </c:pt>
                <c:pt idx="3">
                  <c:v>69.815062367022136</c:v>
                </c:pt>
                <c:pt idx="4">
                  <c:v>63.95771182844075</c:v>
                </c:pt>
                <c:pt idx="5">
                  <c:v>56.908862630714495</c:v>
                </c:pt>
                <c:pt idx="6">
                  <c:v>76.863911564748406</c:v>
                </c:pt>
                <c:pt idx="7">
                  <c:v>69.815062367022136</c:v>
                </c:pt>
                <c:pt idx="8">
                  <c:v>76.638388568571884</c:v>
                </c:pt>
                <c:pt idx="9">
                  <c:v>64.514367948485557</c:v>
                </c:pt>
                <c:pt idx="10">
                  <c:v>72.545120632861213</c:v>
                </c:pt>
                <c:pt idx="11">
                  <c:v>70.576378258528734</c:v>
                </c:pt>
                <c:pt idx="12">
                  <c:v>70.576378258528734</c:v>
                </c:pt>
                <c:pt idx="13">
                  <c:v>70.576378258528734</c:v>
                </c:pt>
                <c:pt idx="14">
                  <c:v>70.576378258528734</c:v>
                </c:pt>
                <c:pt idx="15">
                  <c:v>70.576378258528734</c:v>
                </c:pt>
                <c:pt idx="16">
                  <c:v>70.576378258528734</c:v>
                </c:pt>
                <c:pt idx="17">
                  <c:v>70.576378258528734</c:v>
                </c:pt>
                <c:pt idx="18">
                  <c:v>70.576378258528734</c:v>
                </c:pt>
              </c:numCache>
            </c:numRef>
          </c:xVal>
          <c:yVal>
            <c:numRef>
              <c:f>Regressions!$AF$27:$AF$45</c:f>
              <c:numCache>
                <c:formatCode>0.0</c:formatCode>
                <c:ptCount val="19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73.400000000000006</c:v>
                </c:pt>
                <c:pt idx="11">
                  <c:v>69.8</c:v>
                </c:pt>
                <c:pt idx="12">
                  <c:v>71.2</c:v>
                </c:pt>
                <c:pt idx="13">
                  <c:v>69.8</c:v>
                </c:pt>
                <c:pt idx="14">
                  <c:v>70.8</c:v>
                </c:pt>
                <c:pt idx="15">
                  <c:v>69.7</c:v>
                </c:pt>
                <c:pt idx="16">
                  <c:v>70</c:v>
                </c:pt>
                <c:pt idx="17">
                  <c:v>70.599999999999994</c:v>
                </c:pt>
                <c:pt idx="18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66240"/>
        <c:axId val="172268160"/>
      </c:scatterChart>
      <c:valAx>
        <c:axId val="172266240"/>
        <c:scaling>
          <c:orientation val="minMax"/>
          <c:max val="90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(%)</a:t>
                </a:r>
              </a:p>
            </c:rich>
          </c:tx>
          <c:layout>
            <c:manualLayout>
              <c:xMode val="edge"/>
              <c:yMode val="edge"/>
              <c:x val="0.35676681012412986"/>
              <c:y val="0.841667104111985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268160"/>
        <c:crosses val="autoZero"/>
        <c:crossBetween val="midCat"/>
      </c:valAx>
      <c:valAx>
        <c:axId val="172268160"/>
        <c:scaling>
          <c:orientation val="minMax"/>
          <c:max val="90"/>
          <c:min val="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recovery (%)</a:t>
                </a:r>
              </a:p>
            </c:rich>
          </c:tx>
          <c:layout>
            <c:manualLayout>
              <c:xMode val="edge"/>
              <c:yMode val="edge"/>
              <c:x val="3.8664323374340948E-2"/>
              <c:y val="0.105555555555555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266240"/>
        <c:crosses val="autoZero"/>
        <c:crossBetween val="midCat"/>
        <c:majorUnit val="10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13741157424189"/>
          <c:y val="5.9155132988325913E-2"/>
          <c:w val="0.73194086213402609"/>
          <c:h val="0.74929835118546151"/>
        </c:manualLayout>
      </c:layout>
      <c:scatterChart>
        <c:scatterStyle val="lineMarker"/>
        <c:varyColors val="0"/>
        <c:ser>
          <c:idx val="1"/>
          <c:order val="0"/>
          <c:tx>
            <c:strRef>
              <c:f>Regressions!$AY$27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Regressions!$AX$28:$AX$47</c:f>
              <c:numCache>
                <c:formatCode>General</c:formatCode>
                <c:ptCount val="20"/>
                <c:pt idx="0">
                  <c:v>0.27826944344169402</c:v>
                </c:pt>
                <c:pt idx="1">
                  <c:v>0.17851451428176401</c:v>
                </c:pt>
                <c:pt idx="2">
                  <c:v>0.44846435620191305</c:v>
                </c:pt>
                <c:pt idx="3">
                  <c:v>0.34870942704198304</c:v>
                </c:pt>
                <c:pt idx="4">
                  <c:v>0.27826944344169402</c:v>
                </c:pt>
                <c:pt idx="5">
                  <c:v>0.17851451428176401</c:v>
                </c:pt>
                <c:pt idx="6">
                  <c:v>0.44846435620191305</c:v>
                </c:pt>
                <c:pt idx="7">
                  <c:v>0.34870942704198304</c:v>
                </c:pt>
                <c:pt idx="8">
                  <c:v>0.45840826556274145</c:v>
                </c:pt>
                <c:pt idx="9">
                  <c:v>0.29246141402464482</c:v>
                </c:pt>
                <c:pt idx="10">
                  <c:v>1.6140253509991154E-2</c:v>
                </c:pt>
                <c:pt idx="11">
                  <c:v>0.38145895414806136</c:v>
                </c:pt>
                <c:pt idx="12">
                  <c:v>0.3451648467274821</c:v>
                </c:pt>
                <c:pt idx="13">
                  <c:v>0.3451648467274821</c:v>
                </c:pt>
                <c:pt idx="14">
                  <c:v>0.3451648467274821</c:v>
                </c:pt>
                <c:pt idx="15">
                  <c:v>0.3451648467274821</c:v>
                </c:pt>
                <c:pt idx="16">
                  <c:v>0.3451648467274821</c:v>
                </c:pt>
                <c:pt idx="17">
                  <c:v>0.3451648467274821</c:v>
                </c:pt>
                <c:pt idx="18">
                  <c:v>0.3451648467274821</c:v>
                </c:pt>
                <c:pt idx="19">
                  <c:v>0.3451648467274821</c:v>
                </c:pt>
              </c:numCache>
            </c:numRef>
          </c:xVal>
          <c:yVal>
            <c:numRef>
              <c:f>Regressions!$AY$28:$AY$47</c:f>
              <c:numCache>
                <c:formatCode>General</c:formatCode>
                <c:ptCount val="20"/>
                <c:pt idx="0">
                  <c:v>1.1848084558305993E-2</c:v>
                </c:pt>
                <c:pt idx="1">
                  <c:v>-1.7525330281763979E-2</c:v>
                </c:pt>
                <c:pt idx="2">
                  <c:v>2.7533067980869963E-3</c:v>
                </c:pt>
                <c:pt idx="3">
                  <c:v>-1.1555891041983124E-2</c:v>
                </c:pt>
                <c:pt idx="4">
                  <c:v>-1.8575371441694022E-2</c:v>
                </c:pt>
                <c:pt idx="5">
                  <c:v>7.6548967182360483E-3</c:v>
                </c:pt>
                <c:pt idx="6">
                  <c:v>-1.1218877201913002E-2</c:v>
                </c:pt>
                <c:pt idx="7">
                  <c:v>-1.3007052041983103E-2</c:v>
                </c:pt>
                <c:pt idx="8">
                  <c:v>3.4816514372585372E-3</c:v>
                </c:pt>
                <c:pt idx="9">
                  <c:v>1.2359802975355105E-2</c:v>
                </c:pt>
                <c:pt idx="10">
                  <c:v>4.2061634900088518E-3</c:v>
                </c:pt>
                <c:pt idx="11">
                  <c:v>1.3987949851938797E-2</c:v>
                </c:pt>
                <c:pt idx="12">
                  <c:v>-5.0964547274821581E-3</c:v>
                </c:pt>
                <c:pt idx="13">
                  <c:v>1.5779281272517987E-2</c:v>
                </c:pt>
                <c:pt idx="14">
                  <c:v>-5.0964547274821581E-3</c:v>
                </c:pt>
                <c:pt idx="15">
                  <c:v>9.7300652725178516E-3</c:v>
                </c:pt>
                <c:pt idx="16">
                  <c:v>-6.5559737274820118E-3</c:v>
                </c:pt>
                <c:pt idx="17">
                  <c:v>-2.1648467274821837E-3</c:v>
                </c:pt>
                <c:pt idx="18">
                  <c:v>6.7309692725178172E-3</c:v>
                </c:pt>
                <c:pt idx="19">
                  <c:v>2.2640802725178433E-3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06816"/>
        <c:axId val="172309120"/>
      </c:scatterChart>
      <c:valAx>
        <c:axId val="172306816"/>
        <c:scaling>
          <c:orientation val="minMax"/>
          <c:max val="0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(recovery/100)^3</a:t>
                </a:r>
              </a:p>
            </c:rich>
          </c:tx>
          <c:layout>
            <c:manualLayout>
              <c:xMode val="edge"/>
              <c:yMode val="edge"/>
              <c:x val="0.39543816053411573"/>
              <c:y val="0.898594654541421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09120"/>
        <c:crossesAt val="-3"/>
        <c:crossBetween val="midCat"/>
        <c:majorUnit val="0.1"/>
        <c:minorUnit val="0.05"/>
      </c:valAx>
      <c:valAx>
        <c:axId val="172309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Residual (%)</a:t>
                </a:r>
              </a:p>
            </c:rich>
          </c:tx>
          <c:layout>
            <c:manualLayout>
              <c:xMode val="edge"/>
              <c:yMode val="edge"/>
              <c:x val="5.7034220532319393E-2"/>
              <c:y val="0.290141732283464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0681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57748800086095"/>
          <c:y val="9.5774977219194327E-2"/>
          <c:w val="0.77413513478658591"/>
          <c:h val="0.6422557295875385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5"/>
            <c:backward val="5"/>
            <c:dispRSqr val="1"/>
            <c:dispEq val="1"/>
            <c:trendlineLbl>
              <c:layout>
                <c:manualLayout>
                  <c:x val="-0.39474311060172351"/>
                  <c:y val="-2.8169108986694703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Regressions!$BB$28:$BB$47</c:f>
              <c:numCache>
                <c:formatCode>General</c:formatCode>
                <c:ptCount val="20"/>
                <c:pt idx="0">
                  <c:v>65.286545822794324</c:v>
                </c:pt>
                <c:pt idx="1">
                  <c:v>56.30673416075421</c:v>
                </c:pt>
                <c:pt idx="2">
                  <c:v>76.543879738444403</c:v>
                </c:pt>
                <c:pt idx="3">
                  <c:v>70.386508259774928</c:v>
                </c:pt>
                <c:pt idx="4">
                  <c:v>65.286545822794324</c:v>
                </c:pt>
                <c:pt idx="5">
                  <c:v>56.30673416075421</c:v>
                </c:pt>
                <c:pt idx="6">
                  <c:v>76.543879738444403</c:v>
                </c:pt>
                <c:pt idx="7">
                  <c:v>70.386508259774928</c:v>
                </c:pt>
                <c:pt idx="8">
                  <c:v>77.105485443669565</c:v>
                </c:pt>
                <c:pt idx="9">
                  <c:v>66.378072672235419</c:v>
                </c:pt>
                <c:pt idx="10">
                  <c:v>25.272182991247323</c:v>
                </c:pt>
                <c:pt idx="11">
                  <c:v>72.524375821507135</c:v>
                </c:pt>
                <c:pt idx="12">
                  <c:v>70.147208463958691</c:v>
                </c:pt>
                <c:pt idx="13">
                  <c:v>70.147208463958691</c:v>
                </c:pt>
                <c:pt idx="14">
                  <c:v>70.147208463958691</c:v>
                </c:pt>
                <c:pt idx="15">
                  <c:v>70.147208463958691</c:v>
                </c:pt>
                <c:pt idx="16">
                  <c:v>70.147208463958691</c:v>
                </c:pt>
                <c:pt idx="17">
                  <c:v>70.147208463958691</c:v>
                </c:pt>
                <c:pt idx="18">
                  <c:v>70.147208463958691</c:v>
                </c:pt>
                <c:pt idx="19">
                  <c:v>70.147208463958691</c:v>
                </c:pt>
              </c:numCache>
            </c:numRef>
          </c:xVal>
          <c:yVal>
            <c:numRef>
              <c:f>Regressions!$BC$28:$BC$47</c:f>
              <c:numCache>
                <c:formatCode>0.0</c:formatCode>
                <c:ptCount val="20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25120"/>
        <c:axId val="172622208"/>
      </c:scatterChart>
      <c:valAx>
        <c:axId val="172325120"/>
        <c:scaling>
          <c:orientation val="minMax"/>
          <c:max val="80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(%)</a:t>
                </a:r>
              </a:p>
            </c:rich>
          </c:tx>
          <c:layout>
            <c:manualLayout>
              <c:xMode val="edge"/>
              <c:yMode val="edge"/>
              <c:x val="0.35154855643044619"/>
              <c:y val="0.839439724963957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22208"/>
        <c:crosses val="autoZero"/>
        <c:crossBetween val="midCat"/>
      </c:valAx>
      <c:valAx>
        <c:axId val="172622208"/>
        <c:scaling>
          <c:orientation val="minMax"/>
          <c:max val="8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recovery (%)</a:t>
                </a:r>
              </a:p>
            </c:rich>
          </c:tx>
          <c:layout>
            <c:manualLayout>
              <c:xMode val="edge"/>
              <c:yMode val="edge"/>
              <c:x val="4.0072859744990891E-2"/>
              <c:y val="0.1014088943107463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325120"/>
        <c:crosses val="autoZero"/>
        <c:crossBetween val="midCat"/>
        <c:majorUnit val="10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28495926410212"/>
          <c:y val="9.4444508493725918E-2"/>
          <c:w val="0.76779166628567252"/>
          <c:h val="0.6472226611481806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3"/>
            <c:backward val="7"/>
            <c:dispRSqr val="1"/>
            <c:dispEq val="1"/>
            <c:trendlineLbl>
              <c:layout>
                <c:manualLayout>
                  <c:x val="-0.35916741640240774"/>
                  <c:y val="-1.1111031991410444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Regressions!$BO$2:$BO$21</c:f>
              <c:numCache>
                <c:formatCode>0.00</c:formatCode>
                <c:ptCount val="20"/>
                <c:pt idx="0">
                  <c:v>65.051518017847542</c:v>
                </c:pt>
                <c:pt idx="1">
                  <c:v>56.26303718680937</c:v>
                </c:pt>
                <c:pt idx="2">
                  <c:v>76.37627321511502</c:v>
                </c:pt>
                <c:pt idx="3">
                  <c:v>70.362216571504092</c:v>
                </c:pt>
                <c:pt idx="4">
                  <c:v>65.051518017847542</c:v>
                </c:pt>
                <c:pt idx="5">
                  <c:v>56.26303718680937</c:v>
                </c:pt>
                <c:pt idx="6">
                  <c:v>76.37627321511502</c:v>
                </c:pt>
                <c:pt idx="7">
                  <c:v>70.362216571504092</c:v>
                </c:pt>
                <c:pt idx="8">
                  <c:v>76.428485992662019</c:v>
                </c:pt>
                <c:pt idx="9">
                  <c:v>65.606417381817607</c:v>
                </c:pt>
                <c:pt idx="10">
                  <c:v>27.197791012687627</c:v>
                </c:pt>
                <c:pt idx="11">
                  <c:v>72.749902966511115</c:v>
                </c:pt>
                <c:pt idx="12">
                  <c:v>70.327619505055125</c:v>
                </c:pt>
                <c:pt idx="13">
                  <c:v>70.327619505055125</c:v>
                </c:pt>
                <c:pt idx="14">
                  <c:v>70.327619505055125</c:v>
                </c:pt>
                <c:pt idx="15">
                  <c:v>70.327619505055125</c:v>
                </c:pt>
                <c:pt idx="16">
                  <c:v>70.327619505055125</c:v>
                </c:pt>
                <c:pt idx="17">
                  <c:v>70.327619505055125</c:v>
                </c:pt>
                <c:pt idx="18">
                  <c:v>70.327619505055125</c:v>
                </c:pt>
                <c:pt idx="19">
                  <c:v>70.327619505055125</c:v>
                </c:pt>
              </c:numCache>
            </c:numRef>
          </c:xVal>
          <c:yVal>
            <c:numRef>
              <c:f>Regressions!$BP$2:$BP$21</c:f>
              <c:numCache>
                <c:formatCode>0.00</c:formatCode>
                <c:ptCount val="20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55360"/>
        <c:axId val="172657280"/>
      </c:scatterChart>
      <c:valAx>
        <c:axId val="172655360"/>
        <c:scaling>
          <c:orientation val="minMax"/>
          <c:max val="80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(%)</a:t>
                </a:r>
              </a:p>
            </c:rich>
          </c:tx>
          <c:layout>
            <c:manualLayout>
              <c:xMode val="edge"/>
              <c:yMode val="edge"/>
              <c:x val="0.34831519655548671"/>
              <c:y val="0.8416671041119859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57280"/>
        <c:crosses val="autoZero"/>
        <c:crossBetween val="midCat"/>
      </c:valAx>
      <c:valAx>
        <c:axId val="172657280"/>
        <c:scaling>
          <c:orientation val="minMax"/>
          <c:max val="8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recovery (%)</a:t>
                </a:r>
              </a:p>
            </c:rich>
          </c:tx>
          <c:layout>
            <c:manualLayout>
              <c:xMode val="edge"/>
              <c:yMode val="edge"/>
              <c:x val="4.1198501872659173E-2"/>
              <c:y val="0.105555555555555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55360"/>
        <c:crosses val="autoZero"/>
        <c:crossBetween val="midCat"/>
        <c:majorUnit val="10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79069767441862"/>
          <c:y val="9.3199107071477327E-2"/>
          <c:w val="0.78073089700996678"/>
          <c:h val="0.64987485471462569"/>
        </c:manualLayout>
      </c:layout>
      <c:scatterChart>
        <c:scatterStyle val="lineMarker"/>
        <c:varyColors val="0"/>
        <c:ser>
          <c:idx val="1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3"/>
          <c:order val="2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000000"/>
                </a:solidFill>
                <a:prstDash val="lgDash"/>
              </a:ln>
            </c:spPr>
            <c:trendlineType val="linear"/>
            <c:forward val="3"/>
            <c:backward val="12"/>
            <c:dispRSqr val="0"/>
            <c:dispEq val="0"/>
          </c:trendline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0"/>
          <c:order val="3"/>
          <c:tx>
            <c:strRef>
              <c:f>'Confidence intervals'!$C$1</c:f>
              <c:strCache>
                <c:ptCount val="1"/>
                <c:pt idx="0">
                  <c:v>Recovery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('Confidence intervals'!$B$2:$B$78,'Confidence intervals'!$L$24:$L$26,'Confidence intervals'!$K$21:$K$39)</c:f>
              <c:numCache>
                <c:formatCode>0.00</c:formatCode>
                <c:ptCount val="99"/>
                <c:pt idx="0">
                  <c:v>65.286545822794324</c:v>
                </c:pt>
                <c:pt idx="1">
                  <c:v>56.30673416075421</c:v>
                </c:pt>
                <c:pt idx="2">
                  <c:v>76.543879738444403</c:v>
                </c:pt>
                <c:pt idx="3">
                  <c:v>70.386508259774928</c:v>
                </c:pt>
                <c:pt idx="4">
                  <c:v>65.286545822794324</c:v>
                </c:pt>
                <c:pt idx="5">
                  <c:v>56.30673416075421</c:v>
                </c:pt>
                <c:pt idx="6">
                  <c:v>76.543879738444403</c:v>
                </c:pt>
                <c:pt idx="7">
                  <c:v>70.386508259774928</c:v>
                </c:pt>
                <c:pt idx="8">
                  <c:v>77.105485443669565</c:v>
                </c:pt>
                <c:pt idx="9">
                  <c:v>66.378072672235419</c:v>
                </c:pt>
                <c:pt idx="10">
                  <c:v>25.272182991247323</c:v>
                </c:pt>
                <c:pt idx="11">
                  <c:v>72.524375821507135</c:v>
                </c:pt>
                <c:pt idx="12">
                  <c:v>70.147208463958691</c:v>
                </c:pt>
                <c:pt idx="13">
                  <c:v>70.147208463958691</c:v>
                </c:pt>
                <c:pt idx="14">
                  <c:v>70.147208463958691</c:v>
                </c:pt>
                <c:pt idx="15">
                  <c:v>70.147208463958691</c:v>
                </c:pt>
                <c:pt idx="16">
                  <c:v>70.147208463958691</c:v>
                </c:pt>
                <c:pt idx="17">
                  <c:v>70.147208463958691</c:v>
                </c:pt>
                <c:pt idx="18">
                  <c:v>70.147208463958691</c:v>
                </c:pt>
                <c:pt idx="19">
                  <c:v>70.147208463958691</c:v>
                </c:pt>
                <c:pt idx="77" formatCode="General">
                  <c:v>60.271268960440395</c:v>
                </c:pt>
                <c:pt idx="78" formatCode="General">
                  <c:v>62.210618859650403</c:v>
                </c:pt>
                <c:pt idx="79" formatCode="General">
                  <c:v>64.14996875886041</c:v>
                </c:pt>
                <c:pt idx="80" formatCode="General">
                  <c:v>54</c:v>
                </c:pt>
                <c:pt idx="81" formatCode="General">
                  <c:v>56</c:v>
                </c:pt>
                <c:pt idx="82" formatCode="General">
                  <c:v>58</c:v>
                </c:pt>
                <c:pt idx="83" formatCode="General">
                  <c:v>60</c:v>
                </c:pt>
                <c:pt idx="84" formatCode="General">
                  <c:v>62</c:v>
                </c:pt>
                <c:pt idx="85" formatCode="General">
                  <c:v>64</c:v>
                </c:pt>
                <c:pt idx="86" formatCode="General">
                  <c:v>66</c:v>
                </c:pt>
                <c:pt idx="87" formatCode="General">
                  <c:v>68</c:v>
                </c:pt>
                <c:pt idx="88" formatCode="General">
                  <c:v>70</c:v>
                </c:pt>
                <c:pt idx="89" formatCode="General">
                  <c:v>72</c:v>
                </c:pt>
                <c:pt idx="90" formatCode="General">
                  <c:v>74</c:v>
                </c:pt>
                <c:pt idx="91" formatCode="General">
                  <c:v>76</c:v>
                </c:pt>
                <c:pt idx="92" formatCode="General">
                  <c:v>78</c:v>
                </c:pt>
                <c:pt idx="93" formatCode="General">
                  <c:v>80</c:v>
                </c:pt>
                <c:pt idx="94" formatCode="General">
                  <c:v>82</c:v>
                </c:pt>
                <c:pt idx="95" formatCode="General">
                  <c:v>84</c:v>
                </c:pt>
                <c:pt idx="96" formatCode="General">
                  <c:v>86</c:v>
                </c:pt>
                <c:pt idx="97" formatCode="General">
                  <c:v>88</c:v>
                </c:pt>
                <c:pt idx="98" formatCode="General">
                  <c:v>90</c:v>
                </c:pt>
              </c:numCache>
            </c:numRef>
          </c:xVal>
          <c:yVal>
            <c:numRef>
              <c:f>'Confidence intervals'!$C$2:$C$78</c:f>
              <c:numCache>
                <c:formatCode>0.0</c:formatCode>
                <c:ptCount val="77"/>
                <c:pt idx="0">
                  <c:v>66.2</c:v>
                </c:pt>
                <c:pt idx="1">
                  <c:v>54.4</c:v>
                </c:pt>
                <c:pt idx="2">
                  <c:v>76.7</c:v>
                </c:pt>
                <c:pt idx="3">
                  <c:v>69.599999999999994</c:v>
                </c:pt>
                <c:pt idx="4">
                  <c:v>63.8</c:v>
                </c:pt>
                <c:pt idx="5">
                  <c:v>57.1</c:v>
                </c:pt>
                <c:pt idx="6">
                  <c:v>75.900000000000006</c:v>
                </c:pt>
                <c:pt idx="7">
                  <c:v>69.5</c:v>
                </c:pt>
                <c:pt idx="8">
                  <c:v>77.3</c:v>
                </c:pt>
                <c:pt idx="9">
                  <c:v>67.3</c:v>
                </c:pt>
                <c:pt idx="10">
                  <c:v>27.3</c:v>
                </c:pt>
                <c:pt idx="11">
                  <c:v>73.400000000000006</c:v>
                </c:pt>
                <c:pt idx="12">
                  <c:v>69.8</c:v>
                </c:pt>
                <c:pt idx="13">
                  <c:v>71.2</c:v>
                </c:pt>
                <c:pt idx="14">
                  <c:v>69.8</c:v>
                </c:pt>
                <c:pt idx="15">
                  <c:v>70.8</c:v>
                </c:pt>
                <c:pt idx="16">
                  <c:v>69.7</c:v>
                </c:pt>
                <c:pt idx="17">
                  <c:v>70</c:v>
                </c:pt>
                <c:pt idx="18">
                  <c:v>70.599999999999994</c:v>
                </c:pt>
                <c:pt idx="19">
                  <c:v>70.3</c:v>
                </c:pt>
              </c:numCache>
            </c:numRef>
          </c:yVal>
          <c:smooth val="0"/>
        </c:ser>
        <c:ser>
          <c:idx val="6"/>
          <c:order val="4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('Confidence intervals'!$O$4:$O$26,'Confidence intervals'!$K$21:$K$39)</c:f>
              <c:numCache>
                <c:formatCode>General</c:formatCode>
                <c:ptCount val="42"/>
                <c:pt idx="0">
                  <c:v>21.484270976240278</c:v>
                </c:pt>
                <c:pt idx="1">
                  <c:v>23.423620875450283</c:v>
                </c:pt>
                <c:pt idx="2">
                  <c:v>25.36297077466029</c:v>
                </c:pt>
                <c:pt idx="3">
                  <c:v>27.302320673870298</c:v>
                </c:pt>
                <c:pt idx="4">
                  <c:v>29.241670573080302</c:v>
                </c:pt>
                <c:pt idx="5">
                  <c:v>31.181020472290307</c:v>
                </c:pt>
                <c:pt idx="6">
                  <c:v>33.120370371500314</c:v>
                </c:pt>
                <c:pt idx="7">
                  <c:v>35.059720270710322</c:v>
                </c:pt>
                <c:pt idx="8">
                  <c:v>36.99907016992033</c:v>
                </c:pt>
                <c:pt idx="9">
                  <c:v>38.938420069130331</c:v>
                </c:pt>
                <c:pt idx="10">
                  <c:v>40.877769968340338</c:v>
                </c:pt>
                <c:pt idx="11">
                  <c:v>42.817119867550346</c:v>
                </c:pt>
                <c:pt idx="12">
                  <c:v>44.756469766760347</c:v>
                </c:pt>
                <c:pt idx="13">
                  <c:v>46.695819665970355</c:v>
                </c:pt>
                <c:pt idx="14">
                  <c:v>48.635169565180362</c:v>
                </c:pt>
                <c:pt idx="15">
                  <c:v>50.57451946439037</c:v>
                </c:pt>
                <c:pt idx="16">
                  <c:v>52.513869363600378</c:v>
                </c:pt>
                <c:pt idx="17">
                  <c:v>54.453219262810379</c:v>
                </c:pt>
                <c:pt idx="18">
                  <c:v>56.392569162020386</c:v>
                </c:pt>
                <c:pt idx="19">
                  <c:v>58.331919061230394</c:v>
                </c:pt>
                <c:pt idx="20">
                  <c:v>60.271268960440395</c:v>
                </c:pt>
                <c:pt idx="21">
                  <c:v>62.210618859650403</c:v>
                </c:pt>
                <c:pt idx="22">
                  <c:v>64.14996875886041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</c:numCache>
            </c:numRef>
          </c:xVal>
          <c:yVal>
            <c:numRef>
              <c:f>('Confidence intervals'!$P$4:$P$26,'Confidence intervals'!$P$21:$P$39)</c:f>
              <c:numCache>
                <c:formatCode>General</c:formatCode>
                <c:ptCount val="42"/>
                <c:pt idx="0">
                  <c:v>18.802446785662628</c:v>
                </c:pt>
                <c:pt idx="1">
                  <c:v>20.794566476306262</c:v>
                </c:pt>
                <c:pt idx="2">
                  <c:v>22.785401262367252</c:v>
                </c:pt>
                <c:pt idx="3">
                  <c:v>24.774872620932403</c:v>
                </c:pt>
                <c:pt idx="4">
                  <c:v>26.762897843996509</c:v>
                </c:pt>
                <c:pt idx="5">
                  <c:v>28.749390085666462</c:v>
                </c:pt>
                <c:pt idx="6">
                  <c:v>30.734258483007171</c:v>
                </c:pt>
                <c:pt idx="7">
                  <c:v>32.717408364875155</c:v>
                </c:pt>
                <c:pt idx="8">
                  <c:v>34.698741563703607</c:v>
                </c:pt>
                <c:pt idx="9">
                  <c:v>36.678156845190742</c:v>
                </c:pt>
                <c:pt idx="10">
                  <c:v>38.655550469964552</c:v>
                </c:pt>
                <c:pt idx="11">
                  <c:v>40.630816899299553</c:v>
                </c:pt>
                <c:pt idx="12">
                  <c:v>42.603849653606169</c:v>
                </c:pt>
                <c:pt idx="13">
                  <c:v>44.574542327505966</c:v>
                </c:pt>
                <c:pt idx="14">
                  <c:v>46.542789758748903</c:v>
                </c:pt>
                <c:pt idx="15">
                  <c:v>48.508489340071094</c:v>
                </c:pt>
                <c:pt idx="16">
                  <c:v>50.471542453583211</c:v>
                </c:pt>
                <c:pt idx="17">
                  <c:v>52.431855996913136</c:v>
                </c:pt>
                <c:pt idx="18">
                  <c:v>54.389343959850088</c:v>
                </c:pt>
                <c:pt idx="19">
                  <c:v>56.343929000627817</c:v>
                </c:pt>
                <c:pt idx="20">
                  <c:v>58.295543963369184</c:v>
                </c:pt>
                <c:pt idx="21">
                  <c:v>60.244133273737702</c:v>
                </c:pt>
                <c:pt idx="22">
                  <c:v>62.189654149491361</c:v>
                </c:pt>
                <c:pt idx="23">
                  <c:v>52.431855996913136</c:v>
                </c:pt>
                <c:pt idx="24">
                  <c:v>54.389343959850088</c:v>
                </c:pt>
                <c:pt idx="25">
                  <c:v>56.343929000627817</c:v>
                </c:pt>
                <c:pt idx="26">
                  <c:v>58.295543963369184</c:v>
                </c:pt>
                <c:pt idx="27">
                  <c:v>60.244133273737702</c:v>
                </c:pt>
                <c:pt idx="28">
                  <c:v>62.189654149491361</c:v>
                </c:pt>
                <c:pt idx="29">
                  <c:v>64.132077567054296</c:v>
                </c:pt>
                <c:pt idx="30">
                  <c:v>66.071388934546036</c:v>
                </c:pt>
                <c:pt idx="31">
                  <c:v>68.00758843546609</c:v>
                </c:pt>
                <c:pt idx="32">
                  <c:v>69.940691024349746</c:v>
                </c:pt>
                <c:pt idx="33">
                  <c:v>71.870726074633197</c:v>
                </c:pt>
                <c:pt idx="34">
                  <c:v>73.797736697864238</c:v>
                </c:pt>
                <c:pt idx="35">
                  <c:v>75.721778770447429</c:v>
                </c:pt>
                <c:pt idx="36">
                  <c:v>77.642919717771321</c:v>
                </c:pt>
                <c:pt idx="37">
                  <c:v>79.561237114771657</c:v>
                </c:pt>
                <c:pt idx="38">
                  <c:v>81.476817166281961</c:v>
                </c:pt>
                <c:pt idx="39">
                  <c:v>83.389753130061749</c:v>
                </c:pt>
                <c:pt idx="40">
                  <c:v>85.300143740824851</c:v>
                </c:pt>
                <c:pt idx="41">
                  <c:v>87.208091685911697</c:v>
                </c:pt>
              </c:numCache>
            </c:numRef>
          </c:yVal>
          <c:smooth val="1"/>
        </c:ser>
        <c:ser>
          <c:idx val="7"/>
          <c:order val="5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('Confidence intervals'!$O$4:$O$26,'Confidence intervals'!$K$21:$K$39)</c:f>
              <c:numCache>
                <c:formatCode>General</c:formatCode>
                <c:ptCount val="42"/>
                <c:pt idx="0">
                  <c:v>21.484270976240278</c:v>
                </c:pt>
                <c:pt idx="1">
                  <c:v>23.423620875450283</c:v>
                </c:pt>
                <c:pt idx="2">
                  <c:v>25.36297077466029</c:v>
                </c:pt>
                <c:pt idx="3">
                  <c:v>27.302320673870298</c:v>
                </c:pt>
                <c:pt idx="4">
                  <c:v>29.241670573080302</c:v>
                </c:pt>
                <c:pt idx="5">
                  <c:v>31.181020472290307</c:v>
                </c:pt>
                <c:pt idx="6">
                  <c:v>33.120370371500314</c:v>
                </c:pt>
                <c:pt idx="7">
                  <c:v>35.059720270710322</c:v>
                </c:pt>
                <c:pt idx="8">
                  <c:v>36.99907016992033</c:v>
                </c:pt>
                <c:pt idx="9">
                  <c:v>38.938420069130331</c:v>
                </c:pt>
                <c:pt idx="10">
                  <c:v>40.877769968340338</c:v>
                </c:pt>
                <c:pt idx="11">
                  <c:v>42.817119867550346</c:v>
                </c:pt>
                <c:pt idx="12">
                  <c:v>44.756469766760347</c:v>
                </c:pt>
                <c:pt idx="13">
                  <c:v>46.695819665970355</c:v>
                </c:pt>
                <c:pt idx="14">
                  <c:v>48.635169565180362</c:v>
                </c:pt>
                <c:pt idx="15">
                  <c:v>50.57451946439037</c:v>
                </c:pt>
                <c:pt idx="16">
                  <c:v>52.513869363600378</c:v>
                </c:pt>
                <c:pt idx="17">
                  <c:v>54.453219262810379</c:v>
                </c:pt>
                <c:pt idx="18">
                  <c:v>56.392569162020386</c:v>
                </c:pt>
                <c:pt idx="19">
                  <c:v>58.331919061230394</c:v>
                </c:pt>
                <c:pt idx="20">
                  <c:v>60.271268960440395</c:v>
                </c:pt>
                <c:pt idx="21">
                  <c:v>62.210618859650403</c:v>
                </c:pt>
                <c:pt idx="22">
                  <c:v>64.14996875886041</c:v>
                </c:pt>
                <c:pt idx="23">
                  <c:v>54</c:v>
                </c:pt>
                <c:pt idx="24">
                  <c:v>56</c:v>
                </c:pt>
                <c:pt idx="25">
                  <c:v>58</c:v>
                </c:pt>
                <c:pt idx="26">
                  <c:v>60</c:v>
                </c:pt>
                <c:pt idx="27">
                  <c:v>62</c:v>
                </c:pt>
                <c:pt idx="28">
                  <c:v>64</c:v>
                </c:pt>
                <c:pt idx="29">
                  <c:v>66</c:v>
                </c:pt>
                <c:pt idx="30">
                  <c:v>68</c:v>
                </c:pt>
                <c:pt idx="31">
                  <c:v>70</c:v>
                </c:pt>
                <c:pt idx="32">
                  <c:v>72</c:v>
                </c:pt>
                <c:pt idx="33">
                  <c:v>74</c:v>
                </c:pt>
                <c:pt idx="34">
                  <c:v>76</c:v>
                </c:pt>
                <c:pt idx="35">
                  <c:v>78</c:v>
                </c:pt>
                <c:pt idx="36">
                  <c:v>80</c:v>
                </c:pt>
                <c:pt idx="37">
                  <c:v>82</c:v>
                </c:pt>
                <c:pt idx="38">
                  <c:v>84</c:v>
                </c:pt>
                <c:pt idx="39">
                  <c:v>86</c:v>
                </c:pt>
                <c:pt idx="40">
                  <c:v>88</c:v>
                </c:pt>
                <c:pt idx="41">
                  <c:v>90</c:v>
                </c:pt>
              </c:numCache>
            </c:numRef>
          </c:xVal>
          <c:yVal>
            <c:numRef>
              <c:f>('Confidence intervals'!$Q$4:$Q$26,'Confidence intervals'!$Q$21:$Q$39)</c:f>
              <c:numCache>
                <c:formatCode>General</c:formatCode>
                <c:ptCount val="42"/>
                <c:pt idx="0">
                  <c:v>24.166095166817929</c:v>
                </c:pt>
                <c:pt idx="1">
                  <c:v>26.052675274594304</c:v>
                </c:pt>
                <c:pt idx="2">
                  <c:v>27.940540286953329</c:v>
                </c:pt>
                <c:pt idx="3">
                  <c:v>29.829768726808194</c:v>
                </c:pt>
                <c:pt idx="4">
                  <c:v>31.720443302164096</c:v>
                </c:pt>
                <c:pt idx="5">
                  <c:v>33.612650858914151</c:v>
                </c:pt>
                <c:pt idx="6">
                  <c:v>35.506482259993462</c:v>
                </c:pt>
                <c:pt idx="7">
                  <c:v>37.40203217654549</c:v>
                </c:pt>
                <c:pt idx="8">
                  <c:v>39.299398776137053</c:v>
                </c:pt>
                <c:pt idx="9">
                  <c:v>41.198683293069919</c:v>
                </c:pt>
                <c:pt idx="10">
                  <c:v>43.099989466716124</c:v>
                </c:pt>
                <c:pt idx="11">
                  <c:v>45.003422835801139</c:v>
                </c:pt>
                <c:pt idx="12">
                  <c:v>46.909089879914525</c:v>
                </c:pt>
                <c:pt idx="13">
                  <c:v>48.817097004434743</c:v>
                </c:pt>
                <c:pt idx="14">
                  <c:v>50.727549371611822</c:v>
                </c:pt>
                <c:pt idx="15">
                  <c:v>52.640549588709646</c:v>
                </c:pt>
                <c:pt idx="16">
                  <c:v>54.556196273617545</c:v>
                </c:pt>
                <c:pt idx="17">
                  <c:v>56.474582528707622</c:v>
                </c:pt>
                <c:pt idx="18">
                  <c:v>58.395794364190685</c:v>
                </c:pt>
                <c:pt idx="19">
                  <c:v>60.319909121832971</c:v>
                </c:pt>
                <c:pt idx="20">
                  <c:v>62.246993957511606</c:v>
                </c:pt>
                <c:pt idx="21">
                  <c:v>64.177104445563103</c:v>
                </c:pt>
                <c:pt idx="22">
                  <c:v>66.11028336822946</c:v>
                </c:pt>
                <c:pt idx="23">
                  <c:v>56.474582528707622</c:v>
                </c:pt>
                <c:pt idx="24">
                  <c:v>58.395794364190685</c:v>
                </c:pt>
                <c:pt idx="25">
                  <c:v>60.319909121832971</c:v>
                </c:pt>
                <c:pt idx="26">
                  <c:v>62.246993957511606</c:v>
                </c:pt>
                <c:pt idx="27">
                  <c:v>64.177104445563103</c:v>
                </c:pt>
                <c:pt idx="28">
                  <c:v>66.11028336822946</c:v>
                </c:pt>
                <c:pt idx="29">
                  <c:v>68.046559749086555</c:v>
                </c:pt>
                <c:pt idx="30">
                  <c:v>69.985948180014816</c:v>
                </c:pt>
                <c:pt idx="31">
                  <c:v>71.928448477514763</c:v>
                </c:pt>
                <c:pt idx="32">
                  <c:v>73.874045687051137</c:v>
                </c:pt>
                <c:pt idx="33">
                  <c:v>75.822710435187687</c:v>
                </c:pt>
                <c:pt idx="34">
                  <c:v>77.774399610376648</c:v>
                </c:pt>
                <c:pt idx="35">
                  <c:v>79.729057336213486</c:v>
                </c:pt>
                <c:pt idx="36">
                  <c:v>81.686616187309596</c:v>
                </c:pt>
                <c:pt idx="37">
                  <c:v>83.646998588729261</c:v>
                </c:pt>
                <c:pt idx="38">
                  <c:v>85.610118335638987</c:v>
                </c:pt>
                <c:pt idx="39">
                  <c:v>87.575882170279201</c:v>
                </c:pt>
                <c:pt idx="40">
                  <c:v>89.5441913579361</c:v>
                </c:pt>
                <c:pt idx="41">
                  <c:v>91.514943211269284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09472"/>
        <c:axId val="171211392"/>
      </c:scatterChart>
      <c:valAx>
        <c:axId val="171209472"/>
        <c:scaling>
          <c:orientation val="minMax"/>
          <c:max val="90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Predicted Recovery %</a:t>
                </a:r>
              </a:p>
            </c:rich>
          </c:tx>
          <c:layout>
            <c:manualLayout>
              <c:xMode val="edge"/>
              <c:yMode val="edge"/>
              <c:x val="0.37541528239202659"/>
              <c:y val="0.856424363831095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11392"/>
        <c:crossesAt val="20"/>
        <c:crossBetween val="midCat"/>
        <c:majorUnit val="10"/>
        <c:minorUnit val="5"/>
      </c:valAx>
      <c:valAx>
        <c:axId val="171211392"/>
        <c:scaling>
          <c:orientation val="minMax"/>
          <c:max val="90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Observed Recovery %</a:t>
                </a:r>
              </a:p>
            </c:rich>
          </c:tx>
          <c:layout>
            <c:manualLayout>
              <c:xMode val="edge"/>
              <c:yMode val="edge"/>
              <c:x val="3.6544850498338874E-2"/>
              <c:y val="0.14609571788413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209472"/>
        <c:crossesAt val="1"/>
        <c:crossBetween val="midCat"/>
        <c:majorUnit val="10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'3D graph recovery'!$M$3</c:f>
          <c:strCache>
            <c:ptCount val="1"/>
          </c:strCache>
        </c:strRef>
      </c:tx>
      <c:layout>
        <c:manualLayout>
          <c:xMode val="edge"/>
          <c:yMode val="edge"/>
          <c:x val="0.14000000000000001"/>
          <c:y val="1.799100449775112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34"/>
      <c:hPercent val="100"/>
      <c:rotY val="301"/>
      <c:depthPercent val="160"/>
      <c:rAngAx val="0"/>
      <c:perspective val="30"/>
    </c:view3D>
    <c:floor>
      <c:thickness val="0"/>
    </c:floor>
    <c:sideWall>
      <c:thickness val="0"/>
      <c:spPr>
        <a:noFill/>
        <a:ln w="12700">
          <a:solidFill>
            <a:srgbClr val="808080"/>
          </a:solidFill>
          <a:prstDash val="solid"/>
        </a:ln>
      </c:spPr>
    </c:sideWall>
    <c:backWall>
      <c:thickness val="0"/>
      <c:spPr>
        <a:noFill/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9700009619145323"/>
          <c:y val="1.3493263251135602E-2"/>
          <c:w val="0.475000231933707"/>
          <c:h val="0.90404863782608536"/>
        </c:manualLayout>
      </c:layout>
      <c:surface3DChart>
        <c:wireframe val="0"/>
        <c:ser>
          <c:idx val="0"/>
          <c:order val="0"/>
          <c:tx>
            <c:strRef>
              <c:f>'3D graph recovery'!$M$7</c:f>
              <c:strCache>
                <c:ptCount val="1"/>
                <c:pt idx="0">
                  <c:v>4.0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recovery'!$M$8:$M$32</c:f>
              <c:numCache>
                <c:formatCode>0.00</c:formatCode>
                <c:ptCount val="25"/>
                <c:pt idx="0">
                  <c:v>52.292690343874895</c:v>
                </c:pt>
                <c:pt idx="1">
                  <c:v>50.505260186112046</c:v>
                </c:pt>
                <c:pt idx="2">
                  <c:v>48.661627013839762</c:v>
                </c:pt>
                <c:pt idx="3">
                  <c:v>46.753431436813351</c:v>
                </c:pt>
                <c:pt idx="4">
                  <c:v>44.770026876604895</c:v>
                </c:pt>
                <c:pt idx="5">
                  <c:v>42.697529828792682</c:v>
                </c:pt>
                <c:pt idx="6">
                  <c:v>40.517310357251688</c:v>
                </c:pt>
                <c:pt idx="7">
                  <c:v>38.203467290274752</c:v>
                </c:pt>
                <c:pt idx="8">
                  <c:v>35.718324676033653</c:v>
                </c:pt>
                <c:pt idx="9">
                  <c:v>33.003695698089544</c:v>
                </c:pt>
                <c:pt idx="10">
                  <c:v>29.961875772390712</c:v>
                </c:pt>
                <c:pt idx="11">
                  <c:v>26.406698468880546</c:v>
                </c:pt>
                <c:pt idx="12">
                  <c:v>21.896725962016845</c:v>
                </c:pt>
                <c:pt idx="13">
                  <c:v>14.662356608234131</c:v>
                </c:pt>
                <c:pt idx="14">
                  <c:v>-15.362920920872019</c:v>
                </c:pt>
                <c:pt idx="15">
                  <c:v>-21.425658134564024</c:v>
                </c:pt>
                <c:pt idx="16">
                  <c:v>-24.920757491473307</c:v>
                </c:pt>
                <c:pt idx="17">
                  <c:v>-27.390620628524648</c:v>
                </c:pt>
                <c:pt idx="18">
                  <c:v>-29.261247873060448</c:v>
                </c:pt>
                <c:pt idx="19">
                  <c:v>-30.719644923398665</c:v>
                </c:pt>
                <c:pt idx="20">
                  <c:v>-31.865820381956734</c:v>
                </c:pt>
                <c:pt idx="21">
                  <c:v>-32.759373235017129</c:v>
                </c:pt>
                <c:pt idx="22">
                  <c:v>-33.438058060379511</c:v>
                </c:pt>
                <c:pt idx="23">
                  <c:v>-33.926428649677305</c:v>
                </c:pt>
                <c:pt idx="24">
                  <c:v>-34.240269647445906</c:v>
                </c:pt>
              </c:numCache>
            </c:numRef>
          </c:val>
        </c:ser>
        <c:ser>
          <c:idx val="1"/>
          <c:order val="1"/>
          <c:tx>
            <c:strRef>
              <c:f>'3D graph recovery'!$N$7</c:f>
              <c:strCache>
                <c:ptCount val="1"/>
                <c:pt idx="0">
                  <c:v>4.3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recovery'!$N$8:$N$32</c:f>
              <c:numCache>
                <c:formatCode>0.00</c:formatCode>
                <c:ptCount val="25"/>
                <c:pt idx="0">
                  <c:v>57.436219918571709</c:v>
                </c:pt>
                <c:pt idx="1">
                  <c:v>55.967417061449062</c:v>
                </c:pt>
                <c:pt idx="2">
                  <c:v>54.481098410296539</c:v>
                </c:pt>
                <c:pt idx="3">
                  <c:v>52.976530710243473</c:v>
                </c:pt>
                <c:pt idx="4">
                  <c:v>51.452944157010009</c:v>
                </c:pt>
                <c:pt idx="5">
                  <c:v>49.909534651345702</c:v>
                </c:pt>
                <c:pt idx="6">
                  <c:v>48.345468520450929</c:v>
                </c:pt>
                <c:pt idx="7">
                  <c:v>46.759890982649523</c:v>
                </c:pt>
                <c:pt idx="8">
                  <c:v>45.151940279326546</c:v>
                </c:pt>
                <c:pt idx="9">
                  <c:v>43.520770399498858</c:v>
                </c:pt>
                <c:pt idx="10">
                  <c:v>41.865586889178189</c:v>
                </c:pt>
                <c:pt idx="11">
                  <c:v>40.18570272080197</c:v>
                </c:pt>
                <c:pt idx="12">
                  <c:v>38.480625186040868</c:v>
                </c:pt>
                <c:pt idx="13">
                  <c:v>36.750191266535388</c:v>
                </c:pt>
                <c:pt idx="14">
                  <c:v>34.994779638041045</c:v>
                </c:pt>
                <c:pt idx="15">
                  <c:v>33.215645295553472</c:v>
                </c:pt>
                <c:pt idx="16">
                  <c:v>31.415452697881829</c:v>
                </c:pt>
                <c:pt idx="17">
                  <c:v>29.599133396092174</c:v>
                </c:pt>
                <c:pt idx="18">
                  <c:v>27.775276257205739</c:v>
                </c:pt>
                <c:pt idx="19">
                  <c:v>25.958385348135256</c:v>
                </c:pt>
                <c:pt idx="20">
                  <c:v>24.172506100954124</c:v>
                </c:pt>
                <c:pt idx="21">
                  <c:v>22.456821769638427</c:v>
                </c:pt>
                <c:pt idx="22">
                  <c:v>20.873423894368408</c:v>
                </c:pt>
                <c:pt idx="23">
                  <c:v>19.515314042232351</c:v>
                </c:pt>
                <c:pt idx="24">
                  <c:v>18.506797655880476</c:v>
                </c:pt>
              </c:numCache>
            </c:numRef>
          </c:val>
        </c:ser>
        <c:ser>
          <c:idx val="2"/>
          <c:order val="2"/>
          <c:tx>
            <c:strRef>
              <c:f>'3D graph recovery'!$O$7</c:f>
              <c:strCache>
                <c:ptCount val="1"/>
                <c:pt idx="0">
                  <c:v>4.5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recovery'!$O$8:$O$32</c:f>
              <c:numCache>
                <c:formatCode>0.00</c:formatCode>
                <c:ptCount val="25"/>
                <c:pt idx="0">
                  <c:v>61.287500341550292</c:v>
                </c:pt>
                <c:pt idx="1">
                  <c:v>60.003490211054569</c:v>
                </c:pt>
                <c:pt idx="2">
                  <c:v>58.717051282117573</c:v>
                </c:pt>
                <c:pt idx="3">
                  <c:v>57.42913718329882</c:v>
                </c:pt>
                <c:pt idx="4">
                  <c:v>56.140893504822579</c:v>
                </c:pt>
                <c:pt idx="5">
                  <c:v>54.853693264476256</c:v>
                </c:pt>
                <c:pt idx="6">
                  <c:v>53.569178772844047</c:v>
                </c:pt>
                <c:pt idx="7">
                  <c:v>52.289310845654249</c:v>
                </c:pt>
                <c:pt idx="8">
                  <c:v>51.016426303018861</c:v>
                </c:pt>
                <c:pt idx="9">
                  <c:v>49.753304577039131</c:v>
                </c:pt>
                <c:pt idx="10">
                  <c:v>48.503243946735424</c:v>
                </c:pt>
                <c:pt idx="11">
                  <c:v>47.270147325195886</c:v>
                </c:pt>
                <c:pt idx="12">
                  <c:v>46.058616489708974</c:v>
                </c:pt>
                <c:pt idx="13">
                  <c:v>44.874051979074544</c:v>
                </c:pt>
                <c:pt idx="14">
                  <c:v>43.722753358333719</c:v>
                </c:pt>
                <c:pt idx="15">
                  <c:v>42.612010953214167</c:v>
                </c:pt>
                <c:pt idx="16">
                  <c:v>41.550175370507041</c:v>
                </c:pt>
                <c:pt idx="17">
                  <c:v>40.546685309798526</c:v>
                </c:pt>
                <c:pt idx="18">
                  <c:v>39.612028049615866</c:v>
                </c:pt>
                <c:pt idx="19">
                  <c:v>38.757602155450975</c:v>
                </c:pt>
                <c:pt idx="20">
                  <c:v>37.995451143684569</c:v>
                </c:pt>
                <c:pt idx="21">
                  <c:v>37.337843763779226</c:v>
                </c:pt>
                <c:pt idx="22">
                  <c:v>36.796694916039904</c:v>
                </c:pt>
                <c:pt idx="23">
                  <c:v>36.382852450507606</c:v>
                </c:pt>
                <c:pt idx="24">
                  <c:v>36.105315447685058</c:v>
                </c:pt>
              </c:numCache>
            </c:numRef>
          </c:val>
        </c:ser>
        <c:ser>
          <c:idx val="3"/>
          <c:order val="3"/>
          <c:tx>
            <c:strRef>
              <c:f>'3D graph recovery'!$P$7</c:f>
              <c:strCache>
                <c:ptCount val="1"/>
                <c:pt idx="0">
                  <c:v>4.8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recovery'!$P$8:$P$32</c:f>
              <c:numCache>
                <c:formatCode>0.00</c:formatCode>
                <c:ptCount val="25"/>
                <c:pt idx="0">
                  <c:v>64.316750167095719</c:v>
                </c:pt>
                <c:pt idx="1">
                  <c:v>63.154212080439564</c:v>
                </c:pt>
                <c:pt idx="2">
                  <c:v>61.996558915625187</c:v>
                </c:pt>
                <c:pt idx="3">
                  <c:v>60.845202366630794</c:v>
                </c:pt>
                <c:pt idx="4">
                  <c:v>59.701748498911478</c:v>
                </c:pt>
                <c:pt idx="5">
                  <c:v>58.56802181265823</c:v>
                </c:pt>
                <c:pt idx="6">
                  <c:v>57.446091314495696</c:v>
                </c:pt>
                <c:pt idx="7">
                  <c:v>56.338298323376179</c:v>
                </c:pt>
                <c:pt idx="8">
                  <c:v>55.247285504527966</c:v>
                </c:pt>
                <c:pt idx="9">
                  <c:v>54.176026309735306</c:v>
                </c:pt>
                <c:pt idx="10">
                  <c:v>53.127853587004395</c:v>
                </c:pt>
                <c:pt idx="11">
                  <c:v>52.106485596032392</c:v>
                </c:pt>
                <c:pt idx="12">
                  <c:v>51.116047026283439</c:v>
                </c:pt>
                <c:pt idx="13">
                  <c:v>50.161081879567071</c:v>
                </c:pt>
                <c:pt idx="14">
                  <c:v>49.246554297940122</c:v>
                </c:pt>
                <c:pt idx="15">
                  <c:v>48.37783268549191</c:v>
                </c:pt>
                <c:pt idx="16">
                  <c:v>47.560651943466837</c:v>
                </c:pt>
                <c:pt idx="17">
                  <c:v>46.80104853230975</c:v>
                </c:pt>
                <c:pt idx="18">
                  <c:v>46.105263666670453</c:v>
                </c:pt>
                <c:pt idx="19">
                  <c:v>45.479611530087702</c:v>
                </c:pt>
                <c:pt idx="20">
                  <c:v>44.930312189973748</c:v>
                </c:pt>
                <c:pt idx="21">
                  <c:v>44.463292942443438</c:v>
                </c:pt>
                <c:pt idx="22">
                  <c:v>44.083966845984293</c:v>
                </c:pt>
                <c:pt idx="23">
                  <c:v>43.79700252757965</c:v>
                </c:pt>
                <c:pt idx="24">
                  <c:v>43.606103887065743</c:v>
                </c:pt>
              </c:numCache>
            </c:numRef>
          </c:val>
        </c:ser>
        <c:ser>
          <c:idx val="4"/>
          <c:order val="4"/>
          <c:tx>
            <c:strRef>
              <c:f>'3D graph recovery'!$Q$7</c:f>
              <c:strCache>
                <c:ptCount val="1"/>
                <c:pt idx="0">
                  <c:v>5.0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recovery'!$Q$8:$Q$32</c:f>
              <c:numCache>
                <c:formatCode>0.00</c:formatCode>
                <c:ptCount val="25"/>
                <c:pt idx="0">
                  <c:v>66.773871605395271</c:v>
                </c:pt>
                <c:pt idx="1">
                  <c:v>65.697434741356247</c:v>
                </c:pt>
                <c:pt idx="2">
                  <c:v>64.629912117826407</c:v>
                </c:pt>
                <c:pt idx="3">
                  <c:v>63.57282647333399</c:v>
                </c:pt>
                <c:pt idx="4">
                  <c:v>62.527867503458999</c:v>
                </c:pt>
                <c:pt idx="5">
                  <c:v>61.496906382593686</c:v>
                </c:pt>
                <c:pt idx="6">
                  <c:v>60.48201030131947</c:v>
                </c:pt>
                <c:pt idx="7">
                  <c:v>59.48545653066224</c:v>
                </c:pt>
                <c:pt idx="8">
                  <c:v>58.509745357236632</c:v>
                </c:pt>
                <c:pt idx="9">
                  <c:v>57.557611036662372</c:v>
                </c:pt>
                <c:pt idx="10">
                  <c:v>56.632029690559527</c:v>
                </c:pt>
                <c:pt idx="11">
                  <c:v>55.736222834601023</c:v>
                </c:pt>
                <c:pt idx="12">
                  <c:v>54.873654989311483</c:v>
                </c:pt>
                <c:pt idx="13">
                  <c:v>54.048023619784836</c:v>
                </c:pt>
                <c:pt idx="14">
                  <c:v>53.263239515718439</c:v>
                </c:pt>
                <c:pt idx="15">
                  <c:v>52.523395712054608</c:v>
                </c:pt>
                <c:pt idx="16">
                  <c:v>51.832723225812373</c:v>
                </c:pt>
                <c:pt idx="17">
                  <c:v>51.195532311838775</c:v>
                </c:pt>
                <c:pt idx="18">
                  <c:v>50.616138674686638</c:v>
                </c:pt>
                <c:pt idx="19">
                  <c:v>50.098775142733473</c:v>
                </c:pt>
                <c:pt idx="20">
                  <c:v>49.647490690682197</c:v>
                </c:pt>
                <c:pt idx="21">
                  <c:v>49.266040293516788</c:v>
                </c:pt>
                <c:pt idx="22">
                  <c:v>48.957770732869172</c:v>
                </c:pt>
                <c:pt idx="23">
                  <c:v>48.725508906163959</c:v>
                </c:pt>
                <c:pt idx="24">
                  <c:v>48.571460121309364</c:v>
                </c:pt>
              </c:numCache>
            </c:numRef>
          </c:val>
        </c:ser>
        <c:ser>
          <c:idx val="5"/>
          <c:order val="5"/>
          <c:tx>
            <c:strRef>
              <c:f>'3D graph recovery'!$R$7</c:f>
              <c:strCache>
                <c:ptCount val="1"/>
                <c:pt idx="0">
                  <c:v>5.3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recovery'!$R$8:$R$32</c:f>
              <c:numCache>
                <c:formatCode>0.00</c:formatCode>
                <c:ptCount val="25"/>
                <c:pt idx="0">
                  <c:v>68.809108130833536</c:v>
                </c:pt>
                <c:pt idx="1">
                  <c:v>67.796842304249509</c:v>
                </c:pt>
                <c:pt idx="2">
                  <c:v>66.795905676105463</c:v>
                </c:pt>
                <c:pt idx="3">
                  <c:v>65.807818780761679</c:v>
                </c:pt>
                <c:pt idx="4">
                  <c:v>64.834242363538294</c:v>
                </c:pt>
                <c:pt idx="5">
                  <c:v>63.876985912681491</c:v>
                </c:pt>
                <c:pt idx="6">
                  <c:v>62.938015422622776</c:v>
                </c:pt>
                <c:pt idx="7">
                  <c:v>62.019459934176481</c:v>
                </c:pt>
                <c:pt idx="8">
                  <c:v>61.12361629575804</c:v>
                </c:pt>
                <c:pt idx="9">
                  <c:v>60.252951482606022</c:v>
                </c:pt>
                <c:pt idx="10">
                  <c:v>59.410101705088216</c:v>
                </c:pt>
                <c:pt idx="11">
                  <c:v>58.59786744262022</c:v>
                </c:pt>
                <c:pt idx="12">
                  <c:v>57.819203470632274</c:v>
                </c:pt>
                <c:pt idx="13">
                  <c:v>57.077202922603732</c:v>
                </c:pt>
                <c:pt idx="14">
                  <c:v>56.37507446923847</c:v>
                </c:pt>
                <c:pt idx="15">
                  <c:v>55.716111826161374</c:v>
                </c:pt>
                <c:pt idx="16">
                  <c:v>55.103655042890068</c:v>
                </c:pt>
                <c:pt idx="17">
                  <c:v>54.541043396593366</c:v>
                </c:pt>
                <c:pt idx="18">
                  <c:v>54.031560220198649</c:v>
                </c:pt>
                <c:pt idx="19">
                  <c:v>53.578370623690319</c:v>
                </c:pt>
                <c:pt idx="20">
                  <c:v>53.184453784092192</c:v>
                </c:pt>
                <c:pt idx="21">
                  <c:v>52.852532220965408</c:v>
                </c:pt>
                <c:pt idx="22">
                  <c:v>52.585001152806264</c:v>
                </c:pt>
                <c:pt idx="23">
                  <c:v>52.383861542096945</c:v>
                </c:pt>
                <c:pt idx="24">
                  <c:v>52.250660679615798</c:v>
                </c:pt>
              </c:numCache>
            </c:numRef>
          </c:val>
        </c:ser>
        <c:ser>
          <c:idx val="6"/>
          <c:order val="6"/>
          <c:tx>
            <c:strRef>
              <c:f>'3D graph recovery'!$S$7</c:f>
              <c:strCache>
                <c:ptCount val="1"/>
                <c:pt idx="0">
                  <c:v>5.5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recovery'!$S$8:$S$32</c:f>
              <c:numCache>
                <c:formatCode>0.00</c:formatCode>
                <c:ptCount val="25"/>
                <c:pt idx="0">
                  <c:v>70.520313389631482</c:v>
                </c:pt>
                <c:pt idx="1">
                  <c:v>69.557603188250766</c:v>
                </c:pt>
                <c:pt idx="2">
                  <c:v>68.607758251468866</c:v>
                </c:pt>
                <c:pt idx="3">
                  <c:v>67.672259008145559</c:v>
                </c:pt>
                <c:pt idx="4">
                  <c:v>66.752704444454793</c:v>
                </c:pt>
                <c:pt idx="5">
                  <c:v>65.850816945258387</c:v>
                </c:pt>
                <c:pt idx="6">
                  <c:v>64.968446082247169</c:v>
                </c:pt>
                <c:pt idx="7">
                  <c:v>64.107570970719351</c:v>
                </c:pt>
                <c:pt idx="8">
                  <c:v>63.270300757314402</c:v>
                </c:pt>
                <c:pt idx="9">
                  <c:v>62.458872744976411</c:v>
                </c:pt>
                <c:pt idx="10">
                  <c:v>61.67564761471732</c:v>
                </c:pt>
                <c:pt idx="11">
                  <c:v>60.923101174018271</c:v>
                </c:pt>
                <c:pt idx="12">
                  <c:v>60.203812058319564</c:v>
                </c:pt>
                <c:pt idx="13">
                  <c:v>59.520444845764317</c:v>
                </c:pt>
                <c:pt idx="14">
                  <c:v>58.875728127510015</c:v>
                </c:pt>
                <c:pt idx="15">
                  <c:v>58.27242721706105</c:v>
                </c:pt>
                <c:pt idx="16">
                  <c:v>57.713311390046073</c:v>
                </c:pt>
                <c:pt idx="17">
                  <c:v>57.201115823354222</c:v>
                </c:pt>
                <c:pt idx="18">
                  <c:v>56.738498744408083</c:v>
                </c:pt>
                <c:pt idx="19">
                  <c:v>56.327994692209259</c:v>
                </c:pt>
                <c:pt idx="20">
                  <c:v>55.971965204552163</c:v>
                </c:pt>
                <c:pt idx="21">
                  <c:v>55.672548641986033</c:v>
                </c:pt>
                <c:pt idx="22">
                  <c:v>55.43161119156288</c:v>
                </c:pt>
                <c:pt idx="23">
                  <c:v>55.250701311833794</c:v>
                </c:pt>
                <c:pt idx="24">
                  <c:v>55.131009939305805</c:v>
                </c:pt>
              </c:numCache>
            </c:numRef>
          </c:val>
        </c:ser>
        <c:ser>
          <c:idx val="7"/>
          <c:order val="7"/>
          <c:tx>
            <c:strRef>
              <c:f>'3D graph recovery'!$T$7</c:f>
              <c:strCache>
                <c:ptCount val="1"/>
                <c:pt idx="0">
                  <c:v>5.8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recovery'!$T$8:$T$32</c:f>
              <c:numCache>
                <c:formatCode>0.00</c:formatCode>
                <c:ptCount val="25"/>
                <c:pt idx="0">
                  <c:v>71.974914288653665</c:v>
                </c:pt>
                <c:pt idx="1">
                  <c:v>71.051485713299812</c:v>
                </c:pt>
                <c:pt idx="2">
                  <c:v>70.141943353911245</c:v>
                </c:pt>
                <c:pt idx="3">
                  <c:v>69.247716834465351</c:v>
                </c:pt>
                <c:pt idx="4">
                  <c:v>68.37033745816403</c:v>
                </c:pt>
                <c:pt idx="5">
                  <c:v>67.511440723772793</c:v>
                </c:pt>
                <c:pt idx="6">
                  <c:v>66.67276771007468</c:v>
                </c:pt>
                <c:pt idx="7">
                  <c:v>65.856165020647325</c:v>
                </c:pt>
                <c:pt idx="8">
                  <c:v>65.063582946824766</c:v>
                </c:pt>
                <c:pt idx="9">
                  <c:v>64.297071478959211</c:v>
                </c:pt>
                <c:pt idx="10">
                  <c:v>63.558773779459223</c:v>
                </c:pt>
                <c:pt idx="11">
                  <c:v>62.850916730954289</c:v>
                </c:pt>
                <c:pt idx="12">
                  <c:v>62.175798195427568</c:v>
                </c:pt>
                <c:pt idx="13">
                  <c:v>61.535770671636435</c:v>
                </c:pt>
                <c:pt idx="14">
                  <c:v>60.933221124572526</c:v>
                </c:pt>
                <c:pt idx="15">
                  <c:v>60.370546886692601</c:v>
                </c:pt>
                <c:pt idx="16">
                  <c:v>59.850127698211821</c:v>
                </c:pt>
                <c:pt idx="17">
                  <c:v>59.374294161029574</c:v>
                </c:pt>
                <c:pt idx="18">
                  <c:v>58.945293120837135</c:v>
                </c:pt>
                <c:pt idx="19">
                  <c:v>58.565250751570552</c:v>
                </c:pt>
                <c:pt idx="20">
                  <c:v>58.23613437631564</c:v>
                </c:pt>
                <c:pt idx="21">
                  <c:v>57.959714294368581</c:v>
                </c:pt>
                <c:pt idx="22">
                  <c:v>57.737527067474815</c:v>
                </c:pt>
                <c:pt idx="23">
                  <c:v>57.570841821512332</c:v>
                </c:pt>
                <c:pt idx="24">
                  <c:v>57.460631119647424</c:v>
                </c:pt>
              </c:numCache>
            </c:numRef>
          </c:val>
        </c:ser>
        <c:ser>
          <c:idx val="8"/>
          <c:order val="8"/>
          <c:tx>
            <c:strRef>
              <c:f>'3D graph recovery'!$U$7</c:f>
              <c:strCache>
                <c:ptCount val="1"/>
                <c:pt idx="0">
                  <c:v>6.0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recovery'!$U$8:$U$32</c:f>
              <c:numCache>
                <c:formatCode>0.00</c:formatCode>
                <c:ptCount val="25"/>
                <c:pt idx="0">
                  <c:v>73.221361221429618</c:v>
                </c:pt>
                <c:pt idx="1">
                  <c:v>72.329688164349719</c:v>
                </c:pt>
                <c:pt idx="2">
                  <c:v>71.452603087500805</c:v>
                </c:pt>
                <c:pt idx="3">
                  <c:v>70.591484470044335</c:v>
                </c:pt>
                <c:pt idx="4">
                  <c:v>69.747799351824952</c:v>
                </c:pt>
                <c:pt idx="5">
                  <c:v>68.92310434179025</c:v>
                </c:pt>
                <c:pt idx="6">
                  <c:v>68.119045500589849</c:v>
                </c:pt>
                <c:pt idx="7">
                  <c:v>67.337356845866367</c:v>
                </c:pt>
                <c:pt idx="8">
                  <c:v>66.579857209580169</c:v>
                </c:pt>
                <c:pt idx="9">
                  <c:v>65.848445164903595</c:v>
                </c:pt>
                <c:pt idx="10">
                  <c:v>65.145091739184352</c:v>
                </c:pt>
                <c:pt idx="11">
                  <c:v>64.471830643042082</c:v>
                </c:pt>
                <c:pt idx="12">
                  <c:v>63.830745777855505</c:v>
                </c:pt>
                <c:pt idx="13">
                  <c:v>63.223955838572955</c:v>
                </c:pt>
                <c:pt idx="14">
                  <c:v>62.653595909095728</c:v>
                </c:pt>
                <c:pt idx="15">
                  <c:v>62.121796055240161</c:v>
                </c:pt>
                <c:pt idx="16">
                  <c:v>61.630657055173813</c:v>
                </c:pt>
                <c:pt idx="17">
                  <c:v>61.182223566070213</c:v>
                </c:pt>
                <c:pt idx="18">
                  <c:v>60.778455201888256</c:v>
                </c:pt>
                <c:pt idx="19">
                  <c:v>60.421196180226019</c:v>
                </c:pt>
                <c:pt idx="20">
                  <c:v>60.112144372113683</c:v>
                </c:pt>
                <c:pt idx="21">
                  <c:v>59.852820740640091</c:v>
                </c:pt>
                <c:pt idx="22">
                  <c:v>59.644540264507448</c:v>
                </c:pt>
                <c:pt idx="23">
                  <c:v>59.488385494029416</c:v>
                </c:pt>
                <c:pt idx="24">
                  <c:v>59.385183866324319</c:v>
                </c:pt>
              </c:numCache>
            </c:numRef>
          </c:val>
        </c:ser>
        <c:ser>
          <c:idx val="9"/>
          <c:order val="9"/>
          <c:tx>
            <c:strRef>
              <c:f>'3D graph recovery'!$V$7</c:f>
              <c:strCache>
                <c:ptCount val="1"/>
                <c:pt idx="0">
                  <c:v>6.3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recovery'!$V$8:$V$32</c:f>
              <c:numCache>
                <c:formatCode>0.00</c:formatCode>
                <c:ptCount val="25"/>
                <c:pt idx="0">
                  <c:v>74.295617203682966</c:v>
                </c:pt>
                <c:pt idx="1">
                  <c:v>73.430001446028342</c:v>
                </c:pt>
                <c:pt idx="2">
                  <c:v>72.579468882919983</c:v>
                </c:pt>
                <c:pt idx="3">
                  <c:v>71.745350405698147</c:v>
                </c:pt>
                <c:pt idx="4">
                  <c:v>70.929055192309534</c:v>
                </c:pt>
                <c:pt idx="5">
                  <c:v>70.132070710080001</c:v>
                </c:pt>
                <c:pt idx="6">
                  <c:v>69.355961631929546</c:v>
                </c:pt>
                <c:pt idx="7">
                  <c:v>68.60236745793884</c:v>
                </c:pt>
                <c:pt idx="8">
                  <c:v>67.872998624331643</c:v>
                </c:pt>
                <c:pt idx="9">
                  <c:v>67.169630879330597</c:v>
                </c:pt>
                <c:pt idx="10">
                  <c:v>66.494097712566813</c:v>
                </c:pt>
                <c:pt idx="11">
                  <c:v>65.848280644532593</c:v>
                </c:pt>
                <c:pt idx="12">
                  <c:v>65.234097217685701</c:v>
                </c:pt>
                <c:pt idx="13">
                  <c:v>64.65348658361296</c:v>
                </c:pt>
                <c:pt idx="14">
                  <c:v>64.10839265278112</c:v>
                </c:pt>
                <c:pt idx="15">
                  <c:v>63.600744865275573</c:v>
                </c:pt>
                <c:pt idx="16">
                  <c:v>63.132436751297405</c:v>
                </c:pt>
                <c:pt idx="17">
                  <c:v>62.705302575666053</c:v>
                </c:pt>
                <c:pt idx="18">
                  <c:v>62.321092495330191</c:v>
                </c:pt>
                <c:pt idx="19">
                  <c:v>61.98144679460367</c:v>
                </c:pt>
                <c:pt idx="20">
                  <c:v>61.687869888997739</c:v>
                </c:pt>
                <c:pt idx="21">
                  <c:v>61.441704893119798</c:v>
                </c:pt>
                <c:pt idx="22">
                  <c:v>61.244109618824524</c:v>
                </c:pt>
                <c:pt idx="23">
                  <c:v>61.09603489546781</c:v>
                </c:pt>
                <c:pt idx="24">
                  <c:v>60.998206076373663</c:v>
                </c:pt>
              </c:numCache>
            </c:numRef>
          </c:val>
        </c:ser>
        <c:ser>
          <c:idx val="10"/>
          <c:order val="10"/>
          <c:tx>
            <c:strRef>
              <c:f>'3D graph recovery'!$W$7</c:f>
              <c:strCache>
                <c:ptCount val="1"/>
                <c:pt idx="0">
                  <c:v>6.5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recovery'!$W$8:$W$32</c:f>
              <c:numCache>
                <c:formatCode>0.00</c:formatCode>
                <c:ptCount val="25"/>
                <c:pt idx="0">
                  <c:v>75.225076395480428</c:v>
                </c:pt>
                <c:pt idx="1">
                  <c:v>74.38108466003311</c:v>
                </c:pt>
                <c:pt idx="2">
                  <c:v>73.552532961381814</c:v>
                </c:pt>
                <c:pt idx="3">
                  <c:v>72.74070943518916</c:v>
                </c:pt>
                <c:pt idx="4">
                  <c:v>71.946972373868249</c:v>
                </c:pt>
                <c:pt idx="5">
                  <c:v>71.172749541834392</c:v>
                </c:pt>
                <c:pt idx="6">
                  <c:v>70.419536454190407</c:v>
                </c:pt>
                <c:pt idx="7">
                  <c:v>69.688893443977278</c:v>
                </c:pt>
                <c:pt idx="8">
                  <c:v>68.982441339142582</c:v>
                </c:pt>
                <c:pt idx="9">
                  <c:v>68.301855573203426</c:v>
                </c:pt>
                <c:pt idx="10">
                  <c:v>67.64885856521073</c:v>
                </c:pt>
                <c:pt idx="11">
                  <c:v>67.025210227086248</c:v>
                </c:pt>
                <c:pt idx="12">
                  <c:v>66.432696491585062</c:v>
                </c:pt>
                <c:pt idx="13">
                  <c:v>65.873115803510856</c:v>
                </c:pt>
                <c:pt idx="14">
                  <c:v>65.34826358116166</c:v>
                </c:pt>
                <c:pt idx="15">
                  <c:v>64.859914734053959</c:v>
                </c:pt>
                <c:pt idx="16">
                  <c:v>64.40980441514867</c:v>
                </c:pt>
                <c:pt idx="17">
                  <c:v>63.999607287836447</c:v>
                </c:pt>
                <c:pt idx="18">
                  <c:v>63.630915694807413</c:v>
                </c:pt>
                <c:pt idx="19">
                  <c:v>63.305217220880685</c:v>
                </c:pt>
                <c:pt idx="20">
                  <c:v>63.023872236732338</c:v>
                </c:pt>
                <c:pt idx="21">
                  <c:v>62.788092086238656</c:v>
                </c:pt>
                <c:pt idx="22">
                  <c:v>62.598918627896083</c:v>
                </c:pt>
                <c:pt idx="23">
                  <c:v>62.457205852661524</c:v>
                </c:pt>
                <c:pt idx="24">
                  <c:v>62.363604271007866</c:v>
                </c:pt>
              </c:numCache>
            </c:numRef>
          </c:val>
        </c:ser>
        <c:ser>
          <c:idx val="11"/>
          <c:order val="11"/>
          <c:tx>
            <c:strRef>
              <c:f>'3D graph recovery'!$X$7</c:f>
              <c:strCache>
                <c:ptCount val="1"/>
                <c:pt idx="0">
                  <c:v>6.8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recovery'!$X$8:$X$32</c:f>
              <c:numCache>
                <c:formatCode>0.00</c:formatCode>
                <c:ptCount val="25"/>
                <c:pt idx="0">
                  <c:v>76.031051514076069</c:v>
                </c:pt>
                <c:pt idx="1">
                  <c:v>75.205154503741682</c:v>
                </c:pt>
                <c:pt idx="2">
                  <c:v>74.394959022658199</c:v>
                </c:pt>
                <c:pt idx="3">
                  <c:v>73.601715472832623</c:v>
                </c:pt>
                <c:pt idx="4">
                  <c:v>72.82673791375737</c:v>
                </c:pt>
                <c:pt idx="5">
                  <c:v>72.071402897446362</c:v>
                </c:pt>
                <c:pt idx="6">
                  <c:v>71.337147317775461</c:v>
                </c:pt>
                <c:pt idx="7">
                  <c:v>70.62546512480175</c:v>
                </c:pt>
                <c:pt idx="8">
                  <c:v>69.937902754527357</c:v>
                </c:pt>
                <c:pt idx="9">
                  <c:v>69.276053130663257</c:v>
                </c:pt>
                <c:pt idx="10">
                  <c:v>68.641548108905397</c:v>
                </c:pt>
                <c:pt idx="11">
                  <c:v>68.036049257595081</c:v>
                </c:pt>
                <c:pt idx="12">
                  <c:v>67.461236902718383</c:v>
                </c:pt>
                <c:pt idx="13">
                  <c:v>66.91879741092913</c:v>
                </c:pt>
                <c:pt idx="14">
                  <c:v>66.410408741935839</c:v>
                </c:pt>
                <c:pt idx="15">
                  <c:v>65.937724370570777</c:v>
                </c:pt>
                <c:pt idx="16">
                  <c:v>65.502355757438878</c:v>
                </c:pt>
                <c:pt idx="17">
                  <c:v>65.105853632225703</c:v>
                </c:pt>
                <c:pt idx="18">
                  <c:v>64.749688441177739</c:v>
                </c:pt>
                <c:pt idx="19">
                  <c:v>64.435230394365846</c:v>
                </c:pt>
                <c:pt idx="20">
                  <c:v>64.163729622544167</c:v>
                </c:pt>
                <c:pt idx="21">
                  <c:v>63.936297010705886</c:v>
                </c:pt>
                <c:pt idx="22">
                  <c:v>63.753886309009189</c:v>
                </c:pt>
                <c:pt idx="23">
                  <c:v>63.617278125827482</c:v>
                </c:pt>
                <c:pt idx="24">
                  <c:v>63.527066378347349</c:v>
                </c:pt>
              </c:numCache>
            </c:numRef>
          </c:val>
        </c:ser>
        <c:ser>
          <c:idx val="12"/>
          <c:order val="12"/>
          <c:tx>
            <c:strRef>
              <c:f>'3D graph recovery'!$Y$7</c:f>
              <c:strCache>
                <c:ptCount val="1"/>
                <c:pt idx="0">
                  <c:v>7.0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recovery'!$Y$8:$Y$32</c:f>
              <c:numCache>
                <c:formatCode>0.00</c:formatCode>
                <c:ptCount val="25"/>
                <c:pt idx="0">
                  <c:v>76.730417821235989</c:v>
                </c:pt>
                <c:pt idx="1">
                  <c:v>75.91974967986296</c:v>
                </c:pt>
                <c:pt idx="2">
                  <c:v>75.124977304376429</c:v>
                </c:pt>
                <c:pt idx="3">
                  <c:v>74.347318138167267</c:v>
                </c:pt>
                <c:pt idx="4">
                  <c:v>73.588048039558345</c:v>
                </c:pt>
                <c:pt idx="5">
                  <c:v>72.848499775235027</c:v>
                </c:pt>
                <c:pt idx="6">
                  <c:v>72.130060575550601</c:v>
                </c:pt>
                <c:pt idx="7">
                  <c:v>71.434168622175662</c:v>
                </c:pt>
                <c:pt idx="8">
                  <c:v>70.762308340826507</c:v>
                </c:pt>
                <c:pt idx="9">
                  <c:v>70.116004379879854</c:v>
                </c:pt>
                <c:pt idx="10">
                  <c:v>69.496814170821921</c:v>
                </c:pt>
                <c:pt idx="11">
                  <c:v>68.906318989869717</c:v>
                </c:pt>
                <c:pt idx="12">
                  <c:v>68.34611347268887</c:v>
                </c:pt>
                <c:pt idx="13">
                  <c:v>67.817793576480227</c:v>
                </c:pt>
                <c:pt idx="14">
                  <c:v>67.322943035795774</c:v>
                </c:pt>
                <c:pt idx="15">
                  <c:v>66.863118419492849</c:v>
                </c:pt>
                <c:pt idx="16">
                  <c:v>66.439832964530638</c:v>
                </c:pt>
                <c:pt idx="17">
                  <c:v>66.054539435106037</c:v>
                </c:pt>
                <c:pt idx="18">
                  <c:v>65.708612329120626</c:v>
                </c:pt>
                <c:pt idx="19">
                  <c:v>65.403329823428592</c:v>
                </c:pt>
                <c:pt idx="20">
                  <c:v>65.139855909325945</c:v>
                </c:pt>
                <c:pt idx="21">
                  <c:v>64.919223214638876</c:v>
                </c:pt>
                <c:pt idx="22">
                  <c:v>64.742317033173507</c:v>
                </c:pt>
                <c:pt idx="23">
                  <c:v>64.609861081760044</c:v>
                </c:pt>
                <c:pt idx="24">
                  <c:v>64.522405476769677</c:v>
                </c:pt>
              </c:numCache>
            </c:numRef>
          </c:val>
        </c:ser>
        <c:ser>
          <c:idx val="13"/>
          <c:order val="13"/>
          <c:tx>
            <c:strRef>
              <c:f>'3D graph recovery'!$Z$7</c:f>
              <c:strCache>
                <c:ptCount val="1"/>
                <c:pt idx="0">
                  <c:v>7.3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recovery'!$Z$8:$Z$32</c:f>
              <c:numCache>
                <c:formatCode>0.00</c:formatCode>
                <c:ptCount val="25"/>
                <c:pt idx="0">
                  <c:v>77.336736457956448</c:v>
                </c:pt>
                <c:pt idx="1">
                  <c:v>76.538929208843413</c:v>
                </c:pt>
                <c:pt idx="2">
                  <c:v>75.757163581942649</c:v>
                </c:pt>
                <c:pt idx="3">
                  <c:v>74.992628435437965</c:v>
                </c:pt>
                <c:pt idx="4">
                  <c:v>74.246566783101443</c:v>
                </c:pt>
                <c:pt idx="5">
                  <c:v>73.520274040945807</c:v>
                </c:pt>
                <c:pt idx="6">
                  <c:v>72.815095378437306</c:v>
                </c:pt>
                <c:pt idx="7">
                  <c:v>72.132422060211709</c:v>
                </c:pt>
                <c:pt idx="8">
                  <c:v>71.473686668152695</c:v>
                </c:pt>
                <c:pt idx="9">
                  <c:v>70.840357102974068</c:v>
                </c:pt>
                <c:pt idx="10">
                  <c:v>70.233929280132784</c:v>
                </c:pt>
                <c:pt idx="11">
                  <c:v>69.655918457912534</c:v>
                </c:pt>
                <c:pt idx="12">
                  <c:v>69.107849166552072</c:v>
                </c:pt>
                <c:pt idx="13">
                  <c:v>68.591243746671125</c:v>
                </c:pt>
                <c:pt idx="14">
                  <c:v>68.107609552769304</c:v>
                </c:pt>
                <c:pt idx="15">
                  <c:v>67.658424932372029</c:v>
                </c:pt>
                <c:pt idx="16">
                  <c:v>67.245124151810856</c:v>
                </c:pt>
                <c:pt idx="17">
                  <c:v>66.869081503136499</c:v>
                </c:pt>
                <c:pt idx="18">
                  <c:v>66.531594889908391</c:v>
                </c:pt>
                <c:pt idx="19">
                  <c:v>66.233869248490791</c:v>
                </c:pt>
                <c:pt idx="20">
                  <c:v>65.977000211432454</c:v>
                </c:pt>
                <c:pt idx="21">
                  <c:v>65.761958455796844</c:v>
                </c:pt>
                <c:pt idx="22">
                  <c:v>65.58957519755711</c:v>
                </c:pt>
                <c:pt idx="23">
                  <c:v>65.460529289821608</c:v>
                </c:pt>
                <c:pt idx="24">
                  <c:v>65.375336355502526</c:v>
                </c:pt>
              </c:numCache>
            </c:numRef>
          </c:val>
        </c:ser>
        <c:ser>
          <c:idx val="14"/>
          <c:order val="14"/>
          <c:tx>
            <c:strRef>
              <c:f>'3D graph recovery'!$AA$7</c:f>
              <c:strCache>
                <c:ptCount val="1"/>
                <c:pt idx="0">
                  <c:v>7.5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recovery'!$AA$8:$AA$32</c:f>
              <c:numCache>
                <c:formatCode>0.00</c:formatCode>
                <c:ptCount val="25"/>
                <c:pt idx="0">
                  <c:v>77.86104377211403</c:v>
                </c:pt>
                <c:pt idx="1">
                  <c:v>77.074110172937395</c:v>
                </c:pt>
                <c:pt idx="2">
                  <c:v>76.303328659565551</c:v>
                </c:pt>
                <c:pt idx="3">
                  <c:v>75.549863445612402</c:v>
                </c:pt>
                <c:pt idx="4">
                  <c:v>74.814929422123583</c:v>
                </c:pt>
                <c:pt idx="5">
                  <c:v>74.099790223661259</c:v>
                </c:pt>
                <c:pt idx="6">
                  <c:v>73.40575543635623</c:v>
                </c:pt>
                <c:pt idx="7">
                  <c:v>72.734176846059924</c:v>
                </c:pt>
                <c:pt idx="8">
                  <c:v>72.086443629760495</c:v>
                </c:pt>
                <c:pt idx="9">
                  <c:v>71.463976403446793</c:v>
                </c:pt>
                <c:pt idx="10">
                  <c:v>70.868220055476328</c:v>
                </c:pt>
                <c:pt idx="11">
                  <c:v>70.300635316970585</c:v>
                </c:pt>
                <c:pt idx="12">
                  <c:v>69.762689050335226</c:v>
                </c:pt>
                <c:pt idx="13">
                  <c:v>69.25584327384496</c:v>
                </c:pt>
                <c:pt idx="14">
                  <c:v>68.781542984031958</c:v>
                </c:pt>
                <c:pt idx="15">
                  <c:v>68.341202887463993</c:v>
                </c:pt>
                <c:pt idx="16">
                  <c:v>67.93619320780266</c:v>
                </c:pt>
                <c:pt idx="17">
                  <c:v>67.567824790474589</c:v>
                </c:pt>
                <c:pt idx="18">
                  <c:v>67.23733378284868</c:v>
                </c:pt>
                <c:pt idx="19">
                  <c:v>66.945866218887389</c:v>
                </c:pt>
                <c:pt idx="20">
                  <c:v>66.694462879861817</c:v>
                </c:pt>
                <c:pt idx="21">
                  <c:v>66.484044832863233</c:v>
                </c:pt>
                <c:pt idx="22">
                  <c:v>66.315400062820245</c:v>
                </c:pt>
                <c:pt idx="23">
                  <c:v>66.189171608616775</c:v>
                </c:pt>
                <c:pt idx="24">
                  <c:v>66.105847587948261</c:v>
                </c:pt>
              </c:numCache>
            </c:numRef>
          </c:val>
        </c:ser>
        <c:ser>
          <c:idx val="15"/>
          <c:order val="15"/>
          <c:tx>
            <c:strRef>
              <c:f>'3D graph recovery'!$AB$7</c:f>
              <c:strCache>
                <c:ptCount val="1"/>
                <c:pt idx="0">
                  <c:v>7.8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recovery'!$AB$8:$AB$32</c:f>
              <c:numCache>
                <c:formatCode>0.00</c:formatCode>
                <c:ptCount val="25"/>
                <c:pt idx="0">
                  <c:v>78.312419306358734</c:v>
                </c:pt>
                <c:pt idx="1">
                  <c:v>77.534667955676511</c:v>
                </c:pt>
                <c:pt idx="2">
                  <c:v>76.773152877616823</c:v>
                </c:pt>
                <c:pt idx="3">
                  <c:v>76.029017170296413</c:v>
                </c:pt>
                <c:pt idx="4">
                  <c:v>75.303451761393703</c:v>
                </c:pt>
                <c:pt idx="5">
                  <c:v>74.597693340750084</c:v>
                </c:pt>
                <c:pt idx="6">
                  <c:v>73.913021467203265</c:v>
                </c:pt>
                <c:pt idx="7">
                  <c:v>73.250754757444213</c:v>
                </c:pt>
                <c:pt idx="8">
                  <c:v>72.612246070484403</c:v>
                </c:pt>
                <c:pt idx="9">
                  <c:v>71.998876611781313</c:v>
                </c:pt>
                <c:pt idx="10">
                  <c:v>71.412048896935417</c:v>
                </c:pt>
                <c:pt idx="11">
                  <c:v>70.853178536746881</c:v>
                </c:pt>
                <c:pt idx="12">
                  <c:v>70.323684833687381</c:v>
                </c:pt>
                <c:pt idx="13">
                  <c:v>69.824980214551246</c:v>
                </c:pt>
                <c:pt idx="14">
                  <c:v>69.358458564818775</c:v>
                </c:pt>
                <c:pt idx="15">
                  <c:v>68.925482576173508</c:v>
                </c:pt>
                <c:pt idx="16">
                  <c:v>68.527370268140402</c:v>
                </c:pt>
                <c:pt idx="17">
                  <c:v>68.165380895804432</c:v>
                </c:pt>
                <c:pt idx="18">
                  <c:v>67.840700505276232</c:v>
                </c:pt>
                <c:pt idx="19">
                  <c:v>67.554427443772454</c:v>
                </c:pt>
                <c:pt idx="20">
                  <c:v>67.307558168359222</c:v>
                </c:pt>
                <c:pt idx="21">
                  <c:v>67.100973723058559</c:v>
                </c:pt>
                <c:pt idx="22">
                  <c:v>66.935427264959927</c:v>
                </c:pt>
                <c:pt idx="23">
                  <c:v>66.811533013734604</c:v>
                </c:pt>
                <c:pt idx="24">
                  <c:v>66.729756974091742</c:v>
                </c:pt>
              </c:numCache>
            </c:numRef>
          </c:val>
        </c:ser>
        <c:ser>
          <c:idx val="16"/>
          <c:order val="16"/>
          <c:tx>
            <c:strRef>
              <c:f>'3D graph recovery'!$AC$7</c:f>
              <c:strCache>
                <c:ptCount val="1"/>
                <c:pt idx="0">
                  <c:v>8.0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recovery'!$AC$8:$AC$32</c:f>
              <c:numCache>
                <c:formatCode>0.00</c:formatCode>
                <c:ptCount val="25"/>
                <c:pt idx="0">
                  <c:v>78.698402978546738</c:v>
                </c:pt>
                <c:pt idx="1">
                  <c:v>77.928375489350643</c:v>
                </c:pt>
                <c:pt idx="2">
                  <c:v>77.174648687453171</c:v>
                </c:pt>
                <c:pt idx="3">
                  <c:v>76.438347714062289</c:v>
                </c:pt>
                <c:pt idx="4">
                  <c:v>75.720643208390825</c:v>
                </c:pt>
                <c:pt idx="5">
                  <c:v>75.022749140824203</c:v>
                </c:pt>
                <c:pt idx="6">
                  <c:v>74.345919847793652</c:v>
                </c:pt>
                <c:pt idx="7">
                  <c:v>73.691446183827352</c:v>
                </c:pt>
                <c:pt idx="8">
                  <c:v>73.060650712572041</c:v>
                </c:pt>
                <c:pt idx="9">
                  <c:v>72.45488186929731</c:v>
                </c:pt>
                <c:pt idx="10">
                  <c:v>71.875507043152808</c:v>
                </c:pt>
                <c:pt idx="11">
                  <c:v>71.32390454874951</c:v>
                </c:pt>
                <c:pt idx="12">
                  <c:v>70.801454483766705</c:v>
                </c:pt>
                <c:pt idx="13">
                  <c:v>70.309528502220545</c:v>
                </c:pt>
                <c:pt idx="14">
                  <c:v>69.849478571338807</c:v>
                </c:pt>
                <c:pt idx="15">
                  <c:v>69.422624822753136</c:v>
                </c:pt>
                <c:pt idx="16">
                  <c:v>69.03024265448704</c:v>
                </c:pt>
                <c:pt idx="17">
                  <c:v>68.673549286968111</c:v>
                </c:pt>
                <c:pt idx="18">
                  <c:v>68.35369002149838</c:v>
                </c:pt>
                <c:pt idx="19">
                  <c:v>68.071724490337814</c:v>
                </c:pt>
                <c:pt idx="20">
                  <c:v>67.828613220638687</c:v>
                </c:pt>
                <c:pt idx="21">
                  <c:v>67.625204856780627</c:v>
                </c:pt>
                <c:pt idx="22">
                  <c:v>67.462224394398675</c:v>
                </c:pt>
                <c:pt idx="23">
                  <c:v>67.34026277242107</c:v>
                </c:pt>
                <c:pt idx="24">
                  <c:v>67.259768145538573</c:v>
                </c:pt>
              </c:numCache>
            </c:numRef>
          </c:val>
        </c:ser>
        <c:ser>
          <c:idx val="17"/>
          <c:order val="17"/>
          <c:tx>
            <c:strRef>
              <c:f>'3D graph recovery'!$AD$7</c:f>
              <c:strCache>
                <c:ptCount val="1"/>
                <c:pt idx="0">
                  <c:v>8.3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recovery'!$AD$8:$AD$32</c:f>
              <c:numCache>
                <c:formatCode>0.00</c:formatCode>
                <c:ptCount val="25"/>
                <c:pt idx="0">
                  <c:v>79.025307010882031</c:v>
                </c:pt>
                <c:pt idx="1">
                  <c:v>78.261730638725709</c:v>
                </c:pt>
                <c:pt idx="2">
                  <c:v>77.514504299534281</c:v>
                </c:pt>
                <c:pt idx="3">
                  <c:v>76.784738011877124</c:v>
                </c:pt>
                <c:pt idx="4">
                  <c:v>76.073585390119078</c:v>
                </c:pt>
                <c:pt idx="5">
                  <c:v>75.382241403172571</c:v>
                </c:pt>
                <c:pt idx="6">
                  <c:v>74.711939358056043</c:v>
                </c:pt>
                <c:pt idx="7">
                  <c:v>74.063947029837578</c:v>
                </c:pt>
                <c:pt idx="8">
                  <c:v>73.439561866227962</c:v>
                </c:pt>
                <c:pt idx="9">
                  <c:v>72.840105205950834</c:v>
                </c:pt>
                <c:pt idx="10">
                  <c:v>72.266915465623768</c:v>
                </c:pt>
                <c:pt idx="11">
                  <c:v>71.721340270660789</c:v>
                </c:pt>
                <c:pt idx="12">
                  <c:v>71.204727531871654</c:v>
                </c:pt>
                <c:pt idx="13">
                  <c:v>70.718415500904555</c:v>
                </c:pt>
                <c:pt idx="14">
                  <c:v>70.263721873999856</c:v>
                </c:pt>
                <c:pt idx="15">
                  <c:v>69.841932053784234</c:v>
                </c:pt>
                <c:pt idx="16">
                  <c:v>69.45428672163672</c:v>
                </c:pt>
                <c:pt idx="17">
                  <c:v>69.101968916596448</c:v>
                </c:pt>
                <c:pt idx="18">
                  <c:v>68.786090858497502</c:v>
                </c:pt>
                <c:pt idx="19">
                  <c:v>68.50768079029946</c:v>
                </c:pt>
                <c:pt idx="20">
                  <c:v>68.267670144544212</c:v>
                </c:pt>
                <c:pt idx="21">
                  <c:v>68.066881358671878</c:v>
                </c:pt>
                <c:pt idx="22">
                  <c:v>67.906016671054786</c:v>
                </c:pt>
                <c:pt idx="23">
                  <c:v>67.785648222153242</c:v>
                </c:pt>
                <c:pt idx="24">
                  <c:v>67.706209762127116</c:v>
                </c:pt>
              </c:numCache>
            </c:numRef>
          </c:val>
        </c:ser>
        <c:ser>
          <c:idx val="18"/>
          <c:order val="18"/>
          <c:tx>
            <c:strRef>
              <c:f>'3D graph recovery'!$AE$7</c:f>
              <c:strCache>
                <c:ptCount val="1"/>
                <c:pt idx="0">
                  <c:v>8.5</c:v>
                </c:pt>
              </c:strCache>
            </c:strRef>
          </c:tx>
          <c:spPr>
            <a:solidFill>
              <a:srgbClr val="CCFF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recovery'!$AE$8:$AE$32</c:f>
              <c:numCache>
                <c:formatCode>0.00</c:formatCode>
                <c:ptCount val="25"/>
                <c:pt idx="0">
                  <c:v>79.298452840712969</c:v>
                </c:pt>
                <c:pt idx="1">
                  <c:v>78.540204158499421</c:v>
                </c:pt>
                <c:pt idx="2">
                  <c:v>77.798343220577351</c:v>
                </c:pt>
                <c:pt idx="3">
                  <c:v>77.073967477571244</c:v>
                </c:pt>
                <c:pt idx="4">
                  <c:v>76.368216436091984</c:v>
                </c:pt>
                <c:pt idx="5">
                  <c:v>75.682269361749363</c:v>
                </c:pt>
                <c:pt idx="6">
                  <c:v>75.017342226111467</c:v>
                </c:pt>
                <c:pt idx="7">
                  <c:v>74.374683824024146</c:v>
                </c:pt>
                <c:pt idx="8">
                  <c:v>73.755570994643577</c:v>
                </c:pt>
                <c:pt idx="9">
                  <c:v>73.161302890471902</c:v>
                </c:pt>
                <c:pt idx="10">
                  <c:v>72.593194254128505</c:v>
                </c:pt>
                <c:pt idx="11">
                  <c:v>72.05256768290775</c:v>
                </c:pt>
                <c:pt idx="12">
                  <c:v>71.540744886533787</c:v>
                </c:pt>
                <c:pt idx="13">
                  <c:v>71.059036973803359</c:v>
                </c:pt>
                <c:pt idx="14">
                  <c:v>70.608733838533681</c:v>
                </c:pt>
                <c:pt idx="15">
                  <c:v>70.191092753507448</c:v>
                </c:pt>
                <c:pt idx="16">
                  <c:v>69.80732632157607</c:v>
                </c:pt>
                <c:pt idx="17">
                  <c:v>69.458589973935759</c:v>
                </c:pt>
                <c:pt idx="18">
                  <c:v>69.145969244602014</c:v>
                </c:pt>
                <c:pt idx="19">
                  <c:v>68.870467084743865</c:v>
                </c:pt>
                <c:pt idx="20">
                  <c:v>68.63299150811855</c:v>
                </c:pt>
                <c:pt idx="21">
                  <c:v>68.434343876751115</c:v>
                </c:pt>
                <c:pt idx="22">
                  <c:v>68.275208141933106</c:v>
                </c:pt>
                <c:pt idx="23">
                  <c:v>68.156141347842691</c:v>
                </c:pt>
                <c:pt idx="24">
                  <c:v>68.077565682707942</c:v>
                </c:pt>
              </c:numCache>
            </c:numRef>
          </c:val>
        </c:ser>
        <c:ser>
          <c:idx val="19"/>
          <c:order val="19"/>
          <c:tx>
            <c:strRef>
              <c:f>'3D graph recovery'!$AF$7</c:f>
              <c:strCache>
                <c:ptCount val="1"/>
                <c:pt idx="0">
                  <c:v>8.8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recovery'!$AF$8:$AF$32</c:f>
              <c:numCache>
                <c:formatCode>0.00</c:formatCode>
                <c:ptCount val="25"/>
                <c:pt idx="0">
                  <c:v>79.522353558950854</c:v>
                </c:pt>
                <c:pt idx="1">
                  <c:v>78.76843017064769</c:v>
                </c:pt>
                <c:pt idx="2">
                  <c:v>78.030923128120037</c:v>
                </c:pt>
                <c:pt idx="3">
                  <c:v>77.310919629882093</c:v>
                </c:pt>
                <c:pt idx="4">
                  <c:v>76.609547701125891</c:v>
                </c:pt>
                <c:pt idx="5">
                  <c:v>75.927973855171942</c:v>
                </c:pt>
                <c:pt idx="6">
                  <c:v>75.267400014424652</c:v>
                </c:pt>
                <c:pt idx="7">
                  <c:v>74.629059621034358</c:v>
                </c:pt>
                <c:pt idx="8">
                  <c:v>74.014212874583009</c:v>
                </c:pt>
                <c:pt idx="9">
                  <c:v>73.424141045080404</c:v>
                </c:pt>
                <c:pt idx="10">
                  <c:v>72.860139824844168</c:v>
                </c:pt>
                <c:pt idx="11">
                  <c:v>72.323511702768485</c:v>
                </c:pt>
                <c:pt idx="12">
                  <c:v>71.815557369189577</c:v>
                </c:pt>
                <c:pt idx="13">
                  <c:v>71.337566188882988</c:v>
                </c:pt>
                <c:pt idx="14">
                  <c:v>70.89080581319071</c:v>
                </c:pt>
                <c:pt idx="15">
                  <c:v>70.476511038991092</c:v>
                </c:pt>
                <c:pt idx="16">
                  <c:v>70.095872060876161</c:v>
                </c:pt>
                <c:pt idx="17">
                  <c:v>69.750022301750477</c:v>
                </c:pt>
                <c:pt idx="18">
                  <c:v>69.440026043993555</c:v>
                </c:pt>
                <c:pt idx="19">
                  <c:v>69.16686611593596</c:v>
                </c:pt>
                <c:pt idx="20">
                  <c:v>68.931431914164037</c:v>
                </c:pt>
                <c:pt idx="21">
                  <c:v>68.734508058641097</c:v>
                </c:pt>
                <c:pt idx="22">
                  <c:v>68.576763982673711</c:v>
                </c:pt>
                <c:pt idx="23">
                  <c:v>68.458744751771988</c:v>
                </c:pt>
                <c:pt idx="24">
                  <c:v>68.380863383635415</c:v>
                </c:pt>
              </c:numCache>
            </c:numRef>
          </c:val>
        </c:ser>
        <c:ser>
          <c:idx val="20"/>
          <c:order val="20"/>
          <c:tx>
            <c:strRef>
              <c:f>'3D graph recovery'!$AG$7</c:f>
              <c:strCache>
                <c:ptCount val="1"/>
                <c:pt idx="0">
                  <c:v>9.0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recovery'!$AG$8:$AG$32</c:f>
              <c:numCache>
                <c:formatCode>0.00</c:formatCode>
                <c:ptCount val="25"/>
                <c:pt idx="0">
                  <c:v>79.70085613477697</c:v>
                </c:pt>
                <c:pt idx="1">
                  <c:v>78.950354332475953</c:v>
                </c:pt>
                <c:pt idx="2">
                  <c:v>78.216290227163412</c:v>
                </c:pt>
                <c:pt idx="3">
                  <c:v>77.499742878147615</c:v>
                </c:pt>
                <c:pt idx="4">
                  <c:v>76.801831212178925</c:v>
                </c:pt>
                <c:pt idx="5">
                  <c:v>76.123711654306732</c:v>
                </c:pt>
                <c:pt idx="6">
                  <c:v>75.466575030549748</c:v>
                </c:pt>
                <c:pt idx="7">
                  <c:v>74.831642675492077</c:v>
                </c:pt>
                <c:pt idx="8">
                  <c:v>74.220161685154437</c:v>
                </c:pt>
                <c:pt idx="9">
                  <c:v>73.633399266468345</c:v>
                </c:pt>
                <c:pt idx="10">
                  <c:v>73.072636149831368</c:v>
                </c:pt>
                <c:pt idx="11">
                  <c:v>72.539159050838606</c:v>
                </c:pt>
                <c:pt idx="12">
                  <c:v>72.03425219146888</c:v>
                </c:pt>
                <c:pt idx="13">
                  <c:v>71.559187919585639</c:v>
                </c:pt>
                <c:pt idx="14">
                  <c:v>71.115216498097439</c:v>
                </c:pt>
                <c:pt idx="15">
                  <c:v>70.703555170636761</c:v>
                </c:pt>
                <c:pt idx="16">
                  <c:v>70.325376647876595</c:v>
                </c:pt>
                <c:pt idx="17">
                  <c:v>69.981797195927925</c:v>
                </c:pt>
                <c:pt idx="18">
                  <c:v>69.673864543608971</c:v>
                </c:pt>
                <c:pt idx="19">
                  <c:v>69.402545856455077</c:v>
                </c:pt>
                <c:pt idx="20">
                  <c:v>69.168716049740738</c:v>
                </c:pt>
                <c:pt idx="21">
                  <c:v>68.973146728190258</c:v>
                </c:pt>
                <c:pt idx="22">
                  <c:v>68.816496044442516</c:v>
                </c:pt>
                <c:pt idx="23">
                  <c:v>68.699299760218722</c:v>
                </c:pt>
                <c:pt idx="24">
                  <c:v>68.62196377277013</c:v>
                </c:pt>
              </c:numCache>
            </c:numRef>
          </c:val>
        </c:ser>
        <c:ser>
          <c:idx val="21"/>
          <c:order val="21"/>
          <c:tx>
            <c:strRef>
              <c:f>'3D graph recovery'!$AH$7</c:f>
              <c:strCache>
                <c:ptCount val="1"/>
                <c:pt idx="0">
                  <c:v>9.3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recovery'!$AH$8:$AH$32</c:f>
              <c:numCache>
                <c:formatCode>0.00</c:formatCode>
                <c:ptCount val="25"/>
                <c:pt idx="0">
                  <c:v>79.837253508200561</c:v>
                </c:pt>
                <c:pt idx="1">
                  <c:v>79.089350384714521</c:v>
                </c:pt>
                <c:pt idx="2">
                  <c:v>78.35790042430466</c:v>
                </c:pt>
                <c:pt idx="3">
                  <c:v>77.643976488257579</c:v>
                </c:pt>
                <c:pt idx="4">
                  <c:v>76.948690584584369</c:v>
                </c:pt>
                <c:pt idx="5">
                  <c:v>76.273191476963191</c:v>
                </c:pt>
                <c:pt idx="6">
                  <c:v>75.618661574838953</c:v>
                </c:pt>
                <c:pt idx="7">
                  <c:v>74.986313039953004</c:v>
                </c:pt>
                <c:pt idx="8">
                  <c:v>74.377383051894981</c:v>
                </c:pt>
                <c:pt idx="9">
                  <c:v>73.793128186244331</c:v>
                </c:pt>
                <c:pt idx="10">
                  <c:v>73.234817873908938</c:v>
                </c:pt>
                <c:pt idx="11">
                  <c:v>72.703726929641761</c:v>
                </c:pt>
                <c:pt idx="12">
                  <c:v>72.201127161505482</c:v>
                </c:pt>
                <c:pt idx="13">
                  <c:v>71.728278101075844</c:v>
                </c:pt>
                <c:pt idx="14">
                  <c:v>71.286416925928009</c:v>
                </c:pt>
                <c:pt idx="15">
                  <c:v>70.876747680573033</c:v>
                </c:pt>
                <c:pt idx="16">
                  <c:v>70.500429938241396</c:v>
                </c:pt>
                <c:pt idx="17">
                  <c:v>70.158567082109613</c:v>
                </c:pt>
                <c:pt idx="18">
                  <c:v>69.852194418753726</c:v>
                </c:pt>
                <c:pt idx="19">
                  <c:v>69.58226736656934</c:v>
                </c:pt>
                <c:pt idx="20">
                  <c:v>69.34964998530883</c:v>
                </c:pt>
                <c:pt idx="21">
                  <c:v>69.155104127516353</c:v>
                </c:pt>
                <c:pt idx="22">
                  <c:v>68.999279496563133</c:v>
                </c:pt>
                <c:pt idx="23">
                  <c:v>68.88270488778052</c:v>
                </c:pt>
                <c:pt idx="24">
                  <c:v>68.805780868155082</c:v>
                </c:pt>
              </c:numCache>
            </c:numRef>
          </c:val>
        </c:ser>
        <c:ser>
          <c:idx val="22"/>
          <c:order val="22"/>
          <c:tx>
            <c:strRef>
              <c:f>'3D graph recovery'!$AI$7</c:f>
              <c:strCache>
                <c:ptCount val="1"/>
                <c:pt idx="0">
                  <c:v>9.5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recovery'!$AI$8:$AI$32</c:f>
              <c:numCache>
                <c:formatCode>0.00</c:formatCode>
                <c:ptCount val="25"/>
                <c:pt idx="0">
                  <c:v>79.934373798460982</c:v>
                </c:pt>
                <c:pt idx="1">
                  <c:v>79.188312740870657</c:v>
                </c:pt>
                <c:pt idx="2">
                  <c:v>78.458715418106365</c:v>
                </c:pt>
                <c:pt idx="3">
                  <c:v>77.746650289804137</c:v>
                </c:pt>
                <c:pt idx="4">
                  <c:v>77.053224455537233</c:v>
                </c:pt>
                <c:pt idx="5">
                  <c:v>76.379581248904827</c:v>
                </c:pt>
                <c:pt idx="6">
                  <c:v>75.726897119396952</c:v>
                </c:pt>
                <c:pt idx="7">
                  <c:v>75.096377738814084</c:v>
                </c:pt>
                <c:pt idx="8">
                  <c:v>74.489253276391509</c:v>
                </c:pt>
                <c:pt idx="9">
                  <c:v>73.906772797748616</c:v>
                </c:pt>
                <c:pt idx="10">
                  <c:v>73.350197757739352</c:v>
                </c:pt>
                <c:pt idx="11">
                  <c:v>72.820794576480992</c:v>
                </c:pt>
                <c:pt idx="12">
                  <c:v>72.319826311346333</c:v>
                </c:pt>
                <c:pt idx="13">
                  <c:v>71.848543465331588</c:v>
                </c:pt>
                <c:pt idx="14">
                  <c:v>71.408174003454278</c:v>
                </c:pt>
                <c:pt idx="15">
                  <c:v>70.999912682835642</c:v>
                </c:pt>
                <c:pt idx="16">
                  <c:v>70.624909837636054</c:v>
                </c:pt>
                <c:pt idx="17">
                  <c:v>70.284259795431296</c:v>
                </c:pt>
                <c:pt idx="18">
                  <c:v>69.97898913500174</c:v>
                </c:pt>
                <c:pt idx="19">
                  <c:v>69.710045024690075</c:v>
                </c:pt>
                <c:pt idx="20">
                  <c:v>69.478283903210581</c:v>
                </c:pt>
                <c:pt idx="21">
                  <c:v>69.28446077889312</c:v>
                </c:pt>
                <c:pt idx="22">
                  <c:v>69.129219426949177</c:v>
                </c:pt>
                <c:pt idx="23">
                  <c:v>69.013083756087838</c:v>
                </c:pt>
                <c:pt idx="24">
                  <c:v>68.936450595015856</c:v>
                </c:pt>
              </c:numCache>
            </c:numRef>
          </c:val>
        </c:ser>
        <c:ser>
          <c:idx val="23"/>
          <c:order val="23"/>
          <c:tx>
            <c:strRef>
              <c:f>'3D graph recovery'!$AJ$7</c:f>
              <c:strCache>
                <c:ptCount val="1"/>
                <c:pt idx="0">
                  <c:v>9.8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recovery'!$AJ$8:$AJ$32</c:f>
              <c:numCache>
                <c:formatCode>0.00</c:formatCode>
                <c:ptCount val="25"/>
                <c:pt idx="0">
                  <c:v>79.994651917768905</c:v>
                </c:pt>
                <c:pt idx="1">
                  <c:v>79.249730693399201</c:v>
                </c:pt>
                <c:pt idx="2">
                  <c:v>78.521279583086255</c:v>
                </c:pt>
                <c:pt idx="3">
                  <c:v>77.810364319505368</c:v>
                </c:pt>
                <c:pt idx="4">
                  <c:v>77.118088963380103</c:v>
                </c:pt>
                <c:pt idx="5">
                  <c:v>76.445593488659185</c:v>
                </c:pt>
                <c:pt idx="6">
                  <c:v>75.794050659563183</c:v>
                </c:pt>
                <c:pt idx="7">
                  <c:v>75.164662137199841</c:v>
                </c:pt>
                <c:pt idx="8">
                  <c:v>74.558653760850078</c:v>
                </c:pt>
                <c:pt idx="9">
                  <c:v>73.977269959989897</c:v>
                </c:pt>
                <c:pt idx="10">
                  <c:v>73.421767268018087</c:v>
                </c:pt>
                <c:pt idx="11">
                  <c:v>72.893406927751087</c:v>
                </c:pt>
                <c:pt idx="12">
                  <c:v>72.393446602082108</c:v>
                </c:pt>
                <c:pt idx="13">
                  <c:v>71.923131230585412</c:v>
                </c:pt>
                <c:pt idx="14">
                  <c:v>71.483683103775462</c:v>
                </c:pt>
                <c:pt idx="15">
                  <c:v>71.076291260349521</c:v>
                </c:pt>
                <c:pt idx="16">
                  <c:v>70.702100347819226</c:v>
                </c:pt>
                <c:pt idx="17">
                  <c:v>70.362199121880451</c:v>
                </c:pt>
                <c:pt idx="18">
                  <c:v>70.057608792765862</c:v>
                </c:pt>
                <c:pt idx="19">
                  <c:v>69.78927145553962</c:v>
                </c:pt>
                <c:pt idx="20">
                  <c:v>69.558038863605105</c:v>
                </c:pt>
                <c:pt idx="21">
                  <c:v>69.364661818478041</c:v>
                </c:pt>
                <c:pt idx="22">
                  <c:v>69.209780452289507</c:v>
                </c:pt>
                <c:pt idx="23">
                  <c:v>69.093915671193855</c:v>
                </c:pt>
                <c:pt idx="24">
                  <c:v>69.017462007210526</c:v>
                </c:pt>
              </c:numCache>
            </c:numRef>
          </c:val>
        </c:ser>
        <c:ser>
          <c:idx val="24"/>
          <c:order val="24"/>
          <c:tx>
            <c:strRef>
              <c:f>'3D graph recovery'!$AK$7</c:f>
              <c:strCache>
                <c:ptCount val="1"/>
                <c:pt idx="0">
                  <c:v>10.0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'3D graph recovery'!$L$8:$L$32</c:f>
              <c:numCache>
                <c:formatCode>0.0</c:formatCode>
                <c:ptCount val="25"/>
                <c:pt idx="0">
                  <c:v>15</c:v>
                </c:pt>
                <c:pt idx="1">
                  <c:v>15.416666666666666</c:v>
                </c:pt>
                <c:pt idx="2">
                  <c:v>15.833333333333332</c:v>
                </c:pt>
                <c:pt idx="3">
                  <c:v>16.25</c:v>
                </c:pt>
                <c:pt idx="4">
                  <c:v>16.666666666666668</c:v>
                </c:pt>
                <c:pt idx="5">
                  <c:v>17.083333333333336</c:v>
                </c:pt>
                <c:pt idx="6">
                  <c:v>17.500000000000004</c:v>
                </c:pt>
                <c:pt idx="7">
                  <c:v>17.916666666666671</c:v>
                </c:pt>
                <c:pt idx="8">
                  <c:v>18.333333333333339</c:v>
                </c:pt>
                <c:pt idx="9">
                  <c:v>18.750000000000007</c:v>
                </c:pt>
                <c:pt idx="10">
                  <c:v>19.166666666666675</c:v>
                </c:pt>
                <c:pt idx="11">
                  <c:v>19.583333333333343</c:v>
                </c:pt>
                <c:pt idx="12">
                  <c:v>20.000000000000011</c:v>
                </c:pt>
                <c:pt idx="13">
                  <c:v>20.416666666666679</c:v>
                </c:pt>
                <c:pt idx="14">
                  <c:v>20.833333333333346</c:v>
                </c:pt>
                <c:pt idx="15">
                  <c:v>21.250000000000014</c:v>
                </c:pt>
                <c:pt idx="16">
                  <c:v>21.666666666666682</c:v>
                </c:pt>
                <c:pt idx="17">
                  <c:v>22.08333333333335</c:v>
                </c:pt>
                <c:pt idx="18">
                  <c:v>22.500000000000018</c:v>
                </c:pt>
                <c:pt idx="19">
                  <c:v>22.916666666666686</c:v>
                </c:pt>
                <c:pt idx="20">
                  <c:v>23.333333333333353</c:v>
                </c:pt>
                <c:pt idx="21">
                  <c:v>23.750000000000021</c:v>
                </c:pt>
                <c:pt idx="22">
                  <c:v>24.166666666666689</c:v>
                </c:pt>
                <c:pt idx="23">
                  <c:v>24.583333333333357</c:v>
                </c:pt>
                <c:pt idx="24">
                  <c:v>25.000000000000025</c:v>
                </c:pt>
              </c:numCache>
            </c:numRef>
          </c:cat>
          <c:val>
            <c:numRef>
              <c:f>'3D graph recovery'!$AK$8:$AK$32</c:f>
              <c:numCache>
                <c:formatCode>0.00</c:formatCode>
                <c:ptCount val="25"/>
                <c:pt idx="0">
                  <c:v>80.020187503091165</c:v>
                </c:pt>
                <c:pt idx="1">
                  <c:v>79.275748350671975</c:v>
                </c:pt>
                <c:pt idx="2">
                  <c:v>78.547781972977816</c:v>
                </c:pt>
                <c:pt idx="3">
                  <c:v>77.837352948618062</c:v>
                </c:pt>
                <c:pt idx="4">
                  <c:v>77.145564052734002</c:v>
                </c:pt>
                <c:pt idx="5">
                  <c:v>76.47355383847038</c:v>
                </c:pt>
                <c:pt idx="6">
                  <c:v>75.82249351204743</c:v>
                </c:pt>
                <c:pt idx="7">
                  <c:v>75.193583039519368</c:v>
                </c:pt>
                <c:pt idx="8">
                  <c:v>74.588046430720198</c:v>
                </c:pt>
                <c:pt idx="9">
                  <c:v>74.0071261568594</c:v>
                </c:pt>
                <c:pt idx="10">
                  <c:v>73.452076673110867</c:v>
                </c:pt>
                <c:pt idx="11">
                  <c:v>72.924157036584603</c:v>
                </c:pt>
                <c:pt idx="12">
                  <c:v>72.424622633333357</c:v>
                </c:pt>
                <c:pt idx="13">
                  <c:v>71.954716055327125</c:v>
                </c:pt>
                <c:pt idx="14">
                  <c:v>71.515657199126281</c:v>
                </c:pt>
                <c:pt idx="15">
                  <c:v>71.108632691441443</c:v>
                </c:pt>
                <c:pt idx="16">
                  <c:v>70.73478478166308</c:v>
                </c:pt>
                <c:pt idx="17">
                  <c:v>70.395199876186567</c:v>
                </c:pt>
                <c:pt idx="18">
                  <c:v>70.090896922049879</c:v>
                </c:pt>
                <c:pt idx="19">
                  <c:v>69.822815875918849</c:v>
                </c:pt>
                <c:pt idx="20">
                  <c:v>69.591806516593394</c:v>
                </c:pt>
                <c:pt idx="21">
                  <c:v>69.398617872855255</c:v>
                </c:pt>
                <c:pt idx="22">
                  <c:v>69.243888541811714</c:v>
                </c:pt>
                <c:pt idx="23">
                  <c:v>69.128138164586147</c:v>
                </c:pt>
                <c:pt idx="24">
                  <c:v>69.051760305624697</c:v>
                </c:pt>
              </c:numCache>
            </c:numRef>
          </c:val>
        </c:ser>
        <c:bandFmts>
          <c:bandFmt>
            <c:idx val="0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1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2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3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4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5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6"/>
            <c:spPr>
              <a:solidFill>
                <a:srgbClr val="C0C0C0"/>
              </a:solidFill>
              <a:ln w="25400">
                <a:noFill/>
              </a:ln>
            </c:spPr>
          </c:bandFmt>
          <c:bandFmt>
            <c:idx val="7"/>
            <c:spPr>
              <a:solidFill>
                <a:srgbClr val="C0C0C0"/>
              </a:solidFill>
              <a:ln w="25400">
                <a:noFill/>
              </a:ln>
            </c:spPr>
          </c:bandFmt>
        </c:bandFmts>
        <c:axId val="172518400"/>
        <c:axId val="172528768"/>
        <c:axId val="172519424"/>
      </c:surface3DChart>
      <c:catAx>
        <c:axId val="1725184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VF diameter
(mm)</a:t>
                </a:r>
              </a:p>
            </c:rich>
          </c:tx>
          <c:layout>
            <c:manualLayout>
              <c:xMode val="edge"/>
              <c:yMode val="edge"/>
              <c:x val="0.65400031496062994"/>
              <c:y val="0.685157893494197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28768"/>
        <c:crosses val="autoZero"/>
        <c:auto val="1"/>
        <c:lblAlgn val="ctr"/>
        <c:lblOffset val="100"/>
        <c:tickLblSkip val="6"/>
        <c:tickMarkSkip val="4"/>
        <c:noMultiLvlLbl val="1"/>
      </c:catAx>
      <c:valAx>
        <c:axId val="172528768"/>
        <c:scaling>
          <c:orientation val="minMax"/>
          <c:max val="8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Solids
recovery (%)</a:t>
                </a:r>
              </a:p>
            </c:rich>
          </c:tx>
          <c:layout>
            <c:manualLayout>
              <c:xMode val="edge"/>
              <c:yMode val="edge"/>
              <c:x val="1.4999999999999999E-2"/>
              <c:y val="0.395802335052945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18400"/>
        <c:crosses val="autoZero"/>
        <c:crossBetween val="between"/>
        <c:majorUnit val="10"/>
      </c:valAx>
      <c:serAx>
        <c:axId val="17251942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Spigot diameter (mm)</a:t>
                </a:r>
              </a:p>
            </c:rich>
          </c:tx>
          <c:layout>
            <c:manualLayout>
              <c:xMode val="edge"/>
              <c:yMode val="edge"/>
              <c:x val="0.156"/>
              <c:y val="0.7781114167325785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528768"/>
        <c:crosses val="autoZero"/>
        <c:tickLblSkip val="7"/>
        <c:tickMarkSkip val="4"/>
      </c:ser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5</xdr:col>
      <xdr:colOff>12700</xdr:colOff>
      <xdr:row>32</xdr:row>
      <xdr:rowOff>139700</xdr:rowOff>
    </xdr:to>
    <xdr:graphicFrame macro="">
      <xdr:nvGraphicFramePr>
        <xdr:cNvPr id="113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387350</xdr:colOff>
      <xdr:row>21</xdr:row>
      <xdr:rowOff>19050</xdr:rowOff>
    </xdr:from>
    <xdr:to>
      <xdr:col>9</xdr:col>
      <xdr:colOff>38100</xdr:colOff>
      <xdr:row>32</xdr:row>
      <xdr:rowOff>152400</xdr:rowOff>
    </xdr:to>
    <xdr:graphicFrame macro="">
      <xdr:nvGraphicFramePr>
        <xdr:cNvPr id="113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457200</xdr:colOff>
      <xdr:row>33</xdr:row>
      <xdr:rowOff>19050</xdr:rowOff>
    </xdr:from>
    <xdr:to>
      <xdr:col>6</xdr:col>
      <xdr:colOff>317500</xdr:colOff>
      <xdr:row>45</xdr:row>
      <xdr:rowOff>6350</xdr:rowOff>
    </xdr:to>
    <xdr:graphicFrame macro="">
      <xdr:nvGraphicFramePr>
        <xdr:cNvPr id="1131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101600</xdr:colOff>
      <xdr:row>28</xdr:row>
      <xdr:rowOff>114300</xdr:rowOff>
    </xdr:from>
    <xdr:to>
      <xdr:col>32</xdr:col>
      <xdr:colOff>107950</xdr:colOff>
      <xdr:row>42</xdr:row>
      <xdr:rowOff>95250</xdr:rowOff>
    </xdr:to>
    <xdr:graphicFrame macro="">
      <xdr:nvGraphicFramePr>
        <xdr:cNvPr id="1131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228600</xdr:colOff>
      <xdr:row>28</xdr:row>
      <xdr:rowOff>120650</xdr:rowOff>
    </xdr:from>
    <xdr:to>
      <xdr:col>38</xdr:col>
      <xdr:colOff>196850</xdr:colOff>
      <xdr:row>42</xdr:row>
      <xdr:rowOff>139700</xdr:rowOff>
    </xdr:to>
    <xdr:graphicFrame macro="">
      <xdr:nvGraphicFramePr>
        <xdr:cNvPr id="1131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22</xdr:row>
      <xdr:rowOff>0</xdr:rowOff>
    </xdr:from>
    <xdr:to>
      <xdr:col>45</xdr:col>
      <xdr:colOff>292100</xdr:colOff>
      <xdr:row>35</xdr:row>
      <xdr:rowOff>146050</xdr:rowOff>
    </xdr:to>
    <xdr:graphicFrame macro="">
      <xdr:nvGraphicFramePr>
        <xdr:cNvPr id="1131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57150</xdr:colOff>
      <xdr:row>11</xdr:row>
      <xdr:rowOff>38100</xdr:rowOff>
    </xdr:from>
    <xdr:to>
      <xdr:col>61</xdr:col>
      <xdr:colOff>107950</xdr:colOff>
      <xdr:row>25</xdr:row>
      <xdr:rowOff>31750</xdr:rowOff>
    </xdr:to>
    <xdr:graphicFrame macro="">
      <xdr:nvGraphicFramePr>
        <xdr:cNvPr id="113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68</xdr:col>
      <xdr:colOff>76200</xdr:colOff>
      <xdr:row>14</xdr:row>
      <xdr:rowOff>127000</xdr:rowOff>
    </xdr:from>
    <xdr:to>
      <xdr:col>73</xdr:col>
      <xdr:colOff>419100</xdr:colOff>
      <xdr:row>28</xdr:row>
      <xdr:rowOff>133350</xdr:rowOff>
    </xdr:to>
    <xdr:graphicFrame macro="">
      <xdr:nvGraphicFramePr>
        <xdr:cNvPr id="1132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6</xdr:row>
      <xdr:rowOff>63500</xdr:rowOff>
    </xdr:from>
    <xdr:to>
      <xdr:col>15</xdr:col>
      <xdr:colOff>107950</xdr:colOff>
      <xdr:row>22</xdr:row>
      <xdr:rowOff>44450</xdr:rowOff>
    </xdr:to>
    <xdr:graphicFrame macro="">
      <xdr:nvGraphicFramePr>
        <xdr:cNvPr id="153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0.3275</cdr:x>
      <cdr:y>0.09664</cdr:y>
    </cdr:from>
    <cdr:to>
      <cdr:x>0.66082</cdr:x>
      <cdr:y>0.16613</cdr:y>
    </cdr:to>
    <cdr:sp macro="" textlink="">
      <cdr:nvSpPr>
        <cdr:cNvPr id="1638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51928" y="243625"/>
          <a:ext cx="1274196" cy="1751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A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95% CI of predictions</a:t>
          </a:r>
        </a:p>
      </cdr:txBody>
    </cdr:sp>
  </cdr:relSizeAnchor>
  <cdr:relSizeAnchor xmlns:cdr="http://schemas.openxmlformats.org/drawingml/2006/chartDrawing">
    <cdr:from>
      <cdr:x>0.19287</cdr:x>
      <cdr:y>0.14152</cdr:y>
    </cdr:from>
    <cdr:to>
      <cdr:x>0.30677</cdr:x>
      <cdr:y>0.14152</cdr:y>
    </cdr:to>
    <cdr:sp macro="" textlink="">
      <cdr:nvSpPr>
        <cdr:cNvPr id="1638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38515" y="357651"/>
          <a:ext cx="436111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  <cdr:relSizeAnchor xmlns:cdr="http://schemas.openxmlformats.org/drawingml/2006/chartDrawing">
    <cdr:from>
      <cdr:x>0.16318</cdr:x>
      <cdr:y>0.09664</cdr:y>
    </cdr:from>
    <cdr:to>
      <cdr:x>0.9439</cdr:x>
      <cdr:y>0.74115</cdr:y>
    </cdr:to>
    <cdr:sp macro="" textlink="">
      <cdr:nvSpPr>
        <cdr:cNvPr id="1638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24827" y="244250"/>
          <a:ext cx="2989415" cy="162885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AU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7</xdr:row>
      <xdr:rowOff>120650</xdr:rowOff>
    </xdr:from>
    <xdr:to>
      <xdr:col>9</xdr:col>
      <xdr:colOff>234950</xdr:colOff>
      <xdr:row>33</xdr:row>
      <xdr:rowOff>69850</xdr:rowOff>
    </xdr:to>
    <xdr:graphicFrame macro="">
      <xdr:nvGraphicFramePr>
        <xdr:cNvPr id="204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Metallurgy/Plant%20Troubleshooting/010500%20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im/My%20Documents/Statistics/Site%20trial%20data/Century/Production%20analysis%206-03/Working%20workboo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OUT"/>
      <sheetName val="AS EASY AS.."/>
      <sheetName val="CALCULATION"/>
      <sheetName val="Man.entry"/>
      <sheetName val="Month to Date"/>
      <sheetName val="Module2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base Shift"/>
      <sheetName val="Base data"/>
      <sheetName val="Correlations"/>
      <sheetName val="Rec.clusters"/>
      <sheetName val="Ore clusters"/>
      <sheetName val="t-tests"/>
      <sheetName val="Regre"/>
      <sheetName val="TS"/>
      <sheetName val="Silica"/>
      <sheetName val="Order"/>
      <sheetName val="Downtime"/>
    </sheetNames>
    <sheetDataSet>
      <sheetData sheetId="0"/>
      <sheetData sheetId="1">
        <row r="4">
          <cell r="B4" t="str">
            <v>Ore Blends</v>
          </cell>
          <cell r="L4" t="str">
            <v>Proportional Split</v>
          </cell>
          <cell r="R4" t="str">
            <v>ASSAYS</v>
          </cell>
          <cell r="CF4" t="str">
            <v>ASSAYS</v>
          </cell>
          <cell r="CM4" t="str">
            <v>DISTRIBUTION</v>
          </cell>
          <cell r="FP4" t="str">
            <v>ASSAYS</v>
          </cell>
          <cell r="HH4" t="str">
            <v>ASSAYS</v>
          </cell>
          <cell r="HO4" t="str">
            <v>DISTRIBUTION</v>
          </cell>
        </row>
        <row r="5">
          <cell r="IP5" t="str">
            <v>Downtime</v>
          </cell>
          <cell r="IQ5" t="str">
            <v>Availability</v>
          </cell>
          <cell r="IS5" t="str">
            <v>tpoh</v>
          </cell>
          <cell r="IT5" t="str">
            <v>ZnMUin</v>
          </cell>
          <cell r="IU5" t="str">
            <v>ZnMUout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6"/>
  <sheetViews>
    <sheetView tabSelected="1" workbookViewId="0">
      <selection activeCell="AV7" sqref="AV7"/>
    </sheetView>
  </sheetViews>
  <sheetFormatPr defaultRowHeight="12.5"/>
  <cols>
    <col min="1" max="1" width="8.26953125" customWidth="1"/>
    <col min="2" max="2" width="7.7265625" customWidth="1"/>
    <col min="4" max="4" width="8" customWidth="1"/>
    <col min="5" max="5" width="8.453125" customWidth="1"/>
    <col min="6" max="6" width="10.7265625" bestFit="1" customWidth="1"/>
    <col min="7" max="7" width="8" customWidth="1"/>
    <col min="8" max="8" width="8.1796875" customWidth="1"/>
    <col min="9" max="9" width="11.54296875" bestFit="1" customWidth="1"/>
    <col min="11" max="11" width="9.1796875" style="33" customWidth="1"/>
    <col min="13" max="13" width="13.1796875" customWidth="1"/>
    <col min="14" max="14" width="10.81640625" customWidth="1"/>
    <col min="16" max="16" width="7.26953125" customWidth="1"/>
    <col min="17" max="17" width="7.54296875" customWidth="1"/>
    <col min="19" max="19" width="10.81640625" customWidth="1"/>
    <col min="20" max="22" width="9.1796875" style="11" customWidth="1"/>
    <col min="27" max="27" width="13" customWidth="1"/>
    <col min="30" max="30" width="8" customWidth="1"/>
    <col min="31" max="31" width="8.26953125" customWidth="1"/>
    <col min="32" max="32" width="9.54296875" customWidth="1"/>
    <col min="33" max="33" width="9.7265625" customWidth="1"/>
    <col min="34" max="34" width="10.453125" style="11" customWidth="1"/>
    <col min="35" max="35" width="6.1796875" style="11" customWidth="1"/>
    <col min="36" max="36" width="10.26953125" customWidth="1"/>
    <col min="37" max="37" width="7.81640625" customWidth="1"/>
    <col min="38" max="38" width="7.7265625" customWidth="1"/>
    <col min="46" max="46" width="11.26953125" bestFit="1" customWidth="1"/>
    <col min="47" max="47" width="11.26953125" customWidth="1"/>
    <col min="48" max="48" width="12.26953125" bestFit="1" customWidth="1"/>
    <col min="49" max="49" width="13" customWidth="1"/>
    <col min="50" max="50" width="10.453125" customWidth="1"/>
    <col min="52" max="52" width="7.54296875" customWidth="1"/>
    <col min="53" max="53" width="7.81640625" customWidth="1"/>
    <col min="54" max="54" width="10" customWidth="1"/>
    <col min="55" max="55" width="9.7265625" customWidth="1"/>
    <col min="56" max="56" width="10" customWidth="1"/>
    <col min="57" max="57" width="6.7265625" customWidth="1"/>
    <col min="60" max="60" width="7.26953125" customWidth="1"/>
    <col min="61" max="61" width="7.7265625" customWidth="1"/>
    <col min="67" max="67" width="9.1796875" style="38" bestFit="1" customWidth="1"/>
    <col min="68" max="68" width="8.7265625" style="74"/>
  </cols>
  <sheetData>
    <row r="1" spans="1:74" ht="13.5" thickBo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73</v>
      </c>
      <c r="K1" s="31" t="s">
        <v>3</v>
      </c>
      <c r="M1" t="s">
        <v>23</v>
      </c>
      <c r="T1" s="65" t="s">
        <v>78</v>
      </c>
      <c r="U1" s="68" t="s">
        <v>0</v>
      </c>
      <c r="V1" s="68" t="s">
        <v>1</v>
      </c>
      <c r="W1" s="68" t="s">
        <v>73</v>
      </c>
      <c r="X1" s="68" t="s">
        <v>8</v>
      </c>
      <c r="Y1" s="69" t="s">
        <v>3</v>
      </c>
      <c r="AA1" t="s">
        <v>23</v>
      </c>
      <c r="AH1" t="s">
        <v>56</v>
      </c>
      <c r="AI1"/>
      <c r="AN1" s="2" t="s">
        <v>1</v>
      </c>
      <c r="AO1" s="2" t="s">
        <v>0</v>
      </c>
      <c r="AP1" s="2" t="s">
        <v>112</v>
      </c>
      <c r="AQ1" s="2" t="s">
        <v>113</v>
      </c>
      <c r="AR1" s="2" t="s">
        <v>114</v>
      </c>
      <c r="AS1" s="31" t="s">
        <v>3</v>
      </c>
      <c r="AT1" s="68" t="s">
        <v>115</v>
      </c>
      <c r="AU1" s="68"/>
      <c r="AV1" s="1" t="s">
        <v>129</v>
      </c>
      <c r="AW1" t="s">
        <v>23</v>
      </c>
      <c r="BD1" t="s">
        <v>56</v>
      </c>
      <c r="BK1" s="64" t="s">
        <v>122</v>
      </c>
      <c r="BL1" s="2" t="s">
        <v>1</v>
      </c>
      <c r="BM1" s="2" t="s">
        <v>0</v>
      </c>
      <c r="BN1" s="31" t="s">
        <v>3</v>
      </c>
      <c r="BO1" s="73" t="s">
        <v>117</v>
      </c>
      <c r="BP1" s="73" t="s">
        <v>3</v>
      </c>
      <c r="BR1" s="76" t="s">
        <v>124</v>
      </c>
      <c r="BS1" s="76"/>
    </row>
    <row r="2" spans="1:74" ht="13.5" thickBot="1">
      <c r="A2" s="3">
        <v>17</v>
      </c>
      <c r="B2" s="3">
        <v>5.4</v>
      </c>
      <c r="C2" s="3">
        <v>68</v>
      </c>
      <c r="D2" s="3">
        <v>91.8</v>
      </c>
      <c r="E2" s="3">
        <v>1156</v>
      </c>
      <c r="F2" s="3">
        <v>367.2</v>
      </c>
      <c r="G2" s="3">
        <v>289</v>
      </c>
      <c r="H2" s="3">
        <v>29.16</v>
      </c>
      <c r="I2" s="3">
        <v>4.6239999999999997</v>
      </c>
      <c r="J2" s="3">
        <f>1/B2</f>
        <v>0.18518518518518517</v>
      </c>
      <c r="K2" s="32">
        <v>66.2</v>
      </c>
      <c r="S2" s="10"/>
      <c r="T2" s="62"/>
      <c r="U2" s="70">
        <v>17</v>
      </c>
      <c r="V2" s="70">
        <v>5.4</v>
      </c>
      <c r="W2" s="70">
        <f t="shared" ref="W2:W11" si="0">1/V2</f>
        <v>0.18518518518518517</v>
      </c>
      <c r="X2" s="70">
        <v>29.16</v>
      </c>
      <c r="Y2" s="71">
        <v>66.2</v>
      </c>
      <c r="AH2" s="6"/>
      <c r="AI2" s="6" t="s">
        <v>34</v>
      </c>
      <c r="AJ2" s="6" t="s">
        <v>35</v>
      </c>
      <c r="AK2" s="6" t="s">
        <v>36</v>
      </c>
      <c r="AL2" s="6" t="s">
        <v>37</v>
      </c>
      <c r="AM2" s="6" t="s">
        <v>46</v>
      </c>
      <c r="AN2" s="3">
        <v>5.4</v>
      </c>
      <c r="AO2" s="3">
        <v>17</v>
      </c>
      <c r="AP2" s="3">
        <f>AO2^2</f>
        <v>289</v>
      </c>
      <c r="AQ2" s="3">
        <f t="shared" ref="AQ2:AQ21" si="1">AN2^2</f>
        <v>29.160000000000004</v>
      </c>
      <c r="AR2" s="3">
        <f t="shared" ref="AR2:AR21" si="2">1/AN2</f>
        <v>0.18518518518518517</v>
      </c>
      <c r="AS2" s="32">
        <v>66.2</v>
      </c>
      <c r="AT2" s="72">
        <f>(AS2/100)^3</f>
        <v>0.29011752800000001</v>
      </c>
      <c r="AU2" s="72"/>
      <c r="AV2" s="75" t="s">
        <v>130</v>
      </c>
      <c r="BD2" s="6"/>
      <c r="BE2" s="6" t="s">
        <v>34</v>
      </c>
      <c r="BF2" s="6" t="s">
        <v>35</v>
      </c>
      <c r="BG2" s="6" t="s">
        <v>36</v>
      </c>
      <c r="BH2" s="6" t="s">
        <v>37</v>
      </c>
      <c r="BI2" s="6" t="s">
        <v>46</v>
      </c>
      <c r="BK2" s="65" t="s">
        <v>123</v>
      </c>
      <c r="BL2" s="3">
        <v>5.4</v>
      </c>
      <c r="BM2" s="3">
        <v>17</v>
      </c>
      <c r="BN2" s="32">
        <v>66.2</v>
      </c>
      <c r="BO2" s="38">
        <f>100*($BS$2+$BS$3*BM2+$BS$4*BM2^2+$BS$5*BL2^2+$BS$6/BL2)^(1/3)</f>
        <v>65.051518017847542</v>
      </c>
      <c r="BP2" s="38">
        <v>66.2</v>
      </c>
      <c r="BR2" t="s">
        <v>33</v>
      </c>
      <c r="BS2" s="3">
        <v>1.6133327965600435</v>
      </c>
    </row>
    <row r="3" spans="1:74" ht="13">
      <c r="A3" s="3">
        <v>22</v>
      </c>
      <c r="B3" s="3">
        <v>5.4</v>
      </c>
      <c r="C3" s="3">
        <v>68</v>
      </c>
      <c r="D3" s="3">
        <v>118.8</v>
      </c>
      <c r="E3" s="3">
        <v>1496</v>
      </c>
      <c r="F3" s="3">
        <v>367.2</v>
      </c>
      <c r="G3" s="3">
        <v>484</v>
      </c>
      <c r="H3" s="3">
        <v>29.16</v>
      </c>
      <c r="I3" s="3">
        <v>4.6239999999999997</v>
      </c>
      <c r="J3" s="3">
        <f t="shared" ref="J3:J21" si="3">1/B3</f>
        <v>0.18518518518518517</v>
      </c>
      <c r="K3" s="32">
        <v>54.4</v>
      </c>
      <c r="M3" s="7" t="s">
        <v>24</v>
      </c>
      <c r="N3" s="7"/>
      <c r="T3" s="62"/>
      <c r="U3" s="70">
        <v>22</v>
      </c>
      <c r="V3" s="70">
        <v>5.4</v>
      </c>
      <c r="W3" s="70">
        <f t="shared" si="0"/>
        <v>0.18518518518518517</v>
      </c>
      <c r="X3" s="70">
        <v>29.16</v>
      </c>
      <c r="Y3" s="71">
        <v>54.4</v>
      </c>
      <c r="AA3" s="7" t="s">
        <v>24</v>
      </c>
      <c r="AB3" s="7"/>
      <c r="AH3" s="4" t="s">
        <v>52</v>
      </c>
      <c r="AI3" s="35">
        <f>COUNT(Y13:Y20)-1+4</f>
        <v>11</v>
      </c>
      <c r="AJ3" s="61">
        <f>DEVSQ(Y13:Y20)+DEVSQ(Y2,Y6)+DEVSQ(Y3,Y7)+DEVSQ(Y4,Y8)+DEVSQ(Y5,Y9)</f>
        <v>8.9450000000000198</v>
      </c>
      <c r="AK3" s="4">
        <f>AJ3/AI3</f>
        <v>0.81318181818182</v>
      </c>
      <c r="AL3" s="4">
        <f>AK4/AK3</f>
        <v>4.7006979012062695</v>
      </c>
      <c r="AM3" s="4">
        <f>FDIST(AL3,AI4,AI3)</f>
        <v>1.8601715706794406E-2</v>
      </c>
      <c r="AN3" s="3">
        <v>5.4</v>
      </c>
      <c r="AO3" s="3">
        <v>22</v>
      </c>
      <c r="AP3" s="3">
        <f t="shared" ref="AP3:AP21" si="4">AO3^2</f>
        <v>484</v>
      </c>
      <c r="AQ3" s="3">
        <f t="shared" si="1"/>
        <v>29.160000000000004</v>
      </c>
      <c r="AR3" s="3">
        <f t="shared" si="2"/>
        <v>0.18518518518518517</v>
      </c>
      <c r="AS3" s="32">
        <v>54.4</v>
      </c>
      <c r="AT3" s="72">
        <f t="shared" ref="AT3:AT21" si="5">(AS3/100)^3</f>
        <v>0.16098918400000004</v>
      </c>
      <c r="AU3" s="72"/>
      <c r="AW3" s="7" t="s">
        <v>24</v>
      </c>
      <c r="AX3" s="7"/>
      <c r="BD3" s="4" t="s">
        <v>52</v>
      </c>
      <c r="BE3" s="35">
        <f>COUNT(AT14:AT21)-1+4</f>
        <v>11</v>
      </c>
      <c r="BF3" s="4">
        <f>DEVSQ(AT14:AT21)+DEVSQ(AT2,AT6)+DEVSQ(AT3,AT7)+DEVSQ(AT4,AT8)+DEVSQ(AT5,AT9)</f>
        <v>1.3418024903341938E-3</v>
      </c>
      <c r="BG3" s="4">
        <f>BF3/BE3</f>
        <v>1.2198204457583581E-4</v>
      </c>
      <c r="BH3" s="4">
        <f>BG4/BG3</f>
        <v>1.6753853853987291</v>
      </c>
      <c r="BI3" s="4">
        <f>FDIST(BH3,BE4,BE3)</f>
        <v>0.22514495166203125</v>
      </c>
      <c r="BL3" s="3">
        <v>5.4</v>
      </c>
      <c r="BM3" s="3">
        <v>22</v>
      </c>
      <c r="BN3" s="32">
        <v>54.4</v>
      </c>
      <c r="BO3" s="38">
        <f t="shared" ref="BO3:BO21" si="6">100*($BS$2+$BS$3*BM3+$BS$4*BM3^2+$BS$5*BL3^2+$BS$6/BL3)^(1/3)</f>
        <v>56.26303718680937</v>
      </c>
      <c r="BP3" s="38">
        <v>54.4</v>
      </c>
      <c r="BR3" t="s">
        <v>0</v>
      </c>
      <c r="BS3" s="3">
        <v>-5.4394823097657648E-2</v>
      </c>
    </row>
    <row r="4" spans="1:74">
      <c r="A4" s="3">
        <v>17</v>
      </c>
      <c r="B4" s="3">
        <v>9.6</v>
      </c>
      <c r="C4" s="3">
        <v>68</v>
      </c>
      <c r="D4" s="3">
        <v>163.19999999999999</v>
      </c>
      <c r="E4" s="3">
        <v>1156</v>
      </c>
      <c r="F4" s="3">
        <v>652.79999999999995</v>
      </c>
      <c r="G4" s="3">
        <v>289</v>
      </c>
      <c r="H4" s="3">
        <v>92.16</v>
      </c>
      <c r="I4" s="3">
        <v>4.6239999999999997</v>
      </c>
      <c r="J4" s="3">
        <f t="shared" si="3"/>
        <v>0.10416666666666667</v>
      </c>
      <c r="K4" s="32">
        <v>76.7</v>
      </c>
      <c r="M4" s="4" t="s">
        <v>25</v>
      </c>
      <c r="N4" s="4">
        <v>0.77558511832134314</v>
      </c>
      <c r="T4" s="62"/>
      <c r="U4" s="70">
        <v>17</v>
      </c>
      <c r="V4" s="70">
        <v>9.6</v>
      </c>
      <c r="W4" s="70">
        <f t="shared" si="0"/>
        <v>0.10416666666666667</v>
      </c>
      <c r="X4" s="70">
        <v>92.16</v>
      </c>
      <c r="Y4" s="71">
        <v>76.7</v>
      </c>
      <c r="AA4" s="4" t="s">
        <v>25</v>
      </c>
      <c r="AB4" s="4">
        <v>0.97970178838246103</v>
      </c>
      <c r="AH4" s="11" t="s">
        <v>57</v>
      </c>
      <c r="AI4" s="12">
        <f>AI5-AI3</f>
        <v>4</v>
      </c>
      <c r="AJ4" s="11">
        <f>AJ5-AJ3</f>
        <v>15.290088264105519</v>
      </c>
      <c r="AK4" s="11">
        <f>AJ4/AI4</f>
        <v>3.8225220660263797</v>
      </c>
      <c r="AL4" s="4"/>
      <c r="AM4" s="4"/>
      <c r="AN4" s="3">
        <v>9.6</v>
      </c>
      <c r="AO4" s="3">
        <v>17</v>
      </c>
      <c r="AP4" s="3">
        <f t="shared" si="4"/>
        <v>289</v>
      </c>
      <c r="AQ4" s="3">
        <f t="shared" si="1"/>
        <v>92.16</v>
      </c>
      <c r="AR4" s="3">
        <f t="shared" si="2"/>
        <v>0.10416666666666667</v>
      </c>
      <c r="AS4" s="32">
        <v>76.7</v>
      </c>
      <c r="AT4" s="72">
        <f t="shared" si="5"/>
        <v>0.45121766300000005</v>
      </c>
      <c r="AU4" s="72"/>
      <c r="AW4" s="4" t="s">
        <v>25</v>
      </c>
      <c r="AX4" s="4">
        <v>0.99462508336761501</v>
      </c>
      <c r="BD4" s="11" t="s">
        <v>57</v>
      </c>
      <c r="BE4" s="12">
        <f>BE5-BE3</f>
        <v>4</v>
      </c>
      <c r="BF4" s="11">
        <f>BF5-BF3</f>
        <v>8.1746773905364651E-4</v>
      </c>
      <c r="BG4" s="11">
        <f>BF4/BE4</f>
        <v>2.0436693476341163E-4</v>
      </c>
      <c r="BH4" s="4"/>
      <c r="BI4" s="4"/>
      <c r="BL4" s="3">
        <v>9.6</v>
      </c>
      <c r="BM4" s="3">
        <v>17</v>
      </c>
      <c r="BN4" s="32">
        <v>76.7</v>
      </c>
      <c r="BO4" s="38">
        <f t="shared" si="6"/>
        <v>76.37627321511502</v>
      </c>
      <c r="BP4" s="38">
        <v>76.7</v>
      </c>
      <c r="BR4" t="s">
        <v>112</v>
      </c>
      <c r="BS4" s="3">
        <v>8.9639950079824714E-4</v>
      </c>
    </row>
    <row r="5" spans="1:74" ht="13" thickBot="1">
      <c r="A5" s="3">
        <v>22</v>
      </c>
      <c r="B5" s="3">
        <v>9.6</v>
      </c>
      <c r="C5" s="3">
        <v>68</v>
      </c>
      <c r="D5" s="3">
        <v>211.2</v>
      </c>
      <c r="E5" s="3">
        <v>1496</v>
      </c>
      <c r="F5" s="3">
        <v>652.79999999999995</v>
      </c>
      <c r="G5" s="3">
        <v>484</v>
      </c>
      <c r="H5" s="3">
        <v>92.16</v>
      </c>
      <c r="I5" s="3">
        <v>4.6239999999999997</v>
      </c>
      <c r="J5" s="3">
        <f t="shared" si="3"/>
        <v>0.10416666666666667</v>
      </c>
      <c r="K5" s="32">
        <v>69.599999999999994</v>
      </c>
      <c r="M5" s="4" t="s">
        <v>26</v>
      </c>
      <c r="N5" s="4">
        <v>0.60153227576153179</v>
      </c>
      <c r="T5" s="62"/>
      <c r="U5" s="70">
        <v>22</v>
      </c>
      <c r="V5" s="70">
        <v>9.6</v>
      </c>
      <c r="W5" s="70">
        <f t="shared" si="0"/>
        <v>0.10416666666666667</v>
      </c>
      <c r="X5" s="70">
        <v>92.16</v>
      </c>
      <c r="Y5" s="71">
        <v>69.599999999999994</v>
      </c>
      <c r="AA5" s="4" t="s">
        <v>26</v>
      </c>
      <c r="AB5" s="4">
        <v>0.95981559415979234</v>
      </c>
      <c r="AH5" s="5" t="s">
        <v>51</v>
      </c>
      <c r="AI5" s="9">
        <f>AB13</f>
        <v>15</v>
      </c>
      <c r="AJ5" s="5">
        <f>AC13</f>
        <v>24.235088264105539</v>
      </c>
      <c r="AK5" s="5">
        <f>AJ5/AI5</f>
        <v>1.6156725509403693</v>
      </c>
      <c r="AL5" s="5"/>
      <c r="AM5" s="5"/>
      <c r="AN5" s="3">
        <v>9.6</v>
      </c>
      <c r="AO5" s="3">
        <v>22</v>
      </c>
      <c r="AP5" s="3">
        <f t="shared" si="4"/>
        <v>484</v>
      </c>
      <c r="AQ5" s="3">
        <f t="shared" si="1"/>
        <v>92.16</v>
      </c>
      <c r="AR5" s="3">
        <f t="shared" si="2"/>
        <v>0.10416666666666667</v>
      </c>
      <c r="AS5" s="32">
        <v>69.599999999999994</v>
      </c>
      <c r="AT5" s="72">
        <f t="shared" si="5"/>
        <v>0.33715353599999992</v>
      </c>
      <c r="AU5" s="72"/>
      <c r="AW5" s="4" t="s">
        <v>26</v>
      </c>
      <c r="AX5" s="4">
        <v>0.98927905646403513</v>
      </c>
      <c r="BD5" s="5" t="s">
        <v>51</v>
      </c>
      <c r="BE5" s="9">
        <f>AX13</f>
        <v>15</v>
      </c>
      <c r="BF5" s="5">
        <f>AY13</f>
        <v>2.1592702293878403E-3</v>
      </c>
      <c r="BG5" s="5">
        <f>BF5/BE5</f>
        <v>1.4395134862585601E-4</v>
      </c>
      <c r="BH5" s="5"/>
      <c r="BI5" s="5"/>
      <c r="BL5" s="3">
        <v>9.6</v>
      </c>
      <c r="BM5" s="3">
        <v>22</v>
      </c>
      <c r="BN5" s="32">
        <v>69.599999999999994</v>
      </c>
      <c r="BO5" s="38">
        <f t="shared" si="6"/>
        <v>70.362216571504092</v>
      </c>
      <c r="BP5" s="38">
        <v>69.599999999999994</v>
      </c>
      <c r="BR5" t="s">
        <v>113</v>
      </c>
      <c r="BS5" s="3">
        <v>-1.6358232323028371E-3</v>
      </c>
    </row>
    <row r="6" spans="1:74">
      <c r="A6" s="3">
        <v>17</v>
      </c>
      <c r="B6" s="3">
        <v>5.4</v>
      </c>
      <c r="C6" s="3">
        <v>92</v>
      </c>
      <c r="D6" s="3">
        <v>91.8</v>
      </c>
      <c r="E6" s="3">
        <v>1564</v>
      </c>
      <c r="F6" s="3">
        <v>496.8</v>
      </c>
      <c r="G6" s="3">
        <v>289</v>
      </c>
      <c r="H6" s="3">
        <v>29.16</v>
      </c>
      <c r="I6" s="3">
        <v>8.4640000000000004</v>
      </c>
      <c r="J6" s="3">
        <f t="shared" si="3"/>
        <v>0.18518518518518517</v>
      </c>
      <c r="K6" s="32">
        <v>63.8</v>
      </c>
      <c r="M6" s="4" t="s">
        <v>53</v>
      </c>
      <c r="N6" s="4">
        <v>0.52681957746681896</v>
      </c>
      <c r="T6" s="62"/>
      <c r="U6" s="70">
        <v>17</v>
      </c>
      <c r="V6" s="70">
        <v>5.4</v>
      </c>
      <c r="W6" s="70">
        <f t="shared" si="0"/>
        <v>0.18518518518518517</v>
      </c>
      <c r="X6" s="70">
        <v>29.16</v>
      </c>
      <c r="Y6" s="71">
        <v>63.8</v>
      </c>
      <c r="AA6" s="4" t="s">
        <v>53</v>
      </c>
      <c r="AB6" s="4">
        <v>0.95177871299175076</v>
      </c>
      <c r="AN6" s="3">
        <v>5.4</v>
      </c>
      <c r="AO6" s="3">
        <v>17</v>
      </c>
      <c r="AP6" s="3">
        <f t="shared" si="4"/>
        <v>289</v>
      </c>
      <c r="AQ6" s="3">
        <f t="shared" si="1"/>
        <v>29.160000000000004</v>
      </c>
      <c r="AR6" s="3">
        <f t="shared" si="2"/>
        <v>0.18518518518518517</v>
      </c>
      <c r="AS6" s="32">
        <v>63.8</v>
      </c>
      <c r="AT6" s="72">
        <f t="shared" si="5"/>
        <v>0.259694072</v>
      </c>
      <c r="AU6" s="72"/>
      <c r="AW6" s="4" t="s">
        <v>53</v>
      </c>
      <c r="AX6" s="4">
        <v>0.98642013818777796</v>
      </c>
      <c r="BL6" s="3">
        <v>5.4</v>
      </c>
      <c r="BM6" s="3">
        <v>17</v>
      </c>
      <c r="BN6" s="32">
        <v>63.8</v>
      </c>
      <c r="BO6" s="38">
        <f t="shared" si="6"/>
        <v>65.051518017847542</v>
      </c>
      <c r="BP6" s="38">
        <v>63.8</v>
      </c>
      <c r="BR6" t="s">
        <v>114</v>
      </c>
      <c r="BS6" s="3">
        <v>-3.3733861863099439</v>
      </c>
    </row>
    <row r="7" spans="1:74">
      <c r="A7" s="3">
        <v>22</v>
      </c>
      <c r="B7" s="3">
        <v>5.4</v>
      </c>
      <c r="C7" s="3">
        <v>92</v>
      </c>
      <c r="D7" s="3">
        <v>118.8</v>
      </c>
      <c r="E7" s="3">
        <v>2024</v>
      </c>
      <c r="F7" s="3">
        <v>496.8</v>
      </c>
      <c r="G7" s="3">
        <v>484</v>
      </c>
      <c r="H7" s="3">
        <v>29.16</v>
      </c>
      <c r="I7" s="3">
        <v>8.4640000000000004</v>
      </c>
      <c r="J7" s="3">
        <f t="shared" si="3"/>
        <v>0.18518518518518517</v>
      </c>
      <c r="K7" s="32">
        <v>57.1</v>
      </c>
      <c r="M7" s="4" t="s">
        <v>11</v>
      </c>
      <c r="N7" s="4">
        <v>7.5106403481829886</v>
      </c>
      <c r="T7" s="62"/>
      <c r="U7" s="70">
        <v>22</v>
      </c>
      <c r="V7" s="70">
        <v>5.4</v>
      </c>
      <c r="W7" s="70">
        <f t="shared" si="0"/>
        <v>0.18518518518518517</v>
      </c>
      <c r="X7" s="70">
        <v>29.16</v>
      </c>
      <c r="Y7" s="71">
        <v>57.1</v>
      </c>
      <c r="AA7" s="4" t="s">
        <v>11</v>
      </c>
      <c r="AB7" s="4">
        <v>1.2710910867991991</v>
      </c>
      <c r="AN7" s="3">
        <v>5.4</v>
      </c>
      <c r="AO7" s="3">
        <v>22</v>
      </c>
      <c r="AP7" s="3">
        <f t="shared" si="4"/>
        <v>484</v>
      </c>
      <c r="AQ7" s="3">
        <f t="shared" si="1"/>
        <v>29.160000000000004</v>
      </c>
      <c r="AR7" s="3">
        <f t="shared" si="2"/>
        <v>0.18518518518518517</v>
      </c>
      <c r="AS7" s="32">
        <v>57.1</v>
      </c>
      <c r="AT7" s="72">
        <f t="shared" si="5"/>
        <v>0.18616941100000006</v>
      </c>
      <c r="AU7" s="72"/>
      <c r="AW7" s="4" t="s">
        <v>11</v>
      </c>
      <c r="AX7" s="4">
        <v>1.1997972688160947E-2</v>
      </c>
      <c r="BL7" s="3">
        <v>5.4</v>
      </c>
      <c r="BM7" s="3">
        <v>22</v>
      </c>
      <c r="BN7" s="32">
        <v>57.1</v>
      </c>
      <c r="BO7" s="38">
        <f t="shared" si="6"/>
        <v>56.26303718680937</v>
      </c>
      <c r="BP7" s="38">
        <v>57.1</v>
      </c>
    </row>
    <row r="8" spans="1:74" ht="13.5" thickBot="1">
      <c r="A8" s="3">
        <v>17</v>
      </c>
      <c r="B8" s="3">
        <v>9.6</v>
      </c>
      <c r="C8" s="3">
        <v>92</v>
      </c>
      <c r="D8" s="3">
        <v>163.19999999999999</v>
      </c>
      <c r="E8" s="3">
        <v>1564</v>
      </c>
      <c r="F8" s="3">
        <v>883.2</v>
      </c>
      <c r="G8" s="3">
        <v>289</v>
      </c>
      <c r="H8" s="3">
        <v>92.16</v>
      </c>
      <c r="I8" s="3">
        <v>8.4640000000000004</v>
      </c>
      <c r="J8" s="3">
        <f t="shared" si="3"/>
        <v>0.10416666666666667</v>
      </c>
      <c r="K8" s="32">
        <v>75.900000000000006</v>
      </c>
      <c r="M8" s="5" t="s">
        <v>28</v>
      </c>
      <c r="N8" s="5">
        <v>20</v>
      </c>
      <c r="T8" s="62"/>
      <c r="U8" s="70">
        <v>17</v>
      </c>
      <c r="V8" s="70">
        <v>9.6</v>
      </c>
      <c r="W8" s="70">
        <f t="shared" si="0"/>
        <v>0.10416666666666667</v>
      </c>
      <c r="X8" s="70">
        <v>92.16</v>
      </c>
      <c r="Y8" s="71">
        <v>75.900000000000006</v>
      </c>
      <c r="AA8" s="5" t="s">
        <v>28</v>
      </c>
      <c r="AB8" s="5">
        <v>19</v>
      </c>
      <c r="AJ8" s="63"/>
      <c r="AN8" s="3">
        <v>9.6</v>
      </c>
      <c r="AO8" s="3">
        <v>17</v>
      </c>
      <c r="AP8" s="3">
        <f t="shared" si="4"/>
        <v>289</v>
      </c>
      <c r="AQ8" s="3">
        <f t="shared" si="1"/>
        <v>92.16</v>
      </c>
      <c r="AR8" s="3">
        <f t="shared" si="2"/>
        <v>0.10416666666666667</v>
      </c>
      <c r="AS8" s="32">
        <v>75.900000000000006</v>
      </c>
      <c r="AT8" s="72">
        <f t="shared" si="5"/>
        <v>0.43724547900000005</v>
      </c>
      <c r="AU8" s="72"/>
      <c r="AW8" s="5" t="s">
        <v>28</v>
      </c>
      <c r="AX8" s="5">
        <v>20</v>
      </c>
      <c r="BG8" s="1" t="s">
        <v>121</v>
      </c>
      <c r="BL8" s="3">
        <v>9.6</v>
      </c>
      <c r="BM8" s="3">
        <v>17</v>
      </c>
      <c r="BN8" s="32">
        <v>75.900000000000006</v>
      </c>
      <c r="BO8" s="38">
        <f t="shared" si="6"/>
        <v>76.37627321511502</v>
      </c>
      <c r="BP8" s="38">
        <v>75.900000000000006</v>
      </c>
      <c r="BR8" t="s">
        <v>125</v>
      </c>
      <c r="BS8">
        <f>SUMXMY2(BN2:BN21,BO2:BO21)</f>
        <v>14.890731325296409</v>
      </c>
    </row>
    <row r="9" spans="1:74">
      <c r="A9" s="3">
        <v>22</v>
      </c>
      <c r="B9" s="3">
        <v>9.6</v>
      </c>
      <c r="C9" s="3">
        <v>92</v>
      </c>
      <c r="D9" s="3">
        <v>211.2</v>
      </c>
      <c r="E9" s="3">
        <v>2024</v>
      </c>
      <c r="F9" s="3">
        <v>883.2</v>
      </c>
      <c r="G9" s="3">
        <v>484</v>
      </c>
      <c r="H9" s="3">
        <v>92.16</v>
      </c>
      <c r="I9" s="3">
        <v>8.4640000000000004</v>
      </c>
      <c r="J9" s="3">
        <f t="shared" si="3"/>
        <v>0.10416666666666667</v>
      </c>
      <c r="K9" s="32">
        <v>69.5</v>
      </c>
      <c r="T9" s="62"/>
      <c r="U9" s="70">
        <v>22</v>
      </c>
      <c r="V9" s="70">
        <v>9.6</v>
      </c>
      <c r="W9" s="70">
        <f t="shared" si="0"/>
        <v>0.10416666666666667</v>
      </c>
      <c r="X9" s="70">
        <v>92.16</v>
      </c>
      <c r="Y9" s="71">
        <v>69.5</v>
      </c>
      <c r="AN9" s="3">
        <v>9.6</v>
      </c>
      <c r="AO9" s="3">
        <v>22</v>
      </c>
      <c r="AP9" s="3">
        <f t="shared" si="4"/>
        <v>484</v>
      </c>
      <c r="AQ9" s="3">
        <f t="shared" si="1"/>
        <v>92.16</v>
      </c>
      <c r="AR9" s="3">
        <f t="shared" si="2"/>
        <v>0.10416666666666667</v>
      </c>
      <c r="AS9" s="32">
        <v>69.5</v>
      </c>
      <c r="AT9" s="72">
        <f t="shared" si="5"/>
        <v>0.33570237499999994</v>
      </c>
      <c r="AU9" s="72"/>
      <c r="BG9" t="s">
        <v>120</v>
      </c>
      <c r="BH9">
        <f>100*(AX17+AX18*BH10+AX19*BH10^2+AX20*BH11^2+AX21/BH11)^(1/3)</f>
        <v>80.020187503091165</v>
      </c>
      <c r="BL9" s="3">
        <v>9.6</v>
      </c>
      <c r="BM9" s="3">
        <v>22</v>
      </c>
      <c r="BN9" s="32">
        <v>69.5</v>
      </c>
      <c r="BO9" s="38">
        <f t="shared" si="6"/>
        <v>70.362216571504092</v>
      </c>
      <c r="BP9" s="38">
        <v>69.5</v>
      </c>
      <c r="BR9" t="s">
        <v>91</v>
      </c>
      <c r="BS9">
        <f>SQRT(BS8/(COUNT(BN:BN)-5))</f>
        <v>0.99635105343770636</v>
      </c>
    </row>
    <row r="10" spans="1:74" ht="13" thickBot="1">
      <c r="A10" s="3">
        <v>15.4</v>
      </c>
      <c r="B10" s="3">
        <v>7.4999999999994493</v>
      </c>
      <c r="C10" s="3">
        <v>79.999999999998508</v>
      </c>
      <c r="D10" s="3">
        <v>115.49999999999152</v>
      </c>
      <c r="E10" s="3">
        <v>1231.9999999999768</v>
      </c>
      <c r="F10" s="3">
        <v>599.99999999994475</v>
      </c>
      <c r="G10" s="3">
        <v>237.16</v>
      </c>
      <c r="H10" s="3">
        <v>56.249999999991743</v>
      </c>
      <c r="I10" s="3">
        <v>6.3999999999997605</v>
      </c>
      <c r="J10" s="3">
        <f t="shared" si="3"/>
        <v>0.13333333333334313</v>
      </c>
      <c r="K10" s="32">
        <v>77.3</v>
      </c>
      <c r="M10" t="s">
        <v>29</v>
      </c>
      <c r="T10" s="62"/>
      <c r="U10" s="70">
        <v>15.4</v>
      </c>
      <c r="V10" s="70">
        <v>7.4999999999994493</v>
      </c>
      <c r="W10" s="70">
        <f t="shared" si="0"/>
        <v>0.13333333333334313</v>
      </c>
      <c r="X10" s="70">
        <v>56.249999999991743</v>
      </c>
      <c r="Y10" s="71">
        <v>77.3</v>
      </c>
      <c r="AA10" t="s">
        <v>29</v>
      </c>
      <c r="AN10" s="3">
        <v>7.4999999999994493</v>
      </c>
      <c r="AO10" s="3">
        <v>15.4</v>
      </c>
      <c r="AP10" s="3">
        <f t="shared" si="4"/>
        <v>237.16000000000003</v>
      </c>
      <c r="AQ10" s="3">
        <f t="shared" si="1"/>
        <v>56.249999999991743</v>
      </c>
      <c r="AR10" s="3">
        <f t="shared" si="2"/>
        <v>0.13333333333334313</v>
      </c>
      <c r="AS10" s="32">
        <v>77.3</v>
      </c>
      <c r="AT10" s="72">
        <f t="shared" si="5"/>
        <v>0.46188991699999998</v>
      </c>
      <c r="AU10" s="72"/>
      <c r="AW10" t="s">
        <v>29</v>
      </c>
      <c r="BG10" t="s">
        <v>118</v>
      </c>
      <c r="BH10">
        <v>15</v>
      </c>
      <c r="BL10" s="3">
        <v>7.4999999999994493</v>
      </c>
      <c r="BM10" s="3">
        <v>15.4</v>
      </c>
      <c r="BN10" s="32">
        <v>77.3</v>
      </c>
      <c r="BO10" s="38">
        <f t="shared" si="6"/>
        <v>76.428485992662019</v>
      </c>
      <c r="BP10" s="38">
        <v>77.3</v>
      </c>
    </row>
    <row r="11" spans="1:74" ht="13">
      <c r="A11" s="3">
        <v>23.999999999998003</v>
      </c>
      <c r="B11" s="3">
        <v>7.4999999999994493</v>
      </c>
      <c r="C11" s="3">
        <v>79.999999999998508</v>
      </c>
      <c r="D11" s="3">
        <v>179.99999999997181</v>
      </c>
      <c r="E11" s="3">
        <v>1919.9999999998045</v>
      </c>
      <c r="F11" s="3">
        <v>599.99999999994475</v>
      </c>
      <c r="G11" s="3">
        <v>575.99999999990416</v>
      </c>
      <c r="H11" s="3">
        <v>56.249999999991743</v>
      </c>
      <c r="I11" s="3">
        <v>6.3999999999997605</v>
      </c>
      <c r="J11" s="3">
        <f t="shared" si="3"/>
        <v>0.13333333333334313</v>
      </c>
      <c r="K11" s="32">
        <v>67.3</v>
      </c>
      <c r="M11" s="6"/>
      <c r="N11" s="6" t="s">
        <v>34</v>
      </c>
      <c r="O11" s="6" t="s">
        <v>35</v>
      </c>
      <c r="P11" s="6" t="s">
        <v>36</v>
      </c>
      <c r="Q11" s="6" t="s">
        <v>37</v>
      </c>
      <c r="R11" s="6" t="s">
        <v>54</v>
      </c>
      <c r="T11" s="62"/>
      <c r="U11" s="70">
        <v>23.999999999998003</v>
      </c>
      <c r="V11" s="70">
        <v>7.4999999999994493</v>
      </c>
      <c r="W11" s="70">
        <f t="shared" si="0"/>
        <v>0.13333333333334313</v>
      </c>
      <c r="X11" s="70">
        <v>56.249999999991743</v>
      </c>
      <c r="Y11" s="71">
        <v>67.3</v>
      </c>
      <c r="AA11" s="6"/>
      <c r="AB11" s="6" t="s">
        <v>34</v>
      </c>
      <c r="AC11" s="6" t="s">
        <v>35</v>
      </c>
      <c r="AD11" s="6" t="s">
        <v>36</v>
      </c>
      <c r="AE11" s="6" t="s">
        <v>37</v>
      </c>
      <c r="AF11" s="6" t="s">
        <v>54</v>
      </c>
      <c r="AN11" s="3">
        <v>7.4999999999994493</v>
      </c>
      <c r="AO11" s="3">
        <v>23.999999999998003</v>
      </c>
      <c r="AP11" s="3">
        <f t="shared" si="4"/>
        <v>575.99999999990416</v>
      </c>
      <c r="AQ11" s="3">
        <f t="shared" si="1"/>
        <v>56.249999999991743</v>
      </c>
      <c r="AR11" s="3">
        <f t="shared" si="2"/>
        <v>0.13333333333334313</v>
      </c>
      <c r="AS11" s="32">
        <v>67.3</v>
      </c>
      <c r="AT11" s="72">
        <f t="shared" si="5"/>
        <v>0.30482121699999992</v>
      </c>
      <c r="AU11" s="72"/>
      <c r="AW11" s="6"/>
      <c r="AX11" s="6" t="s">
        <v>34</v>
      </c>
      <c r="AY11" s="6" t="s">
        <v>35</v>
      </c>
      <c r="AZ11" s="6" t="s">
        <v>36</v>
      </c>
      <c r="BA11" s="6" t="s">
        <v>37</v>
      </c>
      <c r="BB11" s="6" t="s">
        <v>54</v>
      </c>
      <c r="BG11" t="s">
        <v>119</v>
      </c>
      <c r="BH11">
        <v>10</v>
      </c>
      <c r="BL11" s="3">
        <v>7.4999999999994493</v>
      </c>
      <c r="BM11" s="3">
        <v>23.999999999998003</v>
      </c>
      <c r="BN11" s="32">
        <v>67.3</v>
      </c>
      <c r="BO11" s="38">
        <f t="shared" si="6"/>
        <v>65.606417381817607</v>
      </c>
      <c r="BP11" s="38">
        <v>67.3</v>
      </c>
      <c r="BR11" s="1" t="s">
        <v>126</v>
      </c>
    </row>
    <row r="12" spans="1:74">
      <c r="A12" s="3">
        <v>19.699999999999001</v>
      </c>
      <c r="B12" s="3">
        <v>3.9999999999998979</v>
      </c>
      <c r="C12" s="3">
        <v>79.999999999998508</v>
      </c>
      <c r="D12" s="3">
        <v>78.799999999993986</v>
      </c>
      <c r="E12" s="3">
        <v>1575.9999999998906</v>
      </c>
      <c r="F12" s="3">
        <v>319.99999999998585</v>
      </c>
      <c r="G12" s="3">
        <v>388.08999999996064</v>
      </c>
      <c r="H12" s="3">
        <v>15.999999999999183</v>
      </c>
      <c r="I12" s="3">
        <v>6.3999999999997605</v>
      </c>
      <c r="J12" s="3">
        <f t="shared" si="3"/>
        <v>0.25000000000000638</v>
      </c>
      <c r="K12" s="32">
        <v>27.3</v>
      </c>
      <c r="M12" s="4" t="s">
        <v>30</v>
      </c>
      <c r="N12" s="4">
        <v>3</v>
      </c>
      <c r="O12" s="4">
        <v>1362.5100049639323</v>
      </c>
      <c r="P12" s="4">
        <v>454.17000165464407</v>
      </c>
      <c r="Q12" s="4">
        <v>8.0512722668470467</v>
      </c>
      <c r="R12" s="4">
        <v>1.7043059235829464E-3</v>
      </c>
      <c r="T12" s="62"/>
      <c r="U12" s="70">
        <v>19.699999999999001</v>
      </c>
      <c r="V12" s="70">
        <v>10.999999999999002</v>
      </c>
      <c r="W12" s="70">
        <f t="shared" ref="W12:W20" si="7">1/V12</f>
        <v>9.0909090909099155E-2</v>
      </c>
      <c r="X12" s="70">
        <v>120.99999999997804</v>
      </c>
      <c r="Y12" s="71">
        <v>73.400000000000006</v>
      </c>
      <c r="AA12" s="4" t="s">
        <v>30</v>
      </c>
      <c r="AB12" s="4">
        <v>3</v>
      </c>
      <c r="AC12" s="4">
        <v>578.86175384115779</v>
      </c>
      <c r="AD12" s="4">
        <v>192.95391794705259</v>
      </c>
      <c r="AE12" s="4">
        <v>119.42637623864296</v>
      </c>
      <c r="AF12" s="4">
        <v>1.0798736656199373E-10</v>
      </c>
      <c r="AN12" s="3">
        <v>3.9999999999998979</v>
      </c>
      <c r="AO12" s="3">
        <v>19.699999999999001</v>
      </c>
      <c r="AP12" s="3">
        <f t="shared" si="4"/>
        <v>388.08999999996064</v>
      </c>
      <c r="AQ12" s="3">
        <f t="shared" si="1"/>
        <v>15.999999999999183</v>
      </c>
      <c r="AR12" s="3">
        <f t="shared" si="2"/>
        <v>0.25000000000000638</v>
      </c>
      <c r="AS12" s="32">
        <v>27.3</v>
      </c>
      <c r="AT12" s="72">
        <f t="shared" si="5"/>
        <v>2.0346417000000006E-2</v>
      </c>
      <c r="AU12" s="72"/>
      <c r="AW12" s="4" t="s">
        <v>30</v>
      </c>
      <c r="AX12" s="4">
        <v>4</v>
      </c>
      <c r="AY12" s="4">
        <v>0.19924746436857574</v>
      </c>
      <c r="AZ12" s="4">
        <v>4.9811866092143935E-2</v>
      </c>
      <c r="BA12" s="4">
        <v>346.03264622139784</v>
      </c>
      <c r="BB12" s="4">
        <v>1.4191838483712128E-14</v>
      </c>
      <c r="BL12" s="3">
        <v>3.9999999999998979</v>
      </c>
      <c r="BM12" s="3">
        <v>19.699999999999001</v>
      </c>
      <c r="BN12" s="32">
        <v>27.3</v>
      </c>
      <c r="BO12" s="38">
        <f t="shared" si="6"/>
        <v>27.197791012687627</v>
      </c>
      <c r="BP12" s="38">
        <v>27.3</v>
      </c>
      <c r="BR12">
        <v>1.6133327965600435</v>
      </c>
      <c r="BS12">
        <v>-5.4394823097657648E-2</v>
      </c>
      <c r="BT12">
        <v>8.9639950079824714E-4</v>
      </c>
      <c r="BU12">
        <v>-1.6358232323028371E-3</v>
      </c>
      <c r="BV12">
        <v>-3.3733861863099439</v>
      </c>
    </row>
    <row r="13" spans="1:74">
      <c r="A13" s="3">
        <v>19.699999999999001</v>
      </c>
      <c r="B13" s="3">
        <v>10.999999999999002</v>
      </c>
      <c r="C13" s="3">
        <v>79.999999999998508</v>
      </c>
      <c r="D13" s="3">
        <v>216.69999999996935</v>
      </c>
      <c r="E13" s="3">
        <v>1575.9999999998906</v>
      </c>
      <c r="F13" s="3">
        <v>879.99999999990371</v>
      </c>
      <c r="G13" s="3">
        <v>388.08999999996064</v>
      </c>
      <c r="H13" s="3">
        <v>120.99999999997804</v>
      </c>
      <c r="I13" s="3">
        <v>6.3999999999997605</v>
      </c>
      <c r="J13" s="3">
        <f t="shared" si="3"/>
        <v>9.0909090909099155E-2</v>
      </c>
      <c r="K13" s="32">
        <v>73.400000000000006</v>
      </c>
      <c r="M13" s="4" t="s">
        <v>31</v>
      </c>
      <c r="N13" s="4">
        <v>16</v>
      </c>
      <c r="O13" s="4">
        <v>902.55549503606846</v>
      </c>
      <c r="P13" s="4">
        <v>56.409718439754279</v>
      </c>
      <c r="Q13" s="4"/>
      <c r="R13" s="4"/>
      <c r="T13" s="62"/>
      <c r="U13" s="70">
        <v>19.699999999999001</v>
      </c>
      <c r="V13" s="70">
        <v>7.4999999999994493</v>
      </c>
      <c r="W13" s="70">
        <f t="shared" si="7"/>
        <v>0.13333333333334313</v>
      </c>
      <c r="X13" s="70">
        <v>56.249999999991743</v>
      </c>
      <c r="Y13" s="71">
        <v>69.8</v>
      </c>
      <c r="AA13" s="4" t="s">
        <v>31</v>
      </c>
      <c r="AB13" s="4">
        <v>15</v>
      </c>
      <c r="AC13" s="4">
        <v>24.235088264105539</v>
      </c>
      <c r="AD13" s="4">
        <v>1.6156725509403693</v>
      </c>
      <c r="AE13" s="4"/>
      <c r="AF13" s="4"/>
      <c r="AN13" s="3">
        <v>10.999999999999002</v>
      </c>
      <c r="AO13" s="3">
        <v>19.699999999999001</v>
      </c>
      <c r="AP13" s="3">
        <f t="shared" si="4"/>
        <v>388.08999999996064</v>
      </c>
      <c r="AQ13" s="3">
        <f t="shared" si="1"/>
        <v>120.99999999997803</v>
      </c>
      <c r="AR13" s="3">
        <f t="shared" si="2"/>
        <v>9.0909090909099155E-2</v>
      </c>
      <c r="AS13" s="32">
        <v>73.400000000000006</v>
      </c>
      <c r="AT13" s="72">
        <f t="shared" si="5"/>
        <v>0.39544690400000015</v>
      </c>
      <c r="AU13" s="72"/>
      <c r="AW13" s="4" t="s">
        <v>31</v>
      </c>
      <c r="AX13" s="4">
        <v>15</v>
      </c>
      <c r="AY13" s="4">
        <v>2.1592702293878403E-3</v>
      </c>
      <c r="AZ13" s="4">
        <v>1.4395134862585601E-4</v>
      </c>
      <c r="BA13" s="4"/>
      <c r="BB13" s="4"/>
      <c r="BL13" s="3">
        <v>10.999999999999002</v>
      </c>
      <c r="BM13" s="3">
        <v>19.699999999999001</v>
      </c>
      <c r="BN13" s="32">
        <v>73.400000000000006</v>
      </c>
      <c r="BO13" s="38">
        <f t="shared" si="6"/>
        <v>72.749902966511115</v>
      </c>
      <c r="BP13" s="38">
        <v>73.400000000000006</v>
      </c>
      <c r="BR13">
        <v>0.21978870316012497</v>
      </c>
      <c r="BS13">
        <v>2.3177413208109156E-2</v>
      </c>
      <c r="BT13">
        <v>5.8457808044985521E-4</v>
      </c>
      <c r="BU13">
        <v>2.3979395727910248E-4</v>
      </c>
      <c r="BV13">
        <v>0.11339654817717164</v>
      </c>
    </row>
    <row r="14" spans="1:74" ht="13" thickBot="1">
      <c r="A14" s="3">
        <v>19.699999999999001</v>
      </c>
      <c r="B14" s="3">
        <v>7.4999999999994493</v>
      </c>
      <c r="C14" s="3">
        <v>59.99999999999801</v>
      </c>
      <c r="D14" s="3">
        <v>147.74999999998167</v>
      </c>
      <c r="E14" s="3">
        <v>1181.9999999999009</v>
      </c>
      <c r="F14" s="3">
        <v>449.99999999995202</v>
      </c>
      <c r="G14" s="3">
        <v>388.08999999996064</v>
      </c>
      <c r="H14" s="3">
        <v>56.249999999991743</v>
      </c>
      <c r="I14" s="3">
        <v>3.5999999999997612</v>
      </c>
      <c r="J14" s="3">
        <f t="shared" si="3"/>
        <v>0.13333333333334313</v>
      </c>
      <c r="K14" s="32">
        <v>69.8</v>
      </c>
      <c r="M14" s="5" t="s">
        <v>32</v>
      </c>
      <c r="N14" s="5">
        <v>19</v>
      </c>
      <c r="O14" s="5">
        <v>2265.0655000000006</v>
      </c>
      <c r="P14" s="5"/>
      <c r="Q14" s="5"/>
      <c r="R14" s="5"/>
      <c r="T14" s="62"/>
      <c r="U14" s="70">
        <v>19.699999999999001</v>
      </c>
      <c r="V14" s="70">
        <v>7.4999999999994493</v>
      </c>
      <c r="W14" s="70">
        <f t="shared" si="7"/>
        <v>0.13333333333334313</v>
      </c>
      <c r="X14" s="70">
        <v>56.249999999991743</v>
      </c>
      <c r="Y14" s="71">
        <v>71.2</v>
      </c>
      <c r="AA14" s="5" t="s">
        <v>32</v>
      </c>
      <c r="AB14" s="5">
        <v>18</v>
      </c>
      <c r="AC14" s="5">
        <v>603.09684210526336</v>
      </c>
      <c r="AD14" s="5"/>
      <c r="AE14" s="5"/>
      <c r="AF14" s="5"/>
      <c r="AN14" s="3">
        <v>7.4999999999994493</v>
      </c>
      <c r="AO14" s="3">
        <v>19.699999999999001</v>
      </c>
      <c r="AP14" s="3">
        <f t="shared" si="4"/>
        <v>388.08999999996064</v>
      </c>
      <c r="AQ14" s="3">
        <f t="shared" si="1"/>
        <v>56.249999999991743</v>
      </c>
      <c r="AR14" s="3">
        <f t="shared" si="2"/>
        <v>0.13333333333334313</v>
      </c>
      <c r="AS14" s="32">
        <v>69.8</v>
      </c>
      <c r="AT14" s="72">
        <f t="shared" si="5"/>
        <v>0.34006839199999994</v>
      </c>
      <c r="AU14" s="72"/>
      <c r="AW14" s="5" t="s">
        <v>32</v>
      </c>
      <c r="AX14" s="5">
        <v>19</v>
      </c>
      <c r="AY14" s="5">
        <v>0.20140673459796357</v>
      </c>
      <c r="AZ14" s="5"/>
      <c r="BA14" s="5"/>
      <c r="BB14" s="5"/>
      <c r="BD14" s="11"/>
      <c r="BE14" s="11"/>
      <c r="BL14" s="3">
        <v>7.4999999999994493</v>
      </c>
      <c r="BM14" s="3">
        <v>19.699999999999001</v>
      </c>
      <c r="BN14" s="32">
        <v>69.8</v>
      </c>
      <c r="BO14" s="38">
        <f t="shared" si="6"/>
        <v>70.327619505055125</v>
      </c>
      <c r="BP14" s="38">
        <v>69.8</v>
      </c>
      <c r="BR14">
        <v>0.99337648509472043</v>
      </c>
      <c r="BS14">
        <v>0.99635105343770636</v>
      </c>
    </row>
    <row r="15" spans="1:74" ht="13" thickBot="1">
      <c r="A15" s="3">
        <v>19.699999999999001</v>
      </c>
      <c r="B15" s="3">
        <v>7.4999999999994493</v>
      </c>
      <c r="C15" s="3">
        <v>99.999999999999005</v>
      </c>
      <c r="D15" s="3">
        <v>147.74999999998167</v>
      </c>
      <c r="E15" s="3">
        <v>1969.9999999998804</v>
      </c>
      <c r="F15" s="3">
        <v>749.99999999993747</v>
      </c>
      <c r="G15" s="3">
        <v>388.08999999996064</v>
      </c>
      <c r="H15" s="3">
        <v>56.249999999991743</v>
      </c>
      <c r="I15" s="3">
        <v>9.999999999999801</v>
      </c>
      <c r="J15" s="3">
        <f t="shared" si="3"/>
        <v>0.13333333333334313</v>
      </c>
      <c r="K15" s="32">
        <v>71.2</v>
      </c>
      <c r="T15" s="62"/>
      <c r="U15" s="70">
        <v>19.699999999999001</v>
      </c>
      <c r="V15" s="70">
        <v>7.4999999999994493</v>
      </c>
      <c r="W15" s="70">
        <f t="shared" si="7"/>
        <v>0.13333333333334313</v>
      </c>
      <c r="X15" s="70">
        <v>56.249999999991743</v>
      </c>
      <c r="Y15" s="71">
        <v>69.8</v>
      </c>
      <c r="AN15" s="3">
        <v>7.4999999999994493</v>
      </c>
      <c r="AO15" s="3">
        <v>19.699999999999001</v>
      </c>
      <c r="AP15" s="3">
        <f t="shared" si="4"/>
        <v>388.08999999996064</v>
      </c>
      <c r="AQ15" s="3">
        <f t="shared" si="1"/>
        <v>56.249999999991743</v>
      </c>
      <c r="AR15" s="3">
        <f t="shared" si="2"/>
        <v>0.13333333333334313</v>
      </c>
      <c r="AS15" s="32">
        <v>71.2</v>
      </c>
      <c r="AT15" s="72">
        <f t="shared" si="5"/>
        <v>0.36094412800000009</v>
      </c>
      <c r="AU15" s="72"/>
      <c r="BD15" s="11"/>
      <c r="BE15" s="11"/>
      <c r="BL15" s="3">
        <v>7.4999999999994493</v>
      </c>
      <c r="BM15" s="3">
        <v>19.699999999999001</v>
      </c>
      <c r="BN15" s="32">
        <v>71.2</v>
      </c>
      <c r="BO15" s="38">
        <f t="shared" si="6"/>
        <v>70.327619505055125</v>
      </c>
      <c r="BP15" s="38">
        <v>71.2</v>
      </c>
    </row>
    <row r="16" spans="1:74" ht="13">
      <c r="A16" s="3">
        <v>19.699999999999001</v>
      </c>
      <c r="B16" s="3">
        <v>7.4999999999994493</v>
      </c>
      <c r="C16" s="3">
        <v>79.999999999998508</v>
      </c>
      <c r="D16" s="3">
        <v>147.74999999998167</v>
      </c>
      <c r="E16" s="3">
        <v>1575.9999999998906</v>
      </c>
      <c r="F16" s="3">
        <v>599.99999999994475</v>
      </c>
      <c r="G16" s="3">
        <v>388.08999999996064</v>
      </c>
      <c r="H16" s="3">
        <v>56.249999999991743</v>
      </c>
      <c r="I16" s="3">
        <v>6.3999999999997605</v>
      </c>
      <c r="J16" s="3">
        <f t="shared" si="3"/>
        <v>0.13333333333334313</v>
      </c>
      <c r="K16" s="32">
        <v>69.8</v>
      </c>
      <c r="M16" s="6"/>
      <c r="N16" s="6" t="s">
        <v>39</v>
      </c>
      <c r="O16" s="6" t="s">
        <v>55</v>
      </c>
      <c r="P16" s="6" t="s">
        <v>40</v>
      </c>
      <c r="Q16" s="6" t="s">
        <v>41</v>
      </c>
      <c r="R16" s="6" t="s">
        <v>42</v>
      </c>
      <c r="S16" s="6" t="s">
        <v>43</v>
      </c>
      <c r="T16" s="8"/>
      <c r="U16" s="70">
        <v>19.699999999999001</v>
      </c>
      <c r="V16" s="70">
        <v>7.4999999999994493</v>
      </c>
      <c r="W16" s="70">
        <f t="shared" si="7"/>
        <v>0.13333333333334313</v>
      </c>
      <c r="X16" s="70">
        <v>56.249999999991743</v>
      </c>
      <c r="Y16" s="71">
        <v>70.8</v>
      </c>
      <c r="AA16" s="6"/>
      <c r="AB16" s="6" t="s">
        <v>39</v>
      </c>
      <c r="AC16" s="6" t="s">
        <v>55</v>
      </c>
      <c r="AD16" s="6" t="s">
        <v>40</v>
      </c>
      <c r="AE16" s="6" t="s">
        <v>41</v>
      </c>
      <c r="AF16" s="6" t="s">
        <v>42</v>
      </c>
      <c r="AG16" s="6" t="s">
        <v>43</v>
      </c>
      <c r="AH16" s="8"/>
      <c r="AN16" s="3">
        <v>7.4999999999994493</v>
      </c>
      <c r="AO16" s="3">
        <v>19.699999999999001</v>
      </c>
      <c r="AP16" s="3">
        <f t="shared" si="4"/>
        <v>388.08999999996064</v>
      </c>
      <c r="AQ16" s="3">
        <f t="shared" si="1"/>
        <v>56.249999999991743</v>
      </c>
      <c r="AR16" s="3">
        <f t="shared" si="2"/>
        <v>0.13333333333334313</v>
      </c>
      <c r="AS16" s="32">
        <v>69.8</v>
      </c>
      <c r="AT16" s="72">
        <f t="shared" si="5"/>
        <v>0.34006839199999994</v>
      </c>
      <c r="AU16" s="72"/>
      <c r="AW16" s="6"/>
      <c r="AX16" s="6" t="s">
        <v>39</v>
      </c>
      <c r="AY16" s="6" t="s">
        <v>55</v>
      </c>
      <c r="AZ16" s="6" t="s">
        <v>40</v>
      </c>
      <c r="BA16" s="6" t="s">
        <v>41</v>
      </c>
      <c r="BB16" s="6" t="s">
        <v>42</v>
      </c>
      <c r="BC16" s="6" t="s">
        <v>43</v>
      </c>
      <c r="BD16" s="8"/>
      <c r="BE16" s="8"/>
      <c r="BL16" s="3">
        <v>7.4999999999994493</v>
      </c>
      <c r="BM16" s="3">
        <v>19.699999999999001</v>
      </c>
      <c r="BN16" s="32">
        <v>69.8</v>
      </c>
      <c r="BO16" s="38">
        <f t="shared" si="6"/>
        <v>70.327619505055125</v>
      </c>
      <c r="BP16" s="38">
        <v>69.8</v>
      </c>
    </row>
    <row r="17" spans="1:68">
      <c r="A17" s="3">
        <v>19.699999999999001</v>
      </c>
      <c r="B17" s="3">
        <v>7.4999999999994493</v>
      </c>
      <c r="C17" s="3">
        <v>79.999999999998508</v>
      </c>
      <c r="D17" s="3">
        <v>147.74999999998167</v>
      </c>
      <c r="E17" s="3">
        <v>1575.9999999998906</v>
      </c>
      <c r="F17" s="3">
        <v>599.99999999994475</v>
      </c>
      <c r="G17" s="3">
        <v>388.08999999996064</v>
      </c>
      <c r="H17" s="3">
        <v>56.249999999991743</v>
      </c>
      <c r="I17" s="3">
        <v>6.3999999999997605</v>
      </c>
      <c r="J17" s="3">
        <f t="shared" si="3"/>
        <v>0.13333333333334313</v>
      </c>
      <c r="K17" s="32">
        <v>70.8</v>
      </c>
      <c r="M17" s="4" t="s">
        <v>33</v>
      </c>
      <c r="N17" s="4">
        <v>60.258816231952856</v>
      </c>
      <c r="O17" s="4">
        <v>22.134809780438612</v>
      </c>
      <c r="P17" s="4">
        <v>2.7223552779390001</v>
      </c>
      <c r="Q17" s="4">
        <v>1.5065562285315101E-2</v>
      </c>
      <c r="R17" s="4">
        <v>13.335115992332696</v>
      </c>
      <c r="S17" s="4">
        <v>107.18251647157302</v>
      </c>
      <c r="T17" s="4"/>
      <c r="U17" s="70">
        <v>19.699999999999001</v>
      </c>
      <c r="V17" s="70">
        <v>7.4999999999994493</v>
      </c>
      <c r="W17" s="70">
        <f t="shared" si="7"/>
        <v>0.13333333333334313</v>
      </c>
      <c r="X17" s="70">
        <v>56.249999999991743</v>
      </c>
      <c r="Y17" s="71">
        <v>69.7</v>
      </c>
      <c r="AA17" s="4" t="s">
        <v>33</v>
      </c>
      <c r="AB17" s="4">
        <v>172.6552445598021</v>
      </c>
      <c r="AC17" s="4">
        <v>12.32495955829271</v>
      </c>
      <c r="AD17" s="4">
        <v>14.008585078369119</v>
      </c>
      <c r="AE17" s="4">
        <v>5.0766609465614458E-10</v>
      </c>
      <c r="AF17" s="4">
        <v>146.38521523205421</v>
      </c>
      <c r="AG17" s="4">
        <v>198.92527388754999</v>
      </c>
      <c r="AH17" s="4"/>
      <c r="AN17" s="3">
        <v>7.4999999999994493</v>
      </c>
      <c r="AO17" s="3">
        <v>19.699999999999001</v>
      </c>
      <c r="AP17" s="3">
        <f t="shared" si="4"/>
        <v>388.08999999996064</v>
      </c>
      <c r="AQ17" s="3">
        <f t="shared" si="1"/>
        <v>56.249999999991743</v>
      </c>
      <c r="AR17" s="3">
        <f t="shared" si="2"/>
        <v>0.13333333333334313</v>
      </c>
      <c r="AS17" s="32">
        <v>70.8</v>
      </c>
      <c r="AT17" s="72">
        <f t="shared" si="5"/>
        <v>0.35489491199999995</v>
      </c>
      <c r="AU17" s="72"/>
      <c r="AW17" s="4" t="s">
        <v>33</v>
      </c>
      <c r="AX17" s="4">
        <v>1.9067361415698028</v>
      </c>
      <c r="AY17" s="4">
        <v>0.1847293782591076</v>
      </c>
      <c r="AZ17" s="4">
        <v>10.321780755930174</v>
      </c>
      <c r="BA17" s="4">
        <v>3.2888496138103576E-8</v>
      </c>
      <c r="BB17" s="4">
        <v>1.5129947940537205</v>
      </c>
      <c r="BC17" s="4">
        <v>2.300477489085885</v>
      </c>
      <c r="BD17" s="4"/>
      <c r="BE17" s="4"/>
      <c r="BL17" s="3">
        <v>7.4999999999994493</v>
      </c>
      <c r="BM17" s="3">
        <v>19.699999999999001</v>
      </c>
      <c r="BN17" s="32">
        <v>70.8</v>
      </c>
      <c r="BO17" s="38">
        <f t="shared" si="6"/>
        <v>70.327619505055125</v>
      </c>
      <c r="BP17" s="38">
        <v>70.8</v>
      </c>
    </row>
    <row r="18" spans="1:68">
      <c r="A18" s="3">
        <v>19.699999999999001</v>
      </c>
      <c r="B18" s="3">
        <v>7.4999999999994493</v>
      </c>
      <c r="C18" s="3">
        <v>79.999999999998508</v>
      </c>
      <c r="D18" s="3">
        <v>147.74999999998167</v>
      </c>
      <c r="E18" s="3">
        <v>1575.9999999998906</v>
      </c>
      <c r="F18" s="3">
        <v>599.99999999994475</v>
      </c>
      <c r="G18" s="3">
        <v>388.08999999996064</v>
      </c>
      <c r="H18" s="3">
        <v>56.249999999991743</v>
      </c>
      <c r="I18" s="3">
        <v>6.3999999999997605</v>
      </c>
      <c r="J18" s="3">
        <f t="shared" si="3"/>
        <v>0.13333333333334313</v>
      </c>
      <c r="K18" s="32">
        <v>69.7</v>
      </c>
      <c r="M18" s="4" t="s">
        <v>0</v>
      </c>
      <c r="N18" s="4">
        <v>-1.403937044005156</v>
      </c>
      <c r="O18" s="4">
        <v>0.80443037477997892</v>
      </c>
      <c r="P18" s="4">
        <v>-1.7452561315690611</v>
      </c>
      <c r="Q18" s="4">
        <v>0.10011201838842083</v>
      </c>
      <c r="R18" s="4">
        <v>-3.1092532470465475</v>
      </c>
      <c r="S18" s="4">
        <v>0.30137915903623558</v>
      </c>
      <c r="T18" s="4"/>
      <c r="U18" s="70">
        <v>19.699999999999001</v>
      </c>
      <c r="V18" s="70">
        <v>7.4999999999994493</v>
      </c>
      <c r="W18" s="70">
        <f t="shared" si="7"/>
        <v>0.13333333333334313</v>
      </c>
      <c r="X18" s="70">
        <v>56.249999999991743</v>
      </c>
      <c r="Y18" s="71">
        <v>70</v>
      </c>
      <c r="AA18" s="4" t="s">
        <v>0</v>
      </c>
      <c r="AB18" s="4">
        <v>-1.4097698395452507</v>
      </c>
      <c r="AC18" s="4">
        <v>0.1362181699921077</v>
      </c>
      <c r="AD18" s="4">
        <v>-10.349352363395653</v>
      </c>
      <c r="AE18" s="4">
        <v>3.1745446729615772E-8</v>
      </c>
      <c r="AF18" s="4">
        <v>-1.7001119947255567</v>
      </c>
      <c r="AG18" s="4">
        <v>-1.1194276843649447</v>
      </c>
      <c r="AH18" s="4"/>
      <c r="AN18" s="3">
        <v>7.4999999999994493</v>
      </c>
      <c r="AO18" s="3">
        <v>19.699999999999001</v>
      </c>
      <c r="AP18" s="3">
        <f t="shared" si="4"/>
        <v>388.08999999996064</v>
      </c>
      <c r="AQ18" s="3">
        <f t="shared" si="1"/>
        <v>56.249999999991743</v>
      </c>
      <c r="AR18" s="3">
        <f t="shared" si="2"/>
        <v>0.13333333333334313</v>
      </c>
      <c r="AS18" s="32">
        <v>69.7</v>
      </c>
      <c r="AT18" s="72">
        <f t="shared" si="5"/>
        <v>0.33860887300000009</v>
      </c>
      <c r="AU18" s="72"/>
      <c r="AW18" s="4" t="s">
        <v>0</v>
      </c>
      <c r="AX18" s="4">
        <v>-8.3797915501146403E-2</v>
      </c>
      <c r="AY18" s="4">
        <v>1.9002655123689899E-2</v>
      </c>
      <c r="AZ18" s="4">
        <v>-4.409800365038393</v>
      </c>
      <c r="BA18" s="4">
        <v>5.0686389237529245E-4</v>
      </c>
      <c r="BB18" s="4">
        <v>-0.1243011159411455</v>
      </c>
      <c r="BC18" s="4">
        <v>-4.3294715061147307E-2</v>
      </c>
      <c r="BD18" s="4"/>
      <c r="BE18" s="4"/>
      <c r="BL18" s="3">
        <v>7.4999999999994493</v>
      </c>
      <c r="BM18" s="3">
        <v>19.699999999999001</v>
      </c>
      <c r="BN18" s="32">
        <v>69.7</v>
      </c>
      <c r="BO18" s="38">
        <f t="shared" si="6"/>
        <v>70.327619505055125</v>
      </c>
      <c r="BP18" s="38">
        <v>69.7</v>
      </c>
    </row>
    <row r="19" spans="1:68">
      <c r="A19" s="3">
        <v>19.699999999999001</v>
      </c>
      <c r="B19" s="3">
        <v>7.4999999999994493</v>
      </c>
      <c r="C19" s="3">
        <v>79.999999999998508</v>
      </c>
      <c r="D19" s="3">
        <v>147.74999999998167</v>
      </c>
      <c r="E19" s="3">
        <v>1575.9999999998906</v>
      </c>
      <c r="F19" s="3">
        <v>599.99999999994475</v>
      </c>
      <c r="G19" s="3">
        <v>388.08999999996064</v>
      </c>
      <c r="H19" s="3">
        <v>56.249999999991743</v>
      </c>
      <c r="I19" s="3">
        <v>6.3999999999997605</v>
      </c>
      <c r="J19" s="3">
        <f t="shared" si="3"/>
        <v>0.13333333333334313</v>
      </c>
      <c r="K19" s="32">
        <v>70</v>
      </c>
      <c r="M19" s="4" t="s">
        <v>1</v>
      </c>
      <c r="N19" s="4">
        <v>4.4625292740047664</v>
      </c>
      <c r="O19" s="4">
        <v>0.97140203882831944</v>
      </c>
      <c r="P19" s="4">
        <v>4.5939056082148602</v>
      </c>
      <c r="Q19" s="4">
        <v>2.9949835950161759E-4</v>
      </c>
      <c r="R19" s="4">
        <v>2.403248957874907</v>
      </c>
      <c r="S19" s="4">
        <v>6.5218095901346258</v>
      </c>
      <c r="T19" s="4"/>
      <c r="U19" s="70">
        <v>19.699999999999001</v>
      </c>
      <c r="V19" s="70">
        <v>7.4999999999994493</v>
      </c>
      <c r="W19" s="70">
        <f t="shared" si="7"/>
        <v>0.13333333333334313</v>
      </c>
      <c r="X19" s="70">
        <v>56.249999999991743</v>
      </c>
      <c r="Y19" s="71">
        <v>70.599999999999994</v>
      </c>
      <c r="AA19" s="4" t="s">
        <v>1</v>
      </c>
      <c r="AB19" s="4">
        <v>-3.6821040231687809</v>
      </c>
      <c r="AC19" s="4">
        <v>0.79765823296685467</v>
      </c>
      <c r="AD19" s="4">
        <v>-4.6161424416988179</v>
      </c>
      <c r="AE19" s="4">
        <v>3.3605607134574712E-4</v>
      </c>
      <c r="AF19" s="4">
        <v>-5.3822722934540845</v>
      </c>
      <c r="AG19" s="4">
        <v>-1.9819357528834778</v>
      </c>
      <c r="AH19" s="4"/>
      <c r="AN19" s="3">
        <v>7.4999999999994493</v>
      </c>
      <c r="AO19" s="3">
        <v>19.699999999999001</v>
      </c>
      <c r="AP19" s="3">
        <f t="shared" si="4"/>
        <v>388.08999999996064</v>
      </c>
      <c r="AQ19" s="3">
        <f t="shared" si="1"/>
        <v>56.249999999991743</v>
      </c>
      <c r="AR19" s="3">
        <f t="shared" si="2"/>
        <v>0.13333333333334313</v>
      </c>
      <c r="AS19" s="32">
        <v>70</v>
      </c>
      <c r="AT19" s="72">
        <f t="shared" si="5"/>
        <v>0.34299999999999992</v>
      </c>
      <c r="AU19" s="72"/>
      <c r="AW19" s="4" t="s">
        <v>112</v>
      </c>
      <c r="AX19" s="4">
        <v>1.6371007607477036E-3</v>
      </c>
      <c r="AY19" s="4">
        <v>4.8449599128417317E-4</v>
      </c>
      <c r="AZ19" s="4">
        <v>3.3789768959873374</v>
      </c>
      <c r="BA19" s="4">
        <v>4.1322410256473558E-3</v>
      </c>
      <c r="BB19" s="4">
        <v>6.0442200508819231E-4</v>
      </c>
      <c r="BC19" s="4">
        <v>2.6697795164072149E-3</v>
      </c>
      <c r="BD19" s="4"/>
      <c r="BE19" s="4"/>
      <c r="BL19" s="3">
        <v>7.4999999999994493</v>
      </c>
      <c r="BM19" s="3">
        <v>19.699999999999001</v>
      </c>
      <c r="BN19" s="32">
        <v>70</v>
      </c>
      <c r="BO19" s="38">
        <f t="shared" si="6"/>
        <v>70.327619505055125</v>
      </c>
      <c r="BP19" s="38">
        <v>70</v>
      </c>
    </row>
    <row r="20" spans="1:68" ht="13" thickBot="1">
      <c r="A20" s="3">
        <v>19.699999999999001</v>
      </c>
      <c r="B20" s="3">
        <v>7.4999999999994493</v>
      </c>
      <c r="C20" s="3">
        <v>79.999999999998508</v>
      </c>
      <c r="D20" s="3">
        <v>147.74999999998167</v>
      </c>
      <c r="E20" s="3">
        <v>1575.9999999998906</v>
      </c>
      <c r="F20" s="3">
        <v>599.99999999994475</v>
      </c>
      <c r="G20" s="3">
        <v>388.08999999996064</v>
      </c>
      <c r="H20" s="3">
        <v>56.249999999991743</v>
      </c>
      <c r="I20" s="3">
        <v>6.3999999999997605</v>
      </c>
      <c r="J20" s="3">
        <f t="shared" si="3"/>
        <v>0.13333333333334313</v>
      </c>
      <c r="K20" s="32">
        <v>70.599999999999994</v>
      </c>
      <c r="M20" s="5" t="s">
        <v>2</v>
      </c>
      <c r="N20" s="5">
        <v>1.0655737704914965E-2</v>
      </c>
      <c r="O20" s="5">
        <v>0.16999535679494526</v>
      </c>
      <c r="P20" s="5">
        <v>6.2682522074813563E-2</v>
      </c>
      <c r="Q20" s="5">
        <v>0.9507957061221064</v>
      </c>
      <c r="R20" s="5">
        <v>-0.34971831761778782</v>
      </c>
      <c r="S20" s="5">
        <v>0.37102979302761774</v>
      </c>
      <c r="T20" s="4"/>
      <c r="U20" s="70">
        <v>19.699999999999001</v>
      </c>
      <c r="V20" s="70">
        <v>7.4999999999994493</v>
      </c>
      <c r="W20" s="70">
        <f t="shared" si="7"/>
        <v>0.13333333333334313</v>
      </c>
      <c r="X20" s="70">
        <v>56.249999999991743</v>
      </c>
      <c r="Y20" s="71">
        <v>70.3</v>
      </c>
      <c r="AA20" s="5" t="s">
        <v>73</v>
      </c>
      <c r="AB20" s="5">
        <v>-350.17965216349569</v>
      </c>
      <c r="AC20" s="5">
        <v>43.407397843016895</v>
      </c>
      <c r="AD20" s="5">
        <v>-8.0672804536665019</v>
      </c>
      <c r="AE20" s="5">
        <v>7.7658599649396635E-7</v>
      </c>
      <c r="AF20" s="5">
        <v>-442.7003301408954</v>
      </c>
      <c r="AG20" s="5">
        <v>-257.65897418609597</v>
      </c>
      <c r="AH20" s="4"/>
      <c r="AN20" s="3">
        <v>7.4999999999994493</v>
      </c>
      <c r="AO20" s="3">
        <v>19.699999999999001</v>
      </c>
      <c r="AP20" s="3">
        <f t="shared" si="4"/>
        <v>388.08999999996064</v>
      </c>
      <c r="AQ20" s="3">
        <f t="shared" si="1"/>
        <v>56.249999999991743</v>
      </c>
      <c r="AR20" s="3">
        <f t="shared" si="2"/>
        <v>0.13333333333334313</v>
      </c>
      <c r="AS20" s="32">
        <v>70.599999999999994</v>
      </c>
      <c r="AT20" s="72">
        <f t="shared" si="5"/>
        <v>0.35189581599999992</v>
      </c>
      <c r="AU20" s="72"/>
      <c r="AW20" s="4" t="s">
        <v>113</v>
      </c>
      <c r="AX20" s="4">
        <v>-1.6632438843426709E-3</v>
      </c>
      <c r="AY20" s="4">
        <v>2.3825501869330541E-4</v>
      </c>
      <c r="AZ20" s="4">
        <v>-6.9809395557106289</v>
      </c>
      <c r="BA20" s="4">
        <v>4.4185988233994802E-6</v>
      </c>
      <c r="BB20" s="4">
        <v>-2.171072433308982E-3</v>
      </c>
      <c r="BC20" s="4">
        <v>-1.1554153353763598E-3</v>
      </c>
      <c r="BD20" s="4"/>
      <c r="BE20" s="4"/>
      <c r="BL20" s="3">
        <v>7.4999999999994493</v>
      </c>
      <c r="BM20" s="3">
        <v>19.699999999999001</v>
      </c>
      <c r="BN20" s="32">
        <v>70.599999999999994</v>
      </c>
      <c r="BO20" s="38">
        <f t="shared" si="6"/>
        <v>70.327619505055125</v>
      </c>
      <c r="BP20" s="38">
        <v>70.599999999999994</v>
      </c>
    </row>
    <row r="21" spans="1:68" ht="13" thickBot="1">
      <c r="A21" s="3">
        <v>19.699999999999001</v>
      </c>
      <c r="B21" s="3">
        <v>7.4999999999994493</v>
      </c>
      <c r="C21" s="3">
        <v>79.999999999998508</v>
      </c>
      <c r="D21" s="3">
        <v>147.74999999998167</v>
      </c>
      <c r="E21" s="3">
        <v>1575.9999999998906</v>
      </c>
      <c r="F21" s="3">
        <v>599.99999999994475</v>
      </c>
      <c r="G21" s="3">
        <v>388.08999999996064</v>
      </c>
      <c r="H21" s="3">
        <v>56.249999999991743</v>
      </c>
      <c r="I21" s="3">
        <v>6.3999999999997605</v>
      </c>
      <c r="J21" s="3">
        <f t="shared" si="3"/>
        <v>0.13333333333334313</v>
      </c>
      <c r="K21" s="32">
        <v>70.3</v>
      </c>
      <c r="AI21" s="62"/>
      <c r="AN21" s="3">
        <v>7.4999999999994493</v>
      </c>
      <c r="AO21" s="3">
        <v>19.699999999999001</v>
      </c>
      <c r="AP21" s="3">
        <f t="shared" si="4"/>
        <v>388.08999999996064</v>
      </c>
      <c r="AQ21" s="3">
        <f t="shared" si="1"/>
        <v>56.249999999991743</v>
      </c>
      <c r="AR21" s="3">
        <f t="shared" si="2"/>
        <v>0.13333333333334313</v>
      </c>
      <c r="AS21" s="32">
        <v>70.3</v>
      </c>
      <c r="AT21" s="72">
        <f t="shared" si="5"/>
        <v>0.34742892699999994</v>
      </c>
      <c r="AU21" s="72"/>
      <c r="AW21" s="5" t="s">
        <v>114</v>
      </c>
      <c r="AX21" s="5">
        <v>-3.3940299391052799</v>
      </c>
      <c r="AY21" s="5">
        <v>0.16630342813212942</v>
      </c>
      <c r="AZ21" s="5">
        <v>-20.408658902741895</v>
      </c>
      <c r="BA21" s="5">
        <v>2.3531845539871807E-12</v>
      </c>
      <c r="BB21" s="5">
        <v>-3.7484973037788265</v>
      </c>
      <c r="BC21" s="5">
        <v>-3.0395625744317334</v>
      </c>
      <c r="BD21" s="4"/>
      <c r="BE21" s="4"/>
      <c r="BL21" s="3">
        <v>7.4999999999994493</v>
      </c>
      <c r="BM21" s="3">
        <v>19.699999999999001</v>
      </c>
      <c r="BN21" s="32">
        <v>70.3</v>
      </c>
      <c r="BO21" s="38">
        <f t="shared" si="6"/>
        <v>70.327619505055125</v>
      </c>
      <c r="BP21" s="38">
        <v>70.3</v>
      </c>
    </row>
    <row r="22" spans="1:68">
      <c r="AI22" s="62"/>
      <c r="BD22" s="11"/>
      <c r="BE22" s="11"/>
    </row>
    <row r="23" spans="1:68">
      <c r="J23" s="10" t="s">
        <v>75</v>
      </c>
      <c r="K23" s="34">
        <f>VAR(K16:K21)</f>
        <v>0.19599999999999818</v>
      </c>
      <c r="X23" s="10" t="s">
        <v>77</v>
      </c>
      <c r="Y23">
        <f>VAR(Y13:Y20)</f>
        <v>0.29928571428571438</v>
      </c>
      <c r="BD23" s="11"/>
      <c r="BE23" s="11"/>
    </row>
    <row r="24" spans="1:68">
      <c r="J24" s="10" t="s">
        <v>76</v>
      </c>
      <c r="K24" s="34">
        <f>STDEV(K16:K21)</f>
        <v>0.44271887242357105</v>
      </c>
      <c r="M24" t="s">
        <v>47</v>
      </c>
      <c r="X24" s="10" t="s">
        <v>76</v>
      </c>
      <c r="Y24">
        <f>STDEV(Y13:Y20)</f>
        <v>0.54707011825333174</v>
      </c>
      <c r="AA24" t="s">
        <v>47</v>
      </c>
    </row>
    <row r="25" spans="1:68" ht="13" thickBot="1">
      <c r="AW25" t="s">
        <v>47</v>
      </c>
    </row>
    <row r="26" spans="1:68" ht="13.5" thickBot="1">
      <c r="M26" s="6" t="s">
        <v>48</v>
      </c>
      <c r="N26" s="6" t="s">
        <v>74</v>
      </c>
      <c r="O26" s="6" t="s">
        <v>49</v>
      </c>
      <c r="P26" s="6" t="s">
        <v>50</v>
      </c>
      <c r="W26" s="7" t="s">
        <v>3</v>
      </c>
      <c r="X26" s="7"/>
      <c r="AA26" s="6" t="s">
        <v>48</v>
      </c>
      <c r="AB26" s="6" t="s">
        <v>74</v>
      </c>
      <c r="AC26" s="6" t="s">
        <v>49</v>
      </c>
      <c r="AD26" s="6" t="s">
        <v>50</v>
      </c>
      <c r="AF26" s="31" t="s">
        <v>3</v>
      </c>
    </row>
    <row r="27" spans="1:68" ht="13">
      <c r="M27" s="4">
        <v>1</v>
      </c>
      <c r="N27" s="4">
        <v>61.214134727425169</v>
      </c>
      <c r="O27" s="4">
        <v>4.9858652725748343</v>
      </c>
      <c r="P27" s="4">
        <v>0.72340312748833424</v>
      </c>
      <c r="W27" s="4"/>
      <c r="X27" s="4"/>
      <c r="AA27" s="4">
        <v>1</v>
      </c>
      <c r="AB27" s="4">
        <v>63.95771182844075</v>
      </c>
      <c r="AC27" s="4">
        <v>2.2422881715592524</v>
      </c>
      <c r="AD27" s="4">
        <v>1.9324371396273274</v>
      </c>
      <c r="AF27" s="32">
        <v>66.2</v>
      </c>
      <c r="AW27" s="6" t="s">
        <v>48</v>
      </c>
      <c r="AX27" s="6" t="s">
        <v>116</v>
      </c>
      <c r="AY27" s="6" t="s">
        <v>49</v>
      </c>
      <c r="AZ27" s="6" t="s">
        <v>50</v>
      </c>
      <c r="BB27" s="8" t="s">
        <v>117</v>
      </c>
      <c r="BC27" s="31" t="s">
        <v>3</v>
      </c>
      <c r="BD27" s="8"/>
      <c r="BE27" t="s">
        <v>23</v>
      </c>
    </row>
    <row r="28" spans="1:68" ht="13" thickBot="1">
      <c r="M28" s="4">
        <v>2</v>
      </c>
      <c r="N28" s="4">
        <v>54.194449507399383</v>
      </c>
      <c r="O28" s="4">
        <v>0.20555049260061509</v>
      </c>
      <c r="P28" s="4">
        <v>2.9823483201996379E-2</v>
      </c>
      <c r="W28" s="4" t="s">
        <v>10</v>
      </c>
      <c r="X28" s="4">
        <v>69.126315789473679</v>
      </c>
      <c r="AA28" s="4">
        <v>2</v>
      </c>
      <c r="AB28" s="4">
        <v>56.908862630714495</v>
      </c>
      <c r="AC28" s="4">
        <v>-2.5088626307144963</v>
      </c>
      <c r="AD28" s="4">
        <v>-2.1621749547224507</v>
      </c>
      <c r="AF28" s="32">
        <v>54.4</v>
      </c>
      <c r="AW28" s="4">
        <v>1</v>
      </c>
      <c r="AX28" s="4">
        <v>0.27826944344169402</v>
      </c>
      <c r="AY28" s="4">
        <v>1.1848084558305993E-2</v>
      </c>
      <c r="AZ28" s="4">
        <v>1.1114026986744188</v>
      </c>
      <c r="BB28">
        <f t="shared" ref="BB28:BB47" si="8">100*AX28^0.33333</f>
        <v>65.286545822794324</v>
      </c>
      <c r="BC28" s="32">
        <v>66.2</v>
      </c>
    </row>
    <row r="29" spans="1:68" ht="13">
      <c r="M29" s="4">
        <v>3</v>
      </c>
      <c r="N29" s="4">
        <v>79.956757678245182</v>
      </c>
      <c r="O29" s="4">
        <v>-3.2567576782451795</v>
      </c>
      <c r="P29" s="4">
        <v>-0.47252554193016416</v>
      </c>
      <c r="W29" s="4" t="s">
        <v>11</v>
      </c>
      <c r="X29" s="4">
        <v>1.3279461806817978</v>
      </c>
      <c r="AA29" s="4">
        <v>3</v>
      </c>
      <c r="AB29" s="4">
        <v>76.863911564748406</v>
      </c>
      <c r="AC29" s="4">
        <v>-0.16391156474840329</v>
      </c>
      <c r="AD29" s="4">
        <v>-0.14126141294050609</v>
      </c>
      <c r="AF29" s="32">
        <v>76.7</v>
      </c>
      <c r="AW29" s="4">
        <v>2</v>
      </c>
      <c r="AX29" s="4">
        <v>0.17851451428176401</v>
      </c>
      <c r="AY29" s="4">
        <v>-1.7525330281763979E-2</v>
      </c>
      <c r="AZ29" s="4">
        <v>-1.6439534402764142</v>
      </c>
      <c r="BB29">
        <f t="shared" si="8"/>
        <v>56.30673416075421</v>
      </c>
      <c r="BC29" s="32">
        <v>54.4</v>
      </c>
      <c r="BE29" s="7" t="s">
        <v>24</v>
      </c>
      <c r="BF29" s="7"/>
    </row>
    <row r="30" spans="1:68">
      <c r="M30" s="4">
        <v>4</v>
      </c>
      <c r="N30" s="4">
        <v>72.937072458219404</v>
      </c>
      <c r="O30" s="4">
        <v>-3.33707245821941</v>
      </c>
      <c r="P30" s="4">
        <v>-0.48417847674500553</v>
      </c>
      <c r="W30" s="4" t="s">
        <v>12</v>
      </c>
      <c r="X30" s="4">
        <v>69.8</v>
      </c>
      <c r="AA30" s="4">
        <v>4</v>
      </c>
      <c r="AB30" s="4">
        <v>69.815062367022136</v>
      </c>
      <c r="AC30" s="4">
        <v>-0.2150623670221421</v>
      </c>
      <c r="AD30" s="4">
        <v>-0.18534393154326492</v>
      </c>
      <c r="AF30" s="32">
        <v>69.599999999999994</v>
      </c>
      <c r="AW30" s="4">
        <v>3</v>
      </c>
      <c r="AX30" s="4">
        <v>0.44846435620191305</v>
      </c>
      <c r="AY30" s="4">
        <v>2.7533067980869963E-3</v>
      </c>
      <c r="AZ30" s="4">
        <v>0.25827234694466306</v>
      </c>
      <c r="BB30">
        <f t="shared" si="8"/>
        <v>76.543879738444403</v>
      </c>
      <c r="BC30" s="32">
        <v>76.7</v>
      </c>
      <c r="BE30" s="4" t="s">
        <v>25</v>
      </c>
      <c r="BF30" s="4">
        <v>0.99671154781312021</v>
      </c>
    </row>
    <row r="31" spans="1:68">
      <c r="M31" s="4">
        <v>5</v>
      </c>
      <c r="N31" s="4">
        <v>61.469872432343131</v>
      </c>
      <c r="O31" s="4">
        <v>2.3301275676568665</v>
      </c>
      <c r="P31" s="4">
        <v>0.33808004784278145</v>
      </c>
      <c r="W31" s="4" t="s">
        <v>13</v>
      </c>
      <c r="X31" s="4">
        <v>69.8</v>
      </c>
      <c r="AA31" s="4">
        <v>5</v>
      </c>
      <c r="AB31" s="4">
        <v>63.95771182844075</v>
      </c>
      <c r="AC31" s="4">
        <v>-0.15771182844075327</v>
      </c>
      <c r="AD31" s="4">
        <v>-0.13591838841370418</v>
      </c>
      <c r="AF31" s="32">
        <v>63.8</v>
      </c>
      <c r="AW31" s="4">
        <v>4</v>
      </c>
      <c r="AX31" s="4">
        <v>0.34870942704198304</v>
      </c>
      <c r="AY31" s="4">
        <v>-1.1555891041983124E-2</v>
      </c>
      <c r="AZ31" s="4">
        <v>-1.0839936553832188</v>
      </c>
      <c r="BB31">
        <f t="shared" si="8"/>
        <v>70.386508259774928</v>
      </c>
      <c r="BC31" s="32">
        <v>69.599999999999994</v>
      </c>
      <c r="BE31" s="4" t="s">
        <v>26</v>
      </c>
      <c r="BF31" s="4">
        <v>0.99343390954402577</v>
      </c>
    </row>
    <row r="32" spans="1:68">
      <c r="M32" s="4">
        <v>6</v>
      </c>
      <c r="N32" s="4">
        <v>54.450187212317346</v>
      </c>
      <c r="O32" s="4">
        <v>2.6498127876826558</v>
      </c>
      <c r="P32" s="4">
        <v>0.38446342872764494</v>
      </c>
      <c r="W32" s="4" t="s">
        <v>14</v>
      </c>
      <c r="X32" s="4">
        <v>5.7883832040527619</v>
      </c>
      <c r="AA32" s="4">
        <v>6</v>
      </c>
      <c r="AB32" s="4">
        <v>56.908862630714495</v>
      </c>
      <c r="AC32" s="4">
        <v>0.19113736928550651</v>
      </c>
      <c r="AD32" s="4">
        <v>0.1647250143237069</v>
      </c>
      <c r="AF32" s="32">
        <v>57.1</v>
      </c>
      <c r="AW32" s="4">
        <v>5</v>
      </c>
      <c r="AX32" s="4">
        <v>0.27826944344169402</v>
      </c>
      <c r="AY32" s="4">
        <v>-1.8575371441694022E-2</v>
      </c>
      <c r="AZ32" s="4">
        <v>-1.7424519421331839</v>
      </c>
      <c r="BB32">
        <f t="shared" si="8"/>
        <v>65.286545822794324</v>
      </c>
      <c r="BC32" s="32">
        <v>63.8</v>
      </c>
      <c r="BE32" s="4" t="s">
        <v>27</v>
      </c>
      <c r="BF32" s="4">
        <v>0.99306912674091607</v>
      </c>
    </row>
    <row r="33" spans="13:65">
      <c r="M33" s="4">
        <v>7</v>
      </c>
      <c r="N33" s="4">
        <v>80.21249538316313</v>
      </c>
      <c r="O33" s="4">
        <v>-4.3124953831631245</v>
      </c>
      <c r="P33" s="4">
        <v>-0.62570335877690586</v>
      </c>
      <c r="W33" s="4" t="s">
        <v>15</v>
      </c>
      <c r="X33" s="4">
        <v>33.505380116960119</v>
      </c>
      <c r="AA33" s="4">
        <v>7</v>
      </c>
      <c r="AB33" s="4">
        <v>76.863911564748406</v>
      </c>
      <c r="AC33" s="4">
        <v>-0.96391156474840045</v>
      </c>
      <c r="AD33" s="4">
        <v>-0.83071325562084597</v>
      </c>
      <c r="AF33" s="32">
        <v>75.900000000000006</v>
      </c>
      <c r="AW33" s="4">
        <v>6</v>
      </c>
      <c r="AX33" s="4">
        <v>0.17851451428176401</v>
      </c>
      <c r="AY33" s="4">
        <v>7.6548967182360483E-3</v>
      </c>
      <c r="AZ33" s="4">
        <v>0.71806314589114473</v>
      </c>
      <c r="BB33">
        <f t="shared" si="8"/>
        <v>56.30673416075421</v>
      </c>
      <c r="BC33" s="32">
        <v>57.1</v>
      </c>
      <c r="BE33" s="30" t="s">
        <v>11</v>
      </c>
      <c r="BF33" s="30">
        <v>0.90898676685474522</v>
      </c>
    </row>
    <row r="34" spans="13:65" ht="13" thickBot="1">
      <c r="M34" s="4">
        <v>8</v>
      </c>
      <c r="N34" s="4">
        <v>73.192810163137352</v>
      </c>
      <c r="O34" s="4">
        <v>-3.6928101631373522</v>
      </c>
      <c r="P34" s="4">
        <v>-0.53579274111726827</v>
      </c>
      <c r="W34" s="4" t="s">
        <v>16</v>
      </c>
      <c r="X34" s="4">
        <v>1.8927916446976085</v>
      </c>
      <c r="AA34" s="4">
        <v>8</v>
      </c>
      <c r="AB34" s="4">
        <v>69.815062367022136</v>
      </c>
      <c r="AC34" s="4">
        <v>-0.31506236702213641</v>
      </c>
      <c r="AD34" s="4">
        <v>-0.27152541187830281</v>
      </c>
      <c r="AF34" s="32">
        <v>69.5</v>
      </c>
      <c r="AW34" s="4">
        <v>7</v>
      </c>
      <c r="AX34" s="4">
        <v>0.44846435620191305</v>
      </c>
      <c r="AY34" s="4">
        <v>-1.1218877201913002E-2</v>
      </c>
      <c r="AZ34" s="4">
        <v>-1.0523802676240994</v>
      </c>
      <c r="BB34">
        <f t="shared" si="8"/>
        <v>76.543879738444403</v>
      </c>
      <c r="BC34" s="32">
        <v>75.900000000000006</v>
      </c>
      <c r="BE34" s="5" t="s">
        <v>28</v>
      </c>
      <c r="BF34" s="5">
        <v>20</v>
      </c>
    </row>
    <row r="35" spans="13:65">
      <c r="M35" s="4">
        <v>9</v>
      </c>
      <c r="N35" s="4">
        <v>72.959614325699917</v>
      </c>
      <c r="O35" s="4">
        <v>4.3403856743000802</v>
      </c>
      <c r="P35" s="4">
        <v>0.62974998313035824</v>
      </c>
      <c r="W35" s="4" t="s">
        <v>17</v>
      </c>
      <c r="X35" s="4">
        <v>-1.1928510383368642</v>
      </c>
      <c r="AA35" s="4">
        <v>9</v>
      </c>
      <c r="AB35" s="4">
        <v>76.638388568571884</v>
      </c>
      <c r="AC35" s="4">
        <v>0.66161143142811341</v>
      </c>
      <c r="AD35" s="4">
        <v>0.57018652567061467</v>
      </c>
      <c r="AF35" s="32">
        <v>77.3</v>
      </c>
      <c r="AW35" s="4">
        <v>8</v>
      </c>
      <c r="AX35" s="4">
        <v>0.34870942704198304</v>
      </c>
      <c r="AY35" s="4">
        <v>-1.3007052041983103E-2</v>
      </c>
      <c r="AZ35" s="4">
        <v>-1.2201189711398817</v>
      </c>
      <c r="BB35">
        <f t="shared" si="8"/>
        <v>70.386508259774928</v>
      </c>
      <c r="BC35" s="32">
        <v>69.5</v>
      </c>
    </row>
    <row r="36" spans="13:65" ht="13" thickBot="1">
      <c r="M36" s="4">
        <v>10</v>
      </c>
      <c r="N36" s="4">
        <v>60.885755747258393</v>
      </c>
      <c r="O36" s="4">
        <v>6.4142442527416037</v>
      </c>
      <c r="P36" s="4">
        <v>0.93064776106777669</v>
      </c>
      <c r="W36" s="4" t="s">
        <v>18</v>
      </c>
      <c r="X36" s="4">
        <v>22.9</v>
      </c>
      <c r="AA36" s="4">
        <v>10</v>
      </c>
      <c r="AB36" s="4">
        <v>64.514367948485557</v>
      </c>
      <c r="AC36" s="4">
        <v>2.7856320515144404</v>
      </c>
      <c r="AD36" s="4">
        <v>2.4006989386825661</v>
      </c>
      <c r="AF36" s="32">
        <v>67.3</v>
      </c>
      <c r="AW36" s="4">
        <v>9</v>
      </c>
      <c r="AX36" s="4">
        <v>0.45840826556274145</v>
      </c>
      <c r="AY36" s="4">
        <v>3.4816514372585372E-3</v>
      </c>
      <c r="AZ36" s="4">
        <v>0.32659429329444789</v>
      </c>
      <c r="BB36">
        <f t="shared" si="8"/>
        <v>77.105485443669565</v>
      </c>
      <c r="BC36" s="32">
        <v>77.3</v>
      </c>
      <c r="BE36" t="s">
        <v>29</v>
      </c>
    </row>
    <row r="37" spans="13:65" ht="13">
      <c r="M37" s="4">
        <v>11</v>
      </c>
      <c r="N37" s="4">
        <v>51.303832577464476</v>
      </c>
      <c r="O37" s="4">
        <v>-24.003832577464475</v>
      </c>
      <c r="P37" s="4">
        <v>-3.4827350136712982</v>
      </c>
      <c r="W37" s="4" t="s">
        <v>19</v>
      </c>
      <c r="X37" s="4">
        <v>54.4</v>
      </c>
      <c r="AA37" s="4">
        <v>11</v>
      </c>
      <c r="AB37" s="4">
        <v>72.545120632861213</v>
      </c>
      <c r="AC37" s="4">
        <v>0.85487936713879265</v>
      </c>
      <c r="AD37" s="4">
        <v>0.73674769367905679</v>
      </c>
      <c r="AF37" s="32">
        <v>73.400000000000006</v>
      </c>
      <c r="AW37" s="4">
        <v>10</v>
      </c>
      <c r="AX37" s="4">
        <v>0.29246141402464482</v>
      </c>
      <c r="AY37" s="4">
        <v>1.2359802975355105E-2</v>
      </c>
      <c r="AZ37" s="4">
        <v>1.1594041479273349</v>
      </c>
      <c r="BB37">
        <f t="shared" si="8"/>
        <v>66.378072672235419</v>
      </c>
      <c r="BC37" s="32">
        <v>67.3</v>
      </c>
      <c r="BE37" s="6"/>
      <c r="BF37" s="6" t="s">
        <v>34</v>
      </c>
      <c r="BG37" s="6" t="s">
        <v>35</v>
      </c>
      <c r="BH37" s="6" t="s">
        <v>36</v>
      </c>
      <c r="BI37" s="6" t="s">
        <v>37</v>
      </c>
      <c r="BJ37" s="6" t="s">
        <v>38</v>
      </c>
    </row>
    <row r="38" spans="13:65">
      <c r="M38" s="4">
        <v>12</v>
      </c>
      <c r="N38" s="4">
        <v>82.541537495493841</v>
      </c>
      <c r="O38" s="4">
        <v>-9.1415374954938358</v>
      </c>
      <c r="P38" s="4">
        <v>-1.3263528901728578</v>
      </c>
      <c r="W38" s="4" t="s">
        <v>20</v>
      </c>
      <c r="X38" s="4">
        <v>77.3</v>
      </c>
      <c r="AA38" s="4">
        <v>12</v>
      </c>
      <c r="AB38" s="4">
        <v>70.576378258528734</v>
      </c>
      <c r="AC38" s="4">
        <v>-0.77637825852873732</v>
      </c>
      <c r="AD38" s="4">
        <v>-0.66909427619949136</v>
      </c>
      <c r="AF38" s="32">
        <v>69.8</v>
      </c>
      <c r="AW38" s="4">
        <v>11</v>
      </c>
      <c r="AX38" s="4">
        <v>1.6140253509991154E-2</v>
      </c>
      <c r="AY38" s="4">
        <v>4.2061634900088518E-3</v>
      </c>
      <c r="AZ38" s="4">
        <v>0.3945567260983518</v>
      </c>
      <c r="BB38">
        <f t="shared" si="8"/>
        <v>25.272182991247323</v>
      </c>
      <c r="BC38" s="32">
        <v>27.3</v>
      </c>
      <c r="BE38" s="4" t="s">
        <v>30</v>
      </c>
      <c r="BF38" s="4">
        <v>1</v>
      </c>
      <c r="BG38" s="4">
        <v>2250.192875038294</v>
      </c>
      <c r="BH38" s="4">
        <v>2250.192875038294</v>
      </c>
      <c r="BI38" s="4">
        <v>2723.3572993990929</v>
      </c>
      <c r="BJ38" s="4">
        <v>4.2201110290641463E-21</v>
      </c>
    </row>
    <row r="39" spans="13:65">
      <c r="M39" s="4">
        <v>13</v>
      </c>
      <c r="N39" s="4">
        <v>66.709570282380852</v>
      </c>
      <c r="O39" s="4">
        <v>3.0904297176191449</v>
      </c>
      <c r="P39" s="4">
        <v>0.44839288684871381</v>
      </c>
      <c r="W39" s="4" t="s">
        <v>21</v>
      </c>
      <c r="X39" s="4">
        <v>1313.4</v>
      </c>
      <c r="AA39" s="4">
        <v>13</v>
      </c>
      <c r="AB39" s="4">
        <v>70.576378258528734</v>
      </c>
      <c r="AC39" s="4">
        <v>0.62362174147126836</v>
      </c>
      <c r="AD39" s="4">
        <v>0.53744644849111245</v>
      </c>
      <c r="AF39" s="32">
        <v>71.2</v>
      </c>
      <c r="AW39" s="4">
        <v>12</v>
      </c>
      <c r="AX39" s="4">
        <v>0.38145895414806136</v>
      </c>
      <c r="AY39" s="4">
        <v>1.3987949851938797E-2</v>
      </c>
      <c r="AZ39" s="4">
        <v>1.3121315211637867</v>
      </c>
      <c r="BB39">
        <f t="shared" si="8"/>
        <v>72.524375821507135</v>
      </c>
      <c r="BC39" s="32">
        <v>73.400000000000006</v>
      </c>
      <c r="BE39" s="4" t="s">
        <v>31</v>
      </c>
      <c r="BF39" s="4">
        <v>18</v>
      </c>
      <c r="BG39" s="4">
        <v>14.872624961706773</v>
      </c>
      <c r="BH39" s="4">
        <v>0.82625694231704294</v>
      </c>
      <c r="BI39" s="4"/>
      <c r="BJ39" s="4"/>
    </row>
    <row r="40" spans="13:65" ht="13" thickBot="1">
      <c r="M40" s="4">
        <v>14</v>
      </c>
      <c r="N40" s="4">
        <v>67.135799790577465</v>
      </c>
      <c r="O40" s="4">
        <v>4.0642002094225376</v>
      </c>
      <c r="P40" s="4">
        <v>0.58967801605210313</v>
      </c>
      <c r="W40" s="5" t="s">
        <v>22</v>
      </c>
      <c r="X40" s="5">
        <v>19</v>
      </c>
      <c r="AA40" s="4">
        <v>14</v>
      </c>
      <c r="AB40" s="4">
        <v>70.576378258528734</v>
      </c>
      <c r="AC40" s="4">
        <v>-0.77637825852873732</v>
      </c>
      <c r="AD40" s="4">
        <v>-0.66909427619949136</v>
      </c>
      <c r="AF40" s="32">
        <v>69.8</v>
      </c>
      <c r="AW40" s="4">
        <v>13</v>
      </c>
      <c r="AX40" s="4">
        <v>0.3451648467274821</v>
      </c>
      <c r="AY40" s="4">
        <v>-5.0964547274821581E-3</v>
      </c>
      <c r="AZ40" s="4">
        <v>-0.47806997915328209</v>
      </c>
      <c r="BB40">
        <f t="shared" si="8"/>
        <v>70.147208463958691</v>
      </c>
      <c r="BC40" s="32">
        <v>69.8</v>
      </c>
      <c r="BE40" s="5" t="s">
        <v>32</v>
      </c>
      <c r="BF40" s="5">
        <v>19</v>
      </c>
      <c r="BG40" s="5">
        <v>2265.0655000000006</v>
      </c>
      <c r="BH40" s="5"/>
      <c r="BI40" s="5"/>
      <c r="BJ40" s="5"/>
    </row>
    <row r="41" spans="13:65" ht="13" thickBot="1">
      <c r="M41" s="4">
        <v>15</v>
      </c>
      <c r="N41" s="4">
        <v>66.922685036479166</v>
      </c>
      <c r="O41" s="4">
        <v>2.8773149635208313</v>
      </c>
      <c r="P41" s="4">
        <v>0.41747189897592857</v>
      </c>
      <c r="AA41" s="4">
        <v>15</v>
      </c>
      <c r="AB41" s="4">
        <v>70.576378258528734</v>
      </c>
      <c r="AC41" s="4">
        <v>0.22362174147126268</v>
      </c>
      <c r="AD41" s="4">
        <v>0.19272052715093646</v>
      </c>
      <c r="AF41" s="32">
        <v>70.8</v>
      </c>
      <c r="AW41" s="4">
        <v>14</v>
      </c>
      <c r="AX41" s="4">
        <v>0.3451648467274821</v>
      </c>
      <c r="AY41" s="4">
        <v>1.5779281272517987E-2</v>
      </c>
      <c r="AZ41" s="4">
        <v>1.4801663258830267</v>
      </c>
      <c r="BB41">
        <f t="shared" si="8"/>
        <v>70.147208463958691</v>
      </c>
      <c r="BC41" s="32">
        <v>71.2</v>
      </c>
    </row>
    <row r="42" spans="13:65" ht="13">
      <c r="M42" s="4">
        <v>16</v>
      </c>
      <c r="N42" s="4">
        <v>66.922685036479166</v>
      </c>
      <c r="O42" s="4">
        <v>3.8773149635208313</v>
      </c>
      <c r="P42" s="4">
        <v>0.56256268822518352</v>
      </c>
      <c r="AA42" s="4">
        <v>16</v>
      </c>
      <c r="AB42" s="4">
        <v>70.576378258528734</v>
      </c>
      <c r="AC42" s="4">
        <v>-0.87637825852873164</v>
      </c>
      <c r="AD42" s="4">
        <v>-0.75527575653452927</v>
      </c>
      <c r="AF42" s="32">
        <v>69.7</v>
      </c>
      <c r="AW42" s="4">
        <v>15</v>
      </c>
      <c r="AX42" s="4">
        <v>0.3451648467274821</v>
      </c>
      <c r="AY42" s="4">
        <v>-5.0964547274821581E-3</v>
      </c>
      <c r="AZ42" s="4">
        <v>-0.47806997915328209</v>
      </c>
      <c r="BB42">
        <f t="shared" si="8"/>
        <v>70.147208463958691</v>
      </c>
      <c r="BC42" s="32">
        <v>69.8</v>
      </c>
      <c r="BE42" s="6"/>
      <c r="BF42" s="6" t="s">
        <v>39</v>
      </c>
      <c r="BG42" s="6" t="s">
        <v>11</v>
      </c>
      <c r="BH42" s="6" t="s">
        <v>40</v>
      </c>
      <c r="BI42" s="6" t="s">
        <v>41</v>
      </c>
      <c r="BJ42" s="6" t="s">
        <v>42</v>
      </c>
      <c r="BK42" s="6" t="s">
        <v>43</v>
      </c>
      <c r="BL42" s="6" t="s">
        <v>44</v>
      </c>
      <c r="BM42" s="6" t="s">
        <v>45</v>
      </c>
    </row>
    <row r="43" spans="13:65">
      <c r="M43" s="4">
        <v>17</v>
      </c>
      <c r="N43" s="4">
        <v>66.922685036479166</v>
      </c>
      <c r="O43" s="4">
        <v>2.777314963520837</v>
      </c>
      <c r="P43" s="4">
        <v>0.40296282005100392</v>
      </c>
      <c r="AA43" s="4">
        <v>17</v>
      </c>
      <c r="AB43" s="4">
        <v>70.576378258528734</v>
      </c>
      <c r="AC43" s="4">
        <v>-0.57637825852873448</v>
      </c>
      <c r="AD43" s="4">
        <v>-0.49673131552940336</v>
      </c>
      <c r="AF43" s="32">
        <v>70</v>
      </c>
      <c r="AW43" s="4">
        <v>16</v>
      </c>
      <c r="AX43" s="4">
        <v>0.3451648467274821</v>
      </c>
      <c r="AY43" s="4">
        <v>9.7300652725178516E-3</v>
      </c>
      <c r="AZ43" s="4">
        <v>0.91272312827760094</v>
      </c>
      <c r="BB43">
        <f t="shared" si="8"/>
        <v>70.147208463958691</v>
      </c>
      <c r="BC43" s="32">
        <v>70.8</v>
      </c>
      <c r="BE43" s="4" t="s">
        <v>33</v>
      </c>
      <c r="BF43" s="4">
        <v>2.0907719841404884</v>
      </c>
      <c r="BG43" s="4">
        <v>1.2609701180540671</v>
      </c>
      <c r="BH43" s="4">
        <v>1.6580662413848268</v>
      </c>
      <c r="BI43" s="4">
        <v>0.11462862505754612</v>
      </c>
      <c r="BJ43" s="4">
        <v>-0.55842792470274549</v>
      </c>
      <c r="BK43" s="4">
        <v>4.7399718929837222</v>
      </c>
      <c r="BL43" s="4">
        <v>-0.55842792470274549</v>
      </c>
      <c r="BM43" s="4">
        <v>4.7399718929837222</v>
      </c>
    </row>
    <row r="44" spans="13:65" ht="13" thickBot="1">
      <c r="M44" s="4">
        <v>18</v>
      </c>
      <c r="N44" s="4">
        <v>66.922685036479166</v>
      </c>
      <c r="O44" s="4">
        <v>3.0773149635208341</v>
      </c>
      <c r="P44" s="4">
        <v>0.44649005682577997</v>
      </c>
      <c r="AA44" s="4">
        <v>18</v>
      </c>
      <c r="AB44" s="4">
        <v>70.576378258528734</v>
      </c>
      <c r="AC44" s="4">
        <v>2.3621741471259838E-2</v>
      </c>
      <c r="AD44" s="4">
        <v>2.0357566480848445E-2</v>
      </c>
      <c r="AF44" s="32">
        <v>70.599999999999994</v>
      </c>
      <c r="AW44" s="4">
        <v>17</v>
      </c>
      <c r="AX44" s="4">
        <v>0.3451648467274821</v>
      </c>
      <c r="AY44" s="4">
        <v>-6.5559737274820118E-3</v>
      </c>
      <c r="AZ44" s="4">
        <v>-0.61497931225128555</v>
      </c>
      <c r="BB44">
        <f t="shared" si="8"/>
        <v>70.147208463958691</v>
      </c>
      <c r="BC44" s="32">
        <v>69.7</v>
      </c>
      <c r="BE44" s="5" t="s">
        <v>117</v>
      </c>
      <c r="BF44" s="5">
        <v>0.969674949604999</v>
      </c>
      <c r="BG44" s="5">
        <v>1.8581204557106757E-2</v>
      </c>
      <c r="BH44" s="5">
        <v>52.185795954446192</v>
      </c>
      <c r="BI44" s="5">
        <v>4.2201110290641538E-21</v>
      </c>
      <c r="BJ44" s="5">
        <v>0.93063728747954799</v>
      </c>
      <c r="BK44" s="5">
        <v>1.0087126117304499</v>
      </c>
      <c r="BL44" s="5">
        <v>0.93063728747954799</v>
      </c>
      <c r="BM44" s="5">
        <v>1.0087126117304499</v>
      </c>
    </row>
    <row r="45" spans="13:65">
      <c r="M45" s="4">
        <v>19</v>
      </c>
      <c r="N45" s="4">
        <v>66.922685036479166</v>
      </c>
      <c r="O45" s="4">
        <v>3.6773149635208284</v>
      </c>
      <c r="P45" s="4">
        <v>0.53354453037533212</v>
      </c>
      <c r="AA45" s="4">
        <v>19</v>
      </c>
      <c r="AB45" s="4">
        <v>70.576378258528734</v>
      </c>
      <c r="AC45" s="4">
        <v>-0.27637825852873732</v>
      </c>
      <c r="AD45" s="4">
        <v>-0.23818687452427745</v>
      </c>
      <c r="AF45" s="32">
        <v>70.3</v>
      </c>
      <c r="AW45" s="4">
        <v>18</v>
      </c>
      <c r="AX45" s="4">
        <v>0.3451648467274821</v>
      </c>
      <c r="AY45" s="4">
        <v>-2.1648467274821837E-3</v>
      </c>
      <c r="AZ45" s="4">
        <v>-0.20307219139936561</v>
      </c>
      <c r="BB45">
        <f t="shared" si="8"/>
        <v>70.147208463958691</v>
      </c>
      <c r="BC45" s="32">
        <v>70</v>
      </c>
    </row>
    <row r="46" spans="13:65" ht="13" thickBot="1">
      <c r="M46" s="5">
        <v>20</v>
      </c>
      <c r="N46" s="5">
        <v>66.922685036479166</v>
      </c>
      <c r="O46" s="5">
        <v>3.3773149635208313</v>
      </c>
      <c r="P46" s="5">
        <v>0.49001729360055607</v>
      </c>
      <c r="AA46" s="4"/>
      <c r="AB46" s="4"/>
      <c r="AC46" s="4"/>
      <c r="AD46" s="4"/>
      <c r="AW46" s="4">
        <v>19</v>
      </c>
      <c r="AX46" s="4">
        <v>0.3451648467274821</v>
      </c>
      <c r="AY46" s="4">
        <v>6.7309692725178172E-3</v>
      </c>
      <c r="AZ46" s="4">
        <v>0.63139466783485532</v>
      </c>
      <c r="BB46">
        <f t="shared" si="8"/>
        <v>70.147208463958691</v>
      </c>
      <c r="BC46" s="32">
        <v>70.599999999999994</v>
      </c>
    </row>
    <row r="47" spans="13:65" ht="13.5" thickBot="1">
      <c r="AB47" s="6" t="s">
        <v>74</v>
      </c>
      <c r="AW47" s="5">
        <v>20</v>
      </c>
      <c r="AX47" s="5">
        <v>0.3451648467274821</v>
      </c>
      <c r="AY47" s="5">
        <v>2.2640802725178433E-3</v>
      </c>
      <c r="AZ47" s="5">
        <v>0.21238073652401571</v>
      </c>
      <c r="BB47">
        <f t="shared" si="8"/>
        <v>70.147208463958691</v>
      </c>
      <c r="BC47" s="32">
        <v>70.3</v>
      </c>
    </row>
    <row r="48" spans="13:65">
      <c r="AB48" s="4">
        <v>56.908862630714495</v>
      </c>
    </row>
    <row r="49" spans="28:30">
      <c r="AB49" s="4">
        <v>56.908862630714495</v>
      </c>
    </row>
    <row r="50" spans="28:30" ht="13">
      <c r="AB50" s="4">
        <v>63.95771182844075</v>
      </c>
      <c r="AD50" s="66" t="s">
        <v>128</v>
      </c>
    </row>
    <row r="51" spans="28:30">
      <c r="AB51" s="4">
        <v>63.95771182844075</v>
      </c>
    </row>
    <row r="52" spans="28:30">
      <c r="AB52" s="4">
        <v>64.514367948485557</v>
      </c>
      <c r="AD52" t="s">
        <v>127</v>
      </c>
    </row>
    <row r="53" spans="28:30">
      <c r="AB53" s="4">
        <v>69.815062367022136</v>
      </c>
      <c r="AD53">
        <f>AB66-AB48</f>
        <v>19.955048934033911</v>
      </c>
    </row>
    <row r="54" spans="28:30">
      <c r="AB54" s="4">
        <v>69.815062367022136</v>
      </c>
    </row>
    <row r="55" spans="28:30">
      <c r="AB55" s="4">
        <v>70.576378258528734</v>
      </c>
      <c r="AD55">
        <f>AD53/SQRT(4*AD13/AB8)</f>
        <v>34.215502972291652</v>
      </c>
    </row>
    <row r="56" spans="28:30">
      <c r="AB56" s="4">
        <v>70.576378258528734</v>
      </c>
    </row>
    <row r="57" spans="28:30">
      <c r="AB57" s="4">
        <v>70.576378258528734</v>
      </c>
    </row>
    <row r="58" spans="28:30">
      <c r="AB58" s="4">
        <v>70.576378258528734</v>
      </c>
    </row>
    <row r="59" spans="28:30">
      <c r="AB59" s="4">
        <v>70.576378258528734</v>
      </c>
    </row>
    <row r="60" spans="28:30">
      <c r="AB60" s="4">
        <v>70.576378258528734</v>
      </c>
    </row>
    <row r="61" spans="28:30">
      <c r="AB61" s="4">
        <v>70.576378258528734</v>
      </c>
    </row>
    <row r="62" spans="28:30">
      <c r="AB62" s="4">
        <v>70.576378258528734</v>
      </c>
    </row>
    <row r="63" spans="28:30">
      <c r="AB63" s="4">
        <v>72.545120632861213</v>
      </c>
    </row>
    <row r="64" spans="28:30">
      <c r="AB64" s="4">
        <v>76.638388568571884</v>
      </c>
    </row>
    <row r="65" spans="28:28">
      <c r="AB65" s="4">
        <v>76.863911564748406</v>
      </c>
    </row>
    <row r="66" spans="28:28">
      <c r="AB66" s="4">
        <v>76.863911564748406</v>
      </c>
    </row>
  </sheetData>
  <mergeCells count="1">
    <mergeCell ref="BR1:BS1"/>
  </mergeCells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I25" sqref="I25"/>
    </sheetView>
  </sheetViews>
  <sheetFormatPr defaultRowHeight="12.5"/>
  <cols>
    <col min="1" max="1" width="12.26953125" bestFit="1" customWidth="1"/>
    <col min="2" max="2" width="17.36328125" style="38" bestFit="1" customWidth="1"/>
    <col min="3" max="3" width="9.453125" style="38" bestFit="1" customWidth="1"/>
    <col min="5" max="10" width="9.1796875" style="11" customWidth="1"/>
    <col min="11" max="11" width="10.453125" style="11" bestFit="1" customWidth="1"/>
    <col min="12" max="17" width="9.1796875" style="11" customWidth="1"/>
  </cols>
  <sheetData>
    <row r="1" spans="1:17" ht="13">
      <c r="A1" s="1"/>
      <c r="B1" s="67" t="s">
        <v>74</v>
      </c>
      <c r="C1" s="31" t="s">
        <v>3</v>
      </c>
      <c r="D1" s="51"/>
      <c r="E1" s="51" t="s">
        <v>79</v>
      </c>
      <c r="F1" s="51" t="s">
        <v>80</v>
      </c>
      <c r="G1" s="51"/>
      <c r="H1" s="51"/>
      <c r="I1" s="51"/>
      <c r="J1" s="51"/>
      <c r="K1" s="36" t="s">
        <v>81</v>
      </c>
      <c r="L1" s="77" t="s">
        <v>82</v>
      </c>
      <c r="M1" s="77"/>
      <c r="N1" s="78"/>
      <c r="O1" s="79" t="s">
        <v>83</v>
      </c>
      <c r="P1" s="77"/>
      <c r="Q1" s="78"/>
    </row>
    <row r="2" spans="1:17">
      <c r="B2" s="38">
        <v>65.286545822794324</v>
      </c>
      <c r="C2" s="32">
        <v>66.2</v>
      </c>
      <c r="D2" s="39"/>
      <c r="E2" s="40" t="s">
        <v>84</v>
      </c>
      <c r="F2" s="39">
        <f>COUNT(B:B)</f>
        <v>20</v>
      </c>
      <c r="G2" s="39"/>
      <c r="H2" s="39"/>
      <c r="I2" s="44"/>
      <c r="J2" s="41"/>
      <c r="K2" s="42">
        <v>95</v>
      </c>
      <c r="L2" s="43"/>
      <c r="M2" s="44"/>
      <c r="N2" s="45"/>
      <c r="O2" s="46"/>
      <c r="P2" s="44"/>
      <c r="Q2" s="47"/>
    </row>
    <row r="3" spans="1:17">
      <c r="B3" s="38">
        <v>56.30673416075421</v>
      </c>
      <c r="C3" s="32">
        <v>54.4</v>
      </c>
      <c r="D3" s="39"/>
      <c r="E3" s="48" t="s">
        <v>107</v>
      </c>
      <c r="F3" s="49">
        <f>SUM(B:B)</f>
        <v>1339.5051206038643</v>
      </c>
      <c r="G3" s="49"/>
      <c r="H3" s="39"/>
      <c r="I3" s="44"/>
      <c r="J3" s="41"/>
      <c r="K3" s="50" t="s">
        <v>85</v>
      </c>
      <c r="L3" s="51" t="s">
        <v>86</v>
      </c>
      <c r="M3" s="51" t="s">
        <v>87</v>
      </c>
      <c r="N3" s="52" t="s">
        <v>88</v>
      </c>
      <c r="O3" s="51" t="s">
        <v>86</v>
      </c>
      <c r="P3" s="51" t="s">
        <v>87</v>
      </c>
      <c r="Q3" s="52" t="s">
        <v>88</v>
      </c>
    </row>
    <row r="4" spans="1:17">
      <c r="B4" s="38">
        <v>76.543879738444403</v>
      </c>
      <c r="C4" s="32">
        <v>76.7</v>
      </c>
      <c r="D4" s="39"/>
      <c r="E4" s="40" t="s">
        <v>89</v>
      </c>
      <c r="F4" s="39">
        <f>F3/F2</f>
        <v>66.975256030193208</v>
      </c>
      <c r="G4" s="39"/>
      <c r="H4" s="39"/>
      <c r="I4" s="44"/>
      <c r="J4" s="41"/>
      <c r="K4" s="53">
        <v>20</v>
      </c>
      <c r="L4" s="44">
        <f t="shared" ref="L4:L39" si="0">$F$11+$F$12*K4</f>
        <v>21.484270976240278</v>
      </c>
      <c r="M4" s="44">
        <f t="shared" ref="M4:M21" si="1">L4-(TINV(((100-$K$2)/100),$F$2-2))*SQRT($H$19)*SQRT(1/$F$2+(K4-$F$4)^2/$F$7)</f>
        <v>19.601404163617161</v>
      </c>
      <c r="N4" s="41">
        <f t="shared" ref="N4:N21" si="2">L4+(TINV(((100-$K$2)/100),$F$2-2))*SQRT($H$19)*SQRT(1/$F$2+(K4-$F$4)^2/$F$7)</f>
        <v>23.367137788863396</v>
      </c>
      <c r="O4" s="44">
        <f t="shared" ref="O4:O21" si="3">$F$11+$F$12*K4</f>
        <v>21.484270976240278</v>
      </c>
      <c r="P4" s="44">
        <f t="shared" ref="P4:P21" si="4">O4-(TINV(((100-$K$2)/100),$F$2-2))*SQRT($H$19)*SQRT(1+1/$F$2+(K4-$F$4)^2/$F$7)</f>
        <v>18.802446785662628</v>
      </c>
      <c r="Q4" s="41">
        <f t="shared" ref="Q4:Q21" si="5">O4+(TINV(((100-$K$2)/100),$F$2-2))*SQRT($H$19)*SQRT(1+1/$F$2+(K4-$F$4)^2/$F$7)</f>
        <v>24.166095166817929</v>
      </c>
    </row>
    <row r="5" spans="1:17">
      <c r="B5" s="38">
        <v>70.386508259774928</v>
      </c>
      <c r="C5" s="32">
        <v>69.599999999999994</v>
      </c>
      <c r="D5" s="39"/>
      <c r="E5" s="48" t="s">
        <v>108</v>
      </c>
      <c r="F5" s="49">
        <f>SUM(C:C)</f>
        <v>1340.6999999999998</v>
      </c>
      <c r="G5" s="49"/>
      <c r="H5" s="39"/>
      <c r="I5" s="44"/>
      <c r="J5" s="41"/>
      <c r="K5" s="53">
        <f t="shared" ref="K5:K21" si="6">K4+2</f>
        <v>22</v>
      </c>
      <c r="L5" s="44">
        <f t="shared" si="0"/>
        <v>23.423620875450283</v>
      </c>
      <c r="M5" s="44">
        <f t="shared" si="1"/>
        <v>21.616708182880828</v>
      </c>
      <c r="N5" s="41">
        <f t="shared" si="2"/>
        <v>25.230533568019737</v>
      </c>
      <c r="O5" s="44">
        <f t="shared" si="3"/>
        <v>23.423620875450283</v>
      </c>
      <c r="P5" s="44">
        <f t="shared" si="4"/>
        <v>20.794566476306262</v>
      </c>
      <c r="Q5" s="41">
        <f t="shared" si="5"/>
        <v>26.052675274594304</v>
      </c>
    </row>
    <row r="6" spans="1:17">
      <c r="B6" s="38">
        <v>65.286545822794324</v>
      </c>
      <c r="C6" s="32">
        <v>63.8</v>
      </c>
      <c r="D6" s="39"/>
      <c r="E6" s="40" t="s">
        <v>90</v>
      </c>
      <c r="F6" s="39">
        <f>F5/F2</f>
        <v>67.034999999999997</v>
      </c>
      <c r="G6" s="39"/>
      <c r="H6" s="39"/>
      <c r="I6" s="44"/>
      <c r="J6" s="41"/>
      <c r="K6" s="53">
        <f t="shared" si="6"/>
        <v>24</v>
      </c>
      <c r="L6" s="44">
        <f t="shared" si="0"/>
        <v>25.36297077466029</v>
      </c>
      <c r="M6" s="44">
        <f t="shared" si="1"/>
        <v>23.631823456950841</v>
      </c>
      <c r="N6" s="41">
        <f t="shared" si="2"/>
        <v>27.09411809236974</v>
      </c>
      <c r="O6" s="44">
        <f t="shared" si="3"/>
        <v>25.36297077466029</v>
      </c>
      <c r="P6" s="44">
        <f t="shared" si="4"/>
        <v>22.785401262367252</v>
      </c>
      <c r="Q6" s="41">
        <f t="shared" si="5"/>
        <v>27.940540286953329</v>
      </c>
    </row>
    <row r="7" spans="1:17">
      <c r="B7" s="38">
        <v>56.30673416075421</v>
      </c>
      <c r="C7" s="32">
        <v>57.1</v>
      </c>
      <c r="D7" s="39"/>
      <c r="E7" s="48" t="s">
        <v>109</v>
      </c>
      <c r="F7" s="39">
        <f t="array" ref="F7">SUMSQ(B:B)-(F3^2)/F2</f>
        <v>2393.1360701936937</v>
      </c>
      <c r="G7" s="39"/>
      <c r="H7" s="39"/>
      <c r="I7" s="44"/>
      <c r="J7" s="41"/>
      <c r="K7" s="53">
        <f t="shared" si="6"/>
        <v>26</v>
      </c>
      <c r="L7" s="44">
        <f t="shared" si="0"/>
        <v>27.302320673870298</v>
      </c>
      <c r="M7" s="44">
        <f t="shared" si="1"/>
        <v>25.646724072880307</v>
      </c>
      <c r="N7" s="41">
        <f t="shared" si="2"/>
        <v>28.957917274860289</v>
      </c>
      <c r="O7" s="44">
        <f t="shared" si="3"/>
        <v>27.302320673870298</v>
      </c>
      <c r="P7" s="44">
        <f t="shared" si="4"/>
        <v>24.774872620932403</v>
      </c>
      <c r="Q7" s="41">
        <f t="shared" si="5"/>
        <v>29.829768726808194</v>
      </c>
    </row>
    <row r="8" spans="1:17">
      <c r="B8" s="38">
        <v>76.543879738444403</v>
      </c>
      <c r="C8" s="32">
        <v>75.900000000000006</v>
      </c>
      <c r="D8" s="39"/>
      <c r="E8" s="48" t="s">
        <v>110</v>
      </c>
      <c r="F8" s="39">
        <f t="array" ref="F8">SUMSQ(C:C)-(F5^2)/F2</f>
        <v>2265.0655000000115</v>
      </c>
      <c r="G8" s="39"/>
      <c r="H8" s="39"/>
      <c r="I8" s="44"/>
      <c r="J8" s="41"/>
      <c r="K8" s="53">
        <f t="shared" si="6"/>
        <v>28</v>
      </c>
      <c r="L8" s="44">
        <f t="shared" si="0"/>
        <v>29.241670573080302</v>
      </c>
      <c r="M8" s="44">
        <f t="shared" si="1"/>
        <v>27.661379243179525</v>
      </c>
      <c r="N8" s="41">
        <f t="shared" si="2"/>
        <v>30.82196190298108</v>
      </c>
      <c r="O8" s="44">
        <f t="shared" si="3"/>
        <v>29.241670573080302</v>
      </c>
      <c r="P8" s="44">
        <f t="shared" si="4"/>
        <v>26.762897843996509</v>
      </c>
      <c r="Q8" s="41">
        <f t="shared" si="5"/>
        <v>31.720443302164096</v>
      </c>
    </row>
    <row r="9" spans="1:17">
      <c r="B9" s="38">
        <v>70.386508259774928</v>
      </c>
      <c r="C9" s="32">
        <v>69.5</v>
      </c>
      <c r="D9" s="39"/>
      <c r="E9" s="48" t="s">
        <v>111</v>
      </c>
      <c r="F9" s="39">
        <f t="array" ref="F9">SUM(B2:B976*C2:C976)-(F3*F5)/F2</f>
        <v>2320.5640982629848</v>
      </c>
      <c r="G9" s="39"/>
      <c r="H9" s="39"/>
      <c r="I9" s="44"/>
      <c r="J9" s="41"/>
      <c r="K9" s="53">
        <f t="shared" si="6"/>
        <v>30</v>
      </c>
      <c r="L9" s="44">
        <f t="shared" si="0"/>
        <v>31.181020472290307</v>
      </c>
      <c r="M9" s="44">
        <f t="shared" si="1"/>
        <v>29.67575213007936</v>
      </c>
      <c r="N9" s="41">
        <f t="shared" si="2"/>
        <v>32.686288814501253</v>
      </c>
      <c r="O9" s="44">
        <f t="shared" si="3"/>
        <v>31.181020472290307</v>
      </c>
      <c r="P9" s="44">
        <f t="shared" si="4"/>
        <v>28.749390085666462</v>
      </c>
      <c r="Q9" s="41">
        <f t="shared" si="5"/>
        <v>33.612650858914151</v>
      </c>
    </row>
    <row r="10" spans="1:17">
      <c r="B10" s="38">
        <v>77.105485443669565</v>
      </c>
      <c r="C10" s="32">
        <v>77.3</v>
      </c>
      <c r="D10" s="39"/>
      <c r="E10" s="40"/>
      <c r="F10" s="39"/>
      <c r="G10" s="39"/>
      <c r="H10" s="39"/>
      <c r="I10" s="47" t="s">
        <v>91</v>
      </c>
      <c r="J10" s="54"/>
      <c r="K10" s="53">
        <f t="shared" si="6"/>
        <v>32</v>
      </c>
      <c r="L10" s="44">
        <f t="shared" si="0"/>
        <v>33.120370371500314</v>
      </c>
      <c r="M10" s="44">
        <f t="shared" si="1"/>
        <v>31.689798321822849</v>
      </c>
      <c r="N10" s="41">
        <f t="shared" si="2"/>
        <v>34.55094242117778</v>
      </c>
      <c r="O10" s="44">
        <f t="shared" si="3"/>
        <v>33.120370371500314</v>
      </c>
      <c r="P10" s="44">
        <f t="shared" si="4"/>
        <v>30.734258483007171</v>
      </c>
      <c r="Q10" s="41">
        <f t="shared" si="5"/>
        <v>35.506482259993462</v>
      </c>
    </row>
    <row r="11" spans="1:17">
      <c r="B11" s="38">
        <v>66.378072672235419</v>
      </c>
      <c r="C11" s="32">
        <v>67.3</v>
      </c>
      <c r="D11" s="39"/>
      <c r="E11" s="40" t="s">
        <v>92</v>
      </c>
      <c r="F11" s="40">
        <f>F6-F12*F4</f>
        <v>2.0907719841402184</v>
      </c>
      <c r="G11" s="40" t="s">
        <v>93</v>
      </c>
      <c r="H11" s="40">
        <f>H19*(F7+F3^2/F2)/(F2*F7)</f>
        <v>1.590045638621604</v>
      </c>
      <c r="I11" s="44">
        <f>SQRT(H11)</f>
        <v>1.2609701180526063</v>
      </c>
      <c r="J11" s="41"/>
      <c r="K11" s="53">
        <f t="shared" si="6"/>
        <v>34</v>
      </c>
      <c r="L11" s="44">
        <f t="shared" si="0"/>
        <v>35.059720270710322</v>
      </c>
      <c r="M11" s="44">
        <f t="shared" si="1"/>
        <v>33.703463838789268</v>
      </c>
      <c r="N11" s="41">
        <f t="shared" si="2"/>
        <v>36.415976702631376</v>
      </c>
      <c r="O11" s="44">
        <f t="shared" si="3"/>
        <v>35.059720270710322</v>
      </c>
      <c r="P11" s="44">
        <f t="shared" si="4"/>
        <v>32.717408364875155</v>
      </c>
      <c r="Q11" s="41">
        <f t="shared" si="5"/>
        <v>37.40203217654549</v>
      </c>
    </row>
    <row r="12" spans="1:17">
      <c r="B12" s="38">
        <v>25.272182991247323</v>
      </c>
      <c r="C12" s="32">
        <v>27.3</v>
      </c>
      <c r="D12" s="39"/>
      <c r="E12" s="40" t="s">
        <v>94</v>
      </c>
      <c r="F12" s="40">
        <f>F9/F7</f>
        <v>0.969674949605003</v>
      </c>
      <c r="G12" s="40" t="s">
        <v>95</v>
      </c>
      <c r="H12" s="39">
        <f>H19/F7</f>
        <v>3.4526116279224521E-4</v>
      </c>
      <c r="I12" s="44">
        <f>SQRT(H12)</f>
        <v>1.8581204557085236E-2</v>
      </c>
      <c r="J12" s="41"/>
      <c r="K12" s="53">
        <f t="shared" si="6"/>
        <v>36</v>
      </c>
      <c r="L12" s="44">
        <f t="shared" si="0"/>
        <v>36.99907016992033</v>
      </c>
      <c r="M12" s="44">
        <f t="shared" si="1"/>
        <v>35.716682497845675</v>
      </c>
      <c r="N12" s="41">
        <f t="shared" si="2"/>
        <v>38.281457841994985</v>
      </c>
      <c r="O12" s="44">
        <f t="shared" si="3"/>
        <v>36.99907016992033</v>
      </c>
      <c r="P12" s="44">
        <f t="shared" si="4"/>
        <v>34.698741563703607</v>
      </c>
      <c r="Q12" s="41">
        <f t="shared" si="5"/>
        <v>39.299398776137053</v>
      </c>
    </row>
    <row r="13" spans="1:17">
      <c r="B13" s="38">
        <v>72.524375821507135</v>
      </c>
      <c r="C13" s="32">
        <v>73.400000000000006</v>
      </c>
      <c r="D13" s="39"/>
      <c r="E13" s="40" t="s">
        <v>96</v>
      </c>
      <c r="F13" s="55">
        <f>F9/(SQRT(F7*F8))</f>
        <v>0.99671154781312765</v>
      </c>
      <c r="G13" s="40" t="s">
        <v>97</v>
      </c>
      <c r="H13" s="40">
        <f>F2-2</f>
        <v>18</v>
      </c>
      <c r="I13" s="47"/>
      <c r="J13" s="54"/>
      <c r="K13" s="53">
        <f t="shared" si="6"/>
        <v>38</v>
      </c>
      <c r="L13" s="44">
        <f t="shared" si="0"/>
        <v>38.938420069130331</v>
      </c>
      <c r="M13" s="44">
        <f t="shared" si="1"/>
        <v>37.729372391656931</v>
      </c>
      <c r="N13" s="41">
        <f t="shared" si="2"/>
        <v>40.147467746603731</v>
      </c>
      <c r="O13" s="44">
        <f t="shared" si="3"/>
        <v>38.938420069130331</v>
      </c>
      <c r="P13" s="44">
        <f t="shared" si="4"/>
        <v>36.678156845190742</v>
      </c>
      <c r="Q13" s="41">
        <f t="shared" si="5"/>
        <v>41.198683293069919</v>
      </c>
    </row>
    <row r="14" spans="1:17">
      <c r="B14" s="38">
        <v>70.147208463958691</v>
      </c>
      <c r="C14" s="32">
        <v>69.8</v>
      </c>
      <c r="D14" s="39"/>
      <c r="E14" s="40" t="s">
        <v>98</v>
      </c>
      <c r="F14" s="55">
        <f>F13*SQRT(F2-2)/(SQRT(1-F13^2))</f>
        <v>52.18579595450619</v>
      </c>
      <c r="G14" s="56" t="s">
        <v>99</v>
      </c>
      <c r="H14" s="57">
        <f>TDIST(ABS(F14),H13,2)</f>
        <v>4.220111029261357E-21</v>
      </c>
      <c r="J14" s="58"/>
      <c r="K14" s="53">
        <f t="shared" si="6"/>
        <v>40</v>
      </c>
      <c r="L14" s="44">
        <f t="shared" si="0"/>
        <v>40.877769968340338</v>
      </c>
      <c r="M14" s="44">
        <f t="shared" si="1"/>
        <v>39.741431135125715</v>
      </c>
      <c r="N14" s="41">
        <f t="shared" si="2"/>
        <v>42.014108801554961</v>
      </c>
      <c r="O14" s="44">
        <f t="shared" si="3"/>
        <v>40.877769968340338</v>
      </c>
      <c r="P14" s="44">
        <f t="shared" si="4"/>
        <v>38.655550469964552</v>
      </c>
      <c r="Q14" s="41">
        <f t="shared" si="5"/>
        <v>43.099989466716124</v>
      </c>
    </row>
    <row r="15" spans="1:17">
      <c r="B15" s="38">
        <v>70.147208463958691</v>
      </c>
      <c r="C15" s="32">
        <v>71.2</v>
      </c>
      <c r="D15" s="39"/>
      <c r="E15" s="40"/>
      <c r="F15" s="39"/>
      <c r="G15"/>
      <c r="H15" s="55"/>
      <c r="I15" s="47"/>
      <c r="J15" s="54"/>
      <c r="K15" s="53">
        <f t="shared" si="6"/>
        <v>42</v>
      </c>
      <c r="L15" s="44">
        <f t="shared" si="0"/>
        <v>42.817119867550346</v>
      </c>
      <c r="M15" s="44">
        <f t="shared" si="1"/>
        <v>41.752729378165796</v>
      </c>
      <c r="N15" s="41">
        <f t="shared" si="2"/>
        <v>43.881510356934896</v>
      </c>
      <c r="O15" s="44">
        <f t="shared" si="3"/>
        <v>42.817119867550346</v>
      </c>
      <c r="P15" s="44">
        <f t="shared" si="4"/>
        <v>40.630816899299553</v>
      </c>
      <c r="Q15" s="41">
        <f t="shared" si="5"/>
        <v>45.003422835801139</v>
      </c>
    </row>
    <row r="16" spans="1:17">
      <c r="B16" s="38">
        <v>70.147208463958691</v>
      </c>
      <c r="C16" s="32">
        <v>69.8</v>
      </c>
      <c r="D16" s="39"/>
      <c r="E16" s="59" t="s">
        <v>100</v>
      </c>
      <c r="F16" s="39"/>
      <c r="G16" s="39"/>
      <c r="H16" s="39"/>
      <c r="I16" s="44"/>
      <c r="J16" s="41"/>
      <c r="K16" s="53">
        <f t="shared" si="6"/>
        <v>44</v>
      </c>
      <c r="L16" s="44">
        <f t="shared" si="0"/>
        <v>44.756469766760347</v>
      </c>
      <c r="M16" s="44">
        <f t="shared" si="1"/>
        <v>43.763101860863458</v>
      </c>
      <c r="N16" s="41">
        <f t="shared" si="2"/>
        <v>45.749837672657236</v>
      </c>
      <c r="O16" s="44">
        <f t="shared" si="3"/>
        <v>44.756469766760347</v>
      </c>
      <c r="P16" s="44">
        <f t="shared" si="4"/>
        <v>42.603849653606169</v>
      </c>
      <c r="Q16" s="41">
        <f t="shared" si="5"/>
        <v>46.909089879914525</v>
      </c>
    </row>
    <row r="17" spans="2:17">
      <c r="B17" s="38">
        <v>70.147208463958691</v>
      </c>
      <c r="C17" s="32">
        <v>70.8</v>
      </c>
      <c r="D17" s="39"/>
      <c r="E17" s="40" t="s">
        <v>101</v>
      </c>
      <c r="F17" s="40" t="s">
        <v>102</v>
      </c>
      <c r="G17" s="40" t="s">
        <v>35</v>
      </c>
      <c r="H17" s="40" t="s">
        <v>36</v>
      </c>
      <c r="I17" s="47" t="s">
        <v>103</v>
      </c>
      <c r="J17" s="47"/>
      <c r="K17" s="53">
        <f t="shared" si="6"/>
        <v>46</v>
      </c>
      <c r="L17" s="44">
        <f t="shared" si="0"/>
        <v>46.695819665970355</v>
      </c>
      <c r="M17" s="44">
        <f t="shared" si="1"/>
        <v>45.772334965722102</v>
      </c>
      <c r="N17" s="41">
        <f t="shared" si="2"/>
        <v>47.619304366218607</v>
      </c>
      <c r="O17" s="44">
        <f t="shared" si="3"/>
        <v>46.695819665970355</v>
      </c>
      <c r="P17" s="44">
        <f t="shared" si="4"/>
        <v>44.574542327505966</v>
      </c>
      <c r="Q17" s="41">
        <f t="shared" si="5"/>
        <v>48.817097004434743</v>
      </c>
    </row>
    <row r="18" spans="2:17">
      <c r="B18" s="38">
        <v>70.147208463958691</v>
      </c>
      <c r="C18" s="32">
        <v>69.7</v>
      </c>
      <c r="D18" s="39"/>
      <c r="E18" s="40" t="s">
        <v>104</v>
      </c>
      <c r="F18" s="40">
        <v>1</v>
      </c>
      <c r="G18" s="40">
        <f>G20-G19</f>
        <v>2250.192875038339</v>
      </c>
      <c r="H18" s="40">
        <f>G18/F18</f>
        <v>2250.192875038339</v>
      </c>
      <c r="I18" s="47">
        <f>H18/H19</f>
        <v>2723.357299405423</v>
      </c>
      <c r="J18" s="47"/>
      <c r="K18" s="53">
        <f t="shared" si="6"/>
        <v>48</v>
      </c>
      <c r="L18" s="44">
        <f t="shared" si="0"/>
        <v>48.635169565180362</v>
      </c>
      <c r="M18" s="44">
        <f t="shared" si="1"/>
        <v>47.780149273449098</v>
      </c>
      <c r="N18" s="41">
        <f t="shared" si="2"/>
        <v>49.490189856911627</v>
      </c>
      <c r="O18" s="44">
        <f t="shared" si="3"/>
        <v>48.635169565180362</v>
      </c>
      <c r="P18" s="44">
        <f t="shared" si="4"/>
        <v>46.542789758748903</v>
      </c>
      <c r="Q18" s="41">
        <f t="shared" si="5"/>
        <v>50.727549371611822</v>
      </c>
    </row>
    <row r="19" spans="2:17">
      <c r="B19" s="38">
        <v>70.147208463958691</v>
      </c>
      <c r="C19" s="32">
        <v>70</v>
      </c>
      <c r="D19" s="39"/>
      <c r="E19" s="40" t="s">
        <v>31</v>
      </c>
      <c r="F19" s="40">
        <f>F20-F18</f>
        <v>18</v>
      </c>
      <c r="G19" s="40">
        <f>F8-(F9^2)/F7</f>
        <v>14.8726249616725</v>
      </c>
      <c r="H19" s="40">
        <f>G19/F19</f>
        <v>0.82625694231513891</v>
      </c>
      <c r="I19" s="47">
        <f>FDIST(I18,F18,F19)</f>
        <v>4.2201110292604264E-21</v>
      </c>
      <c r="J19" s="47"/>
      <c r="K19" s="53">
        <f t="shared" si="6"/>
        <v>50</v>
      </c>
      <c r="L19" s="44">
        <f t="shared" si="0"/>
        <v>50.57451946439037</v>
      </c>
      <c r="M19" s="44">
        <f t="shared" si="1"/>
        <v>49.786175047587164</v>
      </c>
      <c r="N19" s="41">
        <f t="shared" si="2"/>
        <v>51.362863881193576</v>
      </c>
      <c r="O19" s="44">
        <f t="shared" si="3"/>
        <v>50.57451946439037</v>
      </c>
      <c r="P19" s="44">
        <f t="shared" si="4"/>
        <v>48.508489340071094</v>
      </c>
      <c r="Q19" s="41">
        <f t="shared" si="5"/>
        <v>52.640549588709646</v>
      </c>
    </row>
    <row r="20" spans="2:17">
      <c r="B20" s="38">
        <v>70.147208463958691</v>
      </c>
      <c r="C20" s="32">
        <v>70.599999999999994</v>
      </c>
      <c r="D20" s="39"/>
      <c r="E20" s="40" t="s">
        <v>32</v>
      </c>
      <c r="F20" s="40">
        <f>F2-1</f>
        <v>19</v>
      </c>
      <c r="G20" s="40">
        <f>F8</f>
        <v>2265.0655000000115</v>
      </c>
      <c r="H20" s="40" t="s">
        <v>105</v>
      </c>
      <c r="I20" s="44"/>
      <c r="J20" s="44"/>
      <c r="K20" s="53">
        <f t="shared" si="6"/>
        <v>52</v>
      </c>
      <c r="L20" s="44">
        <f t="shared" si="0"/>
        <v>52.513869363600378</v>
      </c>
      <c r="M20" s="44">
        <f t="shared" si="1"/>
        <v>51.789917947902943</v>
      </c>
      <c r="N20" s="41">
        <f t="shared" si="2"/>
        <v>53.237820779297813</v>
      </c>
      <c r="O20" s="44">
        <f t="shared" si="3"/>
        <v>52.513869363600378</v>
      </c>
      <c r="P20" s="44">
        <f t="shared" si="4"/>
        <v>50.471542453583211</v>
      </c>
      <c r="Q20" s="41">
        <f t="shared" si="5"/>
        <v>54.556196273617545</v>
      </c>
    </row>
    <row r="21" spans="2:17">
      <c r="B21" s="38">
        <v>70.147208463958691</v>
      </c>
      <c r="C21" s="32">
        <v>70.3</v>
      </c>
      <c r="D21" s="39"/>
      <c r="E21" s="40"/>
      <c r="F21" s="39"/>
      <c r="G21" s="39"/>
      <c r="H21" s="39"/>
      <c r="I21" s="44"/>
      <c r="J21" s="44"/>
      <c r="K21" s="53">
        <f t="shared" si="6"/>
        <v>54</v>
      </c>
      <c r="L21" s="44">
        <f t="shared" si="0"/>
        <v>54.453219262810379</v>
      </c>
      <c r="M21" s="44">
        <f t="shared" si="1"/>
        <v>53.790711981621094</v>
      </c>
      <c r="N21" s="41">
        <f t="shared" si="2"/>
        <v>55.115726543999664</v>
      </c>
      <c r="O21" s="44">
        <f t="shared" si="3"/>
        <v>54.453219262810379</v>
      </c>
      <c r="P21" s="44">
        <f t="shared" si="4"/>
        <v>52.431855996913136</v>
      </c>
      <c r="Q21" s="41">
        <f t="shared" si="5"/>
        <v>56.474582528707622</v>
      </c>
    </row>
    <row r="22" spans="2:17">
      <c r="B22" s="37"/>
      <c r="D22" s="39"/>
      <c r="E22" s="59" t="s">
        <v>106</v>
      </c>
      <c r="F22" s="39"/>
      <c r="G22" s="39"/>
      <c r="H22" s="39"/>
      <c r="I22" s="44"/>
      <c r="J22" s="44"/>
      <c r="K22" s="53">
        <f t="shared" ref="K22:K34" si="7">K21+2</f>
        <v>56</v>
      </c>
      <c r="L22" s="44">
        <f t="shared" si="0"/>
        <v>56.392569162020386</v>
      </c>
      <c r="M22" s="44">
        <f t="shared" ref="M22:M34" si="8">L22-(TINV(((100-$K$2)/100),$F$2-2))*SQRT($H$19)*SQRT(1/$F$2+(K22-$F$4)^2/$F$7)</f>
        <v>55.787657882971729</v>
      </c>
      <c r="N22" s="41">
        <f t="shared" ref="N22:N34" si="9">L22+(TINV(((100-$K$2)/100),$F$2-2))*SQRT($H$19)*SQRT(1/$F$2+(K22-$F$4)^2/$F$7)</f>
        <v>56.997480441069044</v>
      </c>
      <c r="O22" s="44">
        <f t="shared" ref="O22:O34" si="10">$F$11+$F$12*K22</f>
        <v>56.392569162020386</v>
      </c>
      <c r="P22" s="44">
        <f t="shared" ref="P22:P34" si="11">O22-(TINV(((100-$K$2)/100),$F$2-2))*SQRT($H$19)*SQRT(1+1/$F$2+(K22-$F$4)^2/$F$7)</f>
        <v>54.389343959850088</v>
      </c>
      <c r="Q22" s="41">
        <f t="shared" ref="Q22:Q34" si="12">O22+(TINV(((100-$K$2)/100),$F$2-2))*SQRT($H$19)*SQRT(1+1/$F$2+(K22-$F$4)^2/$F$7)</f>
        <v>58.395794364190685</v>
      </c>
    </row>
    <row r="23" spans="2:17">
      <c r="B23" s="37"/>
      <c r="D23" s="39"/>
      <c r="E23" s="40">
        <f>SQRT(H19)</f>
        <v>0.90898676685369784</v>
      </c>
      <c r="F23" s="39"/>
      <c r="G23" s="39"/>
      <c r="H23" s="39"/>
      <c r="I23" s="44"/>
      <c r="J23" s="44"/>
      <c r="K23" s="53">
        <f t="shared" si="7"/>
        <v>58</v>
      </c>
      <c r="L23" s="44">
        <f t="shared" si="0"/>
        <v>58.331919061230394</v>
      </c>
      <c r="M23" s="44">
        <f t="shared" si="8"/>
        <v>57.779550591850835</v>
      </c>
      <c r="N23" s="41">
        <f t="shared" si="9"/>
        <v>58.884287530609953</v>
      </c>
      <c r="O23" s="44">
        <f t="shared" si="10"/>
        <v>58.331919061230394</v>
      </c>
      <c r="P23" s="44">
        <f t="shared" si="11"/>
        <v>56.343929000627817</v>
      </c>
      <c r="Q23" s="41">
        <f t="shared" si="12"/>
        <v>60.319909121832971</v>
      </c>
    </row>
    <row r="24" spans="2:17">
      <c r="B24" s="37"/>
      <c r="K24" s="53">
        <f t="shared" si="7"/>
        <v>60</v>
      </c>
      <c r="L24" s="44">
        <f t="shared" si="0"/>
        <v>60.271268960440395</v>
      </c>
      <c r="M24" s="44">
        <f t="shared" si="8"/>
        <v>59.764814906293218</v>
      </c>
      <c r="N24" s="41">
        <f t="shared" si="9"/>
        <v>60.777723014587572</v>
      </c>
      <c r="O24" s="44">
        <f t="shared" si="10"/>
        <v>60.271268960440395</v>
      </c>
      <c r="P24" s="44">
        <f t="shared" si="11"/>
        <v>58.295543963369184</v>
      </c>
      <c r="Q24" s="41">
        <f t="shared" si="12"/>
        <v>62.246993957511606</v>
      </c>
    </row>
    <row r="25" spans="2:17">
      <c r="B25" s="37"/>
      <c r="K25" s="53">
        <f t="shared" si="7"/>
        <v>62</v>
      </c>
      <c r="L25" s="44">
        <f t="shared" si="0"/>
        <v>62.210618859650403</v>
      </c>
      <c r="M25" s="44">
        <f t="shared" si="8"/>
        <v>61.74150053287935</v>
      </c>
      <c r="N25" s="41">
        <f t="shared" si="9"/>
        <v>62.679737186421455</v>
      </c>
      <c r="O25" s="44">
        <f t="shared" si="10"/>
        <v>62.210618859650403</v>
      </c>
      <c r="P25" s="44">
        <f t="shared" si="11"/>
        <v>60.244133273737702</v>
      </c>
      <c r="Q25" s="41">
        <f t="shared" si="12"/>
        <v>64.177104445563103</v>
      </c>
    </row>
    <row r="26" spans="2:17">
      <c r="B26" s="37"/>
      <c r="K26" s="53">
        <f t="shared" si="7"/>
        <v>64</v>
      </c>
      <c r="L26" s="44">
        <f t="shared" si="0"/>
        <v>64.14996875886041</v>
      </c>
      <c r="M26" s="44">
        <f t="shared" si="8"/>
        <v>63.707430836625726</v>
      </c>
      <c r="N26" s="41">
        <f t="shared" si="9"/>
        <v>64.592506681095102</v>
      </c>
      <c r="O26" s="44">
        <f t="shared" si="10"/>
        <v>64.14996875886041</v>
      </c>
      <c r="P26" s="44">
        <f t="shared" si="11"/>
        <v>62.189654149491361</v>
      </c>
      <c r="Q26" s="41">
        <f t="shared" si="12"/>
        <v>66.11028336822946</v>
      </c>
    </row>
    <row r="27" spans="2:17">
      <c r="B27" s="37"/>
      <c r="K27" s="53">
        <f t="shared" si="7"/>
        <v>66</v>
      </c>
      <c r="L27" s="44">
        <f t="shared" si="0"/>
        <v>66.089318658070425</v>
      </c>
      <c r="M27" s="44">
        <f t="shared" si="8"/>
        <v>65.660600646701553</v>
      </c>
      <c r="N27" s="41">
        <f t="shared" si="9"/>
        <v>66.518036669439297</v>
      </c>
      <c r="O27" s="44">
        <f t="shared" si="10"/>
        <v>66.089318658070425</v>
      </c>
      <c r="P27" s="44">
        <f t="shared" si="11"/>
        <v>64.132077567054296</v>
      </c>
      <c r="Q27" s="41">
        <f t="shared" si="12"/>
        <v>68.046559749086555</v>
      </c>
    </row>
    <row r="28" spans="2:17">
      <c r="B28" s="37"/>
      <c r="D28" s="11"/>
      <c r="K28" s="53">
        <f t="shared" si="7"/>
        <v>68</v>
      </c>
      <c r="L28" s="44">
        <f t="shared" si="0"/>
        <v>68.028668557280426</v>
      </c>
      <c r="M28" s="44">
        <f t="shared" si="8"/>
        <v>67.599774670075988</v>
      </c>
      <c r="N28" s="41">
        <f t="shared" si="9"/>
        <v>68.457562444484864</v>
      </c>
      <c r="O28" s="44">
        <f t="shared" si="10"/>
        <v>68.028668557280426</v>
      </c>
      <c r="P28" s="44">
        <f t="shared" si="11"/>
        <v>66.071388934546036</v>
      </c>
      <c r="Q28" s="41">
        <f t="shared" si="12"/>
        <v>69.985948180014816</v>
      </c>
    </row>
    <row r="29" spans="2:17" ht="13">
      <c r="B29" s="37"/>
      <c r="D29" s="11"/>
      <c r="E29" s="8"/>
      <c r="F29" s="8"/>
      <c r="G29" s="8"/>
      <c r="H29" s="8"/>
      <c r="K29" s="53">
        <f t="shared" si="7"/>
        <v>70</v>
      </c>
      <c r="L29" s="44">
        <f t="shared" si="0"/>
        <v>69.968018456490427</v>
      </c>
      <c r="M29" s="44">
        <f t="shared" si="8"/>
        <v>69.524969574036632</v>
      </c>
      <c r="N29" s="41">
        <f t="shared" si="9"/>
        <v>70.411067338944221</v>
      </c>
      <c r="O29" s="44">
        <f t="shared" si="10"/>
        <v>69.968018456490427</v>
      </c>
      <c r="P29" s="44">
        <f t="shared" si="11"/>
        <v>68.00758843546609</v>
      </c>
      <c r="Q29" s="41">
        <f t="shared" si="12"/>
        <v>71.928448477514763</v>
      </c>
    </row>
    <row r="30" spans="2:17">
      <c r="B30" s="37"/>
      <c r="D30" s="11"/>
      <c r="E30" s="4"/>
      <c r="F30" s="4"/>
      <c r="G30" s="4"/>
      <c r="H30" s="4"/>
      <c r="K30" s="53">
        <f t="shared" si="7"/>
        <v>72</v>
      </c>
      <c r="L30" s="44">
        <f t="shared" si="0"/>
        <v>71.907368355700441</v>
      </c>
      <c r="M30" s="44">
        <f t="shared" si="8"/>
        <v>71.437446904222924</v>
      </c>
      <c r="N30" s="41">
        <f t="shared" si="9"/>
        <v>72.377289807177959</v>
      </c>
      <c r="O30" s="44">
        <f t="shared" si="10"/>
        <v>71.907368355700441</v>
      </c>
      <c r="P30" s="44">
        <f t="shared" si="11"/>
        <v>69.940691024349746</v>
      </c>
      <c r="Q30" s="41">
        <f t="shared" si="12"/>
        <v>73.874045687051137</v>
      </c>
    </row>
    <row r="31" spans="2:17">
      <c r="B31" s="37"/>
      <c r="D31" s="11"/>
      <c r="E31" s="4"/>
      <c r="F31" s="4"/>
      <c r="G31" s="4"/>
      <c r="H31" s="4"/>
      <c r="K31" s="53">
        <f t="shared" si="7"/>
        <v>74</v>
      </c>
      <c r="L31" s="44">
        <f t="shared" si="0"/>
        <v>73.846718254910442</v>
      </c>
      <c r="M31" s="44">
        <f t="shared" si="8"/>
        <v>73.339222893919924</v>
      </c>
      <c r="N31" s="41">
        <f t="shared" si="9"/>
        <v>74.35421361590096</v>
      </c>
      <c r="O31" s="44">
        <f t="shared" si="10"/>
        <v>73.846718254910442</v>
      </c>
      <c r="P31" s="44">
        <f t="shared" si="11"/>
        <v>71.870726074633197</v>
      </c>
      <c r="Q31" s="41">
        <f t="shared" si="12"/>
        <v>75.822710435187687</v>
      </c>
    </row>
    <row r="32" spans="2:17">
      <c r="B32" s="37"/>
      <c r="D32" s="11"/>
      <c r="E32" s="4"/>
      <c r="F32" s="4"/>
      <c r="G32" s="4"/>
      <c r="H32" s="4"/>
      <c r="K32" s="53">
        <f t="shared" si="7"/>
        <v>76</v>
      </c>
      <c r="L32" s="44">
        <f t="shared" si="0"/>
        <v>75.786068154120443</v>
      </c>
      <c r="M32" s="44">
        <f t="shared" si="8"/>
        <v>75.232472250190497</v>
      </c>
      <c r="N32" s="41">
        <f t="shared" si="9"/>
        <v>76.339664058050388</v>
      </c>
      <c r="O32" s="44">
        <f t="shared" si="10"/>
        <v>75.786068154120443</v>
      </c>
      <c r="P32" s="44">
        <f t="shared" si="11"/>
        <v>73.797736697864238</v>
      </c>
      <c r="Q32" s="41">
        <f t="shared" si="12"/>
        <v>77.774399610376648</v>
      </c>
    </row>
    <row r="33" spans="2:17">
      <c r="B33" s="37"/>
      <c r="E33" s="4"/>
      <c r="F33" s="4"/>
      <c r="G33" s="4"/>
      <c r="H33" s="4"/>
      <c r="K33" s="53">
        <f t="shared" si="7"/>
        <v>78</v>
      </c>
      <c r="L33" s="44">
        <f t="shared" si="0"/>
        <v>77.725418053330458</v>
      </c>
      <c r="M33" s="44">
        <f t="shared" si="8"/>
        <v>77.119136913246024</v>
      </c>
      <c r="N33" s="41">
        <f t="shared" si="9"/>
        <v>78.331699193414892</v>
      </c>
      <c r="O33" s="44">
        <f t="shared" si="10"/>
        <v>77.725418053330458</v>
      </c>
      <c r="P33" s="44">
        <f t="shared" si="11"/>
        <v>75.721778770447429</v>
      </c>
      <c r="Q33" s="41">
        <f t="shared" si="12"/>
        <v>79.729057336213486</v>
      </c>
    </row>
    <row r="34" spans="2:17">
      <c r="B34" s="37"/>
      <c r="E34" s="4"/>
      <c r="F34" s="4"/>
      <c r="G34" s="4"/>
      <c r="H34" s="4"/>
      <c r="K34" s="53">
        <f t="shared" si="7"/>
        <v>80</v>
      </c>
      <c r="L34" s="44">
        <f t="shared" si="0"/>
        <v>79.664767952540458</v>
      </c>
      <c r="M34" s="44">
        <f t="shared" si="8"/>
        <v>79.000782463731298</v>
      </c>
      <c r="N34" s="41">
        <f t="shared" si="9"/>
        <v>80.328753441349619</v>
      </c>
      <c r="O34" s="44">
        <f t="shared" si="10"/>
        <v>79.664767952540458</v>
      </c>
      <c r="P34" s="44">
        <f t="shared" si="11"/>
        <v>77.642919717771321</v>
      </c>
      <c r="Q34" s="41">
        <f t="shared" si="12"/>
        <v>81.686616187309596</v>
      </c>
    </row>
    <row r="35" spans="2:17">
      <c r="B35" s="37"/>
      <c r="E35" s="4"/>
      <c r="F35" s="4"/>
      <c r="G35" s="4"/>
      <c r="H35" s="4"/>
      <c r="K35" s="53">
        <f>K34+2</f>
        <v>82</v>
      </c>
      <c r="L35" s="44">
        <f t="shared" si="0"/>
        <v>81.604117851750459</v>
      </c>
      <c r="M35" s="44">
        <f>L35-(TINV(((100-$K$2)/100),$F$2-2))*SQRT($H$19)*SQRT(1/$F$2+(K35-$F$4)^2/$F$7)</f>
        <v>80.878605515239812</v>
      </c>
      <c r="N35" s="41">
        <f>L35+(TINV(((100-$K$2)/100),$F$2-2))*SQRT($H$19)*SQRT(1/$F$2+(K35-$F$4)^2/$F$7)</f>
        <v>82.329630188261106</v>
      </c>
      <c r="O35" s="44">
        <f>$F$11+$F$12*K35</f>
        <v>81.604117851750459</v>
      </c>
      <c r="P35" s="44">
        <f>O35-(TINV(((100-$K$2)/100),$F$2-2))*SQRT($H$19)*SQRT(1+1/$F$2+(K35-$F$4)^2/$F$7)</f>
        <v>79.561237114771657</v>
      </c>
      <c r="Q35" s="41">
        <f>O35+(TINV(((100-$K$2)/100),$F$2-2))*SQRT($H$19)*SQRT(1+1/$F$2+(K35-$F$4)^2/$F$7)</f>
        <v>83.646998588729261</v>
      </c>
    </row>
    <row r="36" spans="2:17">
      <c r="B36" s="37"/>
      <c r="E36" s="4"/>
      <c r="F36" s="4"/>
      <c r="G36" s="4"/>
      <c r="H36" s="4"/>
      <c r="K36" s="53">
        <f>K35+2</f>
        <v>84</v>
      </c>
      <c r="L36" s="44">
        <f t="shared" si="0"/>
        <v>83.543467750960474</v>
      </c>
      <c r="M36" s="44">
        <f>L36-(TINV(((100-$K$2)/100),$F$2-2))*SQRT($H$19)*SQRT(1/$F$2+(K36-$F$4)^2/$F$7)</f>
        <v>82.753498711021493</v>
      </c>
      <c r="N36" s="41">
        <f>L36+(TINV(((100-$K$2)/100),$F$2-2))*SQRT($H$19)*SQRT(1/$F$2+(K36-$F$4)^2/$F$7)</f>
        <v>84.333436790899455</v>
      </c>
      <c r="O36" s="44">
        <f>$F$11+$F$12*K36</f>
        <v>83.543467750960474</v>
      </c>
      <c r="P36" s="44">
        <f>O36-(TINV(((100-$K$2)/100),$F$2-2))*SQRT($H$19)*SQRT(1+1/$F$2+(K36-$F$4)^2/$F$7)</f>
        <v>81.476817166281961</v>
      </c>
      <c r="Q36" s="41">
        <f>O36+(TINV(((100-$K$2)/100),$F$2-2))*SQRT($H$19)*SQRT(1+1/$F$2+(K36-$F$4)^2/$F$7)</f>
        <v>85.610118335638987</v>
      </c>
    </row>
    <row r="37" spans="2:17">
      <c r="B37" s="37"/>
      <c r="E37" s="4"/>
      <c r="F37" s="4"/>
      <c r="G37" s="4"/>
      <c r="H37" s="4"/>
      <c r="K37" s="53">
        <f>K36+2</f>
        <v>86</v>
      </c>
      <c r="L37" s="44">
        <f t="shared" si="0"/>
        <v>85.482817650170475</v>
      </c>
      <c r="M37" s="44">
        <f>L37-(TINV(((100-$K$2)/100),$F$2-2))*SQRT($H$19)*SQRT(1/$F$2+(K37-$F$4)^2/$F$7)</f>
        <v>84.626123112865571</v>
      </c>
      <c r="N37" s="41">
        <f>L37+(TINV(((100-$K$2)/100),$F$2-2))*SQRT($H$19)*SQRT(1/$F$2+(K37-$F$4)^2/$F$7)</f>
        <v>86.339512187475378</v>
      </c>
      <c r="O37" s="44">
        <f>$F$11+$F$12*K37</f>
        <v>85.482817650170475</v>
      </c>
      <c r="P37" s="44">
        <f>O37-(TINV(((100-$K$2)/100),$F$2-2))*SQRT($H$19)*SQRT(1+1/$F$2+(K37-$F$4)^2/$F$7)</f>
        <v>83.389753130061749</v>
      </c>
      <c r="Q37" s="41">
        <f>O37+(TINV(((100-$K$2)/100),$F$2-2))*SQRT($H$19)*SQRT(1+1/$F$2+(K37-$F$4)^2/$F$7)</f>
        <v>87.575882170279201</v>
      </c>
    </row>
    <row r="38" spans="2:17">
      <c r="B38" s="37"/>
      <c r="C38" s="60"/>
      <c r="D38" s="11"/>
      <c r="E38" s="4"/>
      <c r="F38" s="4"/>
      <c r="G38" s="4"/>
      <c r="H38" s="4"/>
      <c r="K38" s="53">
        <f>K37+2</f>
        <v>88</v>
      </c>
      <c r="L38" s="44">
        <f t="shared" si="0"/>
        <v>87.422167549380475</v>
      </c>
      <c r="M38" s="44">
        <f>L38-(TINV(((100-$K$2)/100),$F$2-2))*SQRT($H$19)*SQRT(1/$F$2+(K38-$F$4)^2/$F$7)</f>
        <v>86.496969468434045</v>
      </c>
      <c r="N38" s="41">
        <f>L38+(TINV(((100-$K$2)/100),$F$2-2))*SQRT($H$19)*SQRT(1/$F$2+(K38-$F$4)^2/$F$7)</f>
        <v>88.347365630326905</v>
      </c>
      <c r="O38" s="44">
        <f>$F$11+$F$12*K38</f>
        <v>87.422167549380475</v>
      </c>
      <c r="P38" s="44">
        <f>O38-(TINV(((100-$K$2)/100),$F$2-2))*SQRT($H$19)*SQRT(1+1/$F$2+(K38-$F$4)^2/$F$7)</f>
        <v>85.300143740824851</v>
      </c>
      <c r="Q38" s="41">
        <f>O38+(TINV(((100-$K$2)/100),$F$2-2))*SQRT($H$19)*SQRT(1+1/$F$2+(K38-$F$4)^2/$F$7)</f>
        <v>89.5441913579361</v>
      </c>
    </row>
    <row r="39" spans="2:17">
      <c r="B39" s="37"/>
      <c r="C39" s="60"/>
      <c r="D39" s="11"/>
      <c r="E39" s="4"/>
      <c r="F39" s="4"/>
      <c r="G39" s="4"/>
      <c r="H39" s="4"/>
      <c r="K39" s="53">
        <f>K38+2</f>
        <v>90</v>
      </c>
      <c r="L39" s="44">
        <f t="shared" si="0"/>
        <v>89.36151744859049</v>
      </c>
      <c r="M39" s="44">
        <f>L39-(TINV(((100-$K$2)/100),$F$2-2))*SQRT($H$19)*SQRT(1/$F$2+(K39-$F$4)^2/$F$7)</f>
        <v>88.366404912100862</v>
      </c>
      <c r="N39" s="41">
        <f>L39+(TINV(((100-$K$2)/100),$F$2-2))*SQRT($H$19)*SQRT(1/$F$2+(K39-$F$4)^2/$F$7)</f>
        <v>90.356629985080119</v>
      </c>
      <c r="O39" s="44">
        <f>$F$11+$F$12*K39</f>
        <v>89.36151744859049</v>
      </c>
      <c r="P39" s="44">
        <f>O39-(TINV(((100-$K$2)/100),$F$2-2))*SQRT($H$19)*SQRT(1+1/$F$2+(K39-$F$4)^2/$F$7)</f>
        <v>87.208091685911697</v>
      </c>
      <c r="Q39" s="41">
        <f>O39+(TINV(((100-$K$2)/100),$F$2-2))*SQRT($H$19)*SQRT(1+1/$F$2+(K39-$F$4)^2/$F$7)</f>
        <v>91.514943211269284</v>
      </c>
    </row>
    <row r="40" spans="2:17">
      <c r="B40" s="60"/>
      <c r="C40" s="60"/>
      <c r="D40" s="11"/>
      <c r="E40" s="4"/>
      <c r="F40" s="4"/>
      <c r="G40" s="4"/>
      <c r="H40" s="4"/>
    </row>
    <row r="41" spans="2:17">
      <c r="B41" s="60"/>
      <c r="C41" s="60"/>
      <c r="D41" s="11"/>
      <c r="E41" s="4"/>
      <c r="F41" s="4"/>
      <c r="G41" s="4"/>
      <c r="H41" s="4"/>
    </row>
    <row r="42" spans="2:17">
      <c r="B42" s="60"/>
      <c r="C42" s="60"/>
      <c r="D42" s="11"/>
      <c r="E42" s="4"/>
      <c r="F42" s="4"/>
      <c r="G42" s="4"/>
      <c r="H42" s="4"/>
    </row>
    <row r="43" spans="2:17">
      <c r="B43" s="60"/>
      <c r="C43" s="60"/>
      <c r="D43" s="11"/>
      <c r="E43" s="4"/>
      <c r="F43" s="4"/>
      <c r="G43" s="4"/>
      <c r="H43" s="4"/>
    </row>
    <row r="44" spans="2:17">
      <c r="B44" s="60"/>
      <c r="C44" s="60"/>
      <c r="D44" s="11"/>
    </row>
    <row r="45" spans="2:17">
      <c r="B45" s="60"/>
      <c r="C45" s="60"/>
      <c r="D45" s="11"/>
    </row>
    <row r="46" spans="2:17">
      <c r="B46" s="60"/>
      <c r="C46" s="60"/>
      <c r="D46" s="11"/>
    </row>
  </sheetData>
  <mergeCells count="2">
    <mergeCell ref="L1:N1"/>
    <mergeCell ref="O1:Q1"/>
  </mergeCells>
  <phoneticPr fontId="4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39"/>
  <sheetViews>
    <sheetView showGridLines="0" workbookViewId="0">
      <selection activeCell="B36" sqref="B36"/>
    </sheetView>
  </sheetViews>
  <sheetFormatPr defaultRowHeight="12.5"/>
  <cols>
    <col min="1" max="1" width="20.7265625" customWidth="1"/>
    <col min="2" max="2" width="13.1796875" customWidth="1"/>
    <col min="3" max="3" width="5.7265625" customWidth="1"/>
    <col min="4" max="4" width="7.453125" customWidth="1"/>
    <col min="11" max="11" width="4.26953125" customWidth="1"/>
    <col min="12" max="24" width="7.7265625" customWidth="1"/>
  </cols>
  <sheetData>
    <row r="1" spans="1:37" ht="24" customHeight="1">
      <c r="A1" s="13" t="s">
        <v>58</v>
      </c>
      <c r="G1" s="28" t="s">
        <v>70</v>
      </c>
      <c r="H1" s="29">
        <v>70</v>
      </c>
      <c r="I1" s="14"/>
      <c r="J1" s="66" t="s">
        <v>124</v>
      </c>
      <c r="K1" s="11"/>
      <c r="L1" s="11"/>
      <c r="M1" s="15" t="s">
        <v>59</v>
      </c>
      <c r="N1" s="16">
        <f>(XMax-XMin)/(25-1)</f>
        <v>0.41666666666666669</v>
      </c>
      <c r="O1" s="3" t="s">
        <v>60</v>
      </c>
      <c r="P1">
        <f>XMin</f>
        <v>15</v>
      </c>
    </row>
    <row r="2" spans="1:37" ht="13">
      <c r="C2" s="3"/>
      <c r="F2" s="17"/>
      <c r="G2" t="s">
        <v>71</v>
      </c>
      <c r="J2" s="4">
        <v>1.9067361415698028</v>
      </c>
      <c r="K2" s="11"/>
      <c r="M2" s="15" t="s">
        <v>61</v>
      </c>
      <c r="N2" s="16">
        <f>(yMax-yMin)/(25-1)</f>
        <v>0.25</v>
      </c>
      <c r="O2" s="3" t="s">
        <v>62</v>
      </c>
      <c r="P2">
        <f>yMin</f>
        <v>4</v>
      </c>
    </row>
    <row r="3" spans="1:37" ht="13">
      <c r="A3" s="18" t="s">
        <v>63</v>
      </c>
      <c r="B3" s="17">
        <f>100*(J2+J3*x+J4*x^2+J5*y^2+J6/y)^(1/3)</f>
        <v>52.292690343874895</v>
      </c>
      <c r="E3" s="19"/>
      <c r="F3" s="19"/>
      <c r="G3" s="27" t="s">
        <v>72</v>
      </c>
      <c r="H3" s="19"/>
      <c r="J3" s="4">
        <v>-8.3797915501146403E-2</v>
      </c>
      <c r="M3" s="20"/>
    </row>
    <row r="4" spans="1:37" ht="13">
      <c r="A4" s="21" t="s">
        <v>64</v>
      </c>
      <c r="B4" s="22">
        <v>15</v>
      </c>
      <c r="H4" s="23"/>
      <c r="J4" s="4">
        <v>1.6371007607477036E-3</v>
      </c>
    </row>
    <row r="5" spans="1:37" ht="13">
      <c r="A5" s="21" t="s">
        <v>66</v>
      </c>
      <c r="B5" s="22">
        <v>25</v>
      </c>
      <c r="D5" s="1" t="s">
        <v>65</v>
      </c>
      <c r="J5" s="4">
        <v>-1.6632438843426709E-3</v>
      </c>
    </row>
    <row r="6" spans="1:37" ht="13.5" thickBot="1">
      <c r="A6" s="24" t="s">
        <v>68</v>
      </c>
      <c r="B6" s="22">
        <v>4</v>
      </c>
      <c r="D6" s="1" t="s">
        <v>67</v>
      </c>
      <c r="J6" s="5">
        <v>-3.3940299391052799</v>
      </c>
    </row>
    <row r="7" spans="1:37" ht="13">
      <c r="A7" s="24" t="s">
        <v>69</v>
      </c>
      <c r="B7" s="22">
        <v>10</v>
      </c>
      <c r="D7" s="1"/>
      <c r="L7" s="25">
        <f>z</f>
        <v>52.292690343874895</v>
      </c>
      <c r="M7" s="26">
        <f>yStart</f>
        <v>4</v>
      </c>
      <c r="N7" s="26">
        <f t="shared" ref="N7:AK7" si="0">M7+yStep</f>
        <v>4.25</v>
      </c>
      <c r="O7" s="26">
        <f t="shared" si="0"/>
        <v>4.5</v>
      </c>
      <c r="P7" s="26">
        <f t="shared" si="0"/>
        <v>4.75</v>
      </c>
      <c r="Q7" s="26">
        <f t="shared" si="0"/>
        <v>5</v>
      </c>
      <c r="R7" s="26">
        <f t="shared" si="0"/>
        <v>5.25</v>
      </c>
      <c r="S7" s="26">
        <f t="shared" si="0"/>
        <v>5.5</v>
      </c>
      <c r="T7" s="26">
        <f t="shared" si="0"/>
        <v>5.75</v>
      </c>
      <c r="U7" s="26">
        <f t="shared" si="0"/>
        <v>6</v>
      </c>
      <c r="V7" s="26">
        <f t="shared" si="0"/>
        <v>6.25</v>
      </c>
      <c r="W7" s="26">
        <f t="shared" si="0"/>
        <v>6.5</v>
      </c>
      <c r="X7" s="26">
        <f t="shared" si="0"/>
        <v>6.75</v>
      </c>
      <c r="Y7" s="26">
        <f t="shared" si="0"/>
        <v>7</v>
      </c>
      <c r="Z7" s="26">
        <f t="shared" si="0"/>
        <v>7.25</v>
      </c>
      <c r="AA7" s="26">
        <f t="shared" si="0"/>
        <v>7.5</v>
      </c>
      <c r="AB7" s="26">
        <f t="shared" si="0"/>
        <v>7.75</v>
      </c>
      <c r="AC7" s="26">
        <f t="shared" si="0"/>
        <v>8</v>
      </c>
      <c r="AD7" s="26">
        <f t="shared" si="0"/>
        <v>8.25</v>
      </c>
      <c r="AE7" s="26">
        <f t="shared" si="0"/>
        <v>8.5</v>
      </c>
      <c r="AF7" s="26">
        <f t="shared" si="0"/>
        <v>8.75</v>
      </c>
      <c r="AG7" s="26">
        <f t="shared" si="0"/>
        <v>9</v>
      </c>
      <c r="AH7" s="26">
        <f t="shared" si="0"/>
        <v>9.25</v>
      </c>
      <c r="AI7" s="26">
        <f t="shared" si="0"/>
        <v>9.5</v>
      </c>
      <c r="AJ7" s="26">
        <f t="shared" si="0"/>
        <v>9.75</v>
      </c>
      <c r="AK7" s="26">
        <f t="shared" si="0"/>
        <v>10</v>
      </c>
    </row>
    <row r="8" spans="1:37" ht="13">
      <c r="L8" s="26">
        <f>xStart</f>
        <v>15</v>
      </c>
      <c r="M8" s="16">
        <f t="dataTable" ref="M8:AK32" dt2D="1" dtr="0" r1="P2" r2="P1"/>
        <v>52.292690343874895</v>
      </c>
      <c r="N8" s="16">
        <v>57.436219918571709</v>
      </c>
      <c r="O8" s="16">
        <v>61.287500341550292</v>
      </c>
      <c r="P8" s="16">
        <v>64.316750167095719</v>
      </c>
      <c r="Q8" s="16">
        <v>66.773871605395271</v>
      </c>
      <c r="R8" s="16">
        <v>68.809108130833536</v>
      </c>
      <c r="S8" s="16">
        <v>70.520313389631482</v>
      </c>
      <c r="T8" s="16">
        <v>71.974914288653665</v>
      </c>
      <c r="U8" s="16">
        <v>73.221361221429618</v>
      </c>
      <c r="V8" s="16">
        <v>74.295617203682966</v>
      </c>
      <c r="W8" s="16">
        <v>75.225076395480428</v>
      </c>
      <c r="X8" s="16">
        <v>76.031051514076069</v>
      </c>
      <c r="Y8" s="16">
        <v>76.730417821235989</v>
      </c>
      <c r="Z8" s="16">
        <v>77.336736457956448</v>
      </c>
      <c r="AA8" s="16">
        <v>77.86104377211403</v>
      </c>
      <c r="AB8" s="16">
        <v>78.312419306358734</v>
      </c>
      <c r="AC8" s="16">
        <v>78.698402978546738</v>
      </c>
      <c r="AD8" s="16">
        <v>79.025307010882031</v>
      </c>
      <c r="AE8" s="16">
        <v>79.298452840712969</v>
      </c>
      <c r="AF8" s="16">
        <v>79.522353558950854</v>
      </c>
      <c r="AG8" s="16">
        <v>79.70085613477697</v>
      </c>
      <c r="AH8" s="16">
        <v>79.837253508200561</v>
      </c>
      <c r="AI8" s="16">
        <v>79.934373798460982</v>
      </c>
      <c r="AJ8" s="16">
        <v>79.994651917768905</v>
      </c>
      <c r="AK8" s="16">
        <v>80.020187503091165</v>
      </c>
    </row>
    <row r="9" spans="1:37" ht="13">
      <c r="L9" s="26">
        <f t="shared" ref="L9:L32" si="1">L8+xStep</f>
        <v>15.416666666666666</v>
      </c>
      <c r="M9" s="16">
        <v>50.505260186112046</v>
      </c>
      <c r="N9" s="16">
        <v>55.967417061449062</v>
      </c>
      <c r="O9" s="16">
        <v>60.003490211054569</v>
      </c>
      <c r="P9" s="16">
        <v>63.154212080439564</v>
      </c>
      <c r="Q9" s="16">
        <v>65.697434741356247</v>
      </c>
      <c r="R9" s="16">
        <v>67.796842304249509</v>
      </c>
      <c r="S9" s="16">
        <v>69.557603188250766</v>
      </c>
      <c r="T9" s="16">
        <v>71.051485713299812</v>
      </c>
      <c r="U9" s="16">
        <v>72.329688164349719</v>
      </c>
      <c r="V9" s="16">
        <v>73.430001446028342</v>
      </c>
      <c r="W9" s="16">
        <v>74.38108466003311</v>
      </c>
      <c r="X9" s="16">
        <v>75.205154503741682</v>
      </c>
      <c r="Y9" s="16">
        <v>75.91974967986296</v>
      </c>
      <c r="Z9" s="16">
        <v>76.538929208843413</v>
      </c>
      <c r="AA9" s="16">
        <v>77.074110172937395</v>
      </c>
      <c r="AB9" s="16">
        <v>77.534667955676511</v>
      </c>
      <c r="AC9" s="16">
        <v>77.928375489350643</v>
      </c>
      <c r="AD9" s="16">
        <v>78.261730638725709</v>
      </c>
      <c r="AE9" s="16">
        <v>78.540204158499421</v>
      </c>
      <c r="AF9" s="16">
        <v>78.76843017064769</v>
      </c>
      <c r="AG9" s="16">
        <v>78.950354332475953</v>
      </c>
      <c r="AH9" s="16">
        <v>79.089350384714521</v>
      </c>
      <c r="AI9" s="16">
        <v>79.188312740870657</v>
      </c>
      <c r="AJ9" s="16">
        <v>79.249730693399201</v>
      </c>
      <c r="AK9" s="16">
        <v>79.275748350671975</v>
      </c>
    </row>
    <row r="10" spans="1:37" ht="13">
      <c r="L10" s="26">
        <f t="shared" si="1"/>
        <v>15.833333333333332</v>
      </c>
      <c r="M10" s="16">
        <v>48.661627013839762</v>
      </c>
      <c r="N10" s="16">
        <v>54.481098410296539</v>
      </c>
      <c r="O10" s="16">
        <v>58.717051282117573</v>
      </c>
      <c r="P10" s="16">
        <v>61.996558915625187</v>
      </c>
      <c r="Q10" s="16">
        <v>64.629912117826407</v>
      </c>
      <c r="R10" s="16">
        <v>66.795905676105463</v>
      </c>
      <c r="S10" s="16">
        <v>68.607758251468866</v>
      </c>
      <c r="T10" s="16">
        <v>70.141943353911245</v>
      </c>
      <c r="U10" s="16">
        <v>71.452603087500805</v>
      </c>
      <c r="V10" s="16">
        <v>72.579468882919983</v>
      </c>
      <c r="W10" s="16">
        <v>73.552532961381814</v>
      </c>
      <c r="X10" s="16">
        <v>74.394959022658199</v>
      </c>
      <c r="Y10" s="16">
        <v>75.124977304376429</v>
      </c>
      <c r="Z10" s="16">
        <v>75.757163581942649</v>
      </c>
      <c r="AA10" s="16">
        <v>76.303328659565551</v>
      </c>
      <c r="AB10" s="16">
        <v>76.773152877616823</v>
      </c>
      <c r="AC10" s="16">
        <v>77.174648687453171</v>
      </c>
      <c r="AD10" s="16">
        <v>77.514504299534281</v>
      </c>
      <c r="AE10" s="16">
        <v>77.798343220577351</v>
      </c>
      <c r="AF10" s="16">
        <v>78.030923128120037</v>
      </c>
      <c r="AG10" s="16">
        <v>78.216290227163412</v>
      </c>
      <c r="AH10" s="16">
        <v>78.35790042430466</v>
      </c>
      <c r="AI10" s="16">
        <v>78.458715418106365</v>
      </c>
      <c r="AJ10" s="16">
        <v>78.521279583086255</v>
      </c>
      <c r="AK10" s="16">
        <v>78.547781972977816</v>
      </c>
    </row>
    <row r="11" spans="1:37" ht="13">
      <c r="L11" s="26">
        <f t="shared" si="1"/>
        <v>16.25</v>
      </c>
      <c r="M11" s="16">
        <v>46.753431436813351</v>
      </c>
      <c r="N11" s="16">
        <v>52.976530710243473</v>
      </c>
      <c r="O11" s="16">
        <v>57.42913718329882</v>
      </c>
      <c r="P11" s="16">
        <v>60.845202366630794</v>
      </c>
      <c r="Q11" s="16">
        <v>63.57282647333399</v>
      </c>
      <c r="R11" s="16">
        <v>65.807818780761679</v>
      </c>
      <c r="S11" s="16">
        <v>67.672259008145559</v>
      </c>
      <c r="T11" s="16">
        <v>69.247716834465351</v>
      </c>
      <c r="U11" s="16">
        <v>70.591484470044335</v>
      </c>
      <c r="V11" s="16">
        <v>71.745350405698147</v>
      </c>
      <c r="W11" s="16">
        <v>72.74070943518916</v>
      </c>
      <c r="X11" s="16">
        <v>73.601715472832623</v>
      </c>
      <c r="Y11" s="16">
        <v>74.347318138167267</v>
      </c>
      <c r="Z11" s="16">
        <v>74.992628435437965</v>
      </c>
      <c r="AA11" s="16">
        <v>75.549863445612402</v>
      </c>
      <c r="AB11" s="16">
        <v>76.029017170296413</v>
      </c>
      <c r="AC11" s="16">
        <v>76.438347714062289</v>
      </c>
      <c r="AD11" s="16">
        <v>76.784738011877124</v>
      </c>
      <c r="AE11" s="16">
        <v>77.073967477571244</v>
      </c>
      <c r="AF11" s="16">
        <v>77.310919629882093</v>
      </c>
      <c r="AG11" s="16">
        <v>77.499742878147615</v>
      </c>
      <c r="AH11" s="16">
        <v>77.643976488257579</v>
      </c>
      <c r="AI11" s="16">
        <v>77.746650289804137</v>
      </c>
      <c r="AJ11" s="16">
        <v>77.810364319505368</v>
      </c>
      <c r="AK11" s="16">
        <v>77.837352948618062</v>
      </c>
    </row>
    <row r="12" spans="1:37" ht="13">
      <c r="L12" s="26">
        <f t="shared" si="1"/>
        <v>16.666666666666668</v>
      </c>
      <c r="M12" s="16">
        <v>44.770026876604895</v>
      </c>
      <c r="N12" s="16">
        <v>51.452944157010009</v>
      </c>
      <c r="O12" s="16">
        <v>56.140893504822579</v>
      </c>
      <c r="P12" s="16">
        <v>59.701748498911478</v>
      </c>
      <c r="Q12" s="16">
        <v>62.527867503458999</v>
      </c>
      <c r="R12" s="16">
        <v>64.834242363538294</v>
      </c>
      <c r="S12" s="16">
        <v>66.752704444454793</v>
      </c>
      <c r="T12" s="16">
        <v>68.37033745816403</v>
      </c>
      <c r="U12" s="16">
        <v>69.747799351824952</v>
      </c>
      <c r="V12" s="16">
        <v>70.929055192309534</v>
      </c>
      <c r="W12" s="16">
        <v>71.946972373868249</v>
      </c>
      <c r="X12" s="16">
        <v>72.82673791375737</v>
      </c>
      <c r="Y12" s="16">
        <v>73.588048039558345</v>
      </c>
      <c r="Z12" s="16">
        <v>74.246566783101443</v>
      </c>
      <c r="AA12" s="16">
        <v>74.814929422123583</v>
      </c>
      <c r="AB12" s="16">
        <v>75.303451761393703</v>
      </c>
      <c r="AC12" s="16">
        <v>75.720643208390825</v>
      </c>
      <c r="AD12" s="16">
        <v>76.073585390119078</v>
      </c>
      <c r="AE12" s="16">
        <v>76.368216436091984</v>
      </c>
      <c r="AF12" s="16">
        <v>76.609547701125891</v>
      </c>
      <c r="AG12" s="16">
        <v>76.801831212178925</v>
      </c>
      <c r="AH12" s="16">
        <v>76.948690584584369</v>
      </c>
      <c r="AI12" s="16">
        <v>77.053224455537233</v>
      </c>
      <c r="AJ12" s="16">
        <v>77.118088963380103</v>
      </c>
      <c r="AK12" s="16">
        <v>77.145564052734002</v>
      </c>
    </row>
    <row r="13" spans="1:37" ht="13">
      <c r="L13" s="26">
        <f t="shared" si="1"/>
        <v>17.083333333333336</v>
      </c>
      <c r="M13" s="16">
        <v>42.697529828792682</v>
      </c>
      <c r="N13" s="16">
        <v>49.909534651345702</v>
      </c>
      <c r="O13" s="16">
        <v>54.853693264476256</v>
      </c>
      <c r="P13" s="16">
        <v>58.56802181265823</v>
      </c>
      <c r="Q13" s="16">
        <v>61.496906382593686</v>
      </c>
      <c r="R13" s="16">
        <v>63.876985912681491</v>
      </c>
      <c r="S13" s="16">
        <v>65.850816945258387</v>
      </c>
      <c r="T13" s="16">
        <v>67.511440723772793</v>
      </c>
      <c r="U13" s="16">
        <v>68.92310434179025</v>
      </c>
      <c r="V13" s="16">
        <v>70.132070710080001</v>
      </c>
      <c r="W13" s="16">
        <v>71.172749541834392</v>
      </c>
      <c r="X13" s="16">
        <v>72.071402897446362</v>
      </c>
      <c r="Y13" s="16">
        <v>72.848499775235027</v>
      </c>
      <c r="Z13" s="16">
        <v>73.520274040945807</v>
      </c>
      <c r="AA13" s="16">
        <v>74.099790223661259</v>
      </c>
      <c r="AB13" s="16">
        <v>74.597693340750084</v>
      </c>
      <c r="AC13" s="16">
        <v>75.022749140824203</v>
      </c>
      <c r="AD13" s="16">
        <v>75.382241403172571</v>
      </c>
      <c r="AE13" s="16">
        <v>75.682269361749363</v>
      </c>
      <c r="AF13" s="16">
        <v>75.927973855171942</v>
      </c>
      <c r="AG13" s="16">
        <v>76.123711654306732</v>
      </c>
      <c r="AH13" s="16">
        <v>76.273191476963191</v>
      </c>
      <c r="AI13" s="16">
        <v>76.379581248904827</v>
      </c>
      <c r="AJ13" s="16">
        <v>76.445593488659185</v>
      </c>
      <c r="AK13" s="16">
        <v>76.47355383847038</v>
      </c>
    </row>
    <row r="14" spans="1:37" ht="13">
      <c r="L14" s="26">
        <f t="shared" si="1"/>
        <v>17.500000000000004</v>
      </c>
      <c r="M14" s="16">
        <v>40.517310357251688</v>
      </c>
      <c r="N14" s="16">
        <v>48.345468520450929</v>
      </c>
      <c r="O14" s="16">
        <v>53.569178772844047</v>
      </c>
      <c r="P14" s="16">
        <v>57.446091314495696</v>
      </c>
      <c r="Q14" s="16">
        <v>60.48201030131947</v>
      </c>
      <c r="R14" s="16">
        <v>62.938015422622776</v>
      </c>
      <c r="S14" s="16">
        <v>64.968446082247169</v>
      </c>
      <c r="T14" s="16">
        <v>66.67276771007468</v>
      </c>
      <c r="U14" s="16">
        <v>68.119045500589849</v>
      </c>
      <c r="V14" s="16">
        <v>69.355961631929546</v>
      </c>
      <c r="W14" s="16">
        <v>70.419536454190407</v>
      </c>
      <c r="X14" s="16">
        <v>71.337147317775461</v>
      </c>
      <c r="Y14" s="16">
        <v>72.130060575550601</v>
      </c>
      <c r="Z14" s="16">
        <v>72.815095378437306</v>
      </c>
      <c r="AA14" s="16">
        <v>73.40575543635623</v>
      </c>
      <c r="AB14" s="16">
        <v>73.913021467203265</v>
      </c>
      <c r="AC14" s="16">
        <v>74.345919847793652</v>
      </c>
      <c r="AD14" s="16">
        <v>74.711939358056043</v>
      </c>
      <c r="AE14" s="16">
        <v>75.017342226111467</v>
      </c>
      <c r="AF14" s="16">
        <v>75.267400014424652</v>
      </c>
      <c r="AG14" s="16">
        <v>75.466575030549748</v>
      </c>
      <c r="AH14" s="16">
        <v>75.618661574838953</v>
      </c>
      <c r="AI14" s="16">
        <v>75.726897119396952</v>
      </c>
      <c r="AJ14" s="16">
        <v>75.794050659563183</v>
      </c>
      <c r="AK14" s="16">
        <v>75.82249351204743</v>
      </c>
    </row>
    <row r="15" spans="1:37" ht="13">
      <c r="L15" s="26">
        <f t="shared" si="1"/>
        <v>17.916666666666671</v>
      </c>
      <c r="M15" s="16">
        <v>38.203467290274752</v>
      </c>
      <c r="N15" s="16">
        <v>46.759890982649523</v>
      </c>
      <c r="O15" s="16">
        <v>52.289310845654249</v>
      </c>
      <c r="P15" s="16">
        <v>56.338298323376179</v>
      </c>
      <c r="Q15" s="16">
        <v>59.48545653066224</v>
      </c>
      <c r="R15" s="16">
        <v>62.019459934176481</v>
      </c>
      <c r="S15" s="16">
        <v>64.107570970719351</v>
      </c>
      <c r="T15" s="16">
        <v>65.856165020647325</v>
      </c>
      <c r="U15" s="16">
        <v>67.337356845866367</v>
      </c>
      <c r="V15" s="16">
        <v>68.60236745793884</v>
      </c>
      <c r="W15" s="16">
        <v>69.688893443977278</v>
      </c>
      <c r="X15" s="16">
        <v>70.62546512480175</v>
      </c>
      <c r="Y15" s="16">
        <v>71.434168622175662</v>
      </c>
      <c r="Z15" s="16">
        <v>72.132422060211709</v>
      </c>
      <c r="AA15" s="16">
        <v>72.734176846059924</v>
      </c>
      <c r="AB15" s="16">
        <v>73.250754757444213</v>
      </c>
      <c r="AC15" s="16">
        <v>73.691446183827352</v>
      </c>
      <c r="AD15" s="16">
        <v>74.063947029837578</v>
      </c>
      <c r="AE15" s="16">
        <v>74.374683824024146</v>
      </c>
      <c r="AF15" s="16">
        <v>74.629059621034358</v>
      </c>
      <c r="AG15" s="16">
        <v>74.831642675492077</v>
      </c>
      <c r="AH15" s="16">
        <v>74.986313039953004</v>
      </c>
      <c r="AI15" s="16">
        <v>75.096377738814084</v>
      </c>
      <c r="AJ15" s="16">
        <v>75.164662137199841</v>
      </c>
      <c r="AK15" s="16">
        <v>75.193583039519368</v>
      </c>
    </row>
    <row r="16" spans="1:37" ht="13">
      <c r="L16" s="26">
        <f t="shared" si="1"/>
        <v>18.333333333333339</v>
      </c>
      <c r="M16" s="16">
        <v>35.718324676033653</v>
      </c>
      <c r="N16" s="16">
        <v>45.151940279326546</v>
      </c>
      <c r="O16" s="16">
        <v>51.016426303018861</v>
      </c>
      <c r="P16" s="16">
        <v>55.247285504527966</v>
      </c>
      <c r="Q16" s="16">
        <v>58.509745357236632</v>
      </c>
      <c r="R16" s="16">
        <v>61.12361629575804</v>
      </c>
      <c r="S16" s="16">
        <v>63.270300757314402</v>
      </c>
      <c r="T16" s="16">
        <v>65.063582946824766</v>
      </c>
      <c r="U16" s="16">
        <v>66.579857209580169</v>
      </c>
      <c r="V16" s="16">
        <v>67.872998624331643</v>
      </c>
      <c r="W16" s="16">
        <v>68.982441339142582</v>
      </c>
      <c r="X16" s="16">
        <v>69.937902754527357</v>
      </c>
      <c r="Y16" s="16">
        <v>70.762308340826507</v>
      </c>
      <c r="Z16" s="16">
        <v>71.473686668152695</v>
      </c>
      <c r="AA16" s="16">
        <v>72.086443629760495</v>
      </c>
      <c r="AB16" s="16">
        <v>72.612246070484403</v>
      </c>
      <c r="AC16" s="16">
        <v>73.060650712572041</v>
      </c>
      <c r="AD16" s="16">
        <v>73.439561866227962</v>
      </c>
      <c r="AE16" s="16">
        <v>73.755570994643577</v>
      </c>
      <c r="AF16" s="16">
        <v>74.014212874583009</v>
      </c>
      <c r="AG16" s="16">
        <v>74.220161685154437</v>
      </c>
      <c r="AH16" s="16">
        <v>74.377383051894981</v>
      </c>
      <c r="AI16" s="16">
        <v>74.489253276391509</v>
      </c>
      <c r="AJ16" s="16">
        <v>74.558653760850078</v>
      </c>
      <c r="AK16" s="16">
        <v>74.588046430720198</v>
      </c>
    </row>
    <row r="17" spans="12:37" ht="13">
      <c r="L17" s="26">
        <f t="shared" si="1"/>
        <v>18.750000000000007</v>
      </c>
      <c r="M17" s="16">
        <v>33.003695698089544</v>
      </c>
      <c r="N17" s="16">
        <v>43.520770399498858</v>
      </c>
      <c r="O17" s="16">
        <v>49.753304577039131</v>
      </c>
      <c r="P17" s="16">
        <v>54.176026309735306</v>
      </c>
      <c r="Q17" s="16">
        <v>57.557611036662372</v>
      </c>
      <c r="R17" s="16">
        <v>60.252951482606022</v>
      </c>
      <c r="S17" s="16">
        <v>62.458872744976411</v>
      </c>
      <c r="T17" s="16">
        <v>64.297071478959211</v>
      </c>
      <c r="U17" s="16">
        <v>65.848445164903595</v>
      </c>
      <c r="V17" s="16">
        <v>67.169630879330597</v>
      </c>
      <c r="W17" s="16">
        <v>68.301855573203426</v>
      </c>
      <c r="X17" s="16">
        <v>69.276053130663257</v>
      </c>
      <c r="Y17" s="16">
        <v>70.116004379879854</v>
      </c>
      <c r="Z17" s="16">
        <v>70.840357102974068</v>
      </c>
      <c r="AA17" s="16">
        <v>71.463976403446793</v>
      </c>
      <c r="AB17" s="16">
        <v>71.998876611781313</v>
      </c>
      <c r="AC17" s="16">
        <v>72.45488186929731</v>
      </c>
      <c r="AD17" s="16">
        <v>72.840105205950834</v>
      </c>
      <c r="AE17" s="16">
        <v>73.161302890471902</v>
      </c>
      <c r="AF17" s="16">
        <v>73.424141045080404</v>
      </c>
      <c r="AG17" s="16">
        <v>73.633399266468345</v>
      </c>
      <c r="AH17" s="16">
        <v>73.793128186244331</v>
      </c>
      <c r="AI17" s="16">
        <v>73.906772797748616</v>
      </c>
      <c r="AJ17" s="16">
        <v>73.977269959989897</v>
      </c>
      <c r="AK17" s="16">
        <v>74.0071261568594</v>
      </c>
    </row>
    <row r="18" spans="12:37" ht="13">
      <c r="L18" s="26">
        <f t="shared" si="1"/>
        <v>19.166666666666675</v>
      </c>
      <c r="M18" s="16">
        <v>29.961875772390712</v>
      </c>
      <c r="N18" s="16">
        <v>41.865586889178189</v>
      </c>
      <c r="O18" s="16">
        <v>48.503243946735424</v>
      </c>
      <c r="P18" s="16">
        <v>53.127853587004395</v>
      </c>
      <c r="Q18" s="16">
        <v>56.632029690559527</v>
      </c>
      <c r="R18" s="16">
        <v>59.410101705088216</v>
      </c>
      <c r="S18" s="16">
        <v>61.67564761471732</v>
      </c>
      <c r="T18" s="16">
        <v>63.558773779459223</v>
      </c>
      <c r="U18" s="16">
        <v>65.145091739184352</v>
      </c>
      <c r="V18" s="16">
        <v>66.494097712566813</v>
      </c>
      <c r="W18" s="16">
        <v>67.64885856521073</v>
      </c>
      <c r="X18" s="16">
        <v>68.641548108905397</v>
      </c>
      <c r="Y18" s="16">
        <v>69.496814170821921</v>
      </c>
      <c r="Z18" s="16">
        <v>70.233929280132784</v>
      </c>
      <c r="AA18" s="16">
        <v>70.868220055476328</v>
      </c>
      <c r="AB18" s="16">
        <v>71.412048896935417</v>
      </c>
      <c r="AC18" s="16">
        <v>71.875507043152808</v>
      </c>
      <c r="AD18" s="16">
        <v>72.266915465623768</v>
      </c>
      <c r="AE18" s="16">
        <v>72.593194254128505</v>
      </c>
      <c r="AF18" s="16">
        <v>72.860139824844168</v>
      </c>
      <c r="AG18" s="16">
        <v>73.072636149831368</v>
      </c>
      <c r="AH18" s="16">
        <v>73.234817873908938</v>
      </c>
      <c r="AI18" s="16">
        <v>73.350197757739352</v>
      </c>
      <c r="AJ18" s="16">
        <v>73.421767268018087</v>
      </c>
      <c r="AK18" s="16">
        <v>73.452076673110867</v>
      </c>
    </row>
    <row r="19" spans="12:37" ht="13">
      <c r="L19" s="26">
        <f t="shared" si="1"/>
        <v>19.583333333333343</v>
      </c>
      <c r="M19" s="16">
        <v>26.406698468880546</v>
      </c>
      <c r="N19" s="16">
        <v>40.18570272080197</v>
      </c>
      <c r="O19" s="16">
        <v>47.270147325195886</v>
      </c>
      <c r="P19" s="16">
        <v>52.106485596032392</v>
      </c>
      <c r="Q19" s="16">
        <v>55.736222834601023</v>
      </c>
      <c r="R19" s="16">
        <v>58.59786744262022</v>
      </c>
      <c r="S19" s="16">
        <v>60.923101174018271</v>
      </c>
      <c r="T19" s="16">
        <v>62.850916730954289</v>
      </c>
      <c r="U19" s="16">
        <v>64.471830643042082</v>
      </c>
      <c r="V19" s="16">
        <v>65.848280644532593</v>
      </c>
      <c r="W19" s="16">
        <v>67.025210227086248</v>
      </c>
      <c r="X19" s="16">
        <v>68.036049257595081</v>
      </c>
      <c r="Y19" s="16">
        <v>68.906318989869717</v>
      </c>
      <c r="Z19" s="16">
        <v>69.655918457912534</v>
      </c>
      <c r="AA19" s="16">
        <v>70.300635316970585</v>
      </c>
      <c r="AB19" s="16">
        <v>70.853178536746881</v>
      </c>
      <c r="AC19" s="16">
        <v>71.32390454874951</v>
      </c>
      <c r="AD19" s="16">
        <v>71.721340270660789</v>
      </c>
      <c r="AE19" s="16">
        <v>72.05256768290775</v>
      </c>
      <c r="AF19" s="16">
        <v>72.323511702768485</v>
      </c>
      <c r="AG19" s="16">
        <v>72.539159050838606</v>
      </c>
      <c r="AH19" s="16">
        <v>72.703726929641761</v>
      </c>
      <c r="AI19" s="16">
        <v>72.820794576480992</v>
      </c>
      <c r="AJ19" s="16">
        <v>72.893406927751087</v>
      </c>
      <c r="AK19" s="16">
        <v>72.924157036584603</v>
      </c>
    </row>
    <row r="20" spans="12:37" ht="13">
      <c r="L20" s="26">
        <f t="shared" si="1"/>
        <v>20.000000000000011</v>
      </c>
      <c r="M20" s="16">
        <v>21.896725962016845</v>
      </c>
      <c r="N20" s="16">
        <v>38.480625186040868</v>
      </c>
      <c r="O20" s="16">
        <v>46.058616489708974</v>
      </c>
      <c r="P20" s="16">
        <v>51.116047026283439</v>
      </c>
      <c r="Q20" s="16">
        <v>54.873654989311483</v>
      </c>
      <c r="R20" s="16">
        <v>57.819203470632274</v>
      </c>
      <c r="S20" s="16">
        <v>60.203812058319564</v>
      </c>
      <c r="T20" s="16">
        <v>62.175798195427568</v>
      </c>
      <c r="U20" s="16">
        <v>63.830745777855505</v>
      </c>
      <c r="V20" s="16">
        <v>65.234097217685701</v>
      </c>
      <c r="W20" s="16">
        <v>66.432696491585062</v>
      </c>
      <c r="X20" s="16">
        <v>67.461236902718383</v>
      </c>
      <c r="Y20" s="16">
        <v>68.34611347268887</v>
      </c>
      <c r="Z20" s="16">
        <v>69.107849166552072</v>
      </c>
      <c r="AA20" s="16">
        <v>69.762689050335226</v>
      </c>
      <c r="AB20" s="16">
        <v>70.323684833687381</v>
      </c>
      <c r="AC20" s="16">
        <v>70.801454483766705</v>
      </c>
      <c r="AD20" s="16">
        <v>71.204727531871654</v>
      </c>
      <c r="AE20" s="16">
        <v>71.540744886533787</v>
      </c>
      <c r="AF20" s="16">
        <v>71.815557369189577</v>
      </c>
      <c r="AG20" s="16">
        <v>72.03425219146888</v>
      </c>
      <c r="AH20" s="16">
        <v>72.201127161505482</v>
      </c>
      <c r="AI20" s="16">
        <v>72.319826311346333</v>
      </c>
      <c r="AJ20" s="16">
        <v>72.393446602082108</v>
      </c>
      <c r="AK20" s="16">
        <v>72.424622633333357</v>
      </c>
    </row>
    <row r="21" spans="12:37" ht="13">
      <c r="L21" s="26">
        <f t="shared" si="1"/>
        <v>20.416666666666679</v>
      </c>
      <c r="M21" s="16">
        <v>14.662356608234131</v>
      </c>
      <c r="N21" s="16">
        <v>36.750191266535388</v>
      </c>
      <c r="O21" s="16">
        <v>44.874051979074544</v>
      </c>
      <c r="P21" s="16">
        <v>50.161081879567071</v>
      </c>
      <c r="Q21" s="16">
        <v>54.048023619784836</v>
      </c>
      <c r="R21" s="16">
        <v>57.077202922603732</v>
      </c>
      <c r="S21" s="16">
        <v>59.520444845764317</v>
      </c>
      <c r="T21" s="16">
        <v>61.535770671636435</v>
      </c>
      <c r="U21" s="16">
        <v>63.223955838572955</v>
      </c>
      <c r="V21" s="16">
        <v>64.65348658361296</v>
      </c>
      <c r="W21" s="16">
        <v>65.873115803510856</v>
      </c>
      <c r="X21" s="16">
        <v>66.91879741092913</v>
      </c>
      <c r="Y21" s="16">
        <v>67.817793576480227</v>
      </c>
      <c r="Z21" s="16">
        <v>68.591243746671125</v>
      </c>
      <c r="AA21" s="16">
        <v>69.25584327384496</v>
      </c>
      <c r="AB21" s="16">
        <v>69.824980214551246</v>
      </c>
      <c r="AC21" s="16">
        <v>70.309528502220545</v>
      </c>
      <c r="AD21" s="16">
        <v>70.718415500904555</v>
      </c>
      <c r="AE21" s="16">
        <v>71.059036973803359</v>
      </c>
      <c r="AF21" s="16">
        <v>71.337566188882988</v>
      </c>
      <c r="AG21" s="16">
        <v>71.559187919585639</v>
      </c>
      <c r="AH21" s="16">
        <v>71.728278101075844</v>
      </c>
      <c r="AI21" s="16">
        <v>71.848543465331588</v>
      </c>
      <c r="AJ21" s="16">
        <v>71.923131230585412</v>
      </c>
      <c r="AK21" s="16">
        <v>71.954716055327125</v>
      </c>
    </row>
    <row r="22" spans="12:37" ht="13">
      <c r="L22" s="26">
        <f t="shared" si="1"/>
        <v>20.833333333333346</v>
      </c>
      <c r="M22" s="16">
        <v>-15.362920920872019</v>
      </c>
      <c r="N22" s="16">
        <v>34.994779638041045</v>
      </c>
      <c r="O22" s="16">
        <v>43.722753358333719</v>
      </c>
      <c r="P22" s="16">
        <v>49.246554297940122</v>
      </c>
      <c r="Q22" s="16">
        <v>53.263239515718439</v>
      </c>
      <c r="R22" s="16">
        <v>56.37507446923847</v>
      </c>
      <c r="S22" s="16">
        <v>58.875728127510015</v>
      </c>
      <c r="T22" s="16">
        <v>60.933221124572526</v>
      </c>
      <c r="U22" s="16">
        <v>62.653595909095728</v>
      </c>
      <c r="V22" s="16">
        <v>64.10839265278112</v>
      </c>
      <c r="W22" s="16">
        <v>65.34826358116166</v>
      </c>
      <c r="X22" s="16">
        <v>66.410408741935839</v>
      </c>
      <c r="Y22" s="16">
        <v>67.322943035795774</v>
      </c>
      <c r="Z22" s="16">
        <v>68.107609552769304</v>
      </c>
      <c r="AA22" s="16">
        <v>68.781542984031958</v>
      </c>
      <c r="AB22" s="16">
        <v>69.358458564818775</v>
      </c>
      <c r="AC22" s="16">
        <v>69.849478571338807</v>
      </c>
      <c r="AD22" s="16">
        <v>70.263721873999856</v>
      </c>
      <c r="AE22" s="16">
        <v>70.608733838533681</v>
      </c>
      <c r="AF22" s="16">
        <v>70.89080581319071</v>
      </c>
      <c r="AG22" s="16">
        <v>71.115216498097439</v>
      </c>
      <c r="AH22" s="16">
        <v>71.286416925928009</v>
      </c>
      <c r="AI22" s="16">
        <v>71.408174003454278</v>
      </c>
      <c r="AJ22" s="16">
        <v>71.483683103775462</v>
      </c>
      <c r="AK22" s="16">
        <v>71.515657199126281</v>
      </c>
    </row>
    <row r="23" spans="12:37" ht="13">
      <c r="L23" s="26">
        <f t="shared" si="1"/>
        <v>21.250000000000014</v>
      </c>
      <c r="M23" s="16">
        <v>-21.425658134564024</v>
      </c>
      <c r="N23" s="16">
        <v>33.215645295553472</v>
      </c>
      <c r="O23" s="16">
        <v>42.612010953214167</v>
      </c>
      <c r="P23" s="16">
        <v>48.37783268549191</v>
      </c>
      <c r="Q23" s="16">
        <v>52.523395712054608</v>
      </c>
      <c r="R23" s="16">
        <v>55.716111826161374</v>
      </c>
      <c r="S23" s="16">
        <v>58.27242721706105</v>
      </c>
      <c r="T23" s="16">
        <v>60.370546886692601</v>
      </c>
      <c r="U23" s="16">
        <v>62.121796055240161</v>
      </c>
      <c r="V23" s="16">
        <v>63.600744865275573</v>
      </c>
      <c r="W23" s="16">
        <v>64.859914734053959</v>
      </c>
      <c r="X23" s="16">
        <v>65.937724370570777</v>
      </c>
      <c r="Y23" s="16">
        <v>66.863118419492849</v>
      </c>
      <c r="Z23" s="16">
        <v>67.658424932372029</v>
      </c>
      <c r="AA23" s="16">
        <v>68.341202887463993</v>
      </c>
      <c r="AB23" s="16">
        <v>68.925482576173508</v>
      </c>
      <c r="AC23" s="16">
        <v>69.422624822753136</v>
      </c>
      <c r="AD23" s="16">
        <v>69.841932053784234</v>
      </c>
      <c r="AE23" s="16">
        <v>70.191092753507448</v>
      </c>
      <c r="AF23" s="16">
        <v>70.476511038991092</v>
      </c>
      <c r="AG23" s="16">
        <v>70.703555170636761</v>
      </c>
      <c r="AH23" s="16">
        <v>70.876747680573033</v>
      </c>
      <c r="AI23" s="16">
        <v>70.999912682835642</v>
      </c>
      <c r="AJ23" s="16">
        <v>71.076291260349521</v>
      </c>
      <c r="AK23" s="16">
        <v>71.108632691441443</v>
      </c>
    </row>
    <row r="24" spans="12:37" ht="13">
      <c r="L24" s="26">
        <f t="shared" si="1"/>
        <v>21.666666666666682</v>
      </c>
      <c r="M24" s="16">
        <v>-24.920757491473307</v>
      </c>
      <c r="N24" s="16">
        <v>31.415452697881829</v>
      </c>
      <c r="O24" s="16">
        <v>41.550175370507041</v>
      </c>
      <c r="P24" s="16">
        <v>47.560651943466837</v>
      </c>
      <c r="Q24" s="16">
        <v>51.832723225812373</v>
      </c>
      <c r="R24" s="16">
        <v>55.103655042890068</v>
      </c>
      <c r="S24" s="16">
        <v>57.713311390046073</v>
      </c>
      <c r="T24" s="16">
        <v>59.850127698211821</v>
      </c>
      <c r="U24" s="16">
        <v>61.630657055173813</v>
      </c>
      <c r="V24" s="16">
        <v>63.132436751297405</v>
      </c>
      <c r="W24" s="16">
        <v>64.40980441514867</v>
      </c>
      <c r="X24" s="16">
        <v>65.502355757438878</v>
      </c>
      <c r="Y24" s="16">
        <v>66.439832964530638</v>
      </c>
      <c r="Z24" s="16">
        <v>67.245124151810856</v>
      </c>
      <c r="AA24" s="16">
        <v>67.93619320780266</v>
      </c>
      <c r="AB24" s="16">
        <v>68.527370268140402</v>
      </c>
      <c r="AC24" s="16">
        <v>69.03024265448704</v>
      </c>
      <c r="AD24" s="16">
        <v>69.45428672163672</v>
      </c>
      <c r="AE24" s="16">
        <v>69.80732632157607</v>
      </c>
      <c r="AF24" s="16">
        <v>70.095872060876161</v>
      </c>
      <c r="AG24" s="16">
        <v>70.325376647876595</v>
      </c>
      <c r="AH24" s="16">
        <v>70.500429938241396</v>
      </c>
      <c r="AI24" s="16">
        <v>70.624909837636054</v>
      </c>
      <c r="AJ24" s="16">
        <v>70.702100347819226</v>
      </c>
      <c r="AK24" s="16">
        <v>70.73478478166308</v>
      </c>
    </row>
    <row r="25" spans="12:37" ht="13">
      <c r="L25" s="26">
        <f t="shared" si="1"/>
        <v>22.08333333333335</v>
      </c>
      <c r="M25" s="16">
        <v>-27.390620628524648</v>
      </c>
      <c r="N25" s="16">
        <v>29.599133396092174</v>
      </c>
      <c r="O25" s="16">
        <v>40.546685309798526</v>
      </c>
      <c r="P25" s="16">
        <v>46.80104853230975</v>
      </c>
      <c r="Q25" s="16">
        <v>51.195532311838775</v>
      </c>
      <c r="R25" s="16">
        <v>54.541043396593366</v>
      </c>
      <c r="S25" s="16">
        <v>57.201115823354222</v>
      </c>
      <c r="T25" s="16">
        <v>59.374294161029574</v>
      </c>
      <c r="U25" s="16">
        <v>61.182223566070213</v>
      </c>
      <c r="V25" s="16">
        <v>62.705302575666053</v>
      </c>
      <c r="W25" s="16">
        <v>63.999607287836447</v>
      </c>
      <c r="X25" s="16">
        <v>65.105853632225703</v>
      </c>
      <c r="Y25" s="16">
        <v>66.054539435106037</v>
      </c>
      <c r="Z25" s="16">
        <v>66.869081503136499</v>
      </c>
      <c r="AA25" s="16">
        <v>67.567824790474589</v>
      </c>
      <c r="AB25" s="16">
        <v>68.165380895804432</v>
      </c>
      <c r="AC25" s="16">
        <v>68.673549286968111</v>
      </c>
      <c r="AD25" s="16">
        <v>69.101968916596448</v>
      </c>
      <c r="AE25" s="16">
        <v>69.458589973935759</v>
      </c>
      <c r="AF25" s="16">
        <v>69.750022301750477</v>
      </c>
      <c r="AG25" s="16">
        <v>69.981797195927925</v>
      </c>
      <c r="AH25" s="16">
        <v>70.158567082109613</v>
      </c>
      <c r="AI25" s="16">
        <v>70.284259795431296</v>
      </c>
      <c r="AJ25" s="16">
        <v>70.362199121880451</v>
      </c>
      <c r="AK25" s="16">
        <v>70.395199876186567</v>
      </c>
    </row>
    <row r="26" spans="12:37" ht="13">
      <c r="L26" s="26">
        <f t="shared" si="1"/>
        <v>22.500000000000018</v>
      </c>
      <c r="M26" s="16">
        <v>-29.261247873060448</v>
      </c>
      <c r="N26" s="16">
        <v>27.775276257205739</v>
      </c>
      <c r="O26" s="16">
        <v>39.612028049615866</v>
      </c>
      <c r="P26" s="16">
        <v>46.105263666670453</v>
      </c>
      <c r="Q26" s="16">
        <v>50.616138674686638</v>
      </c>
      <c r="R26" s="16">
        <v>54.031560220198649</v>
      </c>
      <c r="S26" s="16">
        <v>56.738498744408083</v>
      </c>
      <c r="T26" s="16">
        <v>58.945293120837135</v>
      </c>
      <c r="U26" s="16">
        <v>60.778455201888256</v>
      </c>
      <c r="V26" s="16">
        <v>62.321092495330191</v>
      </c>
      <c r="W26" s="16">
        <v>63.630915694807413</v>
      </c>
      <c r="X26" s="16">
        <v>64.749688441177739</v>
      </c>
      <c r="Y26" s="16">
        <v>65.708612329120626</v>
      </c>
      <c r="Z26" s="16">
        <v>66.531594889908391</v>
      </c>
      <c r="AA26" s="16">
        <v>67.23733378284868</v>
      </c>
      <c r="AB26" s="16">
        <v>67.840700505276232</v>
      </c>
      <c r="AC26" s="16">
        <v>68.35369002149838</v>
      </c>
      <c r="AD26" s="16">
        <v>68.786090858497502</v>
      </c>
      <c r="AE26" s="16">
        <v>69.145969244602014</v>
      </c>
      <c r="AF26" s="16">
        <v>69.440026043993555</v>
      </c>
      <c r="AG26" s="16">
        <v>69.673864543608971</v>
      </c>
      <c r="AH26" s="16">
        <v>69.852194418753726</v>
      </c>
      <c r="AI26" s="16">
        <v>69.97898913500174</v>
      </c>
      <c r="AJ26" s="16">
        <v>70.057608792765862</v>
      </c>
      <c r="AK26" s="16">
        <v>70.090896922049879</v>
      </c>
    </row>
    <row r="27" spans="12:37" ht="13">
      <c r="L27" s="26">
        <f t="shared" si="1"/>
        <v>22.916666666666686</v>
      </c>
      <c r="M27" s="16">
        <v>-30.719644923398665</v>
      </c>
      <c r="N27" s="16">
        <v>25.958385348135256</v>
      </c>
      <c r="O27" s="16">
        <v>38.757602155450975</v>
      </c>
      <c r="P27" s="16">
        <v>45.479611530087702</v>
      </c>
      <c r="Q27" s="16">
        <v>50.098775142733473</v>
      </c>
      <c r="R27" s="16">
        <v>53.578370623690319</v>
      </c>
      <c r="S27" s="16">
        <v>56.327994692209259</v>
      </c>
      <c r="T27" s="16">
        <v>58.565250751570552</v>
      </c>
      <c r="U27" s="16">
        <v>60.421196180226019</v>
      </c>
      <c r="V27" s="16">
        <v>61.98144679460367</v>
      </c>
      <c r="W27" s="16">
        <v>63.305217220880685</v>
      </c>
      <c r="X27" s="16">
        <v>64.435230394365846</v>
      </c>
      <c r="Y27" s="16">
        <v>65.403329823428592</v>
      </c>
      <c r="Z27" s="16">
        <v>66.233869248490791</v>
      </c>
      <c r="AA27" s="16">
        <v>66.945866218887389</v>
      </c>
      <c r="AB27" s="16">
        <v>67.554427443772454</v>
      </c>
      <c r="AC27" s="16">
        <v>68.071724490337814</v>
      </c>
      <c r="AD27" s="16">
        <v>68.50768079029946</v>
      </c>
      <c r="AE27" s="16">
        <v>68.870467084743865</v>
      </c>
      <c r="AF27" s="16">
        <v>69.16686611593596</v>
      </c>
      <c r="AG27" s="16">
        <v>69.402545856455077</v>
      </c>
      <c r="AH27" s="16">
        <v>69.58226736656934</v>
      </c>
      <c r="AI27" s="16">
        <v>69.710045024690075</v>
      </c>
      <c r="AJ27" s="16">
        <v>69.78927145553962</v>
      </c>
      <c r="AK27" s="16">
        <v>69.822815875918849</v>
      </c>
    </row>
    <row r="28" spans="12:37" ht="13">
      <c r="L28" s="26">
        <f t="shared" si="1"/>
        <v>23.333333333333353</v>
      </c>
      <c r="M28" s="16">
        <v>-31.865820381956734</v>
      </c>
      <c r="N28" s="16">
        <v>24.172506100954124</v>
      </c>
      <c r="O28" s="16">
        <v>37.995451143684569</v>
      </c>
      <c r="P28" s="16">
        <v>44.930312189973748</v>
      </c>
      <c r="Q28" s="16">
        <v>49.647490690682197</v>
      </c>
      <c r="R28" s="16">
        <v>53.184453784092192</v>
      </c>
      <c r="S28" s="16">
        <v>55.971965204552163</v>
      </c>
      <c r="T28" s="16">
        <v>58.23613437631564</v>
      </c>
      <c r="U28" s="16">
        <v>60.112144372113683</v>
      </c>
      <c r="V28" s="16">
        <v>61.687869888997739</v>
      </c>
      <c r="W28" s="16">
        <v>63.023872236732338</v>
      </c>
      <c r="X28" s="16">
        <v>64.163729622544167</v>
      </c>
      <c r="Y28" s="16">
        <v>65.139855909325945</v>
      </c>
      <c r="Z28" s="16">
        <v>65.977000211432454</v>
      </c>
      <c r="AA28" s="16">
        <v>66.694462879861817</v>
      </c>
      <c r="AB28" s="16">
        <v>67.307558168359222</v>
      </c>
      <c r="AC28" s="16">
        <v>67.828613220638687</v>
      </c>
      <c r="AD28" s="16">
        <v>68.267670144544212</v>
      </c>
      <c r="AE28" s="16">
        <v>68.63299150811855</v>
      </c>
      <c r="AF28" s="16">
        <v>68.931431914164037</v>
      </c>
      <c r="AG28" s="16">
        <v>69.168716049740738</v>
      </c>
      <c r="AH28" s="16">
        <v>69.34964998530883</v>
      </c>
      <c r="AI28" s="16">
        <v>69.478283903210581</v>
      </c>
      <c r="AJ28" s="16">
        <v>69.558038863605105</v>
      </c>
      <c r="AK28" s="16">
        <v>69.591806516593394</v>
      </c>
    </row>
    <row r="29" spans="12:37" ht="13">
      <c r="L29" s="26">
        <f t="shared" si="1"/>
        <v>23.750000000000021</v>
      </c>
      <c r="M29" s="16">
        <v>-32.759373235017129</v>
      </c>
      <c r="N29" s="16">
        <v>22.456821769638427</v>
      </c>
      <c r="O29" s="16">
        <v>37.337843763779226</v>
      </c>
      <c r="P29" s="16">
        <v>44.463292942443438</v>
      </c>
      <c r="Q29" s="16">
        <v>49.266040293516788</v>
      </c>
      <c r="R29" s="16">
        <v>52.852532220965408</v>
      </c>
      <c r="S29" s="16">
        <v>55.672548641986033</v>
      </c>
      <c r="T29" s="16">
        <v>57.959714294368581</v>
      </c>
      <c r="U29" s="16">
        <v>59.852820740640091</v>
      </c>
      <c r="V29" s="16">
        <v>61.441704893119798</v>
      </c>
      <c r="W29" s="16">
        <v>62.788092086238656</v>
      </c>
      <c r="X29" s="16">
        <v>63.936297010705886</v>
      </c>
      <c r="Y29" s="16">
        <v>64.919223214638876</v>
      </c>
      <c r="Z29" s="16">
        <v>65.761958455796844</v>
      </c>
      <c r="AA29" s="16">
        <v>66.484044832863233</v>
      </c>
      <c r="AB29" s="16">
        <v>67.100973723058559</v>
      </c>
      <c r="AC29" s="16">
        <v>67.625204856780627</v>
      </c>
      <c r="AD29" s="16">
        <v>68.066881358671878</v>
      </c>
      <c r="AE29" s="16">
        <v>68.434343876751115</v>
      </c>
      <c r="AF29" s="16">
        <v>68.734508058641097</v>
      </c>
      <c r="AG29" s="16">
        <v>68.973146728190258</v>
      </c>
      <c r="AH29" s="16">
        <v>69.155104127516353</v>
      </c>
      <c r="AI29" s="16">
        <v>69.28446077889312</v>
      </c>
      <c r="AJ29" s="16">
        <v>69.364661818478041</v>
      </c>
      <c r="AK29" s="16">
        <v>69.398617872855255</v>
      </c>
    </row>
    <row r="30" spans="12:37" ht="13">
      <c r="L30" s="26">
        <f t="shared" si="1"/>
        <v>24.166666666666689</v>
      </c>
      <c r="M30" s="16">
        <v>-33.438058060379511</v>
      </c>
      <c r="N30" s="16">
        <v>20.873423894368408</v>
      </c>
      <c r="O30" s="16">
        <v>36.796694916039904</v>
      </c>
      <c r="P30" s="16">
        <v>44.083966845984293</v>
      </c>
      <c r="Q30" s="16">
        <v>48.957770732869172</v>
      </c>
      <c r="R30" s="16">
        <v>52.585001152806264</v>
      </c>
      <c r="S30" s="16">
        <v>55.43161119156288</v>
      </c>
      <c r="T30" s="16">
        <v>57.737527067474815</v>
      </c>
      <c r="U30" s="16">
        <v>59.644540264507448</v>
      </c>
      <c r="V30" s="16">
        <v>61.244109618824524</v>
      </c>
      <c r="W30" s="16">
        <v>62.598918627896083</v>
      </c>
      <c r="X30" s="16">
        <v>63.753886309009189</v>
      </c>
      <c r="Y30" s="16">
        <v>64.742317033173507</v>
      </c>
      <c r="Z30" s="16">
        <v>65.58957519755711</v>
      </c>
      <c r="AA30" s="16">
        <v>66.315400062820245</v>
      </c>
      <c r="AB30" s="16">
        <v>66.935427264959927</v>
      </c>
      <c r="AC30" s="16">
        <v>67.462224394398675</v>
      </c>
      <c r="AD30" s="16">
        <v>67.906016671054786</v>
      </c>
      <c r="AE30" s="16">
        <v>68.275208141933106</v>
      </c>
      <c r="AF30" s="16">
        <v>68.576763982673711</v>
      </c>
      <c r="AG30" s="16">
        <v>68.816496044442516</v>
      </c>
      <c r="AH30" s="16">
        <v>68.999279496563133</v>
      </c>
      <c r="AI30" s="16">
        <v>69.129219426949177</v>
      </c>
      <c r="AJ30" s="16">
        <v>69.209780452289507</v>
      </c>
      <c r="AK30" s="16">
        <v>69.243888541811714</v>
      </c>
    </row>
    <row r="31" spans="12:37" ht="13">
      <c r="L31" s="26">
        <f t="shared" si="1"/>
        <v>24.583333333333357</v>
      </c>
      <c r="M31" s="16">
        <v>-33.926428649677305</v>
      </c>
      <c r="N31" s="16">
        <v>19.515314042232351</v>
      </c>
      <c r="O31" s="16">
        <v>36.382852450507606</v>
      </c>
      <c r="P31" s="16">
        <v>43.79700252757965</v>
      </c>
      <c r="Q31" s="16">
        <v>48.725508906163959</v>
      </c>
      <c r="R31" s="16">
        <v>52.383861542096945</v>
      </c>
      <c r="S31" s="16">
        <v>55.250701311833794</v>
      </c>
      <c r="T31" s="16">
        <v>57.570841821512332</v>
      </c>
      <c r="U31" s="16">
        <v>59.488385494029416</v>
      </c>
      <c r="V31" s="16">
        <v>61.09603489546781</v>
      </c>
      <c r="W31" s="16">
        <v>62.457205852661524</v>
      </c>
      <c r="X31" s="16">
        <v>63.617278125827482</v>
      </c>
      <c r="Y31" s="16">
        <v>64.609861081760044</v>
      </c>
      <c r="Z31" s="16">
        <v>65.460529289821608</v>
      </c>
      <c r="AA31" s="16">
        <v>66.189171608616775</v>
      </c>
      <c r="AB31" s="16">
        <v>66.811533013734604</v>
      </c>
      <c r="AC31" s="16">
        <v>67.34026277242107</v>
      </c>
      <c r="AD31" s="16">
        <v>67.785648222153242</v>
      </c>
      <c r="AE31" s="16">
        <v>68.156141347842691</v>
      </c>
      <c r="AF31" s="16">
        <v>68.458744751771988</v>
      </c>
      <c r="AG31" s="16">
        <v>68.699299760218722</v>
      </c>
      <c r="AH31" s="16">
        <v>68.88270488778052</v>
      </c>
      <c r="AI31" s="16">
        <v>69.013083756087838</v>
      </c>
      <c r="AJ31" s="16">
        <v>69.093915671193855</v>
      </c>
      <c r="AK31" s="16">
        <v>69.128138164586147</v>
      </c>
    </row>
    <row r="32" spans="12:37" ht="13">
      <c r="L32" s="26">
        <f t="shared" si="1"/>
        <v>25.000000000000025</v>
      </c>
      <c r="M32" s="16">
        <v>-34.240269647445906</v>
      </c>
      <c r="N32" s="16">
        <v>18.506797655880476</v>
      </c>
      <c r="O32" s="16">
        <v>36.105315447685058</v>
      </c>
      <c r="P32" s="16">
        <v>43.606103887065743</v>
      </c>
      <c r="Q32" s="16">
        <v>48.571460121309364</v>
      </c>
      <c r="R32" s="16">
        <v>52.250660679615798</v>
      </c>
      <c r="S32" s="16">
        <v>55.131009939305805</v>
      </c>
      <c r="T32" s="16">
        <v>57.460631119647424</v>
      </c>
      <c r="U32" s="16">
        <v>59.385183866324319</v>
      </c>
      <c r="V32" s="16">
        <v>60.998206076373663</v>
      </c>
      <c r="W32" s="16">
        <v>62.363604271007866</v>
      </c>
      <c r="X32" s="16">
        <v>63.527066378347349</v>
      </c>
      <c r="Y32" s="16">
        <v>64.522405476769677</v>
      </c>
      <c r="Z32" s="16">
        <v>65.375336355502526</v>
      </c>
      <c r="AA32" s="16">
        <v>66.105847587948261</v>
      </c>
      <c r="AB32" s="16">
        <v>66.729756974091742</v>
      </c>
      <c r="AC32" s="16">
        <v>67.259768145538573</v>
      </c>
      <c r="AD32" s="16">
        <v>67.706209762127116</v>
      </c>
      <c r="AE32" s="16">
        <v>68.077565682707942</v>
      </c>
      <c r="AF32" s="16">
        <v>68.380863383635415</v>
      </c>
      <c r="AG32" s="16">
        <v>68.62196377277013</v>
      </c>
      <c r="AH32" s="16">
        <v>68.805780868155082</v>
      </c>
      <c r="AI32" s="16">
        <v>68.936450595015856</v>
      </c>
      <c r="AJ32" s="16">
        <v>69.017462007210526</v>
      </c>
      <c r="AK32" s="16">
        <v>69.051760305624697</v>
      </c>
    </row>
    <row r="34" spans="2:4">
      <c r="B34" s="11"/>
      <c r="C34" s="11"/>
      <c r="D34" s="11"/>
    </row>
    <row r="35" spans="2:4">
      <c r="B35" s="11"/>
      <c r="C35" s="11"/>
      <c r="D35" s="11"/>
    </row>
    <row r="36" spans="2:4">
      <c r="C36" s="11"/>
      <c r="D36" s="11"/>
    </row>
    <row r="37" spans="2:4">
      <c r="C37" s="11"/>
      <c r="D37" s="11"/>
    </row>
    <row r="38" spans="2:4">
      <c r="C38" s="11"/>
      <c r="D38" s="11"/>
    </row>
    <row r="39" spans="2:4">
      <c r="C39" s="11"/>
      <c r="D39" s="11"/>
    </row>
  </sheetData>
  <phoneticPr fontId="4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Regressions</vt:lpstr>
      <vt:lpstr>Confidence intervals</vt:lpstr>
      <vt:lpstr>3D graph recovery</vt:lpstr>
      <vt:lpstr>'3D graph recovery'!Elevation</vt:lpstr>
      <vt:lpstr>'3D graph recovery'!Rotation</vt:lpstr>
      <vt:lpstr>'3D graph recovery'!x</vt:lpstr>
      <vt:lpstr>'3D graph recovery'!XMax</vt:lpstr>
      <vt:lpstr>'3D graph recovery'!XMin</vt:lpstr>
      <vt:lpstr>'3D graph recovery'!xStart</vt:lpstr>
      <vt:lpstr>'3D graph recovery'!xStep</vt:lpstr>
      <vt:lpstr>'3D graph recovery'!y</vt:lpstr>
      <vt:lpstr>'3D graph recovery'!yMax</vt:lpstr>
      <vt:lpstr>'3D graph recovery'!yMin</vt:lpstr>
      <vt:lpstr>'3D graph recovery'!yStart</vt:lpstr>
      <vt:lpstr>'3D graph recovery'!yStep</vt:lpstr>
      <vt:lpstr>'3D graph recovery'!z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TJNM</dc:creator>
  <cp:lastModifiedBy>Tim Napier-Munn</cp:lastModifiedBy>
  <dcterms:created xsi:type="dcterms:W3CDTF">2011-03-09T05:17:16Z</dcterms:created>
  <dcterms:modified xsi:type="dcterms:W3CDTF">2014-10-16T05:36:36Z</dcterms:modified>
</cp:coreProperties>
</file>