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91907\OneDrive\PhD Thesis\10 Toolbox\Stats Methods Excel-spreadsheets\"/>
    </mc:Choice>
  </mc:AlternateContent>
  <bookViews>
    <workbookView xWindow="0" yWindow="20" windowWidth="19070" windowHeight="8790" tabRatio="645" activeTab="1"/>
  </bookViews>
  <sheets>
    <sheet name="Ex.12.1" sheetId="4" r:id="rId1"/>
    <sheet name="Ex.12.2" sheetId="8" r:id="rId2"/>
    <sheet name="Ex.12.3" sheetId="5" r:id="rId3"/>
    <sheet name="Ex.12.4" sheetId="10" r:id="rId4"/>
    <sheet name="Ex.12.5" sheetId="11" r:id="rId5"/>
    <sheet name="Ex.12.6" sheetId="17" r:id="rId6"/>
    <sheet name="Ex.12.8" sheetId="20" r:id="rId7"/>
    <sheet name="Ex.12.9" sheetId="15" r:id="rId8"/>
  </sheets>
  <definedNames>
    <definedName name="KCGM" localSheetId="2">Ex.12.3!#REF!</definedName>
    <definedName name="KCGM2" localSheetId="2">Ex.12.3!$D$13:$I$18</definedName>
  </definedNames>
  <calcPr calcId="171027"/>
</workbook>
</file>

<file path=xl/calcChain.xml><?xml version="1.0" encoding="utf-8"?>
<calcChain xmlns="http://schemas.openxmlformats.org/spreadsheetml/2006/main">
  <c r="D5" i="8" l="1"/>
  <c r="E5" i="8"/>
  <c r="F5" i="8"/>
  <c r="G5" i="8"/>
  <c r="H5" i="8"/>
  <c r="I5" i="8"/>
  <c r="J5" i="8"/>
  <c r="K5" i="8"/>
  <c r="C5" i="8"/>
  <c r="T3" i="17" l="1"/>
  <c r="T15" i="17" s="1"/>
  <c r="T7" i="17"/>
  <c r="I4" i="15"/>
  <c r="D9" i="15"/>
  <c r="C9" i="15"/>
  <c r="S24" i="8"/>
  <c r="H3" i="20"/>
  <c r="H4" i="20" s="1"/>
  <c r="H5" i="20" s="1"/>
  <c r="H6" i="20" s="1"/>
  <c r="H7" i="20" s="1"/>
  <c r="H8" i="20" s="1"/>
  <c r="H9" i="20" s="1"/>
  <c r="H10" i="20" s="1"/>
  <c r="H11" i="20" s="1"/>
  <c r="H12" i="20" s="1"/>
  <c r="H13" i="20" s="1"/>
  <c r="G3" i="20"/>
  <c r="I3" i="20" s="1"/>
  <c r="J3" i="20" s="1"/>
  <c r="E4" i="20"/>
  <c r="E5" i="20" s="1"/>
  <c r="S11" i="17"/>
  <c r="T6" i="17"/>
  <c r="S12" i="17"/>
  <c r="S10" i="17"/>
  <c r="T5" i="17"/>
  <c r="T11" i="17" s="1"/>
  <c r="K4" i="11"/>
  <c r="K5" i="11"/>
  <c r="K6" i="11"/>
  <c r="K7" i="11"/>
  <c r="K8" i="11"/>
  <c r="K9" i="11"/>
  <c r="K10" i="11"/>
  <c r="K11" i="11"/>
  <c r="K12" i="11"/>
  <c r="K13" i="11"/>
  <c r="K14" i="11"/>
  <c r="E10" i="11"/>
  <c r="I13" i="11"/>
  <c r="J13" i="11"/>
  <c r="I14" i="11"/>
  <c r="J14" i="11"/>
  <c r="I3" i="11"/>
  <c r="E7" i="11"/>
  <c r="J4" i="11"/>
  <c r="J5" i="11"/>
  <c r="J6" i="11"/>
  <c r="J7" i="11"/>
  <c r="J8" i="11"/>
  <c r="J9" i="11"/>
  <c r="J10" i="11"/>
  <c r="J11" i="11"/>
  <c r="J12" i="11"/>
  <c r="J3" i="11"/>
  <c r="I4" i="11"/>
  <c r="I5" i="11"/>
  <c r="I6" i="11"/>
  <c r="I7" i="11"/>
  <c r="I8" i="11"/>
  <c r="I9" i="11"/>
  <c r="I10" i="11"/>
  <c r="I11" i="11"/>
  <c r="I12" i="11"/>
  <c r="D24" i="10"/>
  <c r="D19" i="10"/>
  <c r="E19" i="10"/>
  <c r="D20" i="10"/>
  <c r="E20" i="10"/>
  <c r="D21" i="10"/>
  <c r="E21" i="10"/>
  <c r="D11" i="10"/>
  <c r="E11" i="10"/>
  <c r="I6" i="10"/>
  <c r="I7" i="10"/>
  <c r="I5" i="10"/>
  <c r="D12" i="10"/>
  <c r="I8" i="10"/>
  <c r="H8" i="10"/>
  <c r="C4" i="8"/>
  <c r="D4" i="8"/>
  <c r="E4" i="8"/>
  <c r="F4" i="8"/>
  <c r="G4" i="8"/>
  <c r="H4" i="8"/>
  <c r="I4" i="8"/>
  <c r="J4" i="8"/>
  <c r="K4" i="8"/>
  <c r="P4" i="8"/>
  <c r="Q4" i="8"/>
  <c r="R4" i="8"/>
  <c r="S4" i="8"/>
  <c r="T4" i="8"/>
  <c r="U4" i="8"/>
  <c r="V4" i="8"/>
  <c r="W4" i="8"/>
  <c r="G15" i="5"/>
  <c r="G16" i="5"/>
  <c r="F24" i="5"/>
  <c r="H24" i="5" s="1"/>
  <c r="G17" i="5"/>
  <c r="F26" i="5" s="1"/>
  <c r="G14" i="5"/>
  <c r="F23" i="5"/>
  <c r="H23" i="5" s="1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D23" i="10" l="1"/>
  <c r="H5" i="10" s="1"/>
  <c r="J5" i="10" s="1"/>
  <c r="V11" i="17"/>
  <c r="G4" i="20"/>
  <c r="G5" i="20" s="1"/>
  <c r="G6" i="20" s="1"/>
  <c r="G7" i="20" s="1"/>
  <c r="G8" i="20" s="1"/>
  <c r="G9" i="20" s="1"/>
  <c r="G10" i="20" s="1"/>
  <c r="G11" i="20" s="1"/>
  <c r="G12" i="20" s="1"/>
  <c r="G13" i="20" s="1"/>
  <c r="H6" i="10"/>
  <c r="J6" i="10" s="1"/>
  <c r="K6" i="10" s="1"/>
  <c r="L6" i="10" s="1"/>
  <c r="H26" i="5"/>
  <c r="F25" i="5"/>
  <c r="K5" i="10"/>
  <c r="L5" i="10" s="1"/>
  <c r="E6" i="20"/>
  <c r="I5" i="20"/>
  <c r="J5" i="20" s="1"/>
  <c r="K5" i="20"/>
  <c r="H7" i="10"/>
  <c r="J7" i="10" s="1"/>
  <c r="H16" i="10" s="1"/>
  <c r="U11" i="17"/>
  <c r="T10" i="17"/>
  <c r="K3" i="20"/>
  <c r="T12" i="17"/>
  <c r="H14" i="10" l="1"/>
  <c r="I4" i="20"/>
  <c r="J16" i="10"/>
  <c r="J14" i="10"/>
  <c r="F27" i="5"/>
  <c r="H25" i="5"/>
  <c r="G25" i="5"/>
  <c r="V10" i="17"/>
  <c r="U10" i="17"/>
  <c r="H15" i="10"/>
  <c r="J6" i="20"/>
  <c r="E7" i="20"/>
  <c r="I6" i="20"/>
  <c r="K6" i="20" s="1"/>
  <c r="J4" i="20"/>
  <c r="K4" i="20"/>
  <c r="V12" i="17"/>
  <c r="U12" i="17"/>
  <c r="E8" i="20" l="1"/>
  <c r="I7" i="20"/>
  <c r="J7" i="20" s="1"/>
  <c r="K7" i="20"/>
  <c r="I15" i="10"/>
  <c r="J15" i="10"/>
  <c r="H17" i="10"/>
  <c r="H27" i="5"/>
  <c r="G23" i="5"/>
  <c r="G27" i="5"/>
  <c r="G24" i="5"/>
  <c r="G26" i="5"/>
  <c r="I17" i="10" l="1"/>
  <c r="J17" i="10"/>
  <c r="I16" i="10"/>
  <c r="I14" i="10"/>
  <c r="E9" i="20"/>
  <c r="I8" i="20"/>
  <c r="K8" i="20" s="1"/>
  <c r="J8" i="20" l="1"/>
  <c r="E10" i="20"/>
  <c r="I9" i="20"/>
  <c r="J9" i="20" s="1"/>
  <c r="K9" i="20"/>
  <c r="E11" i="20" l="1"/>
  <c r="I10" i="20"/>
  <c r="K10" i="20" s="1"/>
  <c r="J10" i="20" l="1"/>
  <c r="E12" i="20"/>
  <c r="I11" i="20"/>
  <c r="K11" i="20" s="1"/>
  <c r="J11" i="20" l="1"/>
  <c r="E13" i="20"/>
  <c r="I12" i="20"/>
  <c r="J12" i="20" s="1"/>
  <c r="I13" i="20" l="1"/>
  <c r="K13" i="20" s="1"/>
  <c r="K12" i="20"/>
  <c r="J13" i="20" l="1"/>
</calcChain>
</file>

<file path=xl/connections.xml><?xml version="1.0" encoding="utf-8"?>
<connections xmlns="http://schemas.openxmlformats.org/spreadsheetml/2006/main">
  <connection id="1" name="KCGM2" type="6" refreshedVersion="2" background="1" saveData="1">
    <textPr codePage="57003" sourceFile="C:\Documents and Settings\e5tnapie\Desktop\KCGM2.txt" delimited="0">
      <textFields count="6">
        <textField/>
        <textField position="8"/>
        <textField position="10"/>
        <textField position="18"/>
        <textField position="26"/>
        <textField position="33"/>
      </textFields>
    </textPr>
  </connection>
</connections>
</file>

<file path=xl/sharedStrings.xml><?xml version="1.0" encoding="utf-8"?>
<sst xmlns="http://schemas.openxmlformats.org/spreadsheetml/2006/main" count="307" uniqueCount="160">
  <si>
    <t>Lab A</t>
  </si>
  <si>
    <t>Lab B</t>
  </si>
  <si>
    <t>Lab C</t>
  </si>
  <si>
    <t>Lab D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</si>
  <si>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</si>
  <si>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</si>
  <si>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</si>
  <si>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</si>
  <si>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</si>
  <si>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</si>
  <si>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</si>
  <si>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</si>
  <si>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</si>
  <si>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</si>
  <si>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</si>
  <si>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</si>
  <si>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</si>
  <si>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</si>
  <si>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</si>
  <si>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Total</t>
  </si>
  <si>
    <t>Lab</t>
  </si>
  <si>
    <t>% Cu</t>
  </si>
  <si>
    <t>Cusum</t>
  </si>
  <si>
    <t>Sample</t>
  </si>
  <si>
    <t>A</t>
  </si>
  <si>
    <t>B</t>
  </si>
  <si>
    <t>DF</t>
  </si>
  <si>
    <t>Error (assay)</t>
  </si>
  <si>
    <t>Day</t>
  </si>
  <si>
    <t>Method</t>
  </si>
  <si>
    <t>Source</t>
  </si>
  <si>
    <t>SD</t>
  </si>
  <si>
    <t>Lab E</t>
  </si>
  <si>
    <t>Lab F</t>
  </si>
  <si>
    <t>Lab G</t>
  </si>
  <si>
    <t>Lab H</t>
  </si>
  <si>
    <t>Lab I</t>
  </si>
  <si>
    <t>C</t>
  </si>
  <si>
    <t>D</t>
  </si>
  <si>
    <t>E</t>
  </si>
  <si>
    <t>G</t>
  </si>
  <si>
    <t>H</t>
  </si>
  <si>
    <t>I</t>
  </si>
  <si>
    <t>90% CIs</t>
  </si>
  <si>
    <t>Between Labs</t>
  </si>
  <si>
    <t>Within Labs</t>
  </si>
  <si>
    <t>LAB A</t>
  </si>
  <si>
    <t>LAB B</t>
  </si>
  <si>
    <t>Method 1</t>
  </si>
  <si>
    <t>Method 2</t>
  </si>
  <si>
    <t>% of total</t>
  </si>
  <si>
    <t>StdDev</t>
  </si>
  <si>
    <t>Error (Assay)</t>
  </si>
  <si>
    <t>Components of Variance</t>
  </si>
  <si>
    <t>Analysis of Variance</t>
  </si>
  <si>
    <t>M1</t>
  </si>
  <si>
    <t>M2</t>
  </si>
  <si>
    <t>Anova: Two-Factor With Replication</t>
  </si>
  <si>
    <t>Columns</t>
  </si>
  <si>
    <t>Interaction</t>
  </si>
  <si>
    <t>Within</t>
  </si>
  <si>
    <t>Batch 1</t>
  </si>
  <si>
    <t>Batch 2</t>
  </si>
  <si>
    <t>Sample variance</t>
  </si>
  <si>
    <t>N</t>
  </si>
  <si>
    <t>No.analyses per sample</t>
  </si>
  <si>
    <t>No. batches</t>
  </si>
  <si>
    <t>Source of variation</t>
  </si>
  <si>
    <t>Batches</t>
  </si>
  <si>
    <t>Samples</t>
  </si>
  <si>
    <t>P(F)</t>
  </si>
  <si>
    <t>Sample totals</t>
  </si>
  <si>
    <t>Analyses (error)</t>
  </si>
  <si>
    <t>No.samples per batch</t>
  </si>
  <si>
    <t>Batch totals</t>
  </si>
  <si>
    <t>Grand total</t>
  </si>
  <si>
    <t>-</t>
  </si>
  <si>
    <t>Std.Dev.</t>
  </si>
  <si>
    <t>Grand mean</t>
  </si>
  <si>
    <t>Assay variance</t>
  </si>
  <si>
    <t>Data from</t>
  </si>
  <si>
    <t>Ex. 12.4.</t>
  </si>
  <si>
    <t>k</t>
  </si>
  <si>
    <t>n</t>
  </si>
  <si>
    <t>Cost (relative)</t>
  </si>
  <si>
    <t>Sample cost</t>
  </si>
  <si>
    <t>Analysis cost</t>
  </si>
  <si>
    <t>n for minimum cost</t>
  </si>
  <si>
    <t>V</t>
  </si>
  <si>
    <t>LCL</t>
  </si>
  <si>
    <t>UCL</t>
  </si>
  <si>
    <t>STD-Fe</t>
  </si>
  <si>
    <t>INT-Fe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</si>
  <si>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</si>
  <si>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</si>
  <si>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</si>
  <si>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</si>
  <si>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</si>
  <si>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</si>
  <si>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</si>
  <si>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</si>
  <si>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</si>
  <si>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</si>
  <si>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</si>
  <si>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</si>
  <si>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</si>
  <si>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</si>
  <si>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</si>
  <si>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STD Fe %</t>
  </si>
  <si>
    <t>Confidence %</t>
  </si>
  <si>
    <t>t =</t>
  </si>
  <si>
    <t>New observations</t>
  </si>
  <si>
    <t>Mean y =</t>
  </si>
  <si>
    <t>SS x =</t>
  </si>
  <si>
    <t>m (no.repeats) =</t>
  </si>
  <si>
    <t>Mean x =</t>
  </si>
  <si>
    <t>N1</t>
  </si>
  <si>
    <t>N0</t>
  </si>
  <si>
    <t>No. particles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</si>
  <si>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</si>
  <si>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</si>
  <si>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</si>
  <si>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</si>
  <si>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</si>
  <si>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</si>
  <si>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</si>
  <si>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</si>
  <si>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</si>
  <si>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</si>
  <si>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Particle composition (%)</t>
  </si>
  <si>
    <t>Mean Comp. (%)</t>
  </si>
  <si>
    <t>Wt. distn. of mineral (%)</t>
  </si>
  <si>
    <t>Cum. distn.  (%)</t>
  </si>
  <si>
    <r>
      <t>95% CI (</t>
    </r>
    <r>
      <rPr>
        <b/>
        <sz val="8"/>
        <rFont val="Arial"/>
        <family val="2"/>
      </rPr>
      <t>±</t>
    </r>
    <r>
      <rPr>
        <b/>
        <sz val="8"/>
        <rFont val="Arial"/>
        <family val="2"/>
      </rPr>
      <t>)</t>
    </r>
  </si>
  <si>
    <t>t-Test: Two-Sample Assuming Equal Variances</t>
  </si>
  <si>
    <t>Pooled Variance</t>
  </si>
  <si>
    <t>P(T&lt;=t) one-tail</t>
  </si>
  <si>
    <t>t Critical one-tail</t>
  </si>
  <si>
    <t>P(T&lt;=t) two-tail</t>
  </si>
  <si>
    <t>t Critical two-tail</t>
  </si>
  <si>
    <t>Before</t>
  </si>
  <si>
    <t>After</t>
  </si>
  <si>
    <t>Hypothesized Mean Diff.</t>
  </si>
  <si>
    <t>Mean % Chalcocite</t>
  </si>
  <si>
    <t>95% CI</t>
  </si>
  <si>
    <t>Diff</t>
  </si>
  <si>
    <t>Constant</t>
  </si>
  <si>
    <t>Without Lab F</t>
  </si>
  <si>
    <t>All data</t>
  </si>
  <si>
    <t>Minitab example</t>
  </si>
  <si>
    <t>Nested ANOVA</t>
  </si>
  <si>
    <t>Mean new readings</t>
  </si>
  <si>
    <t>Predicted % Fe</t>
  </si>
  <si>
    <t>Lower CI</t>
  </si>
  <si>
    <t>Upper CI</t>
  </si>
  <si>
    <r>
      <t>CI (</t>
    </r>
    <r>
      <rPr>
        <b/>
        <sz val="10"/>
        <rFont val="Arial"/>
        <family val="2"/>
      </rPr>
      <t>±</t>
    </r>
    <r>
      <rPr>
        <b/>
        <sz val="10"/>
        <rFont val="Geneva"/>
      </rPr>
      <t xml:space="preserve"> % Fe)</t>
    </r>
  </si>
  <si>
    <t>D =</t>
  </si>
  <si>
    <t>Data for</t>
  </si>
  <si>
    <t>Minitab Output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</si>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</sst>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000"/>
    <numFmt numFmtId="167" formatCode="0.00000"/>
  </numFmts>
  <fonts count="39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9"/>
      <name val="Arial"/>
      <family val="2"/>
    </font>
    <font>
      <sz val="10"/>
      <name val="Geneva"/>
    </font>
    <font>
      <b/>
      <i/>
      <sz val="10"/>
      <name val="Geneva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8"/>
      <name val="Arial"/>
      <family val="2"/>
    </font>
    <font>
      <b/>
      <sz val="8"/>
      <name val="Arial"/>
      <family val="2"/>
    </font>
    <font>
      <b/>
      <i/>
      <sz val="10"/>
      <color indexed="8"/>
      <name val="Arial"/>
      <family val="2"/>
    </font>
    <font>
      <b/>
      <sz val="10"/>
      <name val="Geneva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6" fillId="22" borderId="0" applyNumberFormat="0" applyBorder="0" applyAlignment="0" applyProtection="0"/>
    <xf numFmtId="0" fontId="18" fillId="0" borderId="0" applyBorder="0" applyProtection="0">
      <alignment horizontal="left" vertical="top"/>
    </xf>
    <xf numFmtId="0" fontId="11" fillId="0" borderId="0"/>
    <xf numFmtId="0" fontId="13" fillId="23" borderId="7" applyNumberFormat="0" applyFont="0" applyAlignment="0" applyProtection="0"/>
    <xf numFmtId="0" fontId="27" fillId="20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14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5" fillId="0" borderId="1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2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Border="1"/>
    <xf numFmtId="0" fontId="3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3" fillId="0" borderId="0" xfId="0" applyNumberFormat="1" applyFont="1" applyAlignment="1">
      <alignment horizontal="center"/>
    </xf>
    <xf numFmtId="0" fontId="10" fillId="0" borderId="15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6" fillId="0" borderId="0" xfId="0" applyFont="1"/>
    <xf numFmtId="0" fontId="3" fillId="0" borderId="0" xfId="0" applyFont="1" applyFill="1" applyBorder="1" applyAlignment="1">
      <alignment horizontal="left"/>
    </xf>
    <xf numFmtId="165" fontId="0" fillId="0" borderId="0" xfId="0" applyNumberFormat="1"/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5" fillId="0" borderId="11" xfId="0" applyFont="1" applyFill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11" fillId="0" borderId="0" xfId="38" applyBorder="1" applyAlignment="1">
      <alignment horizontal="center"/>
    </xf>
    <xf numFmtId="0" fontId="11" fillId="0" borderId="0" xfId="38" applyAlignment="1">
      <alignment horizontal="center"/>
    </xf>
    <xf numFmtId="0" fontId="11" fillId="0" borderId="0" xfId="38"/>
    <xf numFmtId="0" fontId="3" fillId="0" borderId="0" xfId="0" applyFont="1" applyBorder="1"/>
    <xf numFmtId="0" fontId="0" fillId="0" borderId="0" xfId="0" applyBorder="1" applyAlignment="1">
      <alignment horizontal="right"/>
    </xf>
    <xf numFmtId="0" fontId="7" fillId="0" borderId="0" xfId="0" applyFont="1" applyBorder="1" applyAlignment="1">
      <alignment horizontal="left"/>
    </xf>
    <xf numFmtId="0" fontId="2" fillId="0" borderId="0" xfId="0" applyFont="1" applyBorder="1"/>
    <xf numFmtId="0" fontId="31" fillId="0" borderId="0" xfId="37" applyFont="1">
      <alignment horizontal="left" vertical="top"/>
    </xf>
    <xf numFmtId="0" fontId="18" fillId="0" borderId="0" xfId="37" applyFont="1">
      <alignment horizontal="left" vertical="top"/>
    </xf>
    <xf numFmtId="14" fontId="18" fillId="0" borderId="0" xfId="37" applyNumberFormat="1">
      <alignment horizontal="left" vertical="top"/>
    </xf>
    <xf numFmtId="49" fontId="32" fillId="0" borderId="0" xfId="37" applyNumberFormat="1" applyFont="1" applyFill="1" applyBorder="1" applyAlignment="1">
      <alignment horizontal="center" vertical="center" wrapText="1"/>
    </xf>
    <xf numFmtId="0" fontId="32" fillId="0" borderId="0" xfId="37" applyFont="1" applyFill="1" applyAlignment="1">
      <alignment horizontal="center" vertical="center" wrapText="1"/>
    </xf>
    <xf numFmtId="0" fontId="32" fillId="0" borderId="0" xfId="37" applyFont="1" applyFill="1" applyBorder="1" applyAlignment="1">
      <alignment horizontal="center" vertical="center" wrapText="1"/>
    </xf>
    <xf numFmtId="1" fontId="32" fillId="0" borderId="0" xfId="37" applyNumberFormat="1" applyFont="1" applyFill="1" applyBorder="1" applyAlignment="1">
      <alignment horizontal="center" vertical="center" wrapText="1"/>
    </xf>
    <xf numFmtId="49" fontId="18" fillId="0" borderId="0" xfId="37" applyNumberFormat="1" applyFont="1" applyFill="1" applyBorder="1" applyAlignment="1">
      <alignment horizontal="center" vertical="center" wrapText="1"/>
    </xf>
    <xf numFmtId="17" fontId="0" fillId="0" borderId="0" xfId="0" applyNumberFormat="1"/>
    <xf numFmtId="0" fontId="32" fillId="0" borderId="0" xfId="37" applyFont="1" applyFill="1" applyAlignment="1">
      <alignment horizontal="center" vertical="center" wrapText="1"/>
    </xf>
    <xf numFmtId="0" fontId="32" fillId="0" borderId="0" xfId="37" applyFont="1" applyAlignment="1">
      <alignment horizontal="center" vertical="center" wrapText="1"/>
    </xf>
    <xf numFmtId="49" fontId="18" fillId="0" borderId="0" xfId="37" applyNumberFormat="1" applyFill="1" applyBorder="1" applyAlignment="1">
      <alignment horizontal="center" vertical="center" wrapText="1"/>
    </xf>
    <xf numFmtId="0" fontId="18" fillId="0" borderId="0" xfId="37" applyFill="1" applyAlignment="1">
      <alignment horizontal="center" vertical="center" wrapText="1"/>
    </xf>
    <xf numFmtId="2" fontId="18" fillId="0" borderId="0" xfId="37" applyNumberFormat="1" applyFont="1" applyFill="1" applyBorder="1" applyAlignment="1">
      <alignment horizontal="center" vertical="center" wrapText="1"/>
    </xf>
    <xf numFmtId="1" fontId="18" fillId="0" borderId="0" xfId="37" applyNumberFormat="1" applyFont="1" applyFill="1" applyBorder="1" applyAlignment="1">
      <alignment horizontal="center" vertical="center" wrapText="1"/>
    </xf>
    <xf numFmtId="0" fontId="2" fillId="0" borderId="0" xfId="37" applyFont="1" applyAlignment="1">
      <alignment horizontal="center" vertical="center" wrapText="1"/>
    </xf>
    <xf numFmtId="0" fontId="2" fillId="0" borderId="0" xfId="37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2" fillId="0" borderId="0" xfId="37" applyNumberFormat="1" applyFont="1" applyAlignment="1">
      <alignment horizontal="center" vertical="center" wrapText="1"/>
    </xf>
    <xf numFmtId="2" fontId="2" fillId="0" borderId="0" xfId="37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0" xfId="37" applyNumberFormat="1" applyFont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0" fontId="0" fillId="0" borderId="21" xfId="0" applyNumberFormat="1" applyBorder="1"/>
    <xf numFmtId="0" fontId="3" fillId="0" borderId="22" xfId="0" applyNumberFormat="1" applyFon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24" borderId="0" xfId="0" applyFill="1" applyBorder="1" applyAlignment="1"/>
    <xf numFmtId="0" fontId="7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right"/>
    </xf>
    <xf numFmtId="0" fontId="5" fillId="0" borderId="11" xfId="0" applyFont="1" applyFill="1" applyBorder="1" applyAlignment="1">
      <alignment horizontal="right"/>
    </xf>
    <xf numFmtId="2" fontId="33" fillId="0" borderId="0" xfId="0" applyNumberFormat="1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0" xfId="0" applyFont="1" applyBorder="1"/>
    <xf numFmtId="17" fontId="0" fillId="0" borderId="0" xfId="0" applyNumberForma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4" fillId="0" borderId="0" xfId="38" applyFont="1" applyAlignment="1">
      <alignment horizontal="center"/>
    </xf>
    <xf numFmtId="0" fontId="34" fillId="0" borderId="0" xfId="38" applyFont="1" applyAlignment="1">
      <alignment horizontal="right"/>
    </xf>
    <xf numFmtId="0" fontId="12" fillId="0" borderId="0" xfId="38" applyFont="1" applyBorder="1" applyAlignment="1">
      <alignment horizontal="left"/>
    </xf>
    <xf numFmtId="0" fontId="11" fillId="0" borderId="0" xfId="38" applyFont="1" applyFill="1" applyBorder="1" applyAlignment="1">
      <alignment horizontal="center"/>
    </xf>
    <xf numFmtId="2" fontId="11" fillId="0" borderId="0" xfId="38" applyNumberFormat="1" applyFont="1" applyAlignment="1">
      <alignment horizontal="center"/>
    </xf>
    <xf numFmtId="0" fontId="35" fillId="0" borderId="0" xfId="0" applyFont="1" applyBorder="1"/>
    <xf numFmtId="0" fontId="34" fillId="0" borderId="0" xfId="38" applyFont="1" applyBorder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26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9" xfId="0" applyBorder="1"/>
    <xf numFmtId="0" fontId="0" fillId="0" borderId="13" xfId="0" applyBorder="1" applyAlignment="1">
      <alignment horizontal="center"/>
    </xf>
    <xf numFmtId="167" fontId="3" fillId="0" borderId="19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20" xfId="0" applyBorder="1"/>
    <xf numFmtId="0" fontId="0" fillId="0" borderId="12" xfId="0" applyBorder="1"/>
    <xf numFmtId="167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6" fillId="0" borderId="24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PH liberation data from Elaine" xfId="37"/>
    <cellStyle name="Normal_Regression Confidence Intervals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91716999605813"/>
          <c:y val="8.9372033380058183E-2"/>
          <c:w val="0.75149000637601027"/>
          <c:h val="0.664251599446378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'Ex.12.1'!$C$1</c:f>
              <c:strCache>
                <c:ptCount val="1"/>
                <c:pt idx="0">
                  <c:v>Cusum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'Ex.12.1'!$C$2:$C$93</c:f>
              <c:numCache>
                <c:formatCode>0.000</c:formatCode>
                <c:ptCount val="92"/>
                <c:pt idx="0">
                  <c:v>-4.8250342388200806E-2</c:v>
                </c:pt>
                <c:pt idx="1">
                  <c:v>3.8208838759601349E-2</c:v>
                </c:pt>
                <c:pt idx="2">
                  <c:v>0.23433261731042876</c:v>
                </c:pt>
                <c:pt idx="3">
                  <c:v>0.30639324677395052</c:v>
                </c:pt>
                <c:pt idx="4">
                  <c:v>0.45407756488202722</c:v>
                </c:pt>
                <c:pt idx="5">
                  <c:v>0.61559973119074129</c:v>
                </c:pt>
                <c:pt idx="6">
                  <c:v>0.89907695155488909</c:v>
                </c:pt>
                <c:pt idx="7">
                  <c:v>1.0009680977418611</c:v>
                </c:pt>
                <c:pt idx="8">
                  <c:v>1.0513137453926902</c:v>
                </c:pt>
                <c:pt idx="9">
                  <c:v>0.87511062929479522</c:v>
                </c:pt>
                <c:pt idx="10">
                  <c:v>0.82927090261364356</c:v>
                </c:pt>
                <c:pt idx="11">
                  <c:v>0.86354953054978978</c:v>
                </c:pt>
                <c:pt idx="12">
                  <c:v>1.1945337519136956</c:v>
                </c:pt>
                <c:pt idx="13">
                  <c:v>1.0808460046973778</c:v>
                </c:pt>
                <c:pt idx="14">
                  <c:v>0.96056351139850449</c:v>
                </c:pt>
                <c:pt idx="15">
                  <c:v>1.0450117997606867</c:v>
                </c:pt>
                <c:pt idx="16">
                  <c:v>1.0908636340900557</c:v>
                </c:pt>
                <c:pt idx="17">
                  <c:v>1.1944085827053641</c:v>
                </c:pt>
                <c:pt idx="18">
                  <c:v>0.80449729011888849</c:v>
                </c:pt>
                <c:pt idx="19">
                  <c:v>0.63668665006844094</c:v>
                </c:pt>
                <c:pt idx="20">
                  <c:v>0.44818420974479523</c:v>
                </c:pt>
                <c:pt idx="21">
                  <c:v>0.51803749556711409</c:v>
                </c:pt>
                <c:pt idx="22">
                  <c:v>0.44476388438852155</c:v>
                </c:pt>
                <c:pt idx="23">
                  <c:v>0.37750913861600566</c:v>
                </c:pt>
                <c:pt idx="24">
                  <c:v>0.16411848946518148</c:v>
                </c:pt>
                <c:pt idx="25">
                  <c:v>0.10034767683464452</c:v>
                </c:pt>
                <c:pt idx="26">
                  <c:v>0.26437118094690959</c:v>
                </c:pt>
                <c:pt idx="27">
                  <c:v>0.22152835299493745</c:v>
                </c:pt>
                <c:pt idx="28">
                  <c:v>0.48072888603201136</c:v>
                </c:pt>
                <c:pt idx="29">
                  <c:v>0.68600775193772279</c:v>
                </c:pt>
                <c:pt idx="30">
                  <c:v>0.5796190407636459</c:v>
                </c:pt>
                <c:pt idx="31">
                  <c:v>0.61491130054491805</c:v>
                </c:pt>
                <c:pt idx="32">
                  <c:v>0.54412299732575775</c:v>
                </c:pt>
                <c:pt idx="33">
                  <c:v>0.82046796023860225</c:v>
                </c:pt>
                <c:pt idx="34">
                  <c:v>0.81456266798340948</c:v>
                </c:pt>
                <c:pt idx="35">
                  <c:v>0.70186638367886189</c:v>
                </c:pt>
                <c:pt idx="36">
                  <c:v>0.72906647119452828</c:v>
                </c:pt>
                <c:pt idx="37">
                  <c:v>1.0072477039102523</c:v>
                </c:pt>
                <c:pt idx="38">
                  <c:v>1.0206738920714997</c:v>
                </c:pt>
                <c:pt idx="39">
                  <c:v>1.2098352613065799</c:v>
                </c:pt>
                <c:pt idx="40">
                  <c:v>1.0408179491605551</c:v>
                </c:pt>
                <c:pt idx="41">
                  <c:v>1.0280943456564273</c:v>
                </c:pt>
                <c:pt idx="42">
                  <c:v>1.2159416087342834</c:v>
                </c:pt>
                <c:pt idx="43">
                  <c:v>1.0616877830216254</c:v>
                </c:pt>
                <c:pt idx="44">
                  <c:v>1.1348708426339726</c:v>
                </c:pt>
                <c:pt idx="45">
                  <c:v>1.2942780927005515</c:v>
                </c:pt>
                <c:pt idx="46">
                  <c:v>1.2719057167487335</c:v>
                </c:pt>
                <c:pt idx="47">
                  <c:v>1.336418335995404</c:v>
                </c:pt>
                <c:pt idx="48">
                  <c:v>1.4572874533769209</c:v>
                </c:pt>
                <c:pt idx="49">
                  <c:v>1.3781121310785238</c:v>
                </c:pt>
                <c:pt idx="50">
                  <c:v>1.7221006831074206</c:v>
                </c:pt>
                <c:pt idx="51">
                  <c:v>2.0476351328899938</c:v>
                </c:pt>
                <c:pt idx="52">
                  <c:v>2.5149163783069568</c:v>
                </c:pt>
                <c:pt idx="53">
                  <c:v>2.3794836703113162</c:v>
                </c:pt>
                <c:pt idx="54">
                  <c:v>2.5861234020230839</c:v>
                </c:pt>
                <c:pt idx="55">
                  <c:v>2.7118434574418728</c:v>
                </c:pt>
                <c:pt idx="56">
                  <c:v>2.5728036934590008</c:v>
                </c:pt>
                <c:pt idx="57">
                  <c:v>2.6362950413575277</c:v>
                </c:pt>
                <c:pt idx="58">
                  <c:v>2.8785967424468382</c:v>
                </c:pt>
                <c:pt idx="59">
                  <c:v>3.2115833644420633</c:v>
                </c:pt>
                <c:pt idx="60">
                  <c:v>3.3366748453350894</c:v>
                </c:pt>
                <c:pt idx="61">
                  <c:v>3.6919804673118222</c:v>
                </c:pt>
                <c:pt idx="62">
                  <c:v>3.5127023839857614</c:v>
                </c:pt>
                <c:pt idx="63">
                  <c:v>3.5837506096744818</c:v>
                </c:pt>
                <c:pt idx="64">
                  <c:v>3.8339901531471909</c:v>
                </c:pt>
                <c:pt idx="65">
                  <c:v>4.1737679720805545</c:v>
                </c:pt>
                <c:pt idx="66">
                  <c:v>4.325438810355287</c:v>
                </c:pt>
                <c:pt idx="67">
                  <c:v>4.5779504989667004</c:v>
                </c:pt>
                <c:pt idx="68">
                  <c:v>4.4113407673416347</c:v>
                </c:pt>
                <c:pt idx="69">
                  <c:v>4.5103022380790492</c:v>
                </c:pt>
                <c:pt idx="70">
                  <c:v>4.920801000780223</c:v>
                </c:pt>
                <c:pt idx="71">
                  <c:v>5.0313377242739392</c:v>
                </c:pt>
                <c:pt idx="72">
                  <c:v>5.1860881684522937</c:v>
                </c:pt>
                <c:pt idx="73">
                  <c:v>5.1995884011034263</c:v>
                </c:pt>
                <c:pt idx="74">
                  <c:v>5.1503498702368589</c:v>
                </c:pt>
                <c:pt idx="75">
                  <c:v>5.2120775942218103</c:v>
                </c:pt>
                <c:pt idx="76">
                  <c:v>5.4243632416685088</c:v>
                </c:pt>
                <c:pt idx="77">
                  <c:v>5.6232542490514277</c:v>
                </c:pt>
                <c:pt idx="78">
                  <c:v>5.9607940288974035</c:v>
                </c:pt>
                <c:pt idx="79">
                  <c:v>5.9915411801085128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A-46B9-A37B-7440E7769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0464"/>
        <c:axId val="171953152"/>
      </c:scatterChart>
      <c:valAx>
        <c:axId val="171950464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Observation</a:t>
                </a:r>
              </a:p>
            </c:rich>
          </c:tx>
          <c:layout>
            <c:manualLayout>
              <c:xMode val="edge"/>
              <c:yMode val="edge"/>
              <c:x val="0.48214408329866792"/>
              <c:y val="0.86231934909948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53152"/>
        <c:crossesAt val="-1"/>
        <c:crossBetween val="midCat"/>
        <c:majorUnit val="10"/>
        <c:minorUnit val="2"/>
      </c:valAx>
      <c:valAx>
        <c:axId val="17195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Cusum of Cu (%)</a:t>
                </a:r>
              </a:p>
            </c:rich>
          </c:tx>
          <c:layout>
            <c:manualLayout>
              <c:xMode val="edge"/>
              <c:yMode val="edge"/>
              <c:x val="3.2738178495588563E-2"/>
              <c:y val="0.219806892907710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504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01237781584412"/>
          <c:y val="0.10757978318576411"/>
          <c:w val="0.77976388780401851"/>
          <c:h val="0.6772636350558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'Ex.12.1'!$B$1</c:f>
              <c:strCache>
                <c:ptCount val="1"/>
                <c:pt idx="0">
                  <c:v>% Cu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'Ex.12.1'!$B$2:$B$93</c:f>
              <c:numCache>
                <c:formatCode>0.000</c:formatCode>
                <c:ptCount val="92"/>
                <c:pt idx="0">
                  <c:v>29.451749657611799</c:v>
                </c:pt>
                <c:pt idx="1">
                  <c:v>29.586459181147802</c:v>
                </c:pt>
                <c:pt idx="2">
                  <c:v>29.696123778550827</c:v>
                </c:pt>
                <c:pt idx="3">
                  <c:v>29.572060629463522</c:v>
                </c:pt>
                <c:pt idx="4">
                  <c:v>29.647684318108077</c:v>
                </c:pt>
                <c:pt idx="5">
                  <c:v>29.661522166308714</c:v>
                </c:pt>
                <c:pt idx="6">
                  <c:v>29.783477220364148</c:v>
                </c:pt>
                <c:pt idx="7">
                  <c:v>29.601891146186972</c:v>
                </c:pt>
                <c:pt idx="8">
                  <c:v>29.550345647650829</c:v>
                </c:pt>
                <c:pt idx="9">
                  <c:v>29.323796883902105</c:v>
                </c:pt>
                <c:pt idx="10">
                  <c:v>29.454160273318848</c:v>
                </c:pt>
                <c:pt idx="11">
                  <c:v>29.534278627936146</c:v>
                </c:pt>
                <c:pt idx="12">
                  <c:v>29.830984221363906</c:v>
                </c:pt>
                <c:pt idx="13">
                  <c:v>29.386312252783682</c:v>
                </c:pt>
                <c:pt idx="14">
                  <c:v>29.379717506701127</c:v>
                </c:pt>
                <c:pt idx="15">
                  <c:v>29.584448288362182</c:v>
                </c:pt>
                <c:pt idx="16">
                  <c:v>29.545851834329369</c:v>
                </c:pt>
                <c:pt idx="17">
                  <c:v>29.603544948615308</c:v>
                </c:pt>
                <c:pt idx="18">
                  <c:v>29.110088707413524</c:v>
                </c:pt>
                <c:pt idx="19">
                  <c:v>29.332189359949552</c:v>
                </c:pt>
                <c:pt idx="20">
                  <c:v>29.311497559676354</c:v>
                </c:pt>
                <c:pt idx="21">
                  <c:v>29.569853285822319</c:v>
                </c:pt>
                <c:pt idx="22">
                  <c:v>29.426726388821407</c:v>
                </c:pt>
                <c:pt idx="23">
                  <c:v>29.432745254227484</c:v>
                </c:pt>
                <c:pt idx="24">
                  <c:v>29.286609350849176</c:v>
                </c:pt>
                <c:pt idx="25">
                  <c:v>29.436229187369463</c:v>
                </c:pt>
                <c:pt idx="26">
                  <c:v>29.664023504112265</c:v>
                </c:pt>
                <c:pt idx="27">
                  <c:v>29.457157172048028</c:v>
                </c:pt>
                <c:pt idx="28">
                  <c:v>29.759200533037074</c:v>
                </c:pt>
                <c:pt idx="29">
                  <c:v>29.705278865905711</c:v>
                </c:pt>
                <c:pt idx="30">
                  <c:v>29.393611288825923</c:v>
                </c:pt>
                <c:pt idx="31">
                  <c:v>29.535292259781272</c:v>
                </c:pt>
                <c:pt idx="32">
                  <c:v>29.42921169678084</c:v>
                </c:pt>
                <c:pt idx="33">
                  <c:v>29.776344962912844</c:v>
                </c:pt>
                <c:pt idx="34">
                  <c:v>29.494094707744807</c:v>
                </c:pt>
                <c:pt idx="35">
                  <c:v>29.387303715695452</c:v>
                </c:pt>
                <c:pt idx="36">
                  <c:v>29.527200087515666</c:v>
                </c:pt>
                <c:pt idx="37">
                  <c:v>29.778181232715724</c:v>
                </c:pt>
                <c:pt idx="38">
                  <c:v>29.513426188161247</c:v>
                </c:pt>
                <c:pt idx="39">
                  <c:v>29.68916136923508</c:v>
                </c:pt>
                <c:pt idx="40">
                  <c:v>29.330982687853975</c:v>
                </c:pt>
                <c:pt idx="41">
                  <c:v>29.487276396495872</c:v>
                </c:pt>
                <c:pt idx="42">
                  <c:v>29.687847263077856</c:v>
                </c:pt>
                <c:pt idx="43">
                  <c:v>29.345746174287342</c:v>
                </c:pt>
                <c:pt idx="44">
                  <c:v>29.573183059612347</c:v>
                </c:pt>
                <c:pt idx="45">
                  <c:v>29.659407250066579</c:v>
                </c:pt>
                <c:pt idx="46">
                  <c:v>29.477627624048182</c:v>
                </c:pt>
                <c:pt idx="47">
                  <c:v>29.564512619246671</c:v>
                </c:pt>
                <c:pt idx="48">
                  <c:v>29.620869117381517</c:v>
                </c:pt>
                <c:pt idx="49">
                  <c:v>29.420824677701603</c:v>
                </c:pt>
                <c:pt idx="50">
                  <c:v>29.843988552028897</c:v>
                </c:pt>
                <c:pt idx="51">
                  <c:v>29.825534449782573</c:v>
                </c:pt>
                <c:pt idx="52">
                  <c:v>29.967281245416963</c:v>
                </c:pt>
                <c:pt idx="53">
                  <c:v>29.364567292004359</c:v>
                </c:pt>
                <c:pt idx="54">
                  <c:v>29.706639731711768</c:v>
                </c:pt>
                <c:pt idx="55">
                  <c:v>29.625720055418789</c:v>
                </c:pt>
                <c:pt idx="56">
                  <c:v>29.360960236017128</c:v>
                </c:pt>
                <c:pt idx="57">
                  <c:v>29.563491347898527</c:v>
                </c:pt>
                <c:pt idx="58">
                  <c:v>29.74230170108931</c:v>
                </c:pt>
                <c:pt idx="59">
                  <c:v>29.832986621995225</c:v>
                </c:pt>
                <c:pt idx="60">
                  <c:v>29.625091480893026</c:v>
                </c:pt>
                <c:pt idx="61">
                  <c:v>29.855305621976733</c:v>
                </c:pt>
                <c:pt idx="62">
                  <c:v>29.320721916673939</c:v>
                </c:pt>
                <c:pt idx="63">
                  <c:v>29.57104822568872</c:v>
                </c:pt>
                <c:pt idx="64">
                  <c:v>29.750239543472709</c:v>
                </c:pt>
                <c:pt idx="65">
                  <c:v>29.839777818933364</c:v>
                </c:pt>
                <c:pt idx="66">
                  <c:v>29.651670838274732</c:v>
                </c:pt>
                <c:pt idx="67">
                  <c:v>29.752511688611413</c:v>
                </c:pt>
                <c:pt idx="68">
                  <c:v>29.333390268374934</c:v>
                </c:pt>
                <c:pt idx="69">
                  <c:v>29.598961470737414</c:v>
                </c:pt>
                <c:pt idx="70">
                  <c:v>29.910498762701174</c:v>
                </c:pt>
                <c:pt idx="71">
                  <c:v>29.610536723493716</c:v>
                </c:pt>
                <c:pt idx="72">
                  <c:v>29.654750444178354</c:v>
                </c:pt>
                <c:pt idx="73">
                  <c:v>29.513500232651133</c:v>
                </c:pt>
                <c:pt idx="74">
                  <c:v>29.450761469133433</c:v>
                </c:pt>
                <c:pt idx="75">
                  <c:v>29.561727723984951</c:v>
                </c:pt>
                <c:pt idx="76">
                  <c:v>29.712285647446699</c:v>
                </c:pt>
                <c:pt idx="77">
                  <c:v>29.698891007382919</c:v>
                </c:pt>
                <c:pt idx="78">
                  <c:v>29.837539779845976</c:v>
                </c:pt>
                <c:pt idx="79">
                  <c:v>29.530747151211109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D-49C8-BC17-1ED7D5C2E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51392"/>
        <c:axId val="172274816"/>
      </c:scatterChart>
      <c:valAx>
        <c:axId val="172251392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Observation</a:t>
                </a:r>
              </a:p>
            </c:rich>
          </c:tx>
          <c:layout>
            <c:manualLayout>
              <c:xMode val="edge"/>
              <c:yMode val="edge"/>
              <c:x val="0.47916788525361442"/>
              <c:y val="0.892423201427361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274816"/>
        <c:crosses val="autoZero"/>
        <c:crossBetween val="midCat"/>
        <c:majorUnit val="10"/>
        <c:minorUnit val="2"/>
      </c:valAx>
      <c:valAx>
        <c:axId val="17227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Assay (% Cu)</a:t>
                </a:r>
              </a:p>
            </c:rich>
          </c:tx>
          <c:layout>
            <c:manualLayout>
              <c:xMode val="edge"/>
              <c:yMode val="edge"/>
              <c:x val="2.9761980450535058E-2"/>
              <c:y val="0.276284443181621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2513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2512327727906"/>
          <c:y val="8.0597191137748811E-2"/>
          <c:w val="0.821092656237428"/>
          <c:h val="0.623881961029240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'Ex.12.2'!$C$4:$K$4</c:f>
                <c:numCache>
                  <c:formatCode>General</c:formatCode>
                  <c:ptCount val="9"/>
                  <c:pt idx="0">
                    <c:v>4.4511948178459058</c:v>
                  </c:pt>
                  <c:pt idx="1">
                    <c:v>4.7984511511530323</c:v>
                  </c:pt>
                  <c:pt idx="2">
                    <c:v>0.22098130301362739</c:v>
                  </c:pt>
                  <c:pt idx="3">
                    <c:v>2.6833443937368866</c:v>
                  </c:pt>
                  <c:pt idx="4">
                    <c:v>3.1568757573375223</c:v>
                  </c:pt>
                  <c:pt idx="5">
                    <c:v>21.466755149895203</c:v>
                  </c:pt>
                  <c:pt idx="6">
                    <c:v>1.2627503029350042</c:v>
                  </c:pt>
                  <c:pt idx="7">
                    <c:v>0.31568757573375672</c:v>
                  </c:pt>
                  <c:pt idx="8">
                    <c:v>6.629439090408801</c:v>
                  </c:pt>
                </c:numCache>
              </c:numRef>
            </c:plus>
            <c:minus>
              <c:numRef>
                <c:f>'Ex.12.2'!$C$4:$K$4</c:f>
                <c:numCache>
                  <c:formatCode>General</c:formatCode>
                  <c:ptCount val="9"/>
                  <c:pt idx="0">
                    <c:v>4.4511948178459058</c:v>
                  </c:pt>
                  <c:pt idx="1">
                    <c:v>4.7984511511530323</c:v>
                  </c:pt>
                  <c:pt idx="2">
                    <c:v>0.22098130301362739</c:v>
                  </c:pt>
                  <c:pt idx="3">
                    <c:v>2.6833443937368866</c:v>
                  </c:pt>
                  <c:pt idx="4">
                    <c:v>3.1568757573375223</c:v>
                  </c:pt>
                  <c:pt idx="5">
                    <c:v>21.466755149895203</c:v>
                  </c:pt>
                  <c:pt idx="6">
                    <c:v>1.2627503029350042</c:v>
                  </c:pt>
                  <c:pt idx="7">
                    <c:v>0.31568757573375672</c:v>
                  </c:pt>
                  <c:pt idx="8">
                    <c:v>6.629439090408801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'Ex.12.2'!$B$10:$B$18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'Ex.12.2'!$F$10:$F$18</c:f>
              <c:numCache>
                <c:formatCode>General</c:formatCode>
                <c:ptCount val="9"/>
                <c:pt idx="0">
                  <c:v>28.425000000000001</c:v>
                </c:pt>
                <c:pt idx="1">
                  <c:v>27.99</c:v>
                </c:pt>
                <c:pt idx="2">
                  <c:v>24.965</c:v>
                </c:pt>
                <c:pt idx="3">
                  <c:v>26.975000000000001</c:v>
                </c:pt>
                <c:pt idx="4">
                  <c:v>25.5</c:v>
                </c:pt>
                <c:pt idx="5">
                  <c:v>29.8</c:v>
                </c:pt>
                <c:pt idx="6">
                  <c:v>29.2</c:v>
                </c:pt>
                <c:pt idx="7">
                  <c:v>26.05</c:v>
                </c:pt>
                <c:pt idx="8">
                  <c:v>25.95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B-4222-B78A-01C80B497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19552"/>
        <c:axId val="172121472"/>
      </c:barChart>
      <c:catAx>
        <c:axId val="17211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Laboratory</a:t>
                </a:r>
              </a:p>
            </c:rich>
          </c:tx>
          <c:layout>
            <c:manualLayout>
              <c:xMode val="edge"/>
              <c:yMode val="edge"/>
              <c:x val="0.4670435292359682"/>
              <c:y val="0.85970337213598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2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12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Mean A*b</a:t>
                </a:r>
              </a:p>
            </c:rich>
          </c:tx>
          <c:layout>
            <c:manualLayout>
              <c:xMode val="edge"/>
              <c:yMode val="edge"/>
              <c:x val="1.5065920297934458E-2"/>
              <c:y val="0.238806492259996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19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42866657979649"/>
          <c:y val="7.8176020103859337E-2"/>
          <c:w val="0.7599210030309298"/>
          <c:h val="0.64820950002783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'Ex.12.6'!$C$1</c:f>
              <c:strCache>
                <c:ptCount val="1"/>
                <c:pt idx="0">
                  <c:v>INT-Fe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5"/>
            <c:dispRSqr val="0"/>
            <c:dispEq val="0"/>
          </c:trendline>
          <c:xVal>
            <c:numRef>
              <c:f>'Ex.12.6'!$B$2:$B$22</c:f>
              <c:numCache>
                <c:formatCode>General</c:formatCode>
                <c:ptCount val="21"/>
                <c:pt idx="0">
                  <c:v>19.64</c:v>
                </c:pt>
                <c:pt idx="1">
                  <c:v>20.49</c:v>
                </c:pt>
                <c:pt idx="2">
                  <c:v>34.85</c:v>
                </c:pt>
                <c:pt idx="3">
                  <c:v>8.2309999999999999</c:v>
                </c:pt>
                <c:pt idx="4">
                  <c:v>8.59</c:v>
                </c:pt>
                <c:pt idx="5">
                  <c:v>5.9032999999999998</c:v>
                </c:pt>
                <c:pt idx="6">
                  <c:v>5.2359999999999998</c:v>
                </c:pt>
                <c:pt idx="7">
                  <c:v>61.85</c:v>
                </c:pt>
                <c:pt idx="8">
                  <c:v>33.21</c:v>
                </c:pt>
                <c:pt idx="9">
                  <c:v>8.0399999999999991</c:v>
                </c:pt>
                <c:pt idx="10">
                  <c:v>7.06</c:v>
                </c:pt>
                <c:pt idx="11">
                  <c:v>5.12</c:v>
                </c:pt>
                <c:pt idx="12">
                  <c:v>17.5</c:v>
                </c:pt>
                <c:pt idx="13">
                  <c:v>18.600000000000001</c:v>
                </c:pt>
                <c:pt idx="14">
                  <c:v>8.1</c:v>
                </c:pt>
                <c:pt idx="15">
                  <c:v>5.2</c:v>
                </c:pt>
                <c:pt idx="16">
                  <c:v>9.1999999999999993</c:v>
                </c:pt>
                <c:pt idx="17">
                  <c:v>8.1999999999999993</c:v>
                </c:pt>
                <c:pt idx="18">
                  <c:v>21.5</c:v>
                </c:pt>
                <c:pt idx="19">
                  <c:v>15.5</c:v>
                </c:pt>
                <c:pt idx="20">
                  <c:v>6.21</c:v>
                </c:pt>
              </c:numCache>
            </c:numRef>
          </c:xVal>
          <c:yVal>
            <c:numRef>
              <c:f>'Ex.12.6'!$C$2:$C$22</c:f>
              <c:numCache>
                <c:formatCode>General</c:formatCode>
                <c:ptCount val="21"/>
                <c:pt idx="0">
                  <c:v>45.4833</c:v>
                </c:pt>
                <c:pt idx="1">
                  <c:v>44.125900000000001</c:v>
                </c:pt>
                <c:pt idx="2">
                  <c:v>69.885369999999995</c:v>
                </c:pt>
                <c:pt idx="3">
                  <c:v>18.930129999999998</c:v>
                </c:pt>
                <c:pt idx="4">
                  <c:v>21.43317</c:v>
                </c:pt>
                <c:pt idx="5">
                  <c:v>15.14897</c:v>
                </c:pt>
                <c:pt idx="6">
                  <c:v>13.808160000000001</c:v>
                </c:pt>
                <c:pt idx="7">
                  <c:v>131.15072000000001</c:v>
                </c:pt>
                <c:pt idx="8">
                  <c:v>73.941909999999993</c:v>
                </c:pt>
                <c:pt idx="9">
                  <c:v>17.585889999999999</c:v>
                </c:pt>
                <c:pt idx="10">
                  <c:v>15.629049999999999</c:v>
                </c:pt>
                <c:pt idx="11">
                  <c:v>11.83972</c:v>
                </c:pt>
                <c:pt idx="12">
                  <c:v>33.26305</c:v>
                </c:pt>
                <c:pt idx="13">
                  <c:v>41.484430000000003</c:v>
                </c:pt>
                <c:pt idx="14">
                  <c:v>17.914459999999998</c:v>
                </c:pt>
                <c:pt idx="15">
                  <c:v>11.694470000000001</c:v>
                </c:pt>
                <c:pt idx="16">
                  <c:v>20.31671</c:v>
                </c:pt>
                <c:pt idx="17">
                  <c:v>18.733180000000001</c:v>
                </c:pt>
                <c:pt idx="18">
                  <c:v>43.740220000000001</c:v>
                </c:pt>
                <c:pt idx="19">
                  <c:v>33.814010000000003</c:v>
                </c:pt>
                <c:pt idx="20">
                  <c:v>15.21087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3-49E9-88B0-29053C34D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59360"/>
        <c:axId val="172561536"/>
      </c:scatterChart>
      <c:valAx>
        <c:axId val="172559360"/>
        <c:scaling>
          <c:orientation val="minMax"/>
          <c:max val="7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STD % Fe</a:t>
                </a:r>
              </a:p>
            </c:rich>
          </c:tx>
          <c:layout>
            <c:manualLayout>
              <c:xMode val="edge"/>
              <c:yMode val="edge"/>
              <c:x val="0.47817483480536316"/>
              <c:y val="0.859936221142452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61536"/>
        <c:crosses val="autoZero"/>
        <c:crossBetween val="midCat"/>
        <c:majorUnit val="10"/>
        <c:minorUnit val="5"/>
      </c:valAx>
      <c:valAx>
        <c:axId val="172561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Intensity (kcps)</a:t>
                </a:r>
              </a:p>
            </c:rich>
          </c:tx>
          <c:layout>
            <c:manualLayout>
              <c:xMode val="edge"/>
              <c:yMode val="edge"/>
              <c:x val="2.3809535343005634E-2"/>
              <c:y val="0.153094706036724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59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93162700854057"/>
          <c:y val="9.0464817678938006E-2"/>
          <c:w val="0.79642579851325679"/>
          <c:h val="0.660148669549007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'Ex.12.8'!$E$1</c:f>
              <c:strCache>
                <c:ptCount val="1"/>
                <c:pt idx="0">
                  <c:v>Cum. distn.  (%)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'Ex.12.8'!$C$2:$C$13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100</c:v>
                </c:pt>
              </c:numCache>
            </c:numRef>
          </c:xVal>
          <c:yVal>
            <c:numRef>
              <c:f>'Ex.12.8'!$E$2:$E$13</c:f>
              <c:numCache>
                <c:formatCode>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92.847027999999995</c:v>
                </c:pt>
                <c:pt idx="3">
                  <c:v>83.337695999999994</c:v>
                </c:pt>
                <c:pt idx="4">
                  <c:v>78.411554999999993</c:v>
                </c:pt>
                <c:pt idx="5">
                  <c:v>73.510468999999986</c:v>
                </c:pt>
                <c:pt idx="6">
                  <c:v>66.79507799999999</c:v>
                </c:pt>
                <c:pt idx="7">
                  <c:v>63.45975399999999</c:v>
                </c:pt>
                <c:pt idx="8">
                  <c:v>51.254466999999991</c:v>
                </c:pt>
                <c:pt idx="9">
                  <c:v>45.127214999999993</c:v>
                </c:pt>
                <c:pt idx="10">
                  <c:v>30.712769999999992</c:v>
                </c:pt>
                <c:pt idx="11">
                  <c:v>8.7914409999999918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4-4F34-9F06-5AF95998DD33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'Ex.12.8'!$C$3:$C$13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'Ex.12.8'!$J$3:$J$13</c:f>
              <c:numCache>
                <c:formatCode>0.00</c:formatCode>
                <c:ptCount val="11"/>
                <c:pt idx="0">
                  <c:v>100</c:v>
                </c:pt>
                <c:pt idx="1">
                  <c:v>91.586428028630309</c:v>
                </c:pt>
                <c:pt idx="2">
                  <c:v>80.310199797118869</c:v>
                </c:pt>
                <c:pt idx="3">
                  <c:v>74.299214571790472</c:v>
                </c:pt>
                <c:pt idx="4">
                  <c:v>68.464486158923492</c:v>
                </c:pt>
                <c:pt idx="5">
                  <c:v>60.653500019107412</c:v>
                </c:pt>
                <c:pt idx="6">
                  <c:v>56.825915588556171</c:v>
                </c:pt>
                <c:pt idx="7">
                  <c:v>43.164597976215205</c:v>
                </c:pt>
                <c:pt idx="8">
                  <c:v>36.531219166738254</c:v>
                </c:pt>
                <c:pt idx="9">
                  <c:v>21.727021502396951</c:v>
                </c:pt>
                <c:pt idx="10">
                  <c:v>4.3952737423761832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4-4F34-9F06-5AF95998DD33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'Ex.12.8'!$C$3:$C$13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'Ex.12.8'!$K$3:$K$13</c:f>
              <c:numCache>
                <c:formatCode>0.00</c:formatCode>
                <c:ptCount val="11"/>
                <c:pt idx="0">
                  <c:v>100</c:v>
                </c:pt>
                <c:pt idx="1">
                  <c:v>94.107627971369681</c:v>
                </c:pt>
                <c:pt idx="2">
                  <c:v>86.365192202881119</c:v>
                </c:pt>
                <c:pt idx="3">
                  <c:v>82.523895428209514</c:v>
                </c:pt>
                <c:pt idx="4">
                  <c:v>78.55645184107648</c:v>
                </c:pt>
                <c:pt idx="5">
                  <c:v>72.936655980892567</c:v>
                </c:pt>
                <c:pt idx="6">
                  <c:v>70.093592411443808</c:v>
                </c:pt>
                <c:pt idx="7">
                  <c:v>59.344336023784777</c:v>
                </c:pt>
                <c:pt idx="8">
                  <c:v>53.723210833261732</c:v>
                </c:pt>
                <c:pt idx="9">
                  <c:v>39.698518497603033</c:v>
                </c:pt>
                <c:pt idx="10">
                  <c:v>13.187608257623801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54-4F34-9F06-5AF95998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05664"/>
        <c:axId val="172707840"/>
      </c:scatterChart>
      <c:valAx>
        <c:axId val="17270566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Mean composition (% chalcocite)</a:t>
                </a:r>
              </a:p>
            </c:rich>
          </c:tx>
          <c:layout>
            <c:manualLayout>
              <c:xMode val="edge"/>
              <c:yMode val="edge"/>
              <c:x val="0.3287491638077174"/>
              <c:y val="0.860638265486112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707840"/>
        <c:crosses val="autoZero"/>
        <c:crossBetween val="midCat"/>
      </c:valAx>
      <c:valAx>
        <c:axId val="17270784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Cum. wt. distribution (%)</a:t>
                </a:r>
              </a:p>
            </c:rich>
          </c:tx>
          <c:layout>
            <c:manualLayout>
              <c:xMode val="edge"/>
              <c:yMode val="edge"/>
              <c:x val="3.0261429304476079E-2"/>
              <c:y val="0.1271397437649939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705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19050</xdr:rowOff>
    </xdr:from>
    <xdr:to>
      <xdr:col>11</xdr:col>
      <xdr:colOff>514350</xdr:colOff>
      <xdr:row>16</xdr:row>
      <xdr:rowOff>76200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527050</xdr:colOff>
      <xdr:row>17</xdr:row>
      <xdr:rowOff>63500</xdr:rowOff>
    </xdr:from>
    <xdr:to>
      <xdr:col>11</xdr:col>
      <xdr:colOff>527050</xdr:colOff>
      <xdr:row>33</xdr:row>
      <xdr:rowOff>120650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6</xdr:row>
      <xdr:rowOff>76200</xdr:rowOff>
    </xdr:from>
    <xdr:to>
      <xdr:col>12</xdr:col>
      <xdr:colOff>533400</xdr:colOff>
      <xdr:row>19</xdr:row>
      <xdr:rowOff>107950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00000000-0008-0000-0100-000003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0.17677</cdr:x>
      <cdr:y>0.18976</cdr:y>
    </cdr:from>
    <cdr:to>
      <cdr:x>0.58099</cdr:x>
      <cdr:y>0.28214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3" y="404876"/>
          <a:ext cx="1365523" cy="1971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90% confidence interval</a:t>
          </a:r>
        </a:p>
      </cdr:txBody>
    </cdr:sp>
  </cdr:relSizeAnchor>
  <cdr:relSizeAnchor xmlns:cdr="http://schemas.openxmlformats.org/drawingml/2006/chartDrawing">
    <cdr:from>
      <cdr:x>0.57929</cdr:x>
      <cdr:y>0.23214</cdr:y>
    </cdr:from>
    <cdr:to>
      <cdr:x>0.6547</cdr:x>
      <cdr:y>0.23214</cdr:y>
    </cdr:to>
    <cdr:sp macro="" textlink="">
      <cdr:nvSpPr>
        <cdr:cNvPr id="717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956962" y="495300"/>
          <a:ext cx="25475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152400</xdr:rowOff>
    </xdr:from>
    <xdr:to>
      <xdr:col>8</xdr:col>
      <xdr:colOff>381000</xdr:colOff>
      <xdr:row>12</xdr:row>
      <xdr:rowOff>114300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00000000-0008-0000-0500-000001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14</xdr:row>
      <xdr:rowOff>0</xdr:rowOff>
    </xdr:from>
    <xdr:to>
      <xdr:col>9</xdr:col>
      <xdr:colOff>50800</xdr:colOff>
      <xdr:row>30</xdr:row>
      <xdr:rowOff>57150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00000000-0008-0000-0600-000001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0.20439</cdr:x>
      <cdr:y>0.58481</cdr:y>
    </cdr:from>
    <cdr:to>
      <cdr:x>0.311</cdr:x>
      <cdr:y>0.58481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44867" y="1522543"/>
          <a:ext cx="49281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0.34058</cdr:x>
      <cdr:y>0.55261</cdr:y>
    </cdr:from>
    <cdr:to>
      <cdr:x>0.6181</cdr:x>
      <cdr:y>0.62829</cdr:y>
    </cdr:to>
    <cdr:sp macro="" textlink="">
      <cdr:nvSpPr>
        <cdr:cNvPr id="22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74444" y="1438729"/>
          <a:ext cx="1282891" cy="197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95% confidence limits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KCGM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13" workbookViewId="0"/>
  </sheetViews>
  <sheetFormatPr defaultRowHeight="12.5"/>
  <cols>
    <col min="1" max="1" width="9.26953125" customWidth="1"/>
    <col min="2" max="3" width="9.1796875" style="14" customWidth="1"/>
    <col min="4" max="4" width="9.1796875" style="2" customWidth="1"/>
  </cols>
  <sheetData>
    <row r="1" spans="1:4" s="33" customFormat="1" ht="13">
      <c r="A1" s="1"/>
      <c r="B1" s="30" t="s">
        <v>21</v>
      </c>
      <c r="C1" s="30" t="s">
        <v>22</v>
      </c>
      <c r="D1" s="3" t="s">
        <v>146</v>
      </c>
    </row>
    <row r="2" spans="1:4" ht="13">
      <c r="A2" s="1"/>
      <c r="B2" s="14">
        <v>29.451749657611799</v>
      </c>
      <c r="C2" s="14">
        <f>B2-$D$2</f>
        <v>-4.8250342388200806E-2</v>
      </c>
      <c r="D2" s="2">
        <v>29.5</v>
      </c>
    </row>
    <row r="3" spans="1:4" ht="13">
      <c r="A3" s="1"/>
      <c r="B3" s="14">
        <v>29.586459181147802</v>
      </c>
      <c r="C3" s="14">
        <f t="shared" ref="C3:C34" si="0">C2+B3-$D$2</f>
        <v>3.8208838759601349E-2</v>
      </c>
    </row>
    <row r="4" spans="1:4">
      <c r="B4" s="14">
        <v>29.696123778550827</v>
      </c>
      <c r="C4" s="14">
        <f t="shared" si="0"/>
        <v>0.23433261731042876</v>
      </c>
    </row>
    <row r="5" spans="1:4" ht="13">
      <c r="A5" s="9"/>
      <c r="B5" s="14">
        <v>29.572060629463522</v>
      </c>
      <c r="C5" s="14">
        <f t="shared" si="0"/>
        <v>0.30639324677395052</v>
      </c>
    </row>
    <row r="6" spans="1:4" ht="13">
      <c r="A6" s="9"/>
      <c r="B6" s="14">
        <v>29.647684318108077</v>
      </c>
      <c r="C6" s="14">
        <f t="shared" si="0"/>
        <v>0.45407756488202722</v>
      </c>
    </row>
    <row r="7" spans="1:4">
      <c r="B7" s="14">
        <v>29.661522166308714</v>
      </c>
      <c r="C7" s="14">
        <f t="shared" si="0"/>
        <v>0.61559973119074129</v>
      </c>
    </row>
    <row r="8" spans="1:4">
      <c r="B8" s="14">
        <v>29.783477220364148</v>
      </c>
      <c r="C8" s="14">
        <f t="shared" si="0"/>
        <v>0.89907695155488909</v>
      </c>
    </row>
    <row r="9" spans="1:4">
      <c r="B9" s="14">
        <v>29.601891146186972</v>
      </c>
      <c r="C9" s="14">
        <f t="shared" si="0"/>
        <v>1.0009680977418611</v>
      </c>
    </row>
    <row r="10" spans="1:4">
      <c r="B10" s="14">
        <v>29.550345647650829</v>
      </c>
      <c r="C10" s="14">
        <f t="shared" si="0"/>
        <v>1.0513137453926902</v>
      </c>
    </row>
    <row r="11" spans="1:4">
      <c r="B11" s="14">
        <v>29.323796883902105</v>
      </c>
      <c r="C11" s="14">
        <f t="shared" si="0"/>
        <v>0.87511062929479522</v>
      </c>
    </row>
    <row r="12" spans="1:4">
      <c r="B12" s="14">
        <v>29.454160273318848</v>
      </c>
      <c r="C12" s="14">
        <f t="shared" si="0"/>
        <v>0.82927090261364356</v>
      </c>
    </row>
    <row r="13" spans="1:4">
      <c r="B13" s="14">
        <v>29.534278627936146</v>
      </c>
      <c r="C13" s="14">
        <f t="shared" si="0"/>
        <v>0.86354953054978978</v>
      </c>
    </row>
    <row r="14" spans="1:4">
      <c r="B14" s="14">
        <v>29.830984221363906</v>
      </c>
      <c r="C14" s="14">
        <f t="shared" si="0"/>
        <v>1.1945337519136956</v>
      </c>
    </row>
    <row r="15" spans="1:4">
      <c r="B15" s="14">
        <v>29.386312252783682</v>
      </c>
      <c r="C15" s="14">
        <f t="shared" si="0"/>
        <v>1.0808460046973778</v>
      </c>
    </row>
    <row r="16" spans="1:4">
      <c r="B16" s="14">
        <v>29.379717506701127</v>
      </c>
      <c r="C16" s="14">
        <f t="shared" si="0"/>
        <v>0.96056351139850449</v>
      </c>
    </row>
    <row r="17" spans="2:3">
      <c r="B17" s="14">
        <v>29.584448288362182</v>
      </c>
      <c r="C17" s="14">
        <f t="shared" si="0"/>
        <v>1.0450117997606867</v>
      </c>
    </row>
    <row r="18" spans="2:3">
      <c r="B18" s="14">
        <v>29.545851834329369</v>
      </c>
      <c r="C18" s="14">
        <f t="shared" si="0"/>
        <v>1.0908636340900557</v>
      </c>
    </row>
    <row r="19" spans="2:3">
      <c r="B19" s="14">
        <v>29.603544948615308</v>
      </c>
      <c r="C19" s="14">
        <f t="shared" si="0"/>
        <v>1.1944085827053641</v>
      </c>
    </row>
    <row r="20" spans="2:3">
      <c r="B20" s="14">
        <v>29.110088707413524</v>
      </c>
      <c r="C20" s="14">
        <f t="shared" si="0"/>
        <v>0.80449729011888849</v>
      </c>
    </row>
    <row r="21" spans="2:3">
      <c r="B21" s="14">
        <v>29.332189359949552</v>
      </c>
      <c r="C21" s="14">
        <f t="shared" si="0"/>
        <v>0.63668665006844094</v>
      </c>
    </row>
    <row r="22" spans="2:3">
      <c r="B22" s="14">
        <v>29.311497559676354</v>
      </c>
      <c r="C22" s="14">
        <f t="shared" si="0"/>
        <v>0.44818420974479523</v>
      </c>
    </row>
    <row r="23" spans="2:3">
      <c r="B23" s="14">
        <v>29.569853285822319</v>
      </c>
      <c r="C23" s="14">
        <f t="shared" si="0"/>
        <v>0.51803749556711409</v>
      </c>
    </row>
    <row r="24" spans="2:3">
      <c r="B24" s="14">
        <v>29.426726388821407</v>
      </c>
      <c r="C24" s="14">
        <f t="shared" si="0"/>
        <v>0.44476388438852155</v>
      </c>
    </row>
    <row r="25" spans="2:3">
      <c r="B25" s="14">
        <v>29.432745254227484</v>
      </c>
      <c r="C25" s="14">
        <f t="shared" si="0"/>
        <v>0.37750913861600566</v>
      </c>
    </row>
    <row r="26" spans="2:3">
      <c r="B26" s="14">
        <v>29.286609350849176</v>
      </c>
      <c r="C26" s="14">
        <f t="shared" si="0"/>
        <v>0.16411848946518148</v>
      </c>
    </row>
    <row r="27" spans="2:3">
      <c r="B27" s="14">
        <v>29.436229187369463</v>
      </c>
      <c r="C27" s="14">
        <f t="shared" si="0"/>
        <v>0.10034767683464452</v>
      </c>
    </row>
    <row r="28" spans="2:3">
      <c r="B28" s="14">
        <v>29.664023504112265</v>
      </c>
      <c r="C28" s="14">
        <f t="shared" si="0"/>
        <v>0.26437118094690959</v>
      </c>
    </row>
    <row r="29" spans="2:3">
      <c r="B29" s="14">
        <v>29.457157172048028</v>
      </c>
      <c r="C29" s="14">
        <f t="shared" si="0"/>
        <v>0.22152835299493745</v>
      </c>
    </row>
    <row r="30" spans="2:3">
      <c r="B30" s="14">
        <v>29.759200533037074</v>
      </c>
      <c r="C30" s="14">
        <f t="shared" si="0"/>
        <v>0.48072888603201136</v>
      </c>
    </row>
    <row r="31" spans="2:3">
      <c r="B31" s="14">
        <v>29.705278865905711</v>
      </c>
      <c r="C31" s="14">
        <f t="shared" si="0"/>
        <v>0.68600775193772279</v>
      </c>
    </row>
    <row r="32" spans="2:3">
      <c r="B32" s="14">
        <v>29.393611288825923</v>
      </c>
      <c r="C32" s="14">
        <f t="shared" si="0"/>
        <v>0.5796190407636459</v>
      </c>
    </row>
    <row r="33" spans="2:3">
      <c r="B33" s="14">
        <v>29.535292259781272</v>
      </c>
      <c r="C33" s="14">
        <f t="shared" si="0"/>
        <v>0.61491130054491805</v>
      </c>
    </row>
    <row r="34" spans="2:3">
      <c r="B34" s="14">
        <v>29.42921169678084</v>
      </c>
      <c r="C34" s="14">
        <f t="shared" si="0"/>
        <v>0.54412299732575775</v>
      </c>
    </row>
    <row r="35" spans="2:3">
      <c r="B35" s="14">
        <v>29.776344962912844</v>
      </c>
      <c r="C35" s="14">
        <f t="shared" ref="C35:C66" si="1">C34+B35-$D$2</f>
        <v>0.82046796023860225</v>
      </c>
    </row>
    <row r="36" spans="2:3">
      <c r="B36" s="14">
        <v>29.494094707744807</v>
      </c>
      <c r="C36" s="14">
        <f t="shared" si="1"/>
        <v>0.81456266798340948</v>
      </c>
    </row>
    <row r="37" spans="2:3">
      <c r="B37" s="14">
        <v>29.387303715695452</v>
      </c>
      <c r="C37" s="14">
        <f t="shared" si="1"/>
        <v>0.70186638367886189</v>
      </c>
    </row>
    <row r="38" spans="2:3">
      <c r="B38" s="14">
        <v>29.527200087515666</v>
      </c>
      <c r="C38" s="14">
        <f t="shared" si="1"/>
        <v>0.72906647119452828</v>
      </c>
    </row>
    <row r="39" spans="2:3">
      <c r="B39" s="14">
        <v>29.778181232715724</v>
      </c>
      <c r="C39" s="14">
        <f t="shared" si="1"/>
        <v>1.0072477039102523</v>
      </c>
    </row>
    <row r="40" spans="2:3">
      <c r="B40" s="14">
        <v>29.513426188161247</v>
      </c>
      <c r="C40" s="14">
        <f t="shared" si="1"/>
        <v>1.0206738920714997</v>
      </c>
    </row>
    <row r="41" spans="2:3">
      <c r="B41" s="14">
        <v>29.68916136923508</v>
      </c>
      <c r="C41" s="14">
        <f t="shared" si="1"/>
        <v>1.2098352613065799</v>
      </c>
    </row>
    <row r="42" spans="2:3">
      <c r="B42" s="14">
        <v>29.330982687853975</v>
      </c>
      <c r="C42" s="14">
        <f t="shared" si="1"/>
        <v>1.0408179491605551</v>
      </c>
    </row>
    <row r="43" spans="2:3">
      <c r="B43" s="14">
        <v>29.487276396495872</v>
      </c>
      <c r="C43" s="14">
        <f t="shared" si="1"/>
        <v>1.0280943456564273</v>
      </c>
    </row>
    <row r="44" spans="2:3">
      <c r="B44" s="14">
        <v>29.687847263077856</v>
      </c>
      <c r="C44" s="14">
        <f t="shared" si="1"/>
        <v>1.2159416087342834</v>
      </c>
    </row>
    <row r="45" spans="2:3">
      <c r="B45" s="14">
        <v>29.345746174287342</v>
      </c>
      <c r="C45" s="14">
        <f t="shared" si="1"/>
        <v>1.0616877830216254</v>
      </c>
    </row>
    <row r="46" spans="2:3">
      <c r="B46" s="14">
        <v>29.573183059612347</v>
      </c>
      <c r="C46" s="14">
        <f t="shared" si="1"/>
        <v>1.1348708426339726</v>
      </c>
    </row>
    <row r="47" spans="2:3">
      <c r="B47" s="14">
        <v>29.659407250066579</v>
      </c>
      <c r="C47" s="14">
        <f t="shared" si="1"/>
        <v>1.2942780927005515</v>
      </c>
    </row>
    <row r="48" spans="2:3">
      <c r="B48" s="14">
        <v>29.477627624048182</v>
      </c>
      <c r="C48" s="14">
        <f t="shared" si="1"/>
        <v>1.2719057167487335</v>
      </c>
    </row>
    <row r="49" spans="2:3">
      <c r="B49" s="14">
        <v>29.564512619246671</v>
      </c>
      <c r="C49" s="14">
        <f t="shared" si="1"/>
        <v>1.336418335995404</v>
      </c>
    </row>
    <row r="50" spans="2:3">
      <c r="B50" s="14">
        <v>29.620869117381517</v>
      </c>
      <c r="C50" s="14">
        <f t="shared" si="1"/>
        <v>1.4572874533769209</v>
      </c>
    </row>
    <row r="51" spans="2:3">
      <c r="B51" s="14">
        <v>29.420824677701603</v>
      </c>
      <c r="C51" s="14">
        <f t="shared" si="1"/>
        <v>1.3781121310785238</v>
      </c>
    </row>
    <row r="52" spans="2:3">
      <c r="B52" s="14">
        <v>29.843988552028897</v>
      </c>
      <c r="C52" s="14">
        <f t="shared" si="1"/>
        <v>1.7221006831074206</v>
      </c>
    </row>
    <row r="53" spans="2:3">
      <c r="B53" s="14">
        <v>29.825534449782573</v>
      </c>
      <c r="C53" s="14">
        <f t="shared" si="1"/>
        <v>2.0476351328899938</v>
      </c>
    </row>
    <row r="54" spans="2:3">
      <c r="B54" s="14">
        <v>29.967281245416963</v>
      </c>
      <c r="C54" s="14">
        <f t="shared" si="1"/>
        <v>2.5149163783069568</v>
      </c>
    </row>
    <row r="55" spans="2:3">
      <c r="B55" s="14">
        <v>29.364567292004359</v>
      </c>
      <c r="C55" s="14">
        <f t="shared" si="1"/>
        <v>2.3794836703113162</v>
      </c>
    </row>
    <row r="56" spans="2:3">
      <c r="B56" s="14">
        <v>29.706639731711768</v>
      </c>
      <c r="C56" s="14">
        <f t="shared" si="1"/>
        <v>2.5861234020230839</v>
      </c>
    </row>
    <row r="57" spans="2:3">
      <c r="B57" s="14">
        <v>29.625720055418789</v>
      </c>
      <c r="C57" s="14">
        <f t="shared" si="1"/>
        <v>2.7118434574418728</v>
      </c>
    </row>
    <row r="58" spans="2:3">
      <c r="B58" s="14">
        <v>29.360960236017128</v>
      </c>
      <c r="C58" s="14">
        <f t="shared" si="1"/>
        <v>2.5728036934590008</v>
      </c>
    </row>
    <row r="59" spans="2:3">
      <c r="B59" s="14">
        <v>29.563491347898527</v>
      </c>
      <c r="C59" s="14">
        <f t="shared" si="1"/>
        <v>2.6362950413575277</v>
      </c>
    </row>
    <row r="60" spans="2:3">
      <c r="B60" s="14">
        <v>29.74230170108931</v>
      </c>
      <c r="C60" s="14">
        <f t="shared" si="1"/>
        <v>2.8785967424468382</v>
      </c>
    </row>
    <row r="61" spans="2:3">
      <c r="B61" s="14">
        <v>29.832986621995225</v>
      </c>
      <c r="C61" s="14">
        <f t="shared" si="1"/>
        <v>3.2115833644420633</v>
      </c>
    </row>
    <row r="62" spans="2:3">
      <c r="B62" s="14">
        <v>29.625091480893026</v>
      </c>
      <c r="C62" s="14">
        <f t="shared" si="1"/>
        <v>3.3366748453350894</v>
      </c>
    </row>
    <row r="63" spans="2:3">
      <c r="B63" s="14">
        <v>29.855305621976733</v>
      </c>
      <c r="C63" s="14">
        <f t="shared" si="1"/>
        <v>3.6919804673118222</v>
      </c>
    </row>
    <row r="64" spans="2:3">
      <c r="B64" s="14">
        <v>29.320721916673939</v>
      </c>
      <c r="C64" s="14">
        <f t="shared" si="1"/>
        <v>3.5127023839857614</v>
      </c>
    </row>
    <row r="65" spans="2:3">
      <c r="B65" s="14">
        <v>29.57104822568872</v>
      </c>
      <c r="C65" s="14">
        <f t="shared" si="1"/>
        <v>3.5837506096744818</v>
      </c>
    </row>
    <row r="66" spans="2:3">
      <c r="B66" s="14">
        <v>29.750239543472709</v>
      </c>
      <c r="C66" s="14">
        <f t="shared" si="1"/>
        <v>3.8339901531471909</v>
      </c>
    </row>
    <row r="67" spans="2:3">
      <c r="B67" s="14">
        <v>29.839777818933364</v>
      </c>
      <c r="C67" s="14">
        <f t="shared" ref="C67:C81" si="2">C66+B67-$D$2</f>
        <v>4.1737679720805545</v>
      </c>
    </row>
    <row r="68" spans="2:3">
      <c r="B68" s="14">
        <v>29.651670838274732</v>
      </c>
      <c r="C68" s="14">
        <f t="shared" si="2"/>
        <v>4.325438810355287</v>
      </c>
    </row>
    <row r="69" spans="2:3">
      <c r="B69" s="14">
        <v>29.752511688611413</v>
      </c>
      <c r="C69" s="14">
        <f t="shared" si="2"/>
        <v>4.5779504989667004</v>
      </c>
    </row>
    <row r="70" spans="2:3">
      <c r="B70" s="14">
        <v>29.333390268374934</v>
      </c>
      <c r="C70" s="14">
        <f t="shared" si="2"/>
        <v>4.4113407673416347</v>
      </c>
    </row>
    <row r="71" spans="2:3">
      <c r="B71" s="14">
        <v>29.598961470737414</v>
      </c>
      <c r="C71" s="14">
        <f t="shared" si="2"/>
        <v>4.5103022380790492</v>
      </c>
    </row>
    <row r="72" spans="2:3">
      <c r="B72" s="14">
        <v>29.910498762701174</v>
      </c>
      <c r="C72" s="14">
        <f t="shared" si="2"/>
        <v>4.920801000780223</v>
      </c>
    </row>
    <row r="73" spans="2:3">
      <c r="B73" s="14">
        <v>29.610536723493716</v>
      </c>
      <c r="C73" s="14">
        <f t="shared" si="2"/>
        <v>5.0313377242739392</v>
      </c>
    </row>
    <row r="74" spans="2:3">
      <c r="B74" s="14">
        <v>29.654750444178354</v>
      </c>
      <c r="C74" s="14">
        <f t="shared" si="2"/>
        <v>5.1860881684522937</v>
      </c>
    </row>
    <row r="75" spans="2:3">
      <c r="B75" s="14">
        <v>29.513500232651133</v>
      </c>
      <c r="C75" s="14">
        <f t="shared" si="2"/>
        <v>5.1995884011034263</v>
      </c>
    </row>
    <row r="76" spans="2:3">
      <c r="B76" s="14">
        <v>29.450761469133433</v>
      </c>
      <c r="C76" s="14">
        <f t="shared" si="2"/>
        <v>5.1503498702368589</v>
      </c>
    </row>
    <row r="77" spans="2:3">
      <c r="B77" s="14">
        <v>29.561727723984951</v>
      </c>
      <c r="C77" s="14">
        <f t="shared" si="2"/>
        <v>5.2120775942218103</v>
      </c>
    </row>
    <row r="78" spans="2:3">
      <c r="B78" s="14">
        <v>29.712285647446699</v>
      </c>
      <c r="C78" s="14">
        <f t="shared" si="2"/>
        <v>5.4243632416685088</v>
      </c>
    </row>
    <row r="79" spans="2:3">
      <c r="B79" s="14">
        <v>29.698891007382919</v>
      </c>
      <c r="C79" s="14">
        <f t="shared" si="2"/>
        <v>5.6232542490514277</v>
      </c>
    </row>
    <row r="80" spans="2:3">
      <c r="B80" s="14">
        <v>29.837539779845976</v>
      </c>
      <c r="C80" s="14">
        <f t="shared" si="2"/>
        <v>5.9607940288974035</v>
      </c>
    </row>
    <row r="81" spans="2:3">
      <c r="B81" s="14">
        <v>29.530747151211109</v>
      </c>
      <c r="C81" s="14">
        <f t="shared" si="2"/>
        <v>5.9915411801085128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zoomScale="70" zoomScaleNormal="70" workbookViewId="0">
      <selection activeCell="A11" sqref="A11"/>
    </sheetView>
  </sheetViews>
  <sheetFormatPr defaultRowHeight="12.5"/>
  <cols>
    <col min="1" max="1" width="11.81640625" customWidth="1"/>
    <col min="3" max="3" width="12.54296875" customWidth="1"/>
    <col min="5" max="5" width="8.81640625" customWidth="1"/>
    <col min="16" max="16" width="12.81640625" customWidth="1"/>
  </cols>
  <sheetData>
    <row r="1" spans="1:23" ht="13">
      <c r="A1" s="1"/>
      <c r="B1" s="97" t="s">
        <v>148</v>
      </c>
      <c r="C1" s="24" t="s">
        <v>0</v>
      </c>
      <c r="D1" s="24" t="s">
        <v>1</v>
      </c>
      <c r="E1" s="24" t="s">
        <v>2</v>
      </c>
      <c r="F1" s="24" t="s">
        <v>3</v>
      </c>
      <c r="G1" s="24" t="s">
        <v>32</v>
      </c>
      <c r="H1" s="24" t="s">
        <v>33</v>
      </c>
      <c r="I1" s="24" t="s">
        <v>34</v>
      </c>
      <c r="J1" s="24" t="s">
        <v>35</v>
      </c>
      <c r="K1" s="24" t="s">
        <v>36</v>
      </c>
      <c r="L1" s="13"/>
      <c r="M1" s="24"/>
      <c r="O1" s="100" t="s">
        <v>147</v>
      </c>
      <c r="P1" s="24" t="s">
        <v>0</v>
      </c>
      <c r="Q1" s="24" t="s">
        <v>1</v>
      </c>
      <c r="R1" s="24" t="s">
        <v>2</v>
      </c>
      <c r="S1" s="24" t="s">
        <v>3</v>
      </c>
      <c r="T1" s="24" t="s">
        <v>32</v>
      </c>
      <c r="U1" s="24" t="s">
        <v>34</v>
      </c>
      <c r="V1" s="24" t="s">
        <v>35</v>
      </c>
      <c r="W1" s="24" t="s">
        <v>36</v>
      </c>
    </row>
    <row r="2" spans="1:23" ht="13">
      <c r="A2" s="1"/>
      <c r="C2" s="25">
        <v>27.72</v>
      </c>
      <c r="D2" s="25">
        <v>28.75</v>
      </c>
      <c r="E2" s="25">
        <v>24.93</v>
      </c>
      <c r="F2" s="25">
        <v>27.4</v>
      </c>
      <c r="G2" s="25">
        <v>25</v>
      </c>
      <c r="H2" s="25">
        <v>26.4</v>
      </c>
      <c r="I2" s="25">
        <v>29.4</v>
      </c>
      <c r="J2" s="25">
        <v>26</v>
      </c>
      <c r="K2" s="26">
        <v>24.9</v>
      </c>
      <c r="L2" s="13"/>
      <c r="M2" s="25"/>
      <c r="N2" s="25"/>
      <c r="O2" s="25"/>
      <c r="P2" s="25">
        <v>27.72</v>
      </c>
      <c r="Q2" s="25">
        <v>28.75</v>
      </c>
      <c r="R2" s="25">
        <v>24.93</v>
      </c>
      <c r="S2" s="25">
        <v>27.4</v>
      </c>
      <c r="T2" s="25">
        <v>25</v>
      </c>
      <c r="U2" s="25">
        <v>29.4</v>
      </c>
      <c r="V2" s="25">
        <v>26</v>
      </c>
      <c r="W2" s="26">
        <v>24.9</v>
      </c>
    </row>
    <row r="3" spans="1:23" ht="13">
      <c r="A3" s="1"/>
      <c r="C3" s="25">
        <v>29.13</v>
      </c>
      <c r="D3" s="25">
        <v>27.23</v>
      </c>
      <c r="E3" s="25">
        <v>25</v>
      </c>
      <c r="F3" s="25">
        <v>26.55</v>
      </c>
      <c r="G3" s="25">
        <v>26</v>
      </c>
      <c r="H3" s="25">
        <v>33.200000000000003</v>
      </c>
      <c r="I3" s="25">
        <v>29</v>
      </c>
      <c r="J3" s="25">
        <v>26.1</v>
      </c>
      <c r="K3" s="26">
        <v>27</v>
      </c>
      <c r="L3" s="13"/>
      <c r="M3" s="25"/>
      <c r="N3" s="25"/>
      <c r="O3" s="25"/>
      <c r="P3" s="25">
        <v>29.13</v>
      </c>
      <c r="Q3" s="25">
        <v>27.23</v>
      </c>
      <c r="R3" s="25">
        <v>25</v>
      </c>
      <c r="S3" s="25">
        <v>26.55</v>
      </c>
      <c r="T3" s="25">
        <v>26</v>
      </c>
      <c r="U3" s="25">
        <v>29</v>
      </c>
      <c r="V3" s="25">
        <v>26.1</v>
      </c>
      <c r="W3" s="26">
        <v>27</v>
      </c>
    </row>
    <row r="4" spans="1:23" ht="13">
      <c r="A4" s="1"/>
      <c r="B4" s="50" t="s">
        <v>43</v>
      </c>
      <c r="C4" s="27">
        <f t="shared" ref="C4:K4" si="0">TINV(0.1,1)*STDEV(C2:C3)/SQRT(2)</f>
        <v>4.4511948178459058</v>
      </c>
      <c r="D4" s="27">
        <f t="shared" si="0"/>
        <v>4.7984511511530323</v>
      </c>
      <c r="E4" s="27">
        <f t="shared" si="0"/>
        <v>0.22098130301362739</v>
      </c>
      <c r="F4" s="27">
        <f t="shared" si="0"/>
        <v>2.6833443937368866</v>
      </c>
      <c r="G4" s="27">
        <f t="shared" si="0"/>
        <v>3.1568757573375223</v>
      </c>
      <c r="H4" s="27">
        <f t="shared" si="0"/>
        <v>21.466755149895203</v>
      </c>
      <c r="I4" s="27">
        <f t="shared" si="0"/>
        <v>1.2627503029350042</v>
      </c>
      <c r="J4" s="27">
        <f t="shared" si="0"/>
        <v>0.31568757573375672</v>
      </c>
      <c r="K4" s="27">
        <f t="shared" si="0"/>
        <v>6.629439090408801</v>
      </c>
      <c r="L4" s="13"/>
      <c r="O4" s="98" t="s">
        <v>43</v>
      </c>
      <c r="P4" s="27">
        <f t="shared" ref="P4:W4" si="1">TINV(0.1,1)*STDEV(P2:P3)/SQRT(2)</f>
        <v>4.4511948178459058</v>
      </c>
      <c r="Q4" s="27">
        <f t="shared" si="1"/>
        <v>4.7984511511530323</v>
      </c>
      <c r="R4" s="27">
        <f t="shared" si="1"/>
        <v>0.22098130301362739</v>
      </c>
      <c r="S4" s="27">
        <f t="shared" si="1"/>
        <v>2.6833443937368866</v>
      </c>
      <c r="T4" s="27">
        <f t="shared" si="1"/>
        <v>3.1568757573375223</v>
      </c>
      <c r="U4" s="27">
        <f t="shared" si="1"/>
        <v>1.2627503029350042</v>
      </c>
      <c r="V4" s="27">
        <f t="shared" si="1"/>
        <v>0.31568757573375672</v>
      </c>
      <c r="W4" s="27">
        <f t="shared" si="1"/>
        <v>6.629439090408801</v>
      </c>
    </row>
    <row r="5" spans="1:23" ht="13">
      <c r="B5" s="140" t="s">
        <v>159</v>
      </c>
      <c r="C5" s="141">
        <f>VAR(C2:C3)</f>
        <v>0.99405000000000021</v>
      </c>
      <c r="D5" s="141">
        <f t="shared" ref="D5:K5" si="2">VAR(D2:D3)</f>
        <v>1.1551999999999993</v>
      </c>
      <c r="E5" s="141">
        <f t="shared" si="2"/>
        <v>2.4500000000000199E-3</v>
      </c>
      <c r="F5" s="141">
        <f t="shared" si="2"/>
        <v>0.36124999999999818</v>
      </c>
      <c r="G5" s="141">
        <f t="shared" si="2"/>
        <v>0.5</v>
      </c>
      <c r="H5" s="141">
        <f t="shared" si="2"/>
        <v>23.120000000000118</v>
      </c>
      <c r="I5" s="141">
        <f t="shared" si="2"/>
        <v>7.9999999999999433E-2</v>
      </c>
      <c r="J5" s="141">
        <f t="shared" si="2"/>
        <v>5.0000000000001424E-3</v>
      </c>
      <c r="K5" s="141">
        <f t="shared" si="2"/>
        <v>2.2050000000000032</v>
      </c>
    </row>
    <row r="6" spans="1:23">
      <c r="C6" t="s">
        <v>4</v>
      </c>
      <c r="P6" t="s">
        <v>4</v>
      </c>
    </row>
    <row r="7" spans="1:23" ht="13">
      <c r="V7" s="21"/>
      <c r="W7" s="21"/>
    </row>
    <row r="8" spans="1:23" ht="13" thickBot="1">
      <c r="C8" t="s">
        <v>5</v>
      </c>
      <c r="P8" t="s">
        <v>5</v>
      </c>
      <c r="V8" s="2"/>
      <c r="W8" s="5"/>
    </row>
    <row r="9" spans="1:23" ht="13">
      <c r="C9" s="7" t="s">
        <v>6</v>
      </c>
      <c r="D9" s="7" t="s">
        <v>7</v>
      </c>
      <c r="E9" s="7" t="s">
        <v>8</v>
      </c>
      <c r="F9" s="7" t="s">
        <v>9</v>
      </c>
      <c r="G9" s="7" t="s">
        <v>10</v>
      </c>
      <c r="P9" s="7" t="s">
        <v>6</v>
      </c>
      <c r="Q9" s="7" t="s">
        <v>7</v>
      </c>
      <c r="R9" s="7" t="s">
        <v>8</v>
      </c>
      <c r="S9" s="7" t="s">
        <v>9</v>
      </c>
      <c r="T9" s="7" t="s">
        <v>10</v>
      </c>
      <c r="V9" s="2"/>
      <c r="W9" s="5"/>
    </row>
    <row r="10" spans="1:23">
      <c r="B10" s="2" t="s">
        <v>24</v>
      </c>
      <c r="C10" s="5" t="s">
        <v>0</v>
      </c>
      <c r="D10" s="5">
        <v>2</v>
      </c>
      <c r="E10" s="5">
        <v>56.85</v>
      </c>
      <c r="F10" s="5">
        <v>28.425000000000001</v>
      </c>
      <c r="G10" s="5">
        <v>0.99405000000024302</v>
      </c>
      <c r="O10" s="2"/>
      <c r="P10" s="5" t="s">
        <v>0</v>
      </c>
      <c r="Q10" s="5">
        <v>2</v>
      </c>
      <c r="R10" s="5">
        <v>56.85</v>
      </c>
      <c r="S10" s="5">
        <v>28.425000000000001</v>
      </c>
      <c r="T10" s="5">
        <v>0.99405000000024302</v>
      </c>
      <c r="V10" s="2"/>
      <c r="W10" s="5"/>
    </row>
    <row r="11" spans="1:23">
      <c r="B11" s="2" t="s">
        <v>25</v>
      </c>
      <c r="C11" s="5" t="s">
        <v>1</v>
      </c>
      <c r="D11" s="5">
        <v>2</v>
      </c>
      <c r="E11" s="5">
        <v>55.98</v>
      </c>
      <c r="F11" s="5">
        <v>27.99</v>
      </c>
      <c r="G11" s="5">
        <v>1.1551999999996951</v>
      </c>
      <c r="O11" s="2"/>
      <c r="P11" s="5" t="s">
        <v>1</v>
      </c>
      <c r="Q11" s="5">
        <v>2</v>
      </c>
      <c r="R11" s="5">
        <v>55.98</v>
      </c>
      <c r="S11" s="5">
        <v>27.99</v>
      </c>
      <c r="T11" s="5">
        <v>1.1551999999996951</v>
      </c>
      <c r="V11" s="2"/>
      <c r="W11" s="5"/>
    </row>
    <row r="12" spans="1:23">
      <c r="B12" s="2" t="s">
        <v>37</v>
      </c>
      <c r="C12" s="5" t="s">
        <v>2</v>
      </c>
      <c r="D12" s="5">
        <v>2</v>
      </c>
      <c r="E12" s="5">
        <v>49.93</v>
      </c>
      <c r="F12" s="5">
        <v>24.965</v>
      </c>
      <c r="G12" s="5">
        <v>2.4500000000000199E-3</v>
      </c>
      <c r="O12" s="2"/>
      <c r="P12" s="5" t="s">
        <v>2</v>
      </c>
      <c r="Q12" s="5">
        <v>2</v>
      </c>
      <c r="R12" s="5">
        <v>49.93</v>
      </c>
      <c r="S12" s="5">
        <v>24.965</v>
      </c>
      <c r="T12" s="5">
        <v>2.4500000000000199E-3</v>
      </c>
      <c r="V12" s="2"/>
      <c r="W12" s="5"/>
    </row>
    <row r="13" spans="1:23">
      <c r="B13" s="2" t="s">
        <v>38</v>
      </c>
      <c r="C13" s="5" t="s">
        <v>3</v>
      </c>
      <c r="D13" s="5">
        <v>2</v>
      </c>
      <c r="E13" s="5">
        <v>53.95</v>
      </c>
      <c r="F13" s="5">
        <v>26.975000000000001</v>
      </c>
      <c r="G13" s="5">
        <v>0.36124999999969987</v>
      </c>
      <c r="O13" s="2"/>
      <c r="P13" s="5" t="s">
        <v>3</v>
      </c>
      <c r="Q13" s="5">
        <v>2</v>
      </c>
      <c r="R13" s="5">
        <v>53.95</v>
      </c>
      <c r="S13" s="5">
        <v>26.975000000000001</v>
      </c>
      <c r="T13" s="5">
        <v>0.36124999999969987</v>
      </c>
      <c r="V13" s="2"/>
      <c r="W13" s="5"/>
    </row>
    <row r="14" spans="1:23">
      <c r="B14" s="2" t="s">
        <v>39</v>
      </c>
      <c r="C14" s="5" t="s">
        <v>32</v>
      </c>
      <c r="D14" s="5">
        <v>2</v>
      </c>
      <c r="E14" s="5">
        <v>51</v>
      </c>
      <c r="F14" s="5">
        <v>25.5</v>
      </c>
      <c r="G14" s="5">
        <v>0.5</v>
      </c>
      <c r="O14" s="2"/>
      <c r="P14" s="5" t="s">
        <v>32</v>
      </c>
      <c r="Q14" s="5">
        <v>2</v>
      </c>
      <c r="R14" s="5">
        <v>51</v>
      </c>
      <c r="S14" s="5">
        <v>25.5</v>
      </c>
      <c r="T14" s="5">
        <v>0.5</v>
      </c>
      <c r="V14" s="2"/>
      <c r="W14" s="5"/>
    </row>
    <row r="15" spans="1:23">
      <c r="B15" s="2" t="s">
        <v>16</v>
      </c>
      <c r="C15" s="5" t="s">
        <v>33</v>
      </c>
      <c r="D15" s="5">
        <v>2</v>
      </c>
      <c r="E15" s="5">
        <v>59.6</v>
      </c>
      <c r="F15" s="5">
        <v>29.8</v>
      </c>
      <c r="G15" s="5">
        <v>23.120000000000118</v>
      </c>
      <c r="O15" s="2"/>
      <c r="P15" s="5" t="s">
        <v>34</v>
      </c>
      <c r="Q15" s="5">
        <v>2</v>
      </c>
      <c r="R15" s="5">
        <v>58.4</v>
      </c>
      <c r="S15" s="5">
        <v>29.2</v>
      </c>
      <c r="T15" s="5">
        <v>7.999999999992724E-2</v>
      </c>
      <c r="V15" s="2"/>
      <c r="W15" s="5"/>
    </row>
    <row r="16" spans="1:23">
      <c r="B16" s="2" t="s">
        <v>40</v>
      </c>
      <c r="C16" s="5" t="s">
        <v>34</v>
      </c>
      <c r="D16" s="5">
        <v>2</v>
      </c>
      <c r="E16" s="5">
        <v>58.4</v>
      </c>
      <c r="F16" s="5">
        <v>29.2</v>
      </c>
      <c r="G16" s="5">
        <v>7.999999999992724E-2</v>
      </c>
      <c r="O16" s="2"/>
      <c r="P16" s="5" t="s">
        <v>35</v>
      </c>
      <c r="Q16" s="5">
        <v>2</v>
      </c>
      <c r="R16" s="5">
        <v>52.1</v>
      </c>
      <c r="S16" s="5">
        <v>26.05</v>
      </c>
      <c r="T16" s="5">
        <v>5.0000000000001424E-3</v>
      </c>
      <c r="V16" s="2"/>
      <c r="W16" s="5"/>
    </row>
    <row r="17" spans="2:22" ht="13" thickBot="1">
      <c r="B17" s="2" t="s">
        <v>41</v>
      </c>
      <c r="C17" s="5" t="s">
        <v>35</v>
      </c>
      <c r="D17" s="5">
        <v>2</v>
      </c>
      <c r="E17" s="5">
        <v>52.1</v>
      </c>
      <c r="F17" s="5">
        <v>26.05</v>
      </c>
      <c r="G17" s="5">
        <v>5.0000000000001424E-3</v>
      </c>
      <c r="O17" s="2"/>
      <c r="P17" s="6" t="s">
        <v>36</v>
      </c>
      <c r="Q17" s="6">
        <v>2</v>
      </c>
      <c r="R17" s="6">
        <v>51.9</v>
      </c>
      <c r="S17" s="6">
        <v>25.95</v>
      </c>
      <c r="T17" s="6">
        <v>2.2049999999999272</v>
      </c>
    </row>
    <row r="18" spans="2:22" ht="13" thickBot="1">
      <c r="B18" s="2" t="s">
        <v>42</v>
      </c>
      <c r="C18" s="6" t="s">
        <v>36</v>
      </c>
      <c r="D18" s="6">
        <v>2</v>
      </c>
      <c r="E18" s="6">
        <v>51.9</v>
      </c>
      <c r="F18" s="6">
        <v>25.95</v>
      </c>
      <c r="G18" s="6">
        <v>2.2049999999999272</v>
      </c>
      <c r="O18" s="2"/>
    </row>
    <row r="20" spans="2:22" ht="13" thickBot="1">
      <c r="P20" t="s">
        <v>11</v>
      </c>
    </row>
    <row r="21" spans="2:22" ht="13.5" thickBot="1">
      <c r="C21" t="s">
        <v>11</v>
      </c>
      <c r="I21" s="13"/>
      <c r="P21" s="99" t="s">
        <v>12</v>
      </c>
      <c r="Q21" s="7" t="s">
        <v>13</v>
      </c>
      <c r="R21" s="7" t="s">
        <v>14</v>
      </c>
      <c r="S21" s="7" t="s">
        <v>15</v>
      </c>
      <c r="T21" s="7" t="s">
        <v>16</v>
      </c>
      <c r="U21" s="7" t="s">
        <v>17</v>
      </c>
      <c r="V21" s="7" t="s">
        <v>18</v>
      </c>
    </row>
    <row r="22" spans="2:22" ht="13">
      <c r="C22" s="99" t="s">
        <v>12</v>
      </c>
      <c r="D22" s="7" t="s">
        <v>13</v>
      </c>
      <c r="E22" s="7" t="s">
        <v>14</v>
      </c>
      <c r="F22" s="7" t="s">
        <v>15</v>
      </c>
      <c r="G22" s="7" t="s">
        <v>16</v>
      </c>
      <c r="H22" s="7" t="s">
        <v>17</v>
      </c>
      <c r="I22" s="21"/>
      <c r="P22" s="5" t="s">
        <v>44</v>
      </c>
      <c r="Q22" s="5">
        <v>32.27189374999999</v>
      </c>
      <c r="R22" s="5">
        <v>7</v>
      </c>
      <c r="S22" s="5">
        <v>4.6102705357142844</v>
      </c>
      <c r="T22" s="5">
        <v>6.9550277271545591</v>
      </c>
      <c r="U22" s="5">
        <v>6.9072427505665569E-3</v>
      </c>
      <c r="V22" s="5">
        <v>3.5004638552690563</v>
      </c>
    </row>
    <row r="23" spans="2:22">
      <c r="C23" s="5" t="s">
        <v>44</v>
      </c>
      <c r="D23" s="5">
        <v>47.410477777777785</v>
      </c>
      <c r="E23" s="22">
        <v>8</v>
      </c>
      <c r="F23" s="5">
        <v>5.9263097222222232</v>
      </c>
      <c r="G23" s="5">
        <v>1.8765394689854487</v>
      </c>
      <c r="H23" s="5">
        <v>0.18367497625629145</v>
      </c>
      <c r="I23" s="5"/>
      <c r="P23" s="5" t="s">
        <v>45</v>
      </c>
      <c r="Q23" s="5">
        <v>5.3029500000000009</v>
      </c>
      <c r="R23" s="5">
        <v>8</v>
      </c>
      <c r="S23" s="5">
        <v>0.66286875000000012</v>
      </c>
      <c r="T23" s="5"/>
      <c r="U23" s="5"/>
      <c r="V23" s="5"/>
    </row>
    <row r="24" spans="2:22">
      <c r="C24" s="5" t="s">
        <v>45</v>
      </c>
      <c r="D24" s="5">
        <v>28.422950000000025</v>
      </c>
      <c r="E24" s="22">
        <v>9</v>
      </c>
      <c r="F24" s="5">
        <v>3.1581055555555584</v>
      </c>
      <c r="G24" s="5"/>
      <c r="H24" s="5"/>
      <c r="I24" s="5"/>
      <c r="P24" s="5"/>
      <c r="Q24" s="5"/>
      <c r="R24" s="101" t="s">
        <v>31</v>
      </c>
      <c r="S24" s="5">
        <f>SQRT(S23)</f>
        <v>0.81416751961743117</v>
      </c>
      <c r="T24" s="5"/>
      <c r="U24" s="5"/>
      <c r="V24" s="5"/>
    </row>
    <row r="25" spans="2:22">
      <c r="C25" s="5"/>
      <c r="D25" s="5"/>
      <c r="E25" s="22"/>
      <c r="F25" s="5"/>
      <c r="G25" s="5"/>
      <c r="H25" s="5"/>
      <c r="I25" s="5"/>
      <c r="P25" s="5" t="s">
        <v>19</v>
      </c>
      <c r="Q25" s="5">
        <v>37.574843749999999</v>
      </c>
      <c r="R25" s="5">
        <v>15</v>
      </c>
      <c r="S25" s="5"/>
      <c r="T25" s="5"/>
      <c r="U25" s="5"/>
      <c r="V25" s="5"/>
    </row>
    <row r="26" spans="2:22" ht="13" thickBot="1">
      <c r="C26" s="6" t="s">
        <v>19</v>
      </c>
      <c r="D26" s="6">
        <v>75.833427777777814</v>
      </c>
      <c r="E26" s="23">
        <v>17</v>
      </c>
      <c r="F26" s="6"/>
      <c r="G26" s="6"/>
      <c r="H26" s="6"/>
      <c r="I26" s="5"/>
      <c r="P26" s="5"/>
      <c r="Q26" s="5"/>
      <c r="R26" s="5"/>
      <c r="S26" s="5"/>
      <c r="T26" s="5"/>
      <c r="U26" s="5"/>
      <c r="V26" s="5"/>
    </row>
    <row r="27" spans="2:22">
      <c r="I27" s="13"/>
      <c r="P27" s="13"/>
      <c r="Q27" s="13"/>
      <c r="R27" s="13"/>
      <c r="S27" s="13"/>
      <c r="T27" s="13"/>
      <c r="U27" s="13"/>
      <c r="V27" s="13"/>
    </row>
    <row r="28" spans="2:22">
      <c r="P28" s="13"/>
      <c r="Q28" s="13"/>
      <c r="R28" s="13"/>
      <c r="S28" s="13"/>
      <c r="T28" s="13"/>
      <c r="U28" s="13"/>
      <c r="V28" s="13"/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86"/>
  <sheetViews>
    <sheetView zoomScaleNormal="100" workbookViewId="0">
      <selection activeCell="E4" sqref="E4"/>
    </sheetView>
  </sheetViews>
  <sheetFormatPr defaultRowHeight="12.5"/>
  <cols>
    <col min="2" max="2" width="16.453125" style="2" bestFit="1" customWidth="1"/>
    <col min="3" max="3" width="6" bestFit="1" customWidth="1"/>
    <col min="4" max="4" width="11.7265625" bestFit="1" customWidth="1"/>
    <col min="5" max="5" width="11.54296875" style="2" customWidth="1"/>
    <col min="6" max="6" width="8" style="2" customWidth="1"/>
    <col min="7" max="7" width="9" style="2" customWidth="1"/>
    <col min="8" max="8" width="7.1796875" style="2" customWidth="1"/>
    <col min="9" max="9" width="7" style="2" customWidth="1"/>
    <col min="10" max="10" width="5.54296875" customWidth="1"/>
    <col min="11" max="11" width="11.453125" customWidth="1"/>
    <col min="12" max="12" width="9.81640625" customWidth="1"/>
    <col min="13" max="13" width="10.26953125" customWidth="1"/>
    <col min="14" max="14" width="9.26953125" customWidth="1"/>
    <col min="17" max="18" width="9.1796875" style="13" customWidth="1"/>
    <col min="19" max="19" width="6.81640625" style="13" customWidth="1"/>
    <col min="20" max="20" width="5.453125" style="13" customWidth="1"/>
    <col min="21" max="21" width="7.7265625" style="13" customWidth="1"/>
    <col min="22" max="22" width="9.1796875" style="13" customWidth="1"/>
    <col min="23" max="23" width="7.54296875" style="13" customWidth="1"/>
    <col min="24" max="28" width="9.1796875" style="13" customWidth="1"/>
  </cols>
  <sheetData>
    <row r="1" spans="2:24" ht="13">
      <c r="B1" s="112" t="s">
        <v>157</v>
      </c>
      <c r="D1" s="90"/>
      <c r="E1" s="136" t="s">
        <v>46</v>
      </c>
      <c r="F1" s="136"/>
      <c r="G1" s="136"/>
      <c r="H1" s="137"/>
      <c r="I1" s="136" t="s">
        <v>47</v>
      </c>
      <c r="J1" s="136"/>
      <c r="K1" s="136"/>
      <c r="L1" s="137"/>
      <c r="Q1" s="102"/>
      <c r="R1" s="20"/>
      <c r="S1" s="20"/>
      <c r="T1" s="20"/>
      <c r="U1" s="135"/>
      <c r="V1" s="135"/>
      <c r="W1" s="135"/>
      <c r="X1" s="135"/>
    </row>
    <row r="2" spans="2:24" ht="13">
      <c r="B2" s="112" t="s">
        <v>149</v>
      </c>
      <c r="D2" s="91" t="s">
        <v>28</v>
      </c>
      <c r="E2" s="133" t="s">
        <v>48</v>
      </c>
      <c r="F2" s="133"/>
      <c r="G2" s="133" t="s">
        <v>49</v>
      </c>
      <c r="H2" s="134"/>
      <c r="I2" s="133" t="s">
        <v>48</v>
      </c>
      <c r="J2" s="133"/>
      <c r="K2" s="133" t="s">
        <v>49</v>
      </c>
      <c r="L2" s="134"/>
      <c r="Q2" s="102"/>
      <c r="U2" s="12"/>
      <c r="V2" s="12"/>
      <c r="W2" s="12"/>
      <c r="X2" s="12"/>
    </row>
    <row r="3" spans="2:24" ht="13">
      <c r="B3" s="97"/>
      <c r="D3" s="92">
        <v>1</v>
      </c>
      <c r="E3" s="15">
        <v>0.24</v>
      </c>
      <c r="F3" s="15">
        <v>0.28000000000000003</v>
      </c>
      <c r="G3" s="15">
        <v>0.23499999999999999</v>
      </c>
      <c r="H3" s="16">
        <v>0.19500000000000001</v>
      </c>
      <c r="I3" s="88">
        <v>0.214</v>
      </c>
      <c r="J3" s="88">
        <v>0.26400000000000001</v>
      </c>
      <c r="K3" s="88">
        <v>0.23</v>
      </c>
      <c r="L3" s="89">
        <v>0.2</v>
      </c>
      <c r="U3" s="12"/>
      <c r="V3" s="12"/>
      <c r="W3" s="12"/>
      <c r="X3" s="12"/>
    </row>
    <row r="4" spans="2:24" ht="13">
      <c r="B4" s="97"/>
      <c r="D4" s="92">
        <v>2</v>
      </c>
      <c r="E4" s="15">
        <v>0.21</v>
      </c>
      <c r="F4" s="15">
        <v>0.39</v>
      </c>
      <c r="G4" s="15">
        <v>0.16</v>
      </c>
      <c r="H4" s="16">
        <v>0.14499999999999999</v>
      </c>
      <c r="I4" s="88">
        <v>0.222</v>
      </c>
      <c r="J4" s="88">
        <v>0.17499999999999999</v>
      </c>
      <c r="K4" s="88">
        <v>0.187</v>
      </c>
      <c r="L4" s="89">
        <v>0.187</v>
      </c>
      <c r="R4" s="103"/>
      <c r="S4" s="12"/>
      <c r="T4" s="12"/>
      <c r="U4" s="15"/>
      <c r="V4" s="15"/>
      <c r="W4" s="15"/>
      <c r="X4" s="15"/>
    </row>
    <row r="5" spans="2:24">
      <c r="D5" s="92">
        <v>3</v>
      </c>
      <c r="E5" s="15">
        <v>0.18</v>
      </c>
      <c r="F5" s="15">
        <v>0.23</v>
      </c>
      <c r="G5" s="15">
        <v>0.155</v>
      </c>
      <c r="H5" s="16">
        <v>0.17</v>
      </c>
      <c r="I5" s="88">
        <v>0.20300000000000001</v>
      </c>
      <c r="J5" s="88">
        <v>0.22600000000000001</v>
      </c>
      <c r="K5" s="88">
        <v>0.157</v>
      </c>
      <c r="L5" s="89">
        <v>0.13700000000000001</v>
      </c>
      <c r="U5" s="15"/>
      <c r="V5" s="15"/>
      <c r="W5" s="15"/>
      <c r="X5" s="15"/>
    </row>
    <row r="6" spans="2:24">
      <c r="D6" s="92">
        <v>4</v>
      </c>
      <c r="E6" s="15">
        <v>0.17</v>
      </c>
      <c r="F6" s="15">
        <v>0.11</v>
      </c>
      <c r="G6" s="15">
        <v>0.1</v>
      </c>
      <c r="H6" s="16">
        <v>0.13</v>
      </c>
      <c r="I6" s="88">
        <v>0.22</v>
      </c>
      <c r="J6" s="88">
        <v>0.21099999999999999</v>
      </c>
      <c r="K6" s="88">
        <v>0.17</v>
      </c>
      <c r="L6" s="89">
        <v>0.22700000000000001</v>
      </c>
      <c r="U6" s="15"/>
      <c r="V6" s="15"/>
      <c r="W6" s="15"/>
      <c r="X6" s="15"/>
    </row>
    <row r="7" spans="2:24">
      <c r="D7" s="92">
        <v>5</v>
      </c>
      <c r="E7" s="15">
        <v>7.0000000000000007E-2</v>
      </c>
      <c r="F7" s="15">
        <v>0.17</v>
      </c>
      <c r="G7" s="15">
        <v>0.12</v>
      </c>
      <c r="H7" s="16">
        <v>0.14499999999999999</v>
      </c>
      <c r="I7" s="88">
        <v>0.16300000000000001</v>
      </c>
      <c r="J7" s="88">
        <v>0.20399999999999999</v>
      </c>
      <c r="K7" s="88">
        <v>0.127</v>
      </c>
      <c r="L7" s="89">
        <v>0.153</v>
      </c>
      <c r="U7" s="15"/>
      <c r="V7" s="15"/>
      <c r="W7" s="15"/>
      <c r="X7" s="15"/>
    </row>
    <row r="8" spans="2:24">
      <c r="D8" s="93">
        <v>6</v>
      </c>
      <c r="E8" s="17">
        <v>0.13</v>
      </c>
      <c r="F8" s="17">
        <v>0.17</v>
      </c>
      <c r="G8" s="17">
        <v>8.5000000000000006E-2</v>
      </c>
      <c r="H8" s="18">
        <v>0.13</v>
      </c>
      <c r="I8" s="17">
        <v>0.17899999999999999</v>
      </c>
      <c r="J8" s="17">
        <v>0.161</v>
      </c>
      <c r="K8" s="17">
        <v>0.14000000000000001</v>
      </c>
      <c r="L8" s="18">
        <v>0.14699999999999999</v>
      </c>
      <c r="U8" s="15"/>
      <c r="V8" s="15"/>
      <c r="W8" s="15"/>
      <c r="X8" s="15"/>
    </row>
    <row r="9" spans="2:24">
      <c r="U9" s="15"/>
      <c r="V9" s="15"/>
      <c r="W9" s="15"/>
      <c r="X9" s="15"/>
    </row>
    <row r="10" spans="2:24" ht="13">
      <c r="D10" s="114"/>
      <c r="E10" s="115"/>
      <c r="F10" s="129" t="s">
        <v>158</v>
      </c>
      <c r="G10" s="115"/>
      <c r="H10" s="115"/>
      <c r="I10" s="116"/>
      <c r="U10" s="15"/>
      <c r="V10" s="15"/>
      <c r="W10" s="15"/>
      <c r="X10" s="15"/>
    </row>
    <row r="11" spans="2:24">
      <c r="D11" s="117"/>
      <c r="E11" s="12"/>
      <c r="F11" s="12"/>
      <c r="G11" s="12"/>
      <c r="H11" s="12"/>
      <c r="I11" s="118"/>
      <c r="U11" s="15"/>
      <c r="V11" s="15"/>
      <c r="W11" s="15"/>
      <c r="X11" s="15"/>
    </row>
    <row r="12" spans="2:24" ht="13">
      <c r="D12" s="130" t="s">
        <v>54</v>
      </c>
      <c r="E12" s="131"/>
      <c r="F12" s="131"/>
      <c r="G12" s="131"/>
      <c r="H12" s="131"/>
      <c r="I12" s="132"/>
      <c r="U12" s="19"/>
      <c r="V12" s="19"/>
      <c r="W12" s="19"/>
      <c r="X12" s="19"/>
    </row>
    <row r="13" spans="2:24" ht="13">
      <c r="D13" s="119" t="s">
        <v>30</v>
      </c>
      <c r="E13" s="113" t="s">
        <v>26</v>
      </c>
      <c r="F13" s="113" t="s">
        <v>13</v>
      </c>
      <c r="G13" s="113" t="s">
        <v>15</v>
      </c>
      <c r="H13" s="113" t="s">
        <v>16</v>
      </c>
      <c r="I13" s="120" t="s">
        <v>70</v>
      </c>
      <c r="R13" s="103"/>
      <c r="S13" s="12"/>
      <c r="T13" s="12"/>
      <c r="U13" s="15"/>
      <c r="V13" s="15"/>
      <c r="W13" s="15"/>
      <c r="X13" s="15"/>
    </row>
    <row r="14" spans="2:24">
      <c r="D14" s="117" t="s">
        <v>28</v>
      </c>
      <c r="E14" s="12">
        <v>5</v>
      </c>
      <c r="F14" s="121">
        <v>5.16E-2</v>
      </c>
      <c r="G14" s="122">
        <f>F14/E14</f>
        <v>1.0319999999999999E-2</v>
      </c>
      <c r="H14" s="15">
        <v>3.2229999999999999</v>
      </c>
      <c r="I14" s="16">
        <v>9.2999999999999999E-2</v>
      </c>
      <c r="U14" s="15"/>
      <c r="V14" s="15"/>
      <c r="W14" s="15"/>
      <c r="X14" s="15"/>
    </row>
    <row r="15" spans="2:24">
      <c r="D15" s="117" t="s">
        <v>20</v>
      </c>
      <c r="E15" s="12">
        <v>6</v>
      </c>
      <c r="F15" s="121">
        <v>1.9199999999999998E-2</v>
      </c>
      <c r="G15" s="122">
        <f>F15/E15</f>
        <v>3.1999999999999997E-3</v>
      </c>
      <c r="H15" s="15">
        <v>1.0580000000000001</v>
      </c>
      <c r="I15" s="16">
        <v>0.438</v>
      </c>
      <c r="U15" s="15"/>
      <c r="V15" s="15"/>
      <c r="W15" s="15"/>
      <c r="X15" s="15"/>
    </row>
    <row r="16" spans="2:24">
      <c r="D16" s="117" t="s">
        <v>29</v>
      </c>
      <c r="E16" s="12">
        <v>12</v>
      </c>
      <c r="F16" s="121">
        <v>3.6299999999999999E-2</v>
      </c>
      <c r="G16" s="122">
        <f>F16/E16</f>
        <v>3.0249999999999999E-3</v>
      </c>
      <c r="H16" s="15">
        <v>2.0790000000000002</v>
      </c>
      <c r="I16" s="16">
        <v>6.0999999999999999E-2</v>
      </c>
      <c r="U16" s="15"/>
      <c r="V16" s="15"/>
      <c r="W16" s="15"/>
      <c r="X16" s="15"/>
    </row>
    <row r="17" spans="4:24">
      <c r="D17" s="117" t="s">
        <v>27</v>
      </c>
      <c r="E17" s="12">
        <v>24</v>
      </c>
      <c r="F17" s="121">
        <v>3.49E-2</v>
      </c>
      <c r="G17" s="122">
        <f>F17/E17</f>
        <v>1.4541666666666668E-3</v>
      </c>
      <c r="H17" s="15" t="s">
        <v>76</v>
      </c>
      <c r="I17" s="16" t="s">
        <v>76</v>
      </c>
      <c r="U17" s="15"/>
      <c r="V17" s="15"/>
      <c r="W17" s="15"/>
      <c r="X17" s="15"/>
    </row>
    <row r="18" spans="4:24">
      <c r="D18" s="117" t="s">
        <v>19</v>
      </c>
      <c r="E18" s="12">
        <v>47</v>
      </c>
      <c r="F18" s="121">
        <v>0.1421</v>
      </c>
      <c r="G18" s="122" t="s">
        <v>76</v>
      </c>
      <c r="H18" s="12" t="s">
        <v>76</v>
      </c>
      <c r="I18" s="118" t="s">
        <v>76</v>
      </c>
      <c r="U18" s="15"/>
      <c r="V18" s="15"/>
      <c r="W18" s="15"/>
      <c r="X18" s="15"/>
    </row>
    <row r="19" spans="4:24">
      <c r="D19" s="117"/>
      <c r="E19" s="12"/>
      <c r="F19" s="12"/>
      <c r="G19" s="12"/>
      <c r="H19" s="12"/>
      <c r="I19" s="118"/>
      <c r="U19" s="15"/>
      <c r="V19" s="15"/>
      <c r="W19" s="15"/>
      <c r="X19" s="15"/>
    </row>
    <row r="20" spans="4:24">
      <c r="D20" s="117"/>
      <c r="E20" s="12"/>
      <c r="F20" s="12"/>
      <c r="G20" s="12"/>
      <c r="H20" s="12"/>
      <c r="I20" s="118"/>
      <c r="U20" s="15"/>
      <c r="V20" s="15"/>
      <c r="W20" s="15"/>
      <c r="X20" s="15"/>
    </row>
    <row r="21" spans="4:24" ht="13">
      <c r="D21" s="117"/>
      <c r="E21" s="131" t="s">
        <v>53</v>
      </c>
      <c r="F21" s="131"/>
      <c r="G21" s="131"/>
      <c r="H21" s="131"/>
      <c r="I21" s="118"/>
      <c r="U21" s="19"/>
      <c r="V21" s="19"/>
      <c r="W21" s="19"/>
      <c r="X21" s="19"/>
    </row>
    <row r="22" spans="4:24" ht="13">
      <c r="D22" s="117"/>
      <c r="E22" s="113" t="s">
        <v>30</v>
      </c>
      <c r="F22" s="113" t="s">
        <v>10</v>
      </c>
      <c r="G22" s="113" t="s">
        <v>50</v>
      </c>
      <c r="H22" s="113" t="s">
        <v>51</v>
      </c>
      <c r="I22" s="118"/>
      <c r="R22" s="103"/>
      <c r="S22" s="12"/>
      <c r="T22" s="12"/>
      <c r="U22" s="15"/>
      <c r="V22" s="15"/>
      <c r="W22" s="15"/>
      <c r="X22" s="15"/>
    </row>
    <row r="23" spans="4:24">
      <c r="D23" s="117"/>
      <c r="E23" s="13" t="s">
        <v>28</v>
      </c>
      <c r="F23" s="122">
        <f>(G14-G15)/8</f>
        <v>8.8999999999999995E-4</v>
      </c>
      <c r="G23" s="27">
        <f>100*F23/$F$27</f>
        <v>28.046218487394956</v>
      </c>
      <c r="H23" s="121">
        <f>SQRT(F23)</f>
        <v>2.9832867780352594E-2</v>
      </c>
      <c r="I23" s="118"/>
      <c r="U23" s="15"/>
      <c r="V23" s="15"/>
      <c r="W23" s="15"/>
      <c r="X23" s="15"/>
    </row>
    <row r="24" spans="4:24">
      <c r="D24" s="117"/>
      <c r="E24" s="13" t="s">
        <v>20</v>
      </c>
      <c r="F24" s="122">
        <f>(G15-G16)/4</f>
        <v>4.3749999999999952E-5</v>
      </c>
      <c r="G24" s="27">
        <f>100*F24/$F$27</f>
        <v>1.3786764705882337</v>
      </c>
      <c r="H24" s="121">
        <f>SQRT(F24)</f>
        <v>6.6143782776614726E-3</v>
      </c>
      <c r="I24" s="118"/>
      <c r="U24" s="15"/>
      <c r="V24" s="15"/>
      <c r="W24" s="15"/>
      <c r="X24" s="15"/>
    </row>
    <row r="25" spans="4:24">
      <c r="D25" s="117"/>
      <c r="E25" s="13" t="s">
        <v>29</v>
      </c>
      <c r="F25" s="122">
        <f>(G16-F26)/2</f>
        <v>7.8541666666666658E-4</v>
      </c>
      <c r="G25" s="27">
        <f>100*F25/$F$27</f>
        <v>24.750525210084032</v>
      </c>
      <c r="H25" s="121">
        <f>SQRT(F25)</f>
        <v>2.8025286201333727E-2</v>
      </c>
      <c r="I25" s="118"/>
      <c r="U25" s="15"/>
      <c r="V25" s="15"/>
      <c r="W25" s="15"/>
      <c r="X25" s="15"/>
    </row>
    <row r="26" spans="4:24">
      <c r="D26" s="117"/>
      <c r="E26" s="13" t="s">
        <v>52</v>
      </c>
      <c r="F26" s="122">
        <f>G17</f>
        <v>1.4541666666666668E-3</v>
      </c>
      <c r="G26" s="27">
        <f>100*F26/$F$27</f>
        <v>45.824579831932766</v>
      </c>
      <c r="H26" s="121">
        <f>SQRT(F26)</f>
        <v>3.8133537295491834E-2</v>
      </c>
      <c r="I26" s="118"/>
      <c r="U26" s="15"/>
      <c r="V26" s="15"/>
      <c r="W26" s="15"/>
      <c r="X26" s="15"/>
    </row>
    <row r="27" spans="4:24">
      <c r="D27" s="123"/>
      <c r="E27" s="124" t="s">
        <v>19</v>
      </c>
      <c r="F27" s="125">
        <f>SUM(F23:F26)</f>
        <v>3.1733333333333336E-3</v>
      </c>
      <c r="G27" s="126">
        <f>100*F27/$F$27</f>
        <v>100</v>
      </c>
      <c r="H27" s="127">
        <f>SQRT(F27)</f>
        <v>5.633234713140696E-2</v>
      </c>
      <c r="I27" s="128"/>
      <c r="U27" s="15"/>
      <c r="V27" s="15"/>
      <c r="W27" s="15"/>
      <c r="X27" s="15"/>
    </row>
    <row r="28" spans="4:24">
      <c r="E28"/>
      <c r="F28"/>
      <c r="G28"/>
      <c r="H28"/>
      <c r="U28" s="15"/>
      <c r="V28" s="15"/>
      <c r="W28" s="15"/>
      <c r="X28" s="15"/>
    </row>
    <row r="29" spans="4:24">
      <c r="U29" s="15"/>
      <c r="V29" s="15"/>
      <c r="W29" s="15"/>
      <c r="X29" s="15"/>
    </row>
    <row r="30" spans="4:24">
      <c r="U30" s="19"/>
      <c r="V30" s="19"/>
      <c r="W30" s="19"/>
      <c r="X30" s="19"/>
    </row>
    <row r="31" spans="4:24">
      <c r="R31" s="103"/>
      <c r="S31" s="12"/>
      <c r="T31" s="12"/>
      <c r="U31" s="15"/>
      <c r="V31" s="15"/>
      <c r="W31" s="15"/>
      <c r="X31" s="15"/>
    </row>
    <row r="32" spans="4:24">
      <c r="U32" s="15"/>
      <c r="V32" s="15"/>
      <c r="W32" s="15"/>
      <c r="X32" s="15"/>
    </row>
    <row r="33" spans="12:24">
      <c r="L33" t="s">
        <v>57</v>
      </c>
      <c r="U33" s="15"/>
      <c r="V33" s="15"/>
      <c r="W33" s="15"/>
      <c r="X33" s="15"/>
    </row>
    <row r="34" spans="12:24">
      <c r="L34" t="s">
        <v>46</v>
      </c>
      <c r="U34" s="15"/>
      <c r="V34" s="15"/>
      <c r="W34" s="15"/>
      <c r="X34" s="15"/>
    </row>
    <row r="35" spans="12:24">
      <c r="L35" t="s">
        <v>5</v>
      </c>
      <c r="M35" s="2" t="s">
        <v>55</v>
      </c>
      <c r="N35" s="2" t="s">
        <v>56</v>
      </c>
      <c r="O35" s="2" t="s">
        <v>19</v>
      </c>
      <c r="U35" s="15"/>
      <c r="V35" s="15"/>
      <c r="W35" s="15"/>
      <c r="X35" s="15"/>
    </row>
    <row r="36" spans="12:24" ht="13.5" thickBot="1">
      <c r="L36" s="31">
        <v>1</v>
      </c>
      <c r="M36" s="31"/>
      <c r="N36" s="31"/>
      <c r="O36" s="31"/>
      <c r="U36" s="15"/>
      <c r="V36" s="15"/>
      <c r="W36" s="15"/>
      <c r="X36" s="15"/>
    </row>
    <row r="37" spans="12:24">
      <c r="L37" s="5" t="s">
        <v>7</v>
      </c>
      <c r="M37" s="5">
        <v>2</v>
      </c>
      <c r="N37" s="5">
        <v>2</v>
      </c>
      <c r="O37" s="5">
        <v>4</v>
      </c>
      <c r="U37" s="15"/>
      <c r="V37" s="15"/>
      <c r="W37" s="15"/>
      <c r="X37" s="15"/>
    </row>
    <row r="38" spans="12:24">
      <c r="L38" s="5" t="s">
        <v>8</v>
      </c>
      <c r="M38" s="5">
        <v>0.52</v>
      </c>
      <c r="N38" s="5">
        <v>0.43</v>
      </c>
      <c r="O38" s="5">
        <v>0.95</v>
      </c>
      <c r="U38" s="15"/>
      <c r="V38" s="15"/>
      <c r="W38" s="15"/>
      <c r="X38" s="15"/>
    </row>
    <row r="39" spans="12:24">
      <c r="L39" s="5" t="s">
        <v>9</v>
      </c>
      <c r="M39" s="5">
        <v>0.26</v>
      </c>
      <c r="N39" s="5">
        <v>0.215</v>
      </c>
      <c r="O39" s="5">
        <v>0.23749999999999999</v>
      </c>
      <c r="U39" s="19"/>
      <c r="V39" s="19"/>
      <c r="W39" s="19"/>
      <c r="X39" s="19"/>
    </row>
    <row r="40" spans="12:24">
      <c r="L40" s="5" t="s">
        <v>10</v>
      </c>
      <c r="M40" s="5">
        <v>7.9999999999999516E-4</v>
      </c>
      <c r="N40" s="5">
        <v>8.0000000000000904E-4</v>
      </c>
      <c r="O40" s="5">
        <v>1.208333333333339E-3</v>
      </c>
      <c r="R40" s="103"/>
      <c r="S40" s="12"/>
      <c r="T40" s="12"/>
      <c r="U40" s="19"/>
      <c r="V40" s="19"/>
      <c r="W40" s="19"/>
      <c r="X40" s="19"/>
    </row>
    <row r="41" spans="12:24">
      <c r="L41" s="5"/>
      <c r="M41" s="5"/>
      <c r="N41" s="5"/>
      <c r="O41" s="5"/>
      <c r="U41" s="19"/>
      <c r="V41" s="19"/>
      <c r="W41" s="19"/>
      <c r="X41" s="19"/>
    </row>
    <row r="42" spans="12:24" ht="13.5" thickBot="1">
      <c r="L42" s="31">
        <v>2</v>
      </c>
      <c r="M42" s="31"/>
      <c r="N42" s="31"/>
      <c r="O42" s="31"/>
      <c r="U42" s="19"/>
      <c r="V42" s="19"/>
      <c r="W42" s="19"/>
      <c r="X42" s="19"/>
    </row>
    <row r="43" spans="12:24">
      <c r="L43" s="5" t="s">
        <v>7</v>
      </c>
      <c r="M43" s="5">
        <v>2</v>
      </c>
      <c r="N43" s="5">
        <v>2</v>
      </c>
      <c r="O43" s="5">
        <v>4</v>
      </c>
      <c r="U43" s="19"/>
      <c r="V43" s="19"/>
      <c r="W43" s="19"/>
      <c r="X43" s="19"/>
    </row>
    <row r="44" spans="12:24">
      <c r="L44" s="5" t="s">
        <v>8</v>
      </c>
      <c r="M44" s="5">
        <v>0.6</v>
      </c>
      <c r="N44" s="5">
        <v>0.30499999999999999</v>
      </c>
      <c r="O44" s="5">
        <v>0.90500000000000003</v>
      </c>
      <c r="U44" s="19"/>
      <c r="V44" s="19"/>
      <c r="W44" s="19"/>
      <c r="X44" s="19"/>
    </row>
    <row r="45" spans="12:24">
      <c r="L45" s="5" t="s">
        <v>9</v>
      </c>
      <c r="M45" s="5">
        <v>0.3</v>
      </c>
      <c r="N45" s="5">
        <v>0.1525</v>
      </c>
      <c r="O45" s="5">
        <v>0.22625000000000001</v>
      </c>
      <c r="U45" s="19"/>
      <c r="V45" s="19"/>
      <c r="W45" s="19"/>
      <c r="X45" s="19"/>
    </row>
    <row r="46" spans="12:24">
      <c r="L46" s="5" t="s">
        <v>10</v>
      </c>
      <c r="M46" s="5">
        <v>1.620000000000002E-2</v>
      </c>
      <c r="N46" s="5">
        <v>1.125000000000002E-4</v>
      </c>
      <c r="O46" s="5">
        <v>1.2689583333333329E-2</v>
      </c>
      <c r="U46" s="19"/>
      <c r="V46" s="19"/>
      <c r="W46" s="19"/>
      <c r="X46" s="19"/>
    </row>
    <row r="47" spans="12:24">
      <c r="L47" s="5"/>
      <c r="M47" s="5"/>
      <c r="N47" s="5"/>
      <c r="O47" s="5"/>
      <c r="U47" s="19"/>
      <c r="V47" s="19"/>
      <c r="W47" s="19"/>
      <c r="X47" s="19"/>
    </row>
    <row r="48" spans="12:24" ht="13.5" thickBot="1">
      <c r="L48" s="31">
        <v>3</v>
      </c>
      <c r="M48" s="31"/>
      <c r="N48" s="31"/>
      <c r="O48" s="31"/>
      <c r="U48" s="19"/>
      <c r="V48" s="19"/>
      <c r="W48" s="19"/>
      <c r="X48" s="19"/>
    </row>
    <row r="49" spans="12:24">
      <c r="L49" s="5" t="s">
        <v>7</v>
      </c>
      <c r="M49" s="5">
        <v>2</v>
      </c>
      <c r="N49" s="5">
        <v>2</v>
      </c>
      <c r="O49" s="5">
        <v>4</v>
      </c>
      <c r="R49" s="103"/>
      <c r="S49" s="12"/>
      <c r="T49" s="12"/>
      <c r="U49" s="19"/>
      <c r="V49" s="19"/>
      <c r="W49" s="19"/>
      <c r="X49" s="19"/>
    </row>
    <row r="50" spans="12:24">
      <c r="L50" s="5" t="s">
        <v>8</v>
      </c>
      <c r="M50" s="5">
        <v>0.41</v>
      </c>
      <c r="N50" s="5">
        <v>0.32500000000000001</v>
      </c>
      <c r="O50" s="5">
        <v>0.73499999999999999</v>
      </c>
      <c r="U50" s="19"/>
      <c r="V50" s="19"/>
      <c r="W50" s="19"/>
      <c r="X50" s="19"/>
    </row>
    <row r="51" spans="12:24">
      <c r="L51" s="5" t="s">
        <v>9</v>
      </c>
      <c r="M51" s="5">
        <v>0.20499999999999999</v>
      </c>
      <c r="N51" s="5">
        <v>0.16250000000000001</v>
      </c>
      <c r="O51" s="5">
        <v>0.18375</v>
      </c>
      <c r="U51" s="19"/>
      <c r="V51" s="19"/>
      <c r="W51" s="19"/>
      <c r="X51" s="19"/>
    </row>
    <row r="52" spans="12:24">
      <c r="L52" s="5" t="s">
        <v>10</v>
      </c>
      <c r="M52" s="5">
        <v>1.2499999999999872E-3</v>
      </c>
      <c r="N52" s="5">
        <v>1.125000000000002E-4</v>
      </c>
      <c r="O52" s="5">
        <v>1.0562500000000086E-3</v>
      </c>
      <c r="U52" s="19"/>
      <c r="V52" s="19"/>
      <c r="W52" s="19"/>
      <c r="X52" s="19"/>
    </row>
    <row r="53" spans="12:24">
      <c r="L53" s="5"/>
      <c r="M53" s="5"/>
      <c r="N53" s="5"/>
      <c r="O53" s="5"/>
      <c r="U53" s="19"/>
      <c r="V53" s="19"/>
      <c r="W53" s="19"/>
      <c r="X53" s="19"/>
    </row>
    <row r="54" spans="12:24" ht="13.5" thickBot="1">
      <c r="L54" s="31">
        <v>4</v>
      </c>
      <c r="M54" s="31"/>
      <c r="N54" s="31"/>
      <c r="O54" s="31"/>
      <c r="U54" s="19"/>
      <c r="V54" s="19"/>
      <c r="W54" s="19"/>
      <c r="X54" s="19"/>
    </row>
    <row r="55" spans="12:24">
      <c r="L55" s="5" t="s">
        <v>7</v>
      </c>
      <c r="M55" s="5">
        <v>2</v>
      </c>
      <c r="N55" s="5">
        <v>2</v>
      </c>
      <c r="O55" s="5">
        <v>4</v>
      </c>
      <c r="U55" s="19"/>
      <c r="V55" s="19"/>
      <c r="W55" s="19"/>
      <c r="X55" s="19"/>
    </row>
    <row r="56" spans="12:24">
      <c r="L56" s="5" t="s">
        <v>8</v>
      </c>
      <c r="M56" s="5">
        <v>0.28000000000000003</v>
      </c>
      <c r="N56" s="5">
        <v>0.23</v>
      </c>
      <c r="O56" s="5">
        <v>0.51</v>
      </c>
      <c r="U56" s="19"/>
      <c r="V56" s="19"/>
      <c r="W56" s="19"/>
      <c r="X56" s="19"/>
    </row>
    <row r="57" spans="12:24">
      <c r="L57" s="5" t="s">
        <v>9</v>
      </c>
      <c r="M57" s="5">
        <v>0.14000000000000001</v>
      </c>
      <c r="N57" s="5">
        <v>0.115</v>
      </c>
      <c r="O57" s="5">
        <v>0.1275</v>
      </c>
      <c r="U57" s="19"/>
      <c r="V57" s="19"/>
      <c r="W57" s="19"/>
      <c r="X57" s="19"/>
    </row>
    <row r="58" spans="12:24">
      <c r="L58" s="5" t="s">
        <v>10</v>
      </c>
      <c r="M58" s="5">
        <v>1.800000000000003E-3</v>
      </c>
      <c r="N58" s="5">
        <v>4.5000000000000248E-4</v>
      </c>
      <c r="O58" s="5">
        <v>9.5833333333333415E-4</v>
      </c>
      <c r="U58" s="19"/>
      <c r="V58" s="19"/>
      <c r="W58" s="19"/>
      <c r="X58" s="19"/>
    </row>
    <row r="59" spans="12:24">
      <c r="L59" s="5"/>
      <c r="M59" s="5"/>
      <c r="N59" s="5"/>
      <c r="O59" s="5"/>
      <c r="U59" s="19"/>
      <c r="V59" s="19"/>
      <c r="W59" s="19"/>
      <c r="X59" s="19"/>
    </row>
    <row r="60" spans="12:24" ht="13.5" thickBot="1">
      <c r="L60" s="31">
        <v>5</v>
      </c>
      <c r="M60" s="31"/>
      <c r="N60" s="31"/>
      <c r="O60" s="31"/>
      <c r="U60" s="19"/>
      <c r="V60" s="19"/>
      <c r="W60" s="19"/>
      <c r="X60" s="19"/>
    </row>
    <row r="61" spans="12:24">
      <c r="L61" s="5" t="s">
        <v>7</v>
      </c>
      <c r="M61" s="5">
        <v>2</v>
      </c>
      <c r="N61" s="5">
        <v>2</v>
      </c>
      <c r="O61" s="5">
        <v>4</v>
      </c>
      <c r="U61" s="19"/>
      <c r="V61" s="19"/>
      <c r="W61" s="19"/>
      <c r="X61" s="19"/>
    </row>
    <row r="62" spans="12:24">
      <c r="L62" s="5" t="s">
        <v>8</v>
      </c>
      <c r="M62" s="5">
        <v>0.24</v>
      </c>
      <c r="N62" s="5">
        <v>0.26500000000000001</v>
      </c>
      <c r="O62" s="5">
        <v>0.505</v>
      </c>
      <c r="U62" s="19"/>
      <c r="V62" s="19"/>
      <c r="W62" s="19"/>
      <c r="X62" s="19"/>
    </row>
    <row r="63" spans="12:24">
      <c r="L63" s="5" t="s">
        <v>9</v>
      </c>
      <c r="M63" s="5">
        <v>0.12</v>
      </c>
      <c r="N63" s="5">
        <v>0.13250000000000001</v>
      </c>
      <c r="O63" s="5">
        <v>0.12625</v>
      </c>
      <c r="U63" s="19"/>
      <c r="V63" s="19"/>
      <c r="W63" s="19"/>
      <c r="X63" s="19"/>
    </row>
    <row r="64" spans="12:24">
      <c r="L64" s="5" t="s">
        <v>10</v>
      </c>
      <c r="M64" s="5">
        <v>5.0000000000000001E-3</v>
      </c>
      <c r="N64" s="5">
        <v>3.1249999999999334E-4</v>
      </c>
      <c r="O64" s="5">
        <v>1.8229166666666695E-3</v>
      </c>
      <c r="U64" s="19"/>
      <c r="V64" s="19"/>
      <c r="W64" s="19"/>
      <c r="X64" s="19"/>
    </row>
    <row r="65" spans="12:24">
      <c r="L65" s="5"/>
      <c r="M65" s="5"/>
      <c r="N65" s="5"/>
      <c r="O65" s="5"/>
      <c r="U65" s="19"/>
      <c r="V65" s="19"/>
      <c r="W65" s="19"/>
      <c r="X65" s="19"/>
    </row>
    <row r="66" spans="12:24" ht="13.5" thickBot="1">
      <c r="L66" s="31">
        <v>6</v>
      </c>
      <c r="M66" s="31"/>
      <c r="N66" s="31"/>
      <c r="O66" s="31"/>
      <c r="U66" s="19"/>
      <c r="V66" s="19"/>
      <c r="W66" s="19"/>
      <c r="X66" s="19"/>
    </row>
    <row r="67" spans="12:24">
      <c r="L67" s="5" t="s">
        <v>7</v>
      </c>
      <c r="M67" s="5">
        <v>2</v>
      </c>
      <c r="N67" s="5">
        <v>2</v>
      </c>
      <c r="O67" s="5">
        <v>4</v>
      </c>
      <c r="U67" s="19"/>
      <c r="V67" s="19"/>
      <c r="W67" s="19"/>
      <c r="X67" s="19"/>
    </row>
    <row r="68" spans="12:24">
      <c r="L68" s="5" t="s">
        <v>8</v>
      </c>
      <c r="M68" s="5">
        <v>0.3</v>
      </c>
      <c r="N68" s="5">
        <v>0.215</v>
      </c>
      <c r="O68" s="5">
        <v>0.51500000000000001</v>
      </c>
      <c r="U68" s="19"/>
      <c r="V68" s="19"/>
      <c r="W68" s="19"/>
      <c r="X68" s="19"/>
    </row>
    <row r="69" spans="12:24">
      <c r="L69" s="5" t="s">
        <v>9</v>
      </c>
      <c r="M69" s="5">
        <v>0.15</v>
      </c>
      <c r="N69" s="5">
        <v>0.1075</v>
      </c>
      <c r="O69" s="5">
        <v>0.12875</v>
      </c>
      <c r="U69" s="19"/>
      <c r="V69" s="19"/>
      <c r="W69" s="19"/>
      <c r="X69" s="19"/>
    </row>
    <row r="70" spans="12:24">
      <c r="L70" s="5" t="s">
        <v>10</v>
      </c>
      <c r="M70" s="5">
        <v>7.9999999999999516E-4</v>
      </c>
      <c r="N70" s="5">
        <v>1.0124999999999995E-3</v>
      </c>
      <c r="O70" s="5">
        <v>1.2062500000000059E-3</v>
      </c>
      <c r="U70" s="19"/>
      <c r="V70" s="19"/>
      <c r="W70" s="19"/>
      <c r="X70" s="19"/>
    </row>
    <row r="71" spans="12:24">
      <c r="L71" s="5"/>
      <c r="M71" s="5"/>
      <c r="N71" s="5"/>
      <c r="O71" s="5"/>
      <c r="U71" s="19"/>
      <c r="V71" s="19"/>
      <c r="W71" s="19"/>
      <c r="X71" s="19"/>
    </row>
    <row r="72" spans="12:24" ht="13.5" thickBot="1">
      <c r="L72" s="31" t="s">
        <v>19</v>
      </c>
      <c r="M72" s="31"/>
      <c r="N72" s="31"/>
      <c r="O72" s="31"/>
      <c r="P72" s="31"/>
      <c r="Q72" s="32"/>
      <c r="R72" s="32"/>
      <c r="U72" s="19"/>
      <c r="V72" s="19"/>
      <c r="W72" s="19"/>
      <c r="X72" s="19"/>
    </row>
    <row r="73" spans="12:24">
      <c r="L73" s="5" t="s">
        <v>7</v>
      </c>
      <c r="M73" s="5">
        <v>12</v>
      </c>
      <c r="N73" s="5">
        <v>12</v>
      </c>
      <c r="O73" s="5"/>
      <c r="P73" s="5"/>
      <c r="Q73" s="5"/>
      <c r="R73" s="5"/>
    </row>
    <row r="74" spans="12:24">
      <c r="L74" s="5" t="s">
        <v>8</v>
      </c>
      <c r="M74" s="5">
        <v>2.35</v>
      </c>
      <c r="N74" s="5">
        <v>1.77</v>
      </c>
      <c r="O74" s="5"/>
      <c r="P74" s="5"/>
      <c r="Q74" s="5"/>
      <c r="R74" s="5"/>
    </row>
    <row r="75" spans="12:24">
      <c r="L75" s="5" t="s">
        <v>9</v>
      </c>
      <c r="M75" s="5">
        <v>0.19583333333333333</v>
      </c>
      <c r="N75" s="5">
        <v>0.14749999999999999</v>
      </c>
      <c r="O75" s="5"/>
      <c r="P75" s="5"/>
      <c r="Q75" s="5"/>
      <c r="R75" s="5"/>
    </row>
    <row r="76" spans="12:24">
      <c r="L76" s="5" t="s">
        <v>10</v>
      </c>
      <c r="M76" s="5">
        <v>7.0810606060606037E-3</v>
      </c>
      <c r="N76" s="5">
        <v>1.6522727272727271E-3</v>
      </c>
      <c r="O76" s="5"/>
      <c r="P76" s="5"/>
      <c r="Q76" s="5"/>
      <c r="R76" s="5"/>
    </row>
    <row r="77" spans="12:24">
      <c r="L77" s="5"/>
      <c r="M77" s="5"/>
      <c r="N77" s="5"/>
      <c r="O77" s="5"/>
      <c r="P77" s="5"/>
      <c r="Q77" s="5"/>
      <c r="R77" s="5"/>
    </row>
    <row r="79" spans="12:24" ht="13" thickBot="1">
      <c r="L79" t="s">
        <v>11</v>
      </c>
    </row>
    <row r="80" spans="12:24" ht="13">
      <c r="L80" s="7" t="s">
        <v>12</v>
      </c>
      <c r="M80" s="7" t="s">
        <v>13</v>
      </c>
      <c r="N80" s="7" t="s">
        <v>14</v>
      </c>
      <c r="O80" s="7" t="s">
        <v>15</v>
      </c>
      <c r="P80" s="7" t="s">
        <v>17</v>
      </c>
      <c r="Q80" s="21"/>
    </row>
    <row r="81" spans="12:17">
      <c r="L81" s="5" t="s">
        <v>23</v>
      </c>
      <c r="M81" s="5">
        <v>5.3258333333333338E-2</v>
      </c>
      <c r="N81" s="5">
        <v>5</v>
      </c>
      <c r="O81" s="5">
        <v>1.0651666666666667E-2</v>
      </c>
      <c r="P81" s="5">
        <v>7.2370031659441296E-3</v>
      </c>
      <c r="Q81" s="5"/>
    </row>
    <row r="82" spans="12:17">
      <c r="L82" s="5" t="s">
        <v>58</v>
      </c>
      <c r="M82" s="5">
        <v>1.4016666666666677E-2</v>
      </c>
      <c r="N82" s="5">
        <v>1</v>
      </c>
      <c r="O82" s="5">
        <v>1.4016666666666677E-2</v>
      </c>
      <c r="P82" s="5">
        <v>5.4120628104219123E-3</v>
      </c>
      <c r="Q82" s="5"/>
    </row>
    <row r="83" spans="12:17">
      <c r="L83" s="5" t="s">
        <v>59</v>
      </c>
      <c r="M83" s="5">
        <v>1.4158333333333325E-2</v>
      </c>
      <c r="N83" s="5">
        <v>5</v>
      </c>
      <c r="O83" s="5">
        <v>2.8316666666666651E-3</v>
      </c>
      <c r="P83" s="5">
        <v>0.56317825370121288</v>
      </c>
      <c r="Q83" s="5"/>
    </row>
    <row r="84" spans="12:17">
      <c r="L84" s="5" t="s">
        <v>60</v>
      </c>
      <c r="M84" s="5">
        <v>2.8650000000000012E-2</v>
      </c>
      <c r="N84" s="5">
        <v>12</v>
      </c>
      <c r="O84" s="5">
        <v>2.3875000000000012E-3</v>
      </c>
      <c r="P84" s="5"/>
      <c r="Q84" s="5"/>
    </row>
    <row r="85" spans="12:17">
      <c r="L85" s="5"/>
      <c r="M85" s="5"/>
      <c r="N85" s="5"/>
      <c r="O85" s="5"/>
      <c r="P85" s="5"/>
      <c r="Q85" s="5"/>
    </row>
    <row r="86" spans="12:17" ht="13" thickBot="1">
      <c r="L86" s="6" t="s">
        <v>19</v>
      </c>
      <c r="M86" s="6">
        <v>0.11008333333333335</v>
      </c>
      <c r="N86" s="6">
        <v>23</v>
      </c>
      <c r="O86" s="6"/>
      <c r="P86" s="6"/>
      <c r="Q86" s="5"/>
    </row>
  </sheetData>
  <mergeCells count="10">
    <mergeCell ref="D12:I12"/>
    <mergeCell ref="E21:H21"/>
    <mergeCell ref="K2:L2"/>
    <mergeCell ref="U1:V1"/>
    <mergeCell ref="W1:X1"/>
    <mergeCell ref="E1:H1"/>
    <mergeCell ref="I1:L1"/>
    <mergeCell ref="E2:F2"/>
    <mergeCell ref="G2:H2"/>
    <mergeCell ref="I2:J2"/>
  </mergeCells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zoomScaleNormal="100" workbookViewId="0">
      <selection activeCell="A3" sqref="A3"/>
    </sheetView>
  </sheetViews>
  <sheetFormatPr defaultRowHeight="12.5"/>
  <cols>
    <col min="2" max="2" width="21.26953125" bestFit="1" customWidth="1"/>
    <col min="6" max="6" width="10.54296875" bestFit="1" customWidth="1"/>
    <col min="7" max="7" width="18.54296875" bestFit="1" customWidth="1"/>
    <col min="9" max="9" width="9.26953125" bestFit="1" customWidth="1"/>
    <col min="10" max="10" width="8.54296875" bestFit="1" customWidth="1"/>
    <col min="11" max="11" width="7" customWidth="1"/>
    <col min="12" max="12" width="7.54296875" customWidth="1"/>
  </cols>
  <sheetData>
    <row r="1" spans="2:12" ht="13">
      <c r="B1" s="1" t="s">
        <v>150</v>
      </c>
      <c r="C1" s="3" t="s">
        <v>23</v>
      </c>
      <c r="D1" s="3" t="s">
        <v>61</v>
      </c>
      <c r="E1" s="3" t="s">
        <v>62</v>
      </c>
      <c r="F1" s="3"/>
      <c r="G1" s="3"/>
      <c r="H1" s="3"/>
    </row>
    <row r="2" spans="2:12" ht="13">
      <c r="B2" s="1"/>
      <c r="C2" s="2">
        <v>1</v>
      </c>
      <c r="D2" s="4">
        <v>8</v>
      </c>
      <c r="E2" s="4">
        <v>6.2</v>
      </c>
      <c r="F2" s="4"/>
      <c r="H2" s="4"/>
    </row>
    <row r="3" spans="2:12" ht="13">
      <c r="B3" s="1"/>
      <c r="C3" s="2">
        <v>1</v>
      </c>
      <c r="D3" s="4">
        <v>7.4</v>
      </c>
      <c r="E3" s="4">
        <v>7.4</v>
      </c>
      <c r="F3" s="4"/>
      <c r="G3" s="138" t="s">
        <v>54</v>
      </c>
      <c r="H3" s="138"/>
      <c r="I3" s="138"/>
      <c r="J3" s="138"/>
      <c r="K3" s="138"/>
      <c r="L3" s="138"/>
    </row>
    <row r="4" spans="2:12" ht="13">
      <c r="B4" s="1"/>
      <c r="C4" s="2">
        <v>1</v>
      </c>
      <c r="D4" s="4">
        <v>7.8</v>
      </c>
      <c r="E4" s="4">
        <v>6.9</v>
      </c>
      <c r="F4" s="4"/>
      <c r="G4" s="36" t="s">
        <v>67</v>
      </c>
      <c r="H4" s="38" t="s">
        <v>13</v>
      </c>
      <c r="I4" s="3" t="s">
        <v>26</v>
      </c>
      <c r="J4" s="38" t="s">
        <v>15</v>
      </c>
      <c r="K4" s="38" t="s">
        <v>16</v>
      </c>
      <c r="L4" s="38" t="s">
        <v>70</v>
      </c>
    </row>
    <row r="5" spans="2:12">
      <c r="C5" s="2">
        <v>2</v>
      </c>
      <c r="D5" s="4">
        <v>7.7</v>
      </c>
      <c r="E5" s="4">
        <v>5.7</v>
      </c>
      <c r="F5" s="4"/>
      <c r="G5" s="28" t="s">
        <v>68</v>
      </c>
      <c r="H5" s="14">
        <f>SUMSQ(D11:E11)/(D15*D16)-D23^2/(D14*D15*D16)</f>
        <v>2.8005555555557748</v>
      </c>
      <c r="I5" s="2">
        <f>D14-1</f>
        <v>1</v>
      </c>
      <c r="J5" s="14">
        <f>H5/I5</f>
        <v>2.8005555555557748</v>
      </c>
      <c r="K5" s="14">
        <f>J5/J6</f>
        <v>1.1204712158258436</v>
      </c>
      <c r="L5" s="14">
        <f>FDIST(K5,I5,I6)</f>
        <v>0.34950465421583454</v>
      </c>
    </row>
    <row r="6" spans="2:12">
      <c r="B6" s="35"/>
      <c r="C6" s="2">
        <v>2</v>
      </c>
      <c r="D6" s="4">
        <v>7.3</v>
      </c>
      <c r="E6" s="4">
        <v>5.8</v>
      </c>
      <c r="F6" s="4"/>
      <c r="G6" s="28" t="s">
        <v>69</v>
      </c>
      <c r="H6" s="14">
        <f>SUMSQ(D19:E21)/D16-SUMSQ(D11:E11)/(D15*D16)</f>
        <v>9.9977777777776282</v>
      </c>
      <c r="I6" s="2">
        <f>D14*(D15-1)</f>
        <v>4</v>
      </c>
      <c r="J6" s="14">
        <f>H6/I6</f>
        <v>2.4994444444444071</v>
      </c>
      <c r="K6" s="14">
        <f>J6/J7</f>
        <v>4.8480603448274691</v>
      </c>
      <c r="L6" s="14">
        <f>FDIST(K6,I6,I7)</f>
        <v>1.468405560612867E-2</v>
      </c>
    </row>
    <row r="7" spans="2:12">
      <c r="B7" s="35"/>
      <c r="C7" s="2">
        <v>2</v>
      </c>
      <c r="D7" s="4">
        <v>5.0999999999999996</v>
      </c>
      <c r="E7" s="4">
        <v>5.2</v>
      </c>
      <c r="F7" s="4"/>
      <c r="G7" s="28" t="s">
        <v>72</v>
      </c>
      <c r="H7" s="14">
        <f>SUMSQ(D2:E10)-SUMSQ(D19:E21)/D16</f>
        <v>6.1866666666667243</v>
      </c>
      <c r="I7" s="2">
        <f>D14*D15*(D16-1)</f>
        <v>12</v>
      </c>
      <c r="J7" s="14">
        <f>H7/I7</f>
        <v>0.51555555555556032</v>
      </c>
      <c r="K7" s="14" t="s">
        <v>76</v>
      </c>
      <c r="L7" s="14" t="s">
        <v>76</v>
      </c>
    </row>
    <row r="8" spans="2:12">
      <c r="C8" s="2">
        <v>3</v>
      </c>
      <c r="D8" s="4">
        <v>5.8</v>
      </c>
      <c r="E8" s="4">
        <v>5.4</v>
      </c>
      <c r="F8" s="4"/>
      <c r="G8" s="28" t="s">
        <v>19</v>
      </c>
      <c r="H8" s="14">
        <f>SUMSQ(D2:E10)-SUM(D2:E10)^2/D12</f>
        <v>18.985000000000127</v>
      </c>
      <c r="I8" s="2">
        <f>D12-1</f>
        <v>17</v>
      </c>
      <c r="J8" s="14" t="s">
        <v>76</v>
      </c>
      <c r="K8" s="14" t="s">
        <v>76</v>
      </c>
      <c r="L8" s="14" t="s">
        <v>76</v>
      </c>
    </row>
    <row r="9" spans="2:12">
      <c r="C9" s="2">
        <v>3</v>
      </c>
      <c r="D9" s="4">
        <v>5.6</v>
      </c>
      <c r="E9" s="4">
        <v>6.1</v>
      </c>
      <c r="F9" s="4"/>
      <c r="G9" s="4"/>
      <c r="H9" s="4"/>
      <c r="I9" s="2"/>
      <c r="J9" s="2"/>
      <c r="K9" s="2"/>
      <c r="L9" s="2"/>
    </row>
    <row r="10" spans="2:12">
      <c r="C10" s="2">
        <v>3</v>
      </c>
      <c r="D10" s="4">
        <v>5.7</v>
      </c>
      <c r="E10" s="4">
        <v>4.5999999999999996</v>
      </c>
      <c r="G10" s="4"/>
      <c r="H10" s="4"/>
      <c r="I10" s="2"/>
      <c r="J10" s="2"/>
      <c r="K10" s="2"/>
      <c r="L10" s="2"/>
    </row>
    <row r="11" spans="2:12">
      <c r="C11" s="29" t="s">
        <v>74</v>
      </c>
      <c r="D11" s="4">
        <f>SUM(D2:D10)</f>
        <v>60.4</v>
      </c>
      <c r="E11" s="4">
        <f>SUM(E2:E10)</f>
        <v>53.300000000000004</v>
      </c>
      <c r="H11" s="4"/>
      <c r="I11" s="37"/>
      <c r="J11" s="37"/>
      <c r="K11" s="37"/>
    </row>
    <row r="12" spans="2:12" ht="13">
      <c r="C12" s="2" t="s">
        <v>64</v>
      </c>
      <c r="D12" s="2">
        <f>COUNT(D2:E10)</f>
        <v>18</v>
      </c>
      <c r="E12" s="2"/>
      <c r="F12" s="2"/>
      <c r="G12" s="139" t="s">
        <v>53</v>
      </c>
      <c r="H12" s="139"/>
      <c r="I12" s="139"/>
      <c r="J12" s="139"/>
    </row>
    <row r="13" spans="2:12" ht="13">
      <c r="G13" s="36" t="s">
        <v>67</v>
      </c>
      <c r="H13" s="3" t="s">
        <v>10</v>
      </c>
      <c r="I13" s="3" t="s">
        <v>50</v>
      </c>
      <c r="J13" s="3" t="s">
        <v>77</v>
      </c>
    </row>
    <row r="14" spans="2:12">
      <c r="C14" s="29" t="s">
        <v>66</v>
      </c>
      <c r="D14" s="2">
        <v>2</v>
      </c>
      <c r="G14" s="28" t="s">
        <v>68</v>
      </c>
      <c r="H14" s="14">
        <f>(J5-J6)/(D15*D16)</f>
        <v>3.3456790123485312E-2</v>
      </c>
      <c r="I14" s="10">
        <f>100*H14/$H$17</f>
        <v>2.764318865713538</v>
      </c>
      <c r="J14" s="14">
        <f>SQRT(H14)</f>
        <v>0.18291197370179271</v>
      </c>
    </row>
    <row r="15" spans="2:12">
      <c r="C15" s="29" t="s">
        <v>73</v>
      </c>
      <c r="D15" s="2">
        <v>3</v>
      </c>
      <c r="G15" s="28" t="s">
        <v>69</v>
      </c>
      <c r="H15" s="14">
        <f>(J6-J7)/D16</f>
        <v>0.66129629629628228</v>
      </c>
      <c r="I15" s="10">
        <f>100*H15/$H$17</f>
        <v>54.638649461924835</v>
      </c>
      <c r="J15" s="14">
        <f>SQRT(H15)</f>
        <v>0.81320126432285034</v>
      </c>
    </row>
    <row r="16" spans="2:12">
      <c r="C16" s="29" t="s">
        <v>65</v>
      </c>
      <c r="D16" s="2">
        <v>3</v>
      </c>
      <c r="G16" s="28" t="s">
        <v>72</v>
      </c>
      <c r="H16" s="14">
        <f>J7</f>
        <v>0.51555555555556032</v>
      </c>
      <c r="I16" s="10">
        <f>100*H16/$H$17</f>
        <v>42.597031672361624</v>
      </c>
      <c r="J16" s="14">
        <f>SQRT(H16)</f>
        <v>0.7180219742846039</v>
      </c>
    </row>
    <row r="17" spans="2:13">
      <c r="G17" s="28" t="s">
        <v>19</v>
      </c>
      <c r="H17" s="14">
        <f>SUM(H14:H16)</f>
        <v>1.2103086419753279</v>
      </c>
      <c r="I17" s="10">
        <f>100*H17/$H$17</f>
        <v>100</v>
      </c>
      <c r="J17" s="14">
        <f>SQRT(H17)</f>
        <v>1.1001402828618394</v>
      </c>
    </row>
    <row r="18" spans="2:13">
      <c r="B18" s="29" t="s">
        <v>71</v>
      </c>
      <c r="C18" s="8" t="s">
        <v>23</v>
      </c>
      <c r="D18" s="8" t="s">
        <v>61</v>
      </c>
      <c r="E18" s="8" t="s">
        <v>62</v>
      </c>
    </row>
    <row r="19" spans="2:13">
      <c r="C19" s="2">
        <v>1</v>
      </c>
      <c r="D19" s="4">
        <f>SUM(D2:D4)</f>
        <v>23.2</v>
      </c>
      <c r="E19" s="4">
        <f>SUM(E2:E4)</f>
        <v>20.5</v>
      </c>
    </row>
    <row r="20" spans="2:13" ht="13">
      <c r="C20" s="2">
        <v>2</v>
      </c>
      <c r="D20" s="4">
        <f>SUM(D5:D7)</f>
        <v>20.100000000000001</v>
      </c>
      <c r="E20" s="4">
        <f>SUM(E5:E7)</f>
        <v>16.7</v>
      </c>
      <c r="L20" s="34"/>
      <c r="M20" s="34"/>
    </row>
    <row r="21" spans="2:13">
      <c r="C21" s="2">
        <v>3</v>
      </c>
      <c r="D21" s="4">
        <f>SUM(D8:D10)</f>
        <v>17.099999999999998</v>
      </c>
      <c r="E21" s="4">
        <f>SUM(E8:E10)</f>
        <v>16.100000000000001</v>
      </c>
    </row>
    <row r="22" spans="2:13">
      <c r="D22" s="2"/>
      <c r="L22" s="2"/>
    </row>
    <row r="23" spans="2:13" ht="13">
      <c r="C23" s="39" t="s">
        <v>75</v>
      </c>
      <c r="D23" s="4">
        <f>SUM(D19:E21)</f>
        <v>113.69999999999999</v>
      </c>
      <c r="L23" s="3"/>
    </row>
    <row r="24" spans="2:13">
      <c r="C24" s="29" t="s">
        <v>78</v>
      </c>
      <c r="D24" s="10">
        <f>AVERAGE(D2:E10)</f>
        <v>6.3166666666666664</v>
      </c>
      <c r="L24" s="2"/>
    </row>
    <row r="25" spans="2:13">
      <c r="L25" s="2"/>
    </row>
    <row r="26" spans="2:13" ht="13">
      <c r="C26" s="2"/>
      <c r="L26" s="3"/>
    </row>
    <row r="27" spans="2:13">
      <c r="C27" s="2"/>
      <c r="L27" s="2"/>
    </row>
    <row r="28" spans="2:13">
      <c r="C28" s="2"/>
    </row>
    <row r="29" spans="2:13">
      <c r="C29" s="2"/>
      <c r="D29" s="2"/>
    </row>
  </sheetData>
  <mergeCells count="2">
    <mergeCell ref="G3:L3"/>
    <mergeCell ref="G12:J12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workbookViewId="0">
      <selection activeCell="A6" sqref="A6"/>
    </sheetView>
  </sheetViews>
  <sheetFormatPr defaultRowHeight="12.5"/>
  <cols>
    <col min="2" max="2" width="11.26953125" customWidth="1"/>
    <col min="5" max="5" width="9.1796875" style="2" customWidth="1"/>
    <col min="7" max="7" width="7" style="2" customWidth="1"/>
    <col min="8" max="8" width="7" customWidth="1"/>
    <col min="9" max="9" width="9.1796875" style="14" customWidth="1"/>
    <col min="10" max="10" width="13.54296875" bestFit="1" customWidth="1"/>
    <col min="11" max="11" width="8.1796875" style="10" customWidth="1"/>
  </cols>
  <sheetData>
    <row r="1" spans="2:11" ht="13">
      <c r="B1" s="1" t="s">
        <v>80</v>
      </c>
    </row>
    <row r="2" spans="2:11" ht="13">
      <c r="B2" s="1" t="s">
        <v>81</v>
      </c>
      <c r="C2" s="33"/>
      <c r="D2" s="50" t="s">
        <v>63</v>
      </c>
      <c r="E2" s="14">
        <v>0.66129629629628228</v>
      </c>
      <c r="G2" s="40" t="s">
        <v>82</v>
      </c>
      <c r="H2" s="41" t="s">
        <v>83</v>
      </c>
      <c r="I2" s="42" t="s">
        <v>10</v>
      </c>
      <c r="J2" s="41" t="s">
        <v>84</v>
      </c>
      <c r="K2" s="43" t="s">
        <v>38</v>
      </c>
    </row>
    <row r="3" spans="2:11" ht="13">
      <c r="C3" s="33"/>
      <c r="D3" s="50" t="s">
        <v>79</v>
      </c>
      <c r="E3" s="14">
        <v>0.51555555555556032</v>
      </c>
      <c r="G3" s="44">
        <v>1</v>
      </c>
      <c r="H3" s="12">
        <v>1</v>
      </c>
      <c r="I3" s="15">
        <f>$E$2/G3+$E$3/(G3*H3)</f>
        <v>1.1768518518518425</v>
      </c>
      <c r="J3" s="12">
        <f>G3*($E$4+H3*$E$5)</f>
        <v>6</v>
      </c>
      <c r="K3" s="45" t="s">
        <v>76</v>
      </c>
    </row>
    <row r="4" spans="2:11" ht="13">
      <c r="C4" s="33"/>
      <c r="D4" s="50" t="s">
        <v>85</v>
      </c>
      <c r="E4" s="2">
        <v>1</v>
      </c>
      <c r="G4" s="44">
        <v>2</v>
      </c>
      <c r="H4" s="12">
        <v>1</v>
      </c>
      <c r="I4" s="15">
        <f t="shared" ref="I4:I12" si="0">$E$2/G4+$E$3/(G4*H4)</f>
        <v>0.58842592592592124</v>
      </c>
      <c r="J4" s="12">
        <f t="shared" ref="J4:J12" si="1">G4*($E$4+H4*$E$5)</f>
        <v>12</v>
      </c>
      <c r="K4" s="45">
        <f>TINV(0.05,2*(G4*H4-1))*SQRT($E$2+H4*$E$3)*SQRT(2/(G4*H4))</f>
        <v>4.6676382789922348</v>
      </c>
    </row>
    <row r="5" spans="2:11" ht="13">
      <c r="C5" s="33"/>
      <c r="D5" s="50" t="s">
        <v>86</v>
      </c>
      <c r="E5" s="2">
        <v>5</v>
      </c>
      <c r="G5" s="44">
        <v>3</v>
      </c>
      <c r="H5" s="12">
        <v>1</v>
      </c>
      <c r="I5" s="15">
        <f t="shared" si="0"/>
        <v>0.39228395061728089</v>
      </c>
      <c r="J5" s="12">
        <f t="shared" si="1"/>
        <v>18</v>
      </c>
      <c r="K5" s="45">
        <f t="shared" ref="K5:K14" si="2">TINV(0.1,2*(G5*H5-1))*SQRT($E$2+H5*$E$3)*SQRT(2/(G5*H5))</f>
        <v>1.8883011480359719</v>
      </c>
    </row>
    <row r="6" spans="2:11" ht="13">
      <c r="C6" s="33"/>
      <c r="D6" s="33"/>
      <c r="G6" s="44">
        <v>4</v>
      </c>
      <c r="H6" s="12">
        <v>1</v>
      </c>
      <c r="I6" s="15">
        <f t="shared" si="0"/>
        <v>0.29421296296296062</v>
      </c>
      <c r="J6" s="12">
        <f t="shared" si="1"/>
        <v>24</v>
      </c>
      <c r="K6" s="45">
        <f t="shared" si="2"/>
        <v>1.4905927147111075</v>
      </c>
    </row>
    <row r="7" spans="2:11" ht="13">
      <c r="C7" s="33"/>
      <c r="D7" s="50" t="s">
        <v>87</v>
      </c>
      <c r="E7" s="10">
        <f>(SQRT(E3)/SQRT(E2))*SQRT(E4/E5)</f>
        <v>0.39487049867683427</v>
      </c>
      <c r="G7" s="44">
        <v>5</v>
      </c>
      <c r="H7" s="12">
        <v>1</v>
      </c>
      <c r="I7" s="15">
        <f t="shared" si="0"/>
        <v>0.23537037037036854</v>
      </c>
      <c r="J7" s="12">
        <f t="shared" si="1"/>
        <v>30</v>
      </c>
      <c r="K7" s="45">
        <f t="shared" si="2"/>
        <v>1.2758461138539512</v>
      </c>
    </row>
    <row r="8" spans="2:11" ht="13">
      <c r="C8" s="33"/>
      <c r="D8" s="50"/>
      <c r="G8" s="46">
        <v>6</v>
      </c>
      <c r="H8" s="11">
        <v>1</v>
      </c>
      <c r="I8" s="17">
        <f t="shared" si="0"/>
        <v>0.19614197530864044</v>
      </c>
      <c r="J8" s="11">
        <f t="shared" si="1"/>
        <v>36</v>
      </c>
      <c r="K8" s="47">
        <f t="shared" si="2"/>
        <v>1.135191080054917</v>
      </c>
    </row>
    <row r="9" spans="2:11" ht="13">
      <c r="C9" s="33"/>
      <c r="D9" s="3" t="s">
        <v>88</v>
      </c>
      <c r="E9" s="2">
        <v>0.4</v>
      </c>
      <c r="G9" s="44">
        <v>1</v>
      </c>
      <c r="H9" s="12">
        <v>3</v>
      </c>
      <c r="I9" s="15">
        <f t="shared" si="0"/>
        <v>0.83314814814813576</v>
      </c>
      <c r="J9" s="12">
        <f t="shared" si="1"/>
        <v>16</v>
      </c>
      <c r="K9" s="45">
        <f t="shared" si="2"/>
        <v>2.5864628904791016</v>
      </c>
    </row>
    <row r="10" spans="2:11" ht="13">
      <c r="C10" s="33"/>
      <c r="D10" s="3" t="s">
        <v>82</v>
      </c>
      <c r="E10" s="2">
        <f>(E2+E3/ROUNDUP(E7,0))/E9</f>
        <v>2.9421296296296062</v>
      </c>
      <c r="G10" s="44">
        <v>2</v>
      </c>
      <c r="H10" s="12">
        <v>3</v>
      </c>
      <c r="I10" s="15">
        <f t="shared" si="0"/>
        <v>0.41657407407406788</v>
      </c>
      <c r="J10" s="12">
        <f t="shared" si="1"/>
        <v>32</v>
      </c>
      <c r="K10" s="45">
        <f t="shared" si="2"/>
        <v>1.5549053736575922</v>
      </c>
    </row>
    <row r="11" spans="2:11">
      <c r="G11" s="44">
        <v>3</v>
      </c>
      <c r="H11" s="12">
        <v>3</v>
      </c>
      <c r="I11" s="15">
        <f t="shared" si="0"/>
        <v>0.27771604938271194</v>
      </c>
      <c r="J11" s="12">
        <f t="shared" si="1"/>
        <v>48</v>
      </c>
      <c r="K11" s="45">
        <f t="shared" si="2"/>
        <v>1.2229394070504489</v>
      </c>
    </row>
    <row r="12" spans="2:11">
      <c r="G12" s="44">
        <v>4</v>
      </c>
      <c r="H12" s="12">
        <v>3</v>
      </c>
      <c r="I12" s="15">
        <f t="shared" si="0"/>
        <v>0.20828703703703394</v>
      </c>
      <c r="J12" s="12">
        <f t="shared" si="1"/>
        <v>64</v>
      </c>
      <c r="K12" s="45">
        <f t="shared" si="2"/>
        <v>1.0416626162854397</v>
      </c>
    </row>
    <row r="13" spans="2:11">
      <c r="G13" s="44">
        <v>5</v>
      </c>
      <c r="H13" s="12">
        <v>3</v>
      </c>
      <c r="I13" s="15">
        <f>$E$2/G13+$E$3/(G13*H13)</f>
        <v>0.16662962962962716</v>
      </c>
      <c r="J13" s="12">
        <f>G13*($E$4+H13*$E$5)</f>
        <v>80</v>
      </c>
      <c r="K13" s="45">
        <f t="shared" si="2"/>
        <v>0.9230027659244977</v>
      </c>
    </row>
    <row r="14" spans="2:11">
      <c r="G14" s="46">
        <v>6</v>
      </c>
      <c r="H14" s="11">
        <v>3</v>
      </c>
      <c r="I14" s="17">
        <f>$E$2/G14+$E$3/(G14*H14)</f>
        <v>0.13885802469135597</v>
      </c>
      <c r="J14" s="11">
        <f>G14*($E$4+H14*$E$5)</f>
        <v>96</v>
      </c>
      <c r="K14" s="47">
        <f t="shared" si="2"/>
        <v>0.83752695096883212</v>
      </c>
    </row>
    <row r="15" spans="2:11">
      <c r="H15" s="2"/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"/>
  <sheetViews>
    <sheetView workbookViewId="0">
      <selection activeCell="J24" sqref="J24"/>
    </sheetView>
  </sheetViews>
  <sheetFormatPr defaultRowHeight="12.5"/>
  <cols>
    <col min="1" max="1" width="9.54296875" customWidth="1"/>
    <col min="10" max="10" width="15.1796875" customWidth="1"/>
    <col min="11" max="11" width="12" bestFit="1" customWidth="1"/>
    <col min="12" max="12" width="12.453125" customWidth="1"/>
    <col min="13" max="13" width="7.26953125" customWidth="1"/>
    <col min="14" max="14" width="7.7265625" customWidth="1"/>
    <col min="15" max="15" width="12.08984375" customWidth="1"/>
    <col min="16" max="16" width="10.1796875" customWidth="1"/>
    <col min="17" max="17" width="9.1796875" style="13" customWidth="1"/>
    <col min="18" max="18" width="13.7265625" style="13" bestFit="1" customWidth="1"/>
    <col min="19" max="19" width="15.81640625" style="13" bestFit="1" customWidth="1"/>
    <col min="20" max="20" width="11.7265625" style="13" customWidth="1"/>
    <col min="21" max="21" width="9.1796875" style="13" bestFit="1" customWidth="1"/>
    <col min="22" max="22" width="8.81640625" style="13" bestFit="1" customWidth="1"/>
    <col min="23" max="30" width="9.1796875" style="13" customWidth="1"/>
    <col min="31" max="31" width="12.7265625" style="13" bestFit="1" customWidth="1"/>
    <col min="32" max="32" width="8.81640625" style="13" bestFit="1" customWidth="1"/>
    <col min="33" max="33" width="12.453125" style="13" bestFit="1" customWidth="1"/>
    <col min="34" max="34" width="10.54296875" style="13" bestFit="1" customWidth="1"/>
    <col min="35" max="35" width="14.54296875" style="13" bestFit="1" customWidth="1"/>
    <col min="36" max="41" width="9.1796875" style="13" customWidth="1"/>
  </cols>
  <sheetData>
    <row r="1" spans="1:35" ht="13">
      <c r="A1" s="1"/>
      <c r="B1" s="104" t="s">
        <v>91</v>
      </c>
      <c r="C1" s="104" t="s">
        <v>92</v>
      </c>
      <c r="J1" t="s">
        <v>93</v>
      </c>
      <c r="S1" s="5"/>
      <c r="T1" s="5"/>
      <c r="U1" s="5"/>
      <c r="V1" s="5"/>
      <c r="W1" s="5"/>
    </row>
    <row r="2" spans="1:35" ht="13.5" thickBot="1">
      <c r="A2" s="1"/>
      <c r="B2" s="51">
        <v>19.64</v>
      </c>
      <c r="C2" s="51">
        <v>45.4833</v>
      </c>
      <c r="Q2" s="107" t="s">
        <v>111</v>
      </c>
      <c r="S2" s="105" t="s">
        <v>109</v>
      </c>
      <c r="T2" s="53">
        <v>95</v>
      </c>
      <c r="U2" s="53"/>
      <c r="V2" s="53"/>
      <c r="W2" s="5"/>
      <c r="Y2" s="55"/>
    </row>
    <row r="3" spans="1:35" ht="13">
      <c r="B3" s="51">
        <v>20.49</v>
      </c>
      <c r="C3" s="51">
        <v>44.125900000000001</v>
      </c>
      <c r="J3" s="48" t="s">
        <v>94</v>
      </c>
      <c r="K3" s="48"/>
      <c r="R3" s="52"/>
      <c r="S3" s="106" t="s">
        <v>110</v>
      </c>
      <c r="T3" s="53">
        <f>TINV((1-T2/100),K13)</f>
        <v>2.0930240544083087</v>
      </c>
      <c r="U3" s="53"/>
      <c r="V3" s="53"/>
      <c r="AE3" s="49"/>
      <c r="AF3" s="49"/>
      <c r="AG3" s="49"/>
      <c r="AH3" s="49"/>
      <c r="AI3" s="49"/>
    </row>
    <row r="4" spans="1:35" ht="13">
      <c r="B4" s="51">
        <v>34.85</v>
      </c>
      <c r="C4" s="51">
        <v>69.885369999999995</v>
      </c>
      <c r="J4" s="5" t="s">
        <v>95</v>
      </c>
      <c r="K4" s="5">
        <v>0.99761148983426129</v>
      </c>
      <c r="R4" s="52"/>
      <c r="S4" s="106" t="s">
        <v>114</v>
      </c>
      <c r="T4" s="53">
        <v>2</v>
      </c>
      <c r="U4" s="53"/>
      <c r="V4" s="53"/>
      <c r="W4" s="21"/>
      <c r="AE4" s="49"/>
      <c r="AF4" s="49"/>
      <c r="AG4" s="49"/>
      <c r="AH4" s="49"/>
      <c r="AI4" s="49"/>
    </row>
    <row r="5" spans="1:35" ht="13">
      <c r="B5" s="51">
        <v>8.2309999999999999</v>
      </c>
      <c r="C5" s="51">
        <v>18.930129999999998</v>
      </c>
      <c r="J5" s="5" t="s">
        <v>96</v>
      </c>
      <c r="K5" s="5">
        <v>0.99522868464933445</v>
      </c>
      <c r="R5" s="54"/>
      <c r="S5" s="106" t="s">
        <v>112</v>
      </c>
      <c r="T5" s="54">
        <f>AVERAGE(C2:C22)</f>
        <v>34.053985238095244</v>
      </c>
      <c r="V5" s="54"/>
      <c r="W5" s="5"/>
      <c r="AE5" s="12"/>
      <c r="AF5" s="27"/>
      <c r="AG5" s="27"/>
      <c r="AH5" s="27"/>
      <c r="AI5" s="27"/>
    </row>
    <row r="6" spans="1:35" ht="13">
      <c r="B6" s="51">
        <v>8.59</v>
      </c>
      <c r="C6" s="51">
        <v>21.43317</v>
      </c>
      <c r="J6" s="5" t="s">
        <v>97</v>
      </c>
      <c r="K6" s="5">
        <v>0.99497756278877303</v>
      </c>
      <c r="S6" s="106" t="s">
        <v>115</v>
      </c>
      <c r="T6" s="54">
        <f>AVERAGE(B2:B22)</f>
        <v>15.630014285714283</v>
      </c>
      <c r="W6" s="5"/>
      <c r="AE6" s="12"/>
      <c r="AF6" s="27"/>
      <c r="AG6" s="27"/>
      <c r="AH6" s="27"/>
      <c r="AI6" s="27"/>
    </row>
    <row r="7" spans="1:35" ht="13">
      <c r="B7" s="51">
        <v>5.9032999999999998</v>
      </c>
      <c r="C7" s="51">
        <v>15.14897</v>
      </c>
      <c r="J7" s="5" t="s">
        <v>98</v>
      </c>
      <c r="K7" s="5">
        <v>2.0345061518048144</v>
      </c>
      <c r="S7" s="106" t="s">
        <v>113</v>
      </c>
      <c r="T7" s="12">
        <f>DEVSQ(B2:B23)</f>
        <v>3800.480329885715</v>
      </c>
      <c r="AE7" s="12"/>
      <c r="AF7" s="27"/>
      <c r="AG7" s="27"/>
      <c r="AH7" s="27"/>
      <c r="AI7" s="27"/>
    </row>
    <row r="8" spans="1:35" ht="13" thickBot="1">
      <c r="B8" s="51">
        <v>5.2359999999999998</v>
      </c>
      <c r="C8" s="51">
        <v>13.808160000000001</v>
      </c>
      <c r="J8" s="6" t="s">
        <v>99</v>
      </c>
      <c r="K8" s="6">
        <v>21</v>
      </c>
    </row>
    <row r="9" spans="1:35" ht="13">
      <c r="B9" s="51">
        <v>61.85</v>
      </c>
      <c r="C9" s="51">
        <v>131.15072000000001</v>
      </c>
      <c r="R9" s="111" t="s">
        <v>151</v>
      </c>
      <c r="S9" s="105" t="s">
        <v>152</v>
      </c>
      <c r="T9" s="105" t="s">
        <v>155</v>
      </c>
      <c r="U9" s="105" t="s">
        <v>153</v>
      </c>
      <c r="V9" s="105" t="s">
        <v>154</v>
      </c>
      <c r="W9" s="105"/>
    </row>
    <row r="10" spans="1:35" ht="13" thickBot="1">
      <c r="B10" s="51">
        <v>33.21</v>
      </c>
      <c r="C10" s="51">
        <v>73.941909999999993</v>
      </c>
      <c r="J10" t="s">
        <v>11</v>
      </c>
      <c r="R10" s="108">
        <v>15.5</v>
      </c>
      <c r="S10" s="109">
        <f>(R10-$K$17)/$K$18</f>
        <v>6.6994631475620201</v>
      </c>
      <c r="T10" s="109">
        <f>($T$3/$K$18)*$K$7*SQRT(1/$T$4+1/$K$8+(R10-$T$5)^2/($K$18^2*$T$7))</f>
        <v>1.5455370571235094</v>
      </c>
      <c r="U10" s="109">
        <f>S10-T10</f>
        <v>5.1539260904385102</v>
      </c>
      <c r="V10" s="109">
        <f>S10+T10</f>
        <v>8.24500020468553</v>
      </c>
      <c r="W10" s="58"/>
    </row>
    <row r="11" spans="1:35" ht="13">
      <c r="B11" s="51">
        <v>8.0399999999999991</v>
      </c>
      <c r="C11" s="51">
        <v>17.585889999999999</v>
      </c>
      <c r="J11" s="7"/>
      <c r="K11" s="7" t="s">
        <v>14</v>
      </c>
      <c r="L11" s="7" t="s">
        <v>13</v>
      </c>
      <c r="M11" s="7" t="s">
        <v>15</v>
      </c>
      <c r="N11" s="7" t="s">
        <v>16</v>
      </c>
      <c r="O11" s="7" t="s">
        <v>103</v>
      </c>
      <c r="R11" s="108">
        <v>53.6</v>
      </c>
      <c r="S11" s="109">
        <f>(R11-$K$17)/$K$18</f>
        <v>25.038056931984574</v>
      </c>
      <c r="T11" s="109">
        <f>($T$3/$K$18)*$K$7*SQRT(1/$T$4+1/$K$8+(R11-$T$5)^2/($K$18^2*$T$7))</f>
        <v>1.5486652466131097</v>
      </c>
      <c r="U11" s="109">
        <f>S11-T11</f>
        <v>23.489391685371466</v>
      </c>
      <c r="V11" s="109">
        <f>S11+T11</f>
        <v>26.586722178597682</v>
      </c>
      <c r="W11" s="58"/>
    </row>
    <row r="12" spans="1:35" ht="13">
      <c r="B12" s="51">
        <v>7.06</v>
      </c>
      <c r="C12" s="51">
        <v>15.629049999999999</v>
      </c>
      <c r="J12" s="5" t="s">
        <v>100</v>
      </c>
      <c r="K12" s="5">
        <v>1</v>
      </c>
      <c r="L12" s="5">
        <v>16404.249996833027</v>
      </c>
      <c r="M12" s="5">
        <v>16404.249996833027</v>
      </c>
      <c r="N12" s="5">
        <v>3963.13041972785</v>
      </c>
      <c r="O12" s="5">
        <v>1.6027031970737358E-23</v>
      </c>
      <c r="R12" s="108">
        <v>103.2</v>
      </c>
      <c r="S12" s="109">
        <f>(R12-$K$17)/$K$18</f>
        <v>48.911921806193469</v>
      </c>
      <c r="T12" s="109">
        <f>($T$3/$K$18)*$K$7*SQRT(1/$T$4+1/$K$8+(R12-$T$5)^2/($K$18^2*$T$7))</f>
        <v>1.8774809590297596</v>
      </c>
      <c r="U12" s="109">
        <f>S12-T12</f>
        <v>47.034440847163708</v>
      </c>
      <c r="V12" s="109">
        <f>S12+T12</f>
        <v>50.78940276522323</v>
      </c>
      <c r="W12" s="58"/>
      <c r="Y12" s="21"/>
    </row>
    <row r="13" spans="1:35">
      <c r="B13" s="51">
        <v>5.12</v>
      </c>
      <c r="C13" s="51">
        <v>11.83972</v>
      </c>
      <c r="J13" s="5" t="s">
        <v>101</v>
      </c>
      <c r="K13" s="5">
        <v>19</v>
      </c>
      <c r="L13" s="5">
        <v>78.645090352901079</v>
      </c>
      <c r="M13" s="5">
        <v>4.1392152817316354</v>
      </c>
      <c r="N13" s="5"/>
      <c r="O13" s="5"/>
      <c r="R13" s="110"/>
      <c r="S13" s="110"/>
      <c r="T13" s="110"/>
      <c r="U13" s="110"/>
      <c r="V13" s="110"/>
      <c r="Y13" s="5"/>
    </row>
    <row r="14" spans="1:35" ht="13" thickBot="1">
      <c r="B14" s="51">
        <v>17.5</v>
      </c>
      <c r="C14" s="51">
        <v>33.26305</v>
      </c>
      <c r="J14" s="6" t="s">
        <v>19</v>
      </c>
      <c r="K14" s="6">
        <v>20</v>
      </c>
      <c r="L14" s="6">
        <v>16482.895087185927</v>
      </c>
      <c r="M14" s="6"/>
      <c r="N14" s="6"/>
      <c r="O14" s="6"/>
      <c r="Y14" s="5"/>
    </row>
    <row r="15" spans="1:35" ht="13.5" thickBot="1">
      <c r="B15" s="51">
        <v>18.600000000000001</v>
      </c>
      <c r="C15" s="51">
        <v>41.484430000000003</v>
      </c>
      <c r="R15" s="56"/>
      <c r="S15" s="98" t="s">
        <v>156</v>
      </c>
      <c r="T15" s="13">
        <f>(T3*K7/K18)^2/T7</f>
        <v>1.1053761114004979E-3</v>
      </c>
    </row>
    <row r="16" spans="1:35" ht="13">
      <c r="B16" s="51">
        <v>8.1</v>
      </c>
      <c r="C16" s="51">
        <v>17.914459999999998</v>
      </c>
      <c r="J16" s="7"/>
      <c r="K16" s="7" t="s">
        <v>104</v>
      </c>
      <c r="L16" s="7" t="s">
        <v>98</v>
      </c>
      <c r="M16" s="7" t="s">
        <v>105</v>
      </c>
      <c r="N16" s="7" t="s">
        <v>17</v>
      </c>
      <c r="O16" s="7" t="s">
        <v>106</v>
      </c>
      <c r="P16" s="7" t="s">
        <v>107</v>
      </c>
      <c r="Q16" s="21"/>
      <c r="R16" s="57"/>
      <c r="X16" s="21"/>
    </row>
    <row r="17" spans="2:24">
      <c r="B17" s="51">
        <v>5.2</v>
      </c>
      <c r="C17" s="51">
        <v>11.694470000000001</v>
      </c>
      <c r="J17" s="5" t="s">
        <v>102</v>
      </c>
      <c r="K17" s="5">
        <v>1.5812912417019191</v>
      </c>
      <c r="L17" s="5">
        <v>0.68057103899490079</v>
      </c>
      <c r="M17" s="5">
        <v>2.3234771259694567</v>
      </c>
      <c r="N17" s="5">
        <v>3.1401991631743308E-2</v>
      </c>
      <c r="O17" s="5">
        <v>0.15683968945087878</v>
      </c>
      <c r="P17" s="5">
        <v>3.0057427939529595</v>
      </c>
      <c r="Q17" s="5"/>
      <c r="X17" s="5"/>
    </row>
    <row r="18" spans="2:24" ht="13" thickBot="1">
      <c r="B18" s="51">
        <v>9.1999999999999993</v>
      </c>
      <c r="C18" s="51">
        <v>20.31671</v>
      </c>
      <c r="J18" s="6" t="s">
        <v>108</v>
      </c>
      <c r="K18" s="6">
        <v>2.077585688841828</v>
      </c>
      <c r="L18" s="6">
        <v>3.3001962223473132E-2</v>
      </c>
      <c r="M18" s="6">
        <v>62.953398794090937</v>
      </c>
      <c r="N18" s="6">
        <v>1.6027031970737408E-23</v>
      </c>
      <c r="O18" s="6">
        <v>2.0085117882156971</v>
      </c>
      <c r="P18" s="6">
        <v>2.146659589467959</v>
      </c>
      <c r="Q18" s="5"/>
      <c r="X18" s="5"/>
    </row>
    <row r="19" spans="2:24">
      <c r="B19" s="51">
        <v>8.1999999999999993</v>
      </c>
      <c r="C19" s="51">
        <v>18.733180000000001</v>
      </c>
    </row>
    <row r="20" spans="2:24">
      <c r="B20" s="51">
        <v>21.5</v>
      </c>
      <c r="C20" s="51">
        <v>43.740220000000001</v>
      </c>
      <c r="Q20"/>
    </row>
    <row r="21" spans="2:24">
      <c r="B21" s="51">
        <v>15.5</v>
      </c>
      <c r="C21" s="51">
        <v>33.814010000000003</v>
      </c>
      <c r="Q21"/>
    </row>
    <row r="22" spans="2:24">
      <c r="B22" s="51">
        <v>6.21</v>
      </c>
      <c r="C22" s="51">
        <v>15.21087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3" sqref="A3"/>
    </sheetView>
  </sheetViews>
  <sheetFormatPr defaultRowHeight="12.5"/>
  <cols>
    <col min="1" max="1" width="10.7265625" customWidth="1"/>
    <col min="2" max="2" width="14.1796875" style="82" customWidth="1"/>
    <col min="3" max="3" width="8.7265625" style="83" customWidth="1"/>
    <col min="4" max="4" width="11.26953125" style="83" customWidth="1"/>
    <col min="5" max="5" width="8.81640625" style="83" customWidth="1"/>
    <col min="6" max="6" width="8.453125" style="83" customWidth="1"/>
    <col min="7" max="7" width="7.26953125" style="85" customWidth="1"/>
    <col min="8" max="8" width="6.7265625" style="86" customWidth="1"/>
    <col min="9" max="9" width="6.1796875" style="86" customWidth="1"/>
    <col min="10" max="10" width="6.81640625" style="85" customWidth="1"/>
    <col min="11" max="11" width="6.54296875" style="87" customWidth="1"/>
  </cols>
  <sheetData>
    <row r="1" spans="1:13" s="33" customFormat="1" ht="23.25" customHeight="1">
      <c r="A1" s="59"/>
      <c r="B1" s="62" t="s">
        <v>129</v>
      </c>
      <c r="C1" s="63" t="s">
        <v>130</v>
      </c>
      <c r="D1" s="64" t="s">
        <v>131</v>
      </c>
      <c r="E1" s="64" t="s">
        <v>132</v>
      </c>
      <c r="F1" s="65" t="s">
        <v>118</v>
      </c>
      <c r="G1" s="69" t="s">
        <v>117</v>
      </c>
      <c r="H1" s="69" t="s">
        <v>116</v>
      </c>
      <c r="I1" s="68" t="s">
        <v>133</v>
      </c>
      <c r="J1" s="69" t="s">
        <v>89</v>
      </c>
      <c r="K1" s="69" t="s">
        <v>90</v>
      </c>
    </row>
    <row r="2" spans="1:13">
      <c r="A2" s="59"/>
      <c r="B2" s="70">
        <v>0</v>
      </c>
      <c r="C2" s="71">
        <v>0</v>
      </c>
      <c r="D2" s="72">
        <v>0</v>
      </c>
      <c r="E2" s="72">
        <v>100</v>
      </c>
      <c r="F2" s="73">
        <v>10350</v>
      </c>
      <c r="G2" s="74" t="s">
        <v>76</v>
      </c>
      <c r="H2" s="74" t="s">
        <v>76</v>
      </c>
      <c r="I2" s="75" t="s">
        <v>76</v>
      </c>
      <c r="J2" s="76" t="s">
        <v>76</v>
      </c>
      <c r="K2" s="74" t="s">
        <v>76</v>
      </c>
      <c r="M2" s="35"/>
    </row>
    <row r="3" spans="1:13">
      <c r="A3" s="59"/>
      <c r="B3" s="66" t="s">
        <v>119</v>
      </c>
      <c r="C3" s="71">
        <v>5</v>
      </c>
      <c r="D3" s="72">
        <v>7.1529720000000001</v>
      </c>
      <c r="E3" s="72">
        <v>100</v>
      </c>
      <c r="F3" s="73">
        <v>133</v>
      </c>
      <c r="G3" s="77">
        <f>F2</f>
        <v>10350</v>
      </c>
      <c r="H3" s="77">
        <f>SUM(F3:F13)</f>
        <v>268</v>
      </c>
      <c r="I3" s="78">
        <f>100*1.96*SQRT(1.25*(E3/100)^2*(1-E3/100)^2*(1/H3+1/G3))</f>
        <v>0</v>
      </c>
      <c r="J3" s="79">
        <f t="shared" ref="J3:J13" si="0">E3-I3</f>
        <v>100</v>
      </c>
      <c r="K3" s="80">
        <f t="shared" ref="K3:K13" si="1">E3+I3</f>
        <v>100</v>
      </c>
    </row>
    <row r="4" spans="1:13">
      <c r="A4" s="59"/>
      <c r="B4" s="81" t="s">
        <v>120</v>
      </c>
      <c r="C4" s="71">
        <v>15</v>
      </c>
      <c r="D4" s="72">
        <v>9.5093320000000006</v>
      </c>
      <c r="E4" s="72">
        <f t="shared" ref="E4:E13" si="2">E3-D3</f>
        <v>92.847027999999995</v>
      </c>
      <c r="F4" s="73">
        <v>33</v>
      </c>
      <c r="G4" s="77">
        <f t="shared" ref="G4:G13" si="3">G3+F3</f>
        <v>10483</v>
      </c>
      <c r="H4" s="77">
        <f t="shared" ref="H4:H13" si="4">H3-F3</f>
        <v>135</v>
      </c>
      <c r="I4" s="78">
        <f t="shared" ref="I4:I13" si="5">100*1.96*SQRT(1.25*(E4/100)^2*(1-E4/100)^2*(1/H4+1/G4))</f>
        <v>1.2605999713696907</v>
      </c>
      <c r="J4" s="79">
        <f t="shared" si="0"/>
        <v>91.586428028630309</v>
      </c>
      <c r="K4" s="80">
        <f t="shared" si="1"/>
        <v>94.107627971369681</v>
      </c>
      <c r="M4" s="67"/>
    </row>
    <row r="5" spans="1:13">
      <c r="B5" s="66" t="s">
        <v>121</v>
      </c>
      <c r="C5" s="71">
        <v>25</v>
      </c>
      <c r="D5" s="72">
        <v>4.9261410000000003</v>
      </c>
      <c r="E5" s="72">
        <f t="shared" si="2"/>
        <v>83.337695999999994</v>
      </c>
      <c r="F5" s="73">
        <v>20</v>
      </c>
      <c r="G5" s="77">
        <f t="shared" si="3"/>
        <v>10516</v>
      </c>
      <c r="H5" s="77">
        <f t="shared" si="4"/>
        <v>102</v>
      </c>
      <c r="I5" s="78">
        <f t="shared" si="5"/>
        <v>3.0274962028811303</v>
      </c>
      <c r="J5" s="79">
        <f t="shared" si="0"/>
        <v>80.310199797118869</v>
      </c>
      <c r="K5" s="80">
        <f t="shared" si="1"/>
        <v>86.365192202881119</v>
      </c>
    </row>
    <row r="6" spans="1:13">
      <c r="A6" s="60"/>
      <c r="B6" s="66" t="s">
        <v>122</v>
      </c>
      <c r="C6" s="71">
        <v>35</v>
      </c>
      <c r="D6" s="72">
        <v>4.9010860000000003</v>
      </c>
      <c r="E6" s="72">
        <f t="shared" si="2"/>
        <v>78.411554999999993</v>
      </c>
      <c r="F6" s="73">
        <v>10</v>
      </c>
      <c r="G6" s="77">
        <f t="shared" si="3"/>
        <v>10536</v>
      </c>
      <c r="H6" s="77">
        <f t="shared" si="4"/>
        <v>82</v>
      </c>
      <c r="I6" s="78">
        <f t="shared" si="5"/>
        <v>4.1123404282095244</v>
      </c>
      <c r="J6" s="79">
        <f t="shared" si="0"/>
        <v>74.299214571790472</v>
      </c>
      <c r="K6" s="80">
        <f t="shared" si="1"/>
        <v>82.523895428209514</v>
      </c>
    </row>
    <row r="7" spans="1:13">
      <c r="A7" s="61"/>
      <c r="B7" s="66" t="s">
        <v>123</v>
      </c>
      <c r="C7" s="71">
        <v>45</v>
      </c>
      <c r="D7" s="72">
        <v>6.7153910000000003</v>
      </c>
      <c r="E7" s="72">
        <f t="shared" si="2"/>
        <v>73.510468999999986</v>
      </c>
      <c r="F7" s="73">
        <v>9</v>
      </c>
      <c r="G7" s="77">
        <f t="shared" si="3"/>
        <v>10546</v>
      </c>
      <c r="H7" s="77">
        <f t="shared" si="4"/>
        <v>72</v>
      </c>
      <c r="I7" s="78">
        <f t="shared" si="5"/>
        <v>5.0459828410764906</v>
      </c>
      <c r="J7" s="79">
        <f t="shared" si="0"/>
        <v>68.464486158923492</v>
      </c>
      <c r="K7" s="80">
        <f t="shared" si="1"/>
        <v>78.55645184107648</v>
      </c>
    </row>
    <row r="8" spans="1:13">
      <c r="B8" s="66" t="s">
        <v>124</v>
      </c>
      <c r="C8" s="71">
        <v>55</v>
      </c>
      <c r="D8" s="72">
        <v>3.335324</v>
      </c>
      <c r="E8" s="72">
        <f t="shared" si="2"/>
        <v>66.79507799999999</v>
      </c>
      <c r="F8" s="73">
        <v>4</v>
      </c>
      <c r="G8" s="77">
        <f t="shared" si="3"/>
        <v>10555</v>
      </c>
      <c r="H8" s="77">
        <f t="shared" si="4"/>
        <v>63</v>
      </c>
      <c r="I8" s="78">
        <f t="shared" si="5"/>
        <v>6.1415779808925741</v>
      </c>
      <c r="J8" s="79">
        <f t="shared" si="0"/>
        <v>60.653500019107412</v>
      </c>
      <c r="K8" s="80">
        <f t="shared" si="1"/>
        <v>72.936655980892567</v>
      </c>
    </row>
    <row r="9" spans="1:13">
      <c r="B9" s="66" t="s">
        <v>125</v>
      </c>
      <c r="C9" s="71">
        <v>65</v>
      </c>
      <c r="D9" s="72">
        <v>12.205287</v>
      </c>
      <c r="E9" s="72">
        <f t="shared" si="2"/>
        <v>63.45975399999999</v>
      </c>
      <c r="F9" s="73">
        <v>13</v>
      </c>
      <c r="G9" s="77">
        <f t="shared" si="3"/>
        <v>10559</v>
      </c>
      <c r="H9" s="77">
        <f t="shared" si="4"/>
        <v>59</v>
      </c>
      <c r="I9" s="78">
        <f t="shared" si="5"/>
        <v>6.6338384114438211</v>
      </c>
      <c r="J9" s="79">
        <f t="shared" si="0"/>
        <v>56.825915588556171</v>
      </c>
      <c r="K9" s="80">
        <f t="shared" si="1"/>
        <v>70.093592411443808</v>
      </c>
    </row>
    <row r="10" spans="1:13">
      <c r="B10" s="66" t="s">
        <v>126</v>
      </c>
      <c r="C10" s="71">
        <v>75</v>
      </c>
      <c r="D10" s="72">
        <v>6.1272520000000004</v>
      </c>
      <c r="E10" s="72">
        <f t="shared" si="2"/>
        <v>51.254466999999991</v>
      </c>
      <c r="F10" s="73">
        <v>6</v>
      </c>
      <c r="G10" s="77">
        <f t="shared" si="3"/>
        <v>10572</v>
      </c>
      <c r="H10" s="77">
        <f t="shared" si="4"/>
        <v>46</v>
      </c>
      <c r="I10" s="78">
        <f t="shared" si="5"/>
        <v>8.0898690237847859</v>
      </c>
      <c r="J10" s="79">
        <f t="shared" si="0"/>
        <v>43.164597976215205</v>
      </c>
      <c r="K10" s="80">
        <f t="shared" si="1"/>
        <v>59.344336023784777</v>
      </c>
    </row>
    <row r="11" spans="1:13">
      <c r="B11" s="66" t="s">
        <v>127</v>
      </c>
      <c r="C11" s="71">
        <v>85</v>
      </c>
      <c r="D11" s="72">
        <v>14.414445000000001</v>
      </c>
      <c r="E11" s="72">
        <f t="shared" si="2"/>
        <v>45.127214999999993</v>
      </c>
      <c r="F11" s="73">
        <v>13</v>
      </c>
      <c r="G11" s="77">
        <f t="shared" si="3"/>
        <v>10578</v>
      </c>
      <c r="H11" s="77">
        <f t="shared" si="4"/>
        <v>40</v>
      </c>
      <c r="I11" s="78">
        <f t="shared" si="5"/>
        <v>8.5959958332617425</v>
      </c>
      <c r="J11" s="79">
        <f t="shared" si="0"/>
        <v>36.531219166738254</v>
      </c>
      <c r="K11" s="80">
        <f t="shared" si="1"/>
        <v>53.723210833261732</v>
      </c>
    </row>
    <row r="12" spans="1:13">
      <c r="B12" s="66" t="s">
        <v>128</v>
      </c>
      <c r="C12" s="71">
        <v>95</v>
      </c>
      <c r="D12" s="72">
        <v>21.921329</v>
      </c>
      <c r="E12" s="72">
        <f t="shared" si="2"/>
        <v>30.712769999999992</v>
      </c>
      <c r="F12" s="73">
        <v>11</v>
      </c>
      <c r="G12" s="77">
        <f t="shared" si="3"/>
        <v>10591</v>
      </c>
      <c r="H12" s="77">
        <f t="shared" si="4"/>
        <v>27</v>
      </c>
      <c r="I12" s="78">
        <f t="shared" si="5"/>
        <v>8.9857484976030388</v>
      </c>
      <c r="J12" s="79">
        <f t="shared" si="0"/>
        <v>21.727021502396951</v>
      </c>
      <c r="K12" s="80">
        <f t="shared" si="1"/>
        <v>39.698518497603033</v>
      </c>
    </row>
    <row r="13" spans="1:13">
      <c r="B13" s="70">
        <v>100</v>
      </c>
      <c r="C13" s="71">
        <v>100</v>
      </c>
      <c r="D13" s="72">
        <v>8.7914399999999997</v>
      </c>
      <c r="E13" s="72">
        <f t="shared" si="2"/>
        <v>8.7914409999999918</v>
      </c>
      <c r="F13" s="73">
        <v>16</v>
      </c>
      <c r="G13" s="77">
        <f t="shared" si="3"/>
        <v>10602</v>
      </c>
      <c r="H13" s="77">
        <f t="shared" si="4"/>
        <v>16</v>
      </c>
      <c r="I13" s="78">
        <f t="shared" si="5"/>
        <v>4.3961672576238087</v>
      </c>
      <c r="J13" s="79">
        <f t="shared" si="0"/>
        <v>4.3952737423761832</v>
      </c>
      <c r="K13" s="80">
        <f t="shared" si="1"/>
        <v>13.187608257623801</v>
      </c>
    </row>
    <row r="15" spans="1:13">
      <c r="F15" s="84"/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C9" sqref="C9"/>
    </sheetView>
  </sheetViews>
  <sheetFormatPr defaultRowHeight="12.5"/>
  <cols>
    <col min="1" max="1" width="9.26953125" customWidth="1"/>
    <col min="3" max="4" width="9.1796875" style="2" customWidth="1"/>
    <col min="5" max="5" width="4.81640625" customWidth="1"/>
    <col min="6" max="6" width="20.7265625" customWidth="1"/>
  </cols>
  <sheetData>
    <row r="1" spans="1:15" ht="13">
      <c r="A1" s="1"/>
      <c r="C1" s="3" t="s">
        <v>140</v>
      </c>
      <c r="D1" s="3" t="s">
        <v>141</v>
      </c>
      <c r="F1" t="s">
        <v>134</v>
      </c>
      <c r="I1" s="13"/>
      <c r="J1" s="13"/>
      <c r="K1" s="13"/>
      <c r="L1" s="13"/>
      <c r="M1" s="13"/>
      <c r="N1" s="13"/>
      <c r="O1" s="13"/>
    </row>
    <row r="2" spans="1:15" ht="13.5" thickBot="1">
      <c r="A2" s="1"/>
      <c r="C2" s="94">
        <v>2.34</v>
      </c>
      <c r="D2" s="94">
        <v>0.87</v>
      </c>
      <c r="I2" s="13"/>
      <c r="J2" s="13"/>
      <c r="K2" s="13"/>
      <c r="L2" s="13"/>
      <c r="M2" s="13"/>
      <c r="N2" s="13"/>
      <c r="O2" s="13"/>
    </row>
    <row r="3" spans="1:15" ht="13">
      <c r="A3" s="1"/>
      <c r="C3" s="94">
        <v>1.68</v>
      </c>
      <c r="D3" s="94">
        <v>0.35</v>
      </c>
      <c r="F3" s="7"/>
      <c r="G3" s="7" t="s">
        <v>140</v>
      </c>
      <c r="H3" s="7" t="s">
        <v>141</v>
      </c>
      <c r="I3" s="96" t="s">
        <v>145</v>
      </c>
      <c r="J3" s="13"/>
      <c r="K3" s="13"/>
      <c r="L3" s="13"/>
      <c r="M3" s="13"/>
      <c r="N3" s="13"/>
      <c r="O3" s="13"/>
    </row>
    <row r="4" spans="1:15">
      <c r="C4" s="94">
        <v>1.3</v>
      </c>
      <c r="D4" s="94">
        <v>0.91</v>
      </c>
      <c r="F4" s="5" t="s">
        <v>143</v>
      </c>
      <c r="G4" s="5">
        <v>1.7749999999999999</v>
      </c>
      <c r="H4" s="5">
        <v>0.79</v>
      </c>
      <c r="I4" s="12">
        <f>G4-H4</f>
        <v>0.98499999999999988</v>
      </c>
      <c r="J4" s="13"/>
      <c r="K4" s="13"/>
      <c r="L4" s="13"/>
      <c r="M4" s="13"/>
      <c r="N4" s="13"/>
      <c r="O4" s="13"/>
    </row>
    <row r="5" spans="1:15" ht="13">
      <c r="C5" s="94">
        <v>1.71</v>
      </c>
      <c r="D5" s="94">
        <v>0.91</v>
      </c>
      <c r="F5" s="5" t="s">
        <v>10</v>
      </c>
      <c r="G5" s="5">
        <v>0.11887000000000043</v>
      </c>
      <c r="H5" s="5">
        <v>4.7839999999999973E-2</v>
      </c>
      <c r="I5" s="13"/>
      <c r="J5" s="13"/>
      <c r="K5" s="21"/>
      <c r="L5" s="21"/>
      <c r="M5" s="21"/>
      <c r="N5" s="13"/>
      <c r="O5" s="13"/>
    </row>
    <row r="6" spans="1:15">
      <c r="C6" s="94">
        <v>1.68</v>
      </c>
      <c r="D6" s="94">
        <v>0.81</v>
      </c>
      <c r="F6" s="5" t="s">
        <v>99</v>
      </c>
      <c r="G6" s="5">
        <v>6</v>
      </c>
      <c r="H6" s="5">
        <v>6</v>
      </c>
      <c r="I6" s="13"/>
      <c r="J6" s="13"/>
      <c r="K6" s="5"/>
      <c r="L6" s="5"/>
      <c r="M6" s="5"/>
      <c r="N6" s="13"/>
      <c r="O6" s="13"/>
    </row>
    <row r="7" spans="1:15">
      <c r="C7" s="94">
        <v>1.94</v>
      </c>
      <c r="D7" s="94">
        <v>0.89</v>
      </c>
      <c r="F7" s="5" t="s">
        <v>135</v>
      </c>
      <c r="G7" s="5">
        <v>8.3355000000000207E-2</v>
      </c>
      <c r="H7" s="5"/>
      <c r="I7" s="13"/>
      <c r="J7" s="13"/>
      <c r="K7" s="5"/>
      <c r="L7" s="5"/>
      <c r="M7" s="5"/>
      <c r="N7" s="13"/>
      <c r="O7" s="13"/>
    </row>
    <row r="8" spans="1:15">
      <c r="F8" s="5" t="s">
        <v>142</v>
      </c>
      <c r="G8" s="5">
        <v>0</v>
      </c>
      <c r="H8" s="5"/>
      <c r="I8" s="13"/>
      <c r="J8" s="13"/>
      <c r="K8" s="5"/>
      <c r="L8" s="5"/>
      <c r="M8" s="5"/>
      <c r="N8" s="13"/>
      <c r="O8" s="13"/>
    </row>
    <row r="9" spans="1:15" ht="13">
      <c r="B9" s="3" t="s">
        <v>144</v>
      </c>
      <c r="C9" s="14">
        <f>TINV(0.05,5)*SQRT(G5)/G6</f>
        <v>0.14771218260561483</v>
      </c>
      <c r="D9" s="14">
        <f>TINV(0.05,5)*SQRT(H5)/H6</f>
        <v>9.3707805939225675E-2</v>
      </c>
      <c r="F9" s="5" t="s">
        <v>14</v>
      </c>
      <c r="G9" s="5">
        <v>10</v>
      </c>
      <c r="H9" s="5"/>
      <c r="I9" s="13"/>
      <c r="J9" s="13"/>
      <c r="K9" s="5"/>
      <c r="L9" s="5"/>
      <c r="M9" s="5"/>
      <c r="N9" s="13"/>
      <c r="O9" s="13"/>
    </row>
    <row r="10" spans="1:15">
      <c r="F10" s="5" t="s">
        <v>105</v>
      </c>
      <c r="G10" s="5">
        <v>5.9092318497860372</v>
      </c>
      <c r="H10" s="5"/>
      <c r="I10" s="13"/>
      <c r="J10" s="13"/>
      <c r="K10" s="5"/>
      <c r="L10" s="5"/>
      <c r="M10" s="5"/>
      <c r="N10" s="13"/>
      <c r="O10" s="13"/>
    </row>
    <row r="11" spans="1:15">
      <c r="F11" s="5" t="s">
        <v>136</v>
      </c>
      <c r="G11" s="95">
        <v>7.4595373964268243E-5</v>
      </c>
      <c r="H11" s="5"/>
      <c r="I11" s="13"/>
      <c r="J11" s="13"/>
      <c r="K11" s="5"/>
      <c r="L11" s="5"/>
      <c r="M11" s="5"/>
      <c r="N11" s="13"/>
      <c r="O11" s="13"/>
    </row>
    <row r="12" spans="1:15">
      <c r="F12" s="5" t="s">
        <v>137</v>
      </c>
      <c r="G12" s="5">
        <v>1.8124611021972235</v>
      </c>
      <c r="H12" s="5"/>
      <c r="I12" s="13"/>
      <c r="J12" s="13"/>
      <c r="K12" s="5"/>
      <c r="L12" s="5"/>
      <c r="M12" s="5"/>
      <c r="N12" s="13"/>
      <c r="O12" s="13"/>
    </row>
    <row r="13" spans="1:15">
      <c r="F13" s="5" t="s">
        <v>138</v>
      </c>
      <c r="G13" s="5">
        <v>1.4919074792853649E-4</v>
      </c>
      <c r="H13" s="5"/>
      <c r="I13" s="13"/>
      <c r="J13" s="13"/>
      <c r="K13" s="5"/>
      <c r="L13" s="5"/>
      <c r="M13" s="5"/>
      <c r="N13" s="13"/>
      <c r="O13" s="13"/>
    </row>
    <row r="14" spans="1:15" ht="13" thickBot="1">
      <c r="F14" s="6" t="s">
        <v>139</v>
      </c>
      <c r="G14" s="6">
        <v>2.2281388424258681</v>
      </c>
      <c r="H14" s="6"/>
      <c r="I14" s="13"/>
      <c r="J14" s="13"/>
      <c r="K14" s="5"/>
      <c r="L14" s="5"/>
      <c r="M14" s="5"/>
      <c r="N14" s="13"/>
      <c r="O14" s="13"/>
    </row>
    <row r="15" spans="1:15">
      <c r="F15" s="13"/>
      <c r="G15" s="13"/>
      <c r="H15" s="13"/>
      <c r="I15" s="13"/>
      <c r="J15" s="13"/>
      <c r="K15" s="5"/>
      <c r="L15" s="5"/>
      <c r="M15" s="5"/>
      <c r="N15" s="13"/>
      <c r="O15" s="13"/>
    </row>
    <row r="16" spans="1:15">
      <c r="F16" s="13"/>
      <c r="G16" s="13"/>
      <c r="H16" s="13"/>
      <c r="I16" s="13"/>
      <c r="J16" s="13"/>
      <c r="K16" s="5"/>
      <c r="L16" s="5"/>
      <c r="M16" s="5"/>
      <c r="N16" s="13"/>
      <c r="O16" s="13"/>
    </row>
    <row r="17" spans="6:15"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6:15"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6:15"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6:15"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6:15">
      <c r="F21" s="13"/>
      <c r="G21" s="13"/>
      <c r="H21" s="13"/>
      <c r="I21" s="13"/>
      <c r="J21" s="13"/>
      <c r="K21" s="13"/>
      <c r="L21" s="13"/>
      <c r="M21" s="13"/>
      <c r="N21" s="13"/>
      <c r="O21" s="13"/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Ex.12.1</vt:lpstr>
      <vt:lpstr>Ex.12.2</vt:lpstr>
      <vt:lpstr>Ex.12.3</vt:lpstr>
      <vt:lpstr>Ex.12.4</vt:lpstr>
      <vt:lpstr>Ex.12.5</vt:lpstr>
      <vt:lpstr>Ex.12.6</vt:lpstr>
      <vt:lpstr>Ex.12.8</vt:lpstr>
      <vt:lpstr>Ex.12.9</vt:lpstr>
      <vt:lpstr>Ex.12.3!KCGM2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TJNM</dc:creator>
  <cp:lastModifiedBy>Wang, Fisher</cp:lastModifiedBy>
  <dcterms:created xsi:type="dcterms:W3CDTF">2010-03-04T01:15:09Z</dcterms:created>
  <dcterms:modified xsi:type="dcterms:W3CDTF">2017-12-29T19:10:31Z</dcterms:modified>
</cp:coreProperties>
</file>