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40" windowWidth="15480" windowHeight="8700" tabRatio="638" activeTab="3"/>
  </bookViews>
  <sheets>
    <sheet name="Ex.13.1 &amp; 13.2" sheetId="4" r:id="rId1"/>
    <sheet name="Ex.13.3" sheetId="9" r:id="rId2"/>
    <sheet name="Ex.13.4" sheetId="2" r:id="rId3"/>
    <sheet name="Ex.13.5" sheetId="10" r:id="rId4"/>
    <sheet name="Ex.13.6" sheetId="8" r:id="rId5"/>
    <sheet name="Ex.13.7" sheetId="6" r:id="rId6"/>
  </sheets>
  <definedNames>
    <definedName name="solver_adj" localSheetId="0" hidden="1">'Ex.13.1 &amp; 13.2'!$D$13:$F$16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'Ex.13.1 &amp; 13.2'!$D$13:$F$16</definedName>
    <definedName name="solver_lhs2" localSheetId="0" hidden="1">'Ex.13.1 &amp; 13.2'!$G$13</definedName>
    <definedName name="solver_lhs3" localSheetId="0" hidden="1">'Ex.13.1 &amp; 13.2'!$G$13</definedName>
    <definedName name="solver_lhs4" localSheetId="0" hidden="1">'Ex.13.1 &amp; 13.2'!$G$13</definedName>
    <definedName name="solver_lin" localSheetId="0" hidden="1">2</definedName>
    <definedName name="solver_neg" localSheetId="0" hidden="1">2</definedName>
    <definedName name="solver_num" localSheetId="0" hidden="1">4</definedName>
    <definedName name="solver_nwt" localSheetId="0" hidden="1">1</definedName>
    <definedName name="solver_opt" localSheetId="0" hidden="1">'Ex.13.1 &amp; 13.2'!$M$9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0</definedName>
    <definedName name="solver_rhs2" localSheetId="0" hidden="1">'Ex.13.1 &amp; 13.2'!$G$14</definedName>
    <definedName name="solver_rhs3" localSheetId="0" hidden="1">'Ex.13.1 &amp; 13.2'!$G$15</definedName>
    <definedName name="solver_rhs4" localSheetId="0" hidden="1">'Ex.13.1 &amp; 13.2'!$G$16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4" i="10" l="1"/>
  <c r="H3" i="10"/>
  <c r="D15" i="10"/>
  <c r="D12" i="10"/>
  <c r="D13" i="10" s="1"/>
  <c r="D19" i="9"/>
  <c r="D18" i="9"/>
  <c r="L5" i="8"/>
  <c r="L4" i="8"/>
  <c r="L3" i="8"/>
  <c r="D16" i="9"/>
  <c r="D15" i="9"/>
  <c r="G19" i="9" s="1"/>
  <c r="G4" i="9" s="1"/>
  <c r="D21" i="9" l="1"/>
  <c r="I13" i="6"/>
  <c r="I2" i="6"/>
  <c r="I15" i="6"/>
  <c r="G3" i="6"/>
  <c r="I3" i="6"/>
  <c r="G4" i="6"/>
  <c r="I4" i="6"/>
  <c r="J4" i="6"/>
  <c r="G5" i="6"/>
  <c r="I5" i="6"/>
  <c r="G6" i="6"/>
  <c r="I6" i="6"/>
  <c r="J6" i="6"/>
  <c r="G7" i="6"/>
  <c r="I7" i="6"/>
  <c r="G8" i="6"/>
  <c r="I8" i="6"/>
  <c r="J8" i="6"/>
  <c r="G9" i="6"/>
  <c r="I9" i="6"/>
  <c r="G10" i="6"/>
  <c r="I10" i="6"/>
  <c r="J10" i="6"/>
  <c r="G11" i="6"/>
  <c r="I11" i="6"/>
  <c r="G12" i="6"/>
  <c r="I12" i="6"/>
  <c r="J12" i="6"/>
  <c r="M22" i="6"/>
  <c r="I23" i="6"/>
  <c r="M23" i="6"/>
  <c r="G2" i="8"/>
  <c r="C3" i="8"/>
  <c r="H3" i="8"/>
  <c r="C4" i="8"/>
  <c r="G4" i="8"/>
  <c r="C5" i="8"/>
  <c r="G5" i="8"/>
  <c r="C6" i="8"/>
  <c r="G6" i="8"/>
  <c r="C7" i="8"/>
  <c r="H7" i="8"/>
  <c r="C8" i="8"/>
  <c r="G8" i="8"/>
  <c r="C9" i="8"/>
  <c r="G9" i="8"/>
  <c r="C10" i="8"/>
  <c r="G10" i="8"/>
  <c r="C11" i="8"/>
  <c r="H11" i="8"/>
  <c r="C12" i="8"/>
  <c r="G12" i="8"/>
  <c r="G13" i="8"/>
  <c r="H2" i="8"/>
  <c r="H4" i="8"/>
  <c r="H6" i="8"/>
  <c r="H8" i="8"/>
  <c r="H10" i="8"/>
  <c r="H12" i="8"/>
  <c r="H13" i="8"/>
  <c r="F2" i="8"/>
  <c r="F3" i="8"/>
  <c r="F5" i="8"/>
  <c r="F7" i="8"/>
  <c r="F9" i="8"/>
  <c r="F11" i="8"/>
  <c r="F13" i="8"/>
  <c r="D15" i="8"/>
  <c r="E2" i="8"/>
  <c r="E3" i="8"/>
  <c r="E4" i="8"/>
  <c r="E5" i="8"/>
  <c r="E6" i="8"/>
  <c r="E7" i="8"/>
  <c r="E8" i="8"/>
  <c r="E9" i="8"/>
  <c r="E10" i="8"/>
  <c r="E11" i="8"/>
  <c r="E12" i="8"/>
  <c r="P25" i="6"/>
  <c r="P26" i="6"/>
  <c r="H15" i="6"/>
  <c r="E3" i="6"/>
  <c r="D2" i="6"/>
  <c r="D3" i="6"/>
  <c r="E4" i="6"/>
  <c r="E5" i="6"/>
  <c r="E6" i="6"/>
  <c r="E7" i="6"/>
  <c r="E8" i="6"/>
  <c r="E9" i="6"/>
  <c r="E10" i="6"/>
  <c r="E11" i="6"/>
  <c r="E12" i="6"/>
  <c r="F2" i="6"/>
  <c r="E2" i="6"/>
  <c r="F5" i="2"/>
  <c r="G5" i="2"/>
  <c r="F14" i="2"/>
  <c r="G14" i="2"/>
  <c r="F13" i="2"/>
  <c r="G13" i="2"/>
  <c r="F12" i="2"/>
  <c r="G12" i="2"/>
  <c r="H12" i="2"/>
  <c r="F11" i="2"/>
  <c r="G11" i="2"/>
  <c r="H11" i="2"/>
  <c r="F3" i="2"/>
  <c r="G3" i="2"/>
  <c r="H3" i="2"/>
  <c r="F4" i="2"/>
  <c r="G4" i="2"/>
  <c r="F6" i="2"/>
  <c r="G6" i="2"/>
  <c r="I3" i="2"/>
  <c r="I4" i="2"/>
  <c r="I5" i="2"/>
  <c r="I6" i="2"/>
  <c r="K13" i="4"/>
  <c r="K5" i="4" s="1"/>
  <c r="G14" i="4"/>
  <c r="H14" i="4"/>
  <c r="G15" i="4"/>
  <c r="H15" i="4"/>
  <c r="G16" i="4"/>
  <c r="H16" i="4"/>
  <c r="G13" i="4"/>
  <c r="H13" i="4"/>
  <c r="L13" i="4"/>
  <c r="L5" i="4" s="1"/>
  <c r="M13" i="4"/>
  <c r="M5" i="4" s="1"/>
  <c r="K14" i="4"/>
  <c r="K6" i="4" s="1"/>
  <c r="L14" i="4"/>
  <c r="L6" i="4" s="1"/>
  <c r="M14" i="4"/>
  <c r="M6" i="4"/>
  <c r="K15" i="4"/>
  <c r="K7" i="4" s="1"/>
  <c r="L15" i="4"/>
  <c r="L7" i="4"/>
  <c r="M15" i="4"/>
  <c r="M7" i="4" s="1"/>
  <c r="K16" i="4"/>
  <c r="K8" i="4" s="1"/>
  <c r="L16" i="4"/>
  <c r="L8" i="4" s="1"/>
  <c r="M16" i="4"/>
  <c r="M8" i="4"/>
  <c r="G5" i="4"/>
  <c r="Q5" i="4"/>
  <c r="G6" i="4"/>
  <c r="Q6" i="4"/>
  <c r="G7" i="4"/>
  <c r="Q7" i="4"/>
  <c r="G8" i="4"/>
  <c r="Q8" i="4"/>
  <c r="Q9" i="4"/>
  <c r="Q10" i="4"/>
  <c r="Q11" i="4"/>
  <c r="Q12" i="4"/>
  <c r="Q13" i="4"/>
  <c r="Q14" i="4"/>
  <c r="K17" i="4"/>
  <c r="L17" i="4"/>
  <c r="M17" i="4"/>
  <c r="Q15" i="4"/>
  <c r="Q16" i="4"/>
  <c r="H4" i="2"/>
  <c r="H13" i="2"/>
  <c r="H14" i="2"/>
  <c r="J5" i="6"/>
  <c r="J9" i="6"/>
  <c r="J13" i="6"/>
  <c r="J3" i="6"/>
  <c r="J7" i="6"/>
  <c r="J11" i="6"/>
  <c r="I20" i="6"/>
  <c r="I21" i="6"/>
  <c r="H5" i="2"/>
  <c r="H6" i="2"/>
  <c r="D4" i="6"/>
  <c r="F3" i="6"/>
  <c r="F12" i="8"/>
  <c r="F8" i="8"/>
  <c r="F4" i="8"/>
  <c r="F15" i="8"/>
  <c r="H9" i="8"/>
  <c r="H5" i="8"/>
  <c r="H15" i="8"/>
  <c r="G11" i="8"/>
  <c r="G7" i="8"/>
  <c r="G3" i="8"/>
  <c r="J2" i="6"/>
  <c r="F10" i="8"/>
  <c r="F6" i="8"/>
  <c r="D5" i="6"/>
  <c r="F4" i="6"/>
  <c r="G15" i="8"/>
  <c r="F5" i="6"/>
  <c r="D6" i="6"/>
  <c r="F6" i="6"/>
  <c r="D7" i="6"/>
  <c r="D8" i="6"/>
  <c r="F7" i="6"/>
  <c r="D9" i="6"/>
  <c r="F8" i="6"/>
  <c r="F9" i="6"/>
  <c r="D10" i="6"/>
  <c r="F10" i="6"/>
  <c r="D11" i="6"/>
  <c r="D12" i="6"/>
  <c r="F12" i="6"/>
  <c r="F11" i="6"/>
  <c r="M9" i="4" l="1"/>
</calcChain>
</file>

<file path=xl/sharedStrings.xml><?xml version="1.0" encoding="utf-8"?>
<sst xmlns="http://schemas.openxmlformats.org/spreadsheetml/2006/main" count="152" uniqueCount="123">
  <si>
    <t>Measured</t>
  </si>
  <si>
    <t>f</t>
  </si>
  <si>
    <t>c</t>
  </si>
  <si>
    <t>t</t>
  </si>
  <si>
    <t>Squared terms</t>
  </si>
  <si>
    <t>Sum</t>
  </si>
  <si>
    <t>Adjusted</t>
  </si>
  <si>
    <t>% solids</t>
  </si>
  <si>
    <t>Pb</t>
  </si>
  <si>
    <t>Zn</t>
  </si>
  <si>
    <t>SiO2</t>
  </si>
  <si>
    <t>SST</t>
  </si>
  <si>
    <t>Total</t>
  </si>
  <si>
    <t>Recovery</t>
  </si>
  <si>
    <t xml:space="preserve">g = </t>
  </si>
  <si>
    <t>Top size</t>
  </si>
  <si>
    <t xml:space="preserve">f = </t>
  </si>
  <si>
    <t>m = g/cm^3</t>
  </si>
  <si>
    <t>Top size, d</t>
  </si>
  <si>
    <t>Sample mass, g</t>
  </si>
  <si>
    <t>lib.factor, l</t>
  </si>
  <si>
    <t>Cd^3</t>
  </si>
  <si>
    <t>Sigma(FE) =</t>
  </si>
  <si>
    <t>d(l) = cm</t>
  </si>
  <si>
    <t>Gy mass</t>
  </si>
  <si>
    <t>Sample mass</t>
  </si>
  <si>
    <t>Step</t>
  </si>
  <si>
    <t>Steps in chart</t>
  </si>
  <si>
    <t>Draw safety lines</t>
  </si>
  <si>
    <t>Sample mass for actual crushing sizes</t>
  </si>
  <si>
    <t>Gy constants</t>
  </si>
  <si>
    <t>Mean size</t>
  </si>
  <si>
    <t>Density</t>
  </si>
  <si>
    <t>g/cm^3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</si>
  <si>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</si>
  <si>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</si>
  <si>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</si>
  <si>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</si>
  <si>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</si>
  <si>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</si>
  <si>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</si>
  <si>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</si>
  <si>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</si>
  <si>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</si>
  <si>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</si>
  <si>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</si>
  <si>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</si>
  <si>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</si>
  <si>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</si>
  <si>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</si>
  <si>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</si>
  <si>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</si>
  <si>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</si>
  <si>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</si>
  <si>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</si>
  <si>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Size (mm)</t>
  </si>
  <si>
    <t>% retained</t>
  </si>
  <si>
    <t>Cum.wt.% finer</t>
  </si>
  <si>
    <t>Cum.% retained</t>
  </si>
  <si>
    <t>ln size</t>
  </si>
  <si>
    <t>ln ln (100/Wr)</t>
  </si>
  <si>
    <t>Mass fraction</t>
  </si>
  <si>
    <t>SA sum</t>
  </si>
  <si>
    <t>Vol.spec.SA</t>
  </si>
  <si>
    <t>Wt.spec.SA</t>
  </si>
  <si>
    <t>cm^2/g</t>
  </si>
  <si>
    <t>Very sensitive to this number</t>
  </si>
  <si>
    <t>(20% of material in this range)</t>
  </si>
  <si>
    <t>%</t>
  </si>
  <si>
    <t>Better if there is a real lower size rather than zero</t>
  </si>
  <si>
    <t>RR predicted lower size at 99% retained</t>
  </si>
  <si>
    <t>Therefore geo mean size of smallest fraction</t>
  </si>
  <si>
    <t>Mean size (µm)</t>
  </si>
  <si>
    <t>Wt.% in fraction</t>
  </si>
  <si>
    <t>Totals</t>
  </si>
  <si>
    <t>m/d</t>
  </si>
  <si>
    <t>Gamma s</t>
  </si>
  <si>
    <t>Gamma v</t>
  </si>
  <si>
    <t>1/cm (cm^2/cm^3)</t>
  </si>
  <si>
    <t>Mass split %</t>
  </si>
  <si>
    <t>Choose SDs</t>
  </si>
  <si>
    <t>Set SDs:</t>
  </si>
  <si>
    <r>
      <t>Size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m)</t>
    </r>
  </si>
  <si>
    <t>Mean sizes (micron)</t>
  </si>
  <si>
    <t>m/d^2</t>
  </si>
  <si>
    <t>m/d^3</t>
  </si>
  <si>
    <t xml:space="preserve">RR b = </t>
  </si>
  <si>
    <t xml:space="preserve">RR a = </t>
  </si>
  <si>
    <t>Rosin-Rammler distribution fit</t>
  </si>
  <si>
    <t>Anselm formula</t>
  </si>
  <si>
    <t>For Ex.13.1 set K19 to 1</t>
  </si>
  <si>
    <t>For Ex.13.2 set K19 to 0</t>
  </si>
  <si>
    <t>Use 1 for no weights (Ex.13.1)</t>
  </si>
  <si>
    <t>Use 0 for weights = measured (Ex.13.2)</t>
  </si>
  <si>
    <t>Density of mineral</t>
  </si>
  <si>
    <t>Density of gangue</t>
  </si>
  <si>
    <t>Confidence level %</t>
  </si>
  <si>
    <t>Assay %</t>
  </si>
  <si>
    <t>Top size, d (P95) (cm)</t>
  </si>
  <si>
    <t>Liberation size (cm)</t>
  </si>
  <si>
    <t>Size range factor, g</t>
  </si>
  <si>
    <t>Shape factor, f</t>
  </si>
  <si>
    <r>
      <t>Vol. fraction of mineral, a</t>
    </r>
    <r>
      <rPr>
        <vertAlign val="subscript"/>
        <sz val="10"/>
        <rFont val="Arial"/>
        <family val="2"/>
      </rPr>
      <t>L</t>
    </r>
  </si>
  <si>
    <t>Liberation factor, l</t>
  </si>
  <si>
    <t>Mineral composition factor, m</t>
  </si>
  <si>
    <t>Enter values</t>
  </si>
  <si>
    <t>Calculate sample size</t>
  </si>
  <si>
    <t>Mass of sample, M (kg)</t>
  </si>
  <si>
    <t>Calculate confidence interval on assay</t>
  </si>
  <si>
    <r>
      <t xml:space="preserve">Fundamental error, </t>
    </r>
    <r>
      <rPr>
        <sz val="10"/>
        <rFont val="Calibri"/>
        <family val="2"/>
      </rPr>
      <t>σ</t>
    </r>
    <r>
      <rPr>
        <vertAlign val="subscript"/>
        <sz val="10"/>
        <rFont val="Arial"/>
        <family val="2"/>
      </rPr>
      <t>FE</t>
    </r>
    <r>
      <rPr>
        <sz val="10"/>
        <rFont val="Arial"/>
        <family val="2"/>
      </rPr>
      <t xml:space="preserve"> (rel)</t>
    </r>
  </si>
  <si>
    <t>Confidence interval on assay ± % (abs)</t>
  </si>
  <si>
    <r>
      <t>d</t>
    </r>
    <r>
      <rPr>
        <b/>
        <vertAlign val="subscript"/>
        <sz val="10"/>
        <rFont val="Arial"/>
        <family val="2"/>
      </rPr>
      <t>10</t>
    </r>
  </si>
  <si>
    <r>
      <t>d</t>
    </r>
    <r>
      <rPr>
        <b/>
        <vertAlign val="subscript"/>
        <sz val="10"/>
        <rFont val="Arial"/>
        <family val="2"/>
      </rPr>
      <t>20</t>
    </r>
  </si>
  <si>
    <r>
      <t>d</t>
    </r>
    <r>
      <rPr>
        <b/>
        <vertAlign val="subscript"/>
        <sz val="10"/>
        <rFont val="Arial"/>
        <family val="2"/>
      </rPr>
      <t>32</t>
    </r>
    <r>
      <rPr>
        <sz val="11"/>
        <color theme="1"/>
        <rFont val="Calibri"/>
        <family val="2"/>
        <scheme val="minor"/>
      </rPr>
      <t/>
    </r>
  </si>
  <si>
    <r>
      <t xml:space="preserve">Material density, </t>
    </r>
    <r>
      <rPr>
        <sz val="10"/>
        <rFont val="Calibri"/>
        <family val="2"/>
      </rPr>
      <t>ρ</t>
    </r>
  </si>
  <si>
    <r>
      <t>Relative precision (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%)</t>
    </r>
  </si>
  <si>
    <t>Expected prop. in coarsest size fraction, P</t>
  </si>
  <si>
    <t>Coarsest size fraction:  top size (mm)</t>
  </si>
  <si>
    <t>Coarsest size fraction:  bottom size (mm)</t>
  </si>
  <si>
    <t>z (normal distribution)</t>
  </si>
  <si>
    <r>
      <t>confidence interval (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%)</t>
    </r>
  </si>
  <si>
    <t>% in coarsest size fraction</t>
  </si>
  <si>
    <t>Calculate confidence interval on % in size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</si>
</sst>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000"/>
    <numFmt numFmtId="168" formatCode="0.0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alibri"/>
      <family val="2"/>
    </font>
    <font>
      <b/>
      <vertAlign val="sub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5" fontId="0" fillId="0" borderId="0" xfId="0" applyNumberFormat="1" applyAlignment="1">
      <alignment horizontal="center"/>
    </xf>
    <xf numFmtId="0" fontId="0" fillId="0" borderId="0" xfId="0" applyBorder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1" fontId="0" fillId="3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4715119184248"/>
          <c:y val="0.1211187470809096"/>
          <c:w val="0.74766525734077771"/>
          <c:h val="0.642861042198674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'Ex.13.1 &amp; 13.2'!$P$5:$P$16</c:f>
              <c:numCache>
                <c:formatCode>0.00</c:formatCode>
                <c:ptCount val="12"/>
                <c:pt idx="0">
                  <c:v>26.52</c:v>
                </c:pt>
                <c:pt idx="1">
                  <c:v>12.87</c:v>
                </c:pt>
                <c:pt idx="2">
                  <c:v>4.08</c:v>
                </c:pt>
                <c:pt idx="3">
                  <c:v>32.200000000000003</c:v>
                </c:pt>
                <c:pt idx="4">
                  <c:v>63.83</c:v>
                </c:pt>
                <c:pt idx="5">
                  <c:v>63.52</c:v>
                </c:pt>
                <c:pt idx="6">
                  <c:v>6.73</c:v>
                </c:pt>
                <c:pt idx="7">
                  <c:v>4</c:v>
                </c:pt>
                <c:pt idx="8">
                  <c:v>20.6</c:v>
                </c:pt>
                <c:pt idx="9">
                  <c:v>6.03</c:v>
                </c:pt>
                <c:pt idx="10">
                  <c:v>4.25</c:v>
                </c:pt>
                <c:pt idx="11">
                  <c:v>33.6</c:v>
                </c:pt>
              </c:numCache>
            </c:numRef>
          </c:xVal>
          <c:yVal>
            <c:numRef>
              <c:f>'Ex.13.1 &amp; 13.2'!$Q$5:$Q$16</c:f>
              <c:numCache>
                <c:formatCode>0.00</c:formatCode>
                <c:ptCount val="12"/>
                <c:pt idx="0">
                  <c:v>25.95881052834417</c:v>
                </c:pt>
                <c:pt idx="1">
                  <c:v>12.697927734643388</c:v>
                </c:pt>
                <c:pt idx="2">
                  <c:v>4.3311450424410163</c:v>
                </c:pt>
                <c:pt idx="3">
                  <c:v>31.108946420283921</c:v>
                </c:pt>
                <c:pt idx="4">
                  <c:v>63.893731621988891</c:v>
                </c:pt>
                <c:pt idx="5">
                  <c:v>63.539526999898797</c:v>
                </c:pt>
                <c:pt idx="6">
                  <c:v>6.7014646628894265</c:v>
                </c:pt>
                <c:pt idx="7">
                  <c:v>4.1239397187090159</c:v>
                </c:pt>
                <c:pt idx="8">
                  <c:v>21.097402720145528</c:v>
                </c:pt>
                <c:pt idx="9">
                  <c:v>6.1825128966742762</c:v>
                </c:pt>
                <c:pt idx="10">
                  <c:v>4.0273856034480708</c:v>
                </c:pt>
                <c:pt idx="11">
                  <c:v>34.567108948272491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2368"/>
        <c:axId val="170924672"/>
      </c:scatterChart>
      <c:valAx>
        <c:axId val="1709223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Measured assays (%)</a:t>
                </a:r>
              </a:p>
            </c:rich>
          </c:tx>
          <c:layout>
            <c:manualLayout>
              <c:xMode val="edge"/>
              <c:yMode val="edge"/>
              <c:x val="0.36448686437559791"/>
              <c:y val="0.866465007091504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924672"/>
        <c:crosses val="autoZero"/>
        <c:crossBetween val="midCat"/>
        <c:majorUnit val="10"/>
        <c:minorUnit val="5"/>
      </c:valAx>
      <c:valAx>
        <c:axId val="17092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Adjusted assays (%)</a:t>
                </a:r>
              </a:p>
            </c:rich>
          </c:tx>
          <c:layout>
            <c:manualLayout>
              <c:xMode val="edge"/>
              <c:yMode val="edge"/>
              <c:x val="4.2990654205607479E-2"/>
              <c:y val="0.133541350809409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922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497743108937"/>
          <c:y val="5.4054172944320418E-2"/>
          <c:w val="0.756523612879759"/>
          <c:h val="0.7770287360746059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'Ex.13.4'!$C$9:$C$12</c:f>
              <c:numCache>
                <c:formatCode>General</c:formatCode>
                <c:ptCount val="4"/>
              </c:numCache>
            </c:numRef>
          </c:xVal>
          <c:yVal>
            <c:numRef>
              <c:f>'Ex.13.4'!$D$9:$D$12</c:f>
              <c:numCache>
                <c:formatCode>0.000</c:formatCode>
                <c:ptCount val="4"/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'Ex.13.4'!$E$3:$E$6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</c:numCache>
            </c:numRef>
          </c:xVal>
          <c:yVal>
            <c:numRef>
              <c:f>'Ex.13.4'!$I$3:$I$6</c:f>
              <c:numCache>
                <c:formatCode>General</c:formatCode>
                <c:ptCount val="4"/>
                <c:pt idx="0">
                  <c:v>125000000</c:v>
                </c:pt>
                <c:pt idx="1">
                  <c:v>125000</c:v>
                </c:pt>
                <c:pt idx="2">
                  <c:v>125.00000000000003</c:v>
                </c:pt>
                <c:pt idx="3">
                  <c:v>0.12500000000000003</c:v>
                </c:pt>
              </c:numCache>
            </c:numRef>
          </c:yVal>
          <c:smooth val="0"/>
        </c:ser>
        <c:ser>
          <c:idx val="3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'Ex.13.4'!$E$3:$E$6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</c:numCache>
            </c:numRef>
          </c:xVal>
          <c:yVal>
            <c:numRef>
              <c:f>'Ex.13.4'!$H$3:$H$6</c:f>
              <c:numCache>
                <c:formatCode>0.000</c:formatCode>
                <c:ptCount val="4"/>
                <c:pt idx="0">
                  <c:v>5444288.8733452009</c:v>
                </c:pt>
                <c:pt idx="1">
                  <c:v>17162.081811767468</c:v>
                </c:pt>
                <c:pt idx="2">
                  <c:v>54.270726918846265</c:v>
                </c:pt>
                <c:pt idx="3">
                  <c:v>0.1402077709363535</c:v>
                </c:pt>
              </c:numCache>
            </c:numRef>
          </c:yVal>
          <c:smooth val="0"/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'Ex.13.4'!$F$19:$F$20</c:f>
              <c:numCache>
                <c:formatCode>General</c:formatCode>
                <c:ptCount val="2"/>
                <c:pt idx="0">
                  <c:v>2.5</c:v>
                </c:pt>
                <c:pt idx="1">
                  <c:v>0.4</c:v>
                </c:pt>
              </c:numCache>
            </c:numRef>
          </c:xVal>
          <c:yVal>
            <c:numRef>
              <c:f>'Ex.13.4'!$G$19:$G$20</c:f>
              <c:numCache>
                <c:formatCode>General</c:formatCode>
                <c:ptCount val="2"/>
                <c:pt idx="0">
                  <c:v>170134.02729203753</c:v>
                </c:pt>
                <c:pt idx="1">
                  <c:v>170134.02729203753</c:v>
                </c:pt>
              </c:numCache>
            </c:numRef>
          </c:yVal>
          <c:smooth val="0"/>
        </c:ser>
        <c:ser>
          <c:idx val="5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'Ex.13.4'!$F$20:$F$21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xVal>
          <c:yVal>
            <c:numRef>
              <c:f>'Ex.13.4'!$G$20:$G$21</c:f>
              <c:numCache>
                <c:formatCode>General</c:formatCode>
                <c:ptCount val="2"/>
                <c:pt idx="0">
                  <c:v>170134.02729203753</c:v>
                </c:pt>
                <c:pt idx="1">
                  <c:v>1724.5134220288887</c:v>
                </c:pt>
              </c:numCache>
            </c:numRef>
          </c:yVal>
          <c:smooth val="0"/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'Ex.13.4'!$F$21:$F$22</c:f>
              <c:numCache>
                <c:formatCode>General</c:formatCode>
                <c:ptCount val="2"/>
                <c:pt idx="0">
                  <c:v>0.4</c:v>
                </c:pt>
                <c:pt idx="1">
                  <c:v>0.06</c:v>
                </c:pt>
              </c:numCache>
            </c:numRef>
          </c:xVal>
          <c:yVal>
            <c:numRef>
              <c:f>'Ex.13.4'!$G$21:$G$22</c:f>
              <c:numCache>
                <c:formatCode>General</c:formatCode>
                <c:ptCount val="2"/>
                <c:pt idx="0">
                  <c:v>1724.5134220288887</c:v>
                </c:pt>
                <c:pt idx="1">
                  <c:v>1724.5134220288887</c:v>
                </c:pt>
              </c:numCache>
            </c:numRef>
          </c:yVal>
          <c:smooth val="0"/>
        </c:ser>
        <c:ser>
          <c:idx val="7"/>
          <c:order val="6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'Ex.13.4'!$F$22:$F$23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'Ex.13.4'!$G$22:$G$23</c:f>
              <c:numCache>
                <c:formatCode>General</c:formatCode>
                <c:ptCount val="2"/>
                <c:pt idx="0">
                  <c:v>1724.5134220288887</c:v>
                </c:pt>
                <c:pt idx="1">
                  <c:v>15.049176287877012</c:v>
                </c:pt>
              </c:numCache>
            </c:numRef>
          </c:yVal>
          <c:smooth val="0"/>
        </c:ser>
        <c:ser>
          <c:idx val="8"/>
          <c:order val="7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'Ex.13.4'!$F$23:$F$24</c:f>
              <c:numCache>
                <c:formatCode>General</c:formatCode>
                <c:ptCount val="2"/>
                <c:pt idx="0">
                  <c:v>0.06</c:v>
                </c:pt>
                <c:pt idx="1">
                  <c:v>1.06E-2</c:v>
                </c:pt>
              </c:numCache>
            </c:numRef>
          </c:xVal>
          <c:yVal>
            <c:numRef>
              <c:f>'Ex.13.4'!$G$23:$G$24</c:f>
              <c:numCache>
                <c:formatCode>General</c:formatCode>
                <c:ptCount val="2"/>
                <c:pt idx="0">
                  <c:v>15.049176287877012</c:v>
                </c:pt>
                <c:pt idx="1">
                  <c:v>15.049176287877012</c:v>
                </c:pt>
              </c:numCache>
            </c:numRef>
          </c:yVal>
          <c:smooth val="0"/>
        </c:ser>
        <c:ser>
          <c:idx val="9"/>
          <c:order val="8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'Ex.13.4'!$F$24:$F$25</c:f>
              <c:numCache>
                <c:formatCode>General</c:formatCode>
                <c:ptCount val="2"/>
                <c:pt idx="0">
                  <c:v>1.06E-2</c:v>
                </c:pt>
                <c:pt idx="1">
                  <c:v>1.06E-2</c:v>
                </c:pt>
              </c:numCache>
            </c:numRef>
          </c:xVal>
          <c:yVal>
            <c:numRef>
              <c:f>'Ex.13.4'!$G$24:$G$25</c:f>
              <c:numCache>
                <c:formatCode>General</c:formatCode>
                <c:ptCount val="2"/>
                <c:pt idx="0">
                  <c:v>15.049176287877012</c:v>
                </c:pt>
                <c:pt idx="1">
                  <c:v>0.16558015105114252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34272"/>
        <c:axId val="171340928"/>
      </c:scatterChart>
      <c:valAx>
        <c:axId val="171334272"/>
        <c:scaling>
          <c:logBase val="10"/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Top size (cm)</a:t>
                </a:r>
              </a:p>
            </c:rich>
          </c:tx>
          <c:layout>
            <c:manualLayout>
              <c:xMode val="edge"/>
              <c:yMode val="edge"/>
              <c:x val="0.49420403971242727"/>
              <c:y val="0.903155281265517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40928"/>
        <c:crossesAt val="0.01"/>
        <c:crossBetween val="midCat"/>
      </c:valAx>
      <c:valAx>
        <c:axId val="171340928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Min. sample mass (g)</a:t>
                </a:r>
              </a:p>
            </c:rich>
          </c:tx>
          <c:layout>
            <c:manualLayout>
              <c:xMode val="edge"/>
              <c:yMode val="edge"/>
              <c:x val="3.0434782608695653E-2"/>
              <c:y val="0.20945981414485351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34272"/>
        <c:crossesAt val="0.0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4905660377358"/>
          <c:y val="0.11859039317028511"/>
          <c:w val="0.77924528301886797"/>
          <c:h val="0.6730806098854019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'Ex.13.6'!$B$2:$B$12</c:f>
              <c:numCache>
                <c:formatCode>0</c:formatCode>
                <c:ptCount val="11"/>
                <c:pt idx="0">
                  <c:v>212</c:v>
                </c:pt>
                <c:pt idx="1">
                  <c:v>150</c:v>
                </c:pt>
                <c:pt idx="2">
                  <c:v>106</c:v>
                </c:pt>
                <c:pt idx="3">
                  <c:v>75</c:v>
                </c:pt>
                <c:pt idx="4">
                  <c:v>53</c:v>
                </c:pt>
                <c:pt idx="5">
                  <c:v>38</c:v>
                </c:pt>
                <c:pt idx="6">
                  <c:v>35</c:v>
                </c:pt>
                <c:pt idx="7">
                  <c:v>25</c:v>
                </c:pt>
                <c:pt idx="8">
                  <c:v>16</c:v>
                </c:pt>
                <c:pt idx="9">
                  <c:v>12</c:v>
                </c:pt>
                <c:pt idx="10">
                  <c:v>9</c:v>
                </c:pt>
              </c:numCache>
            </c:numRef>
          </c:xVal>
          <c:yVal>
            <c:numRef>
              <c:f>'Ex.13.6'!$E$2:$E$12</c:f>
              <c:numCache>
                <c:formatCode>0.0</c:formatCode>
                <c:ptCount val="11"/>
                <c:pt idx="0">
                  <c:v>97.6</c:v>
                </c:pt>
                <c:pt idx="1">
                  <c:v>92.699999999999989</c:v>
                </c:pt>
                <c:pt idx="2">
                  <c:v>86.399999999999991</c:v>
                </c:pt>
                <c:pt idx="3">
                  <c:v>76.099999999999994</c:v>
                </c:pt>
                <c:pt idx="4">
                  <c:v>64.199999999999989</c:v>
                </c:pt>
                <c:pt idx="5">
                  <c:v>52.899999999999991</c:v>
                </c:pt>
                <c:pt idx="6">
                  <c:v>49.099999999999994</c:v>
                </c:pt>
                <c:pt idx="7">
                  <c:v>42.899999999999991</c:v>
                </c:pt>
                <c:pt idx="8">
                  <c:v>30.699999999999992</c:v>
                </c:pt>
                <c:pt idx="9">
                  <c:v>23.899999999999991</c:v>
                </c:pt>
                <c:pt idx="10">
                  <c:v>19.499999999999993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8704"/>
        <c:axId val="171774720"/>
      </c:scatterChart>
      <c:valAx>
        <c:axId val="172088704"/>
        <c:scaling>
          <c:logBase val="10"/>
          <c:orientation val="minMax"/>
        </c:scaling>
        <c:delete val="0"/>
        <c:axPos val="b"/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774720"/>
        <c:crosses val="autoZero"/>
        <c:crossBetween val="midCat"/>
      </c:valAx>
      <c:valAx>
        <c:axId val="17177472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88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387350</xdr:colOff>
      <xdr:row>16</xdr:row>
      <xdr:rowOff>152400</xdr:rowOff>
    </xdr:from>
    <xdr:to>
      <xdr:col>20</xdr:col>
      <xdr:colOff>50800</xdr:colOff>
      <xdr:row>29</xdr:row>
      <xdr:rowOff>114300</xdr:rowOff>
    </xdr:to>
    <xdr:graphicFrame macro="">
      <xdr:nvGraphicFramePr>
        <xdr:cNvPr id="20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11</xdr:row>
          <xdr:rowOff>12700</xdr:rowOff>
        </xdr:from>
        <xdr:to>
          <xdr:col>3</xdr:col>
          <xdr:colOff>330200</xdr:colOff>
          <xdr:row>12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11</xdr:row>
          <xdr:rowOff>19050</xdr:rowOff>
        </xdr:from>
        <xdr:to>
          <xdr:col>4</xdr:col>
          <xdr:colOff>298450</xdr:colOff>
          <xdr:row>12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11</xdr:row>
          <xdr:rowOff>12700</xdr:rowOff>
        </xdr:from>
        <xdr:to>
          <xdr:col>5</xdr:col>
          <xdr:colOff>323850</xdr:colOff>
          <xdr:row>12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19050</xdr:colOff>
      <xdr:row>11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080" name="Line 5"/>
        <xdr:cNvSpPr>
          <a:spLocks noChangeShapeType="1"/>
        </xdr:cNvSpPr>
      </xdr:nvSpPr>
      <xdr:spPr bwMode="auto">
        <a:xfrm>
          <a:off x="1238250" y="1828800"/>
          <a:ext cx="299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21</xdr:row>
      <xdr:rowOff>57150</xdr:rowOff>
    </xdr:from>
    <xdr:to>
      <xdr:col>10</xdr:col>
      <xdr:colOff>488950</xdr:colOff>
      <xdr:row>56</xdr:row>
      <xdr:rowOff>133350</xdr:rowOff>
    </xdr:to>
    <xdr:grpSp>
      <xdr:nvGrpSpPr>
        <xdr:cNvPr id="2081" name="Group 5"/>
        <xdr:cNvGrpSpPr>
          <a:grpSpLocks/>
        </xdr:cNvGrpSpPr>
      </xdr:nvGrpSpPr>
      <xdr:grpSpPr bwMode="auto">
        <a:xfrm>
          <a:off x="133350" y="3562350"/>
          <a:ext cx="6959600" cy="5638800"/>
          <a:chOff x="258775" y="3276600"/>
          <a:chExt cx="6961473" cy="5639076"/>
        </a:xfrm>
      </xdr:grpSpPr>
      <xdr:pic>
        <xdr:nvPicPr>
          <xdr:cNvPr id="2082" name="Picture 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16050" y="3549650"/>
            <a:ext cx="5804198" cy="53660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59" name="Text Box 11"/>
          <xdr:cNvSpPr txBox="1">
            <a:spLocks noChangeArrowheads="1"/>
          </xdr:cNvSpPr>
        </xdr:nvSpPr>
        <xdr:spPr bwMode="auto">
          <a:xfrm>
            <a:off x="3479091" y="3282950"/>
            <a:ext cx="323937" cy="215911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wrap="none" lIns="27432" tIns="36576" rIns="27432" bIns="0" anchor="t" upright="1">
            <a:noAutofit/>
          </a:bodyPr>
          <a:lstStyle/>
          <a:p>
            <a:pPr algn="ctr" rtl="0">
              <a:defRPr sz="1000"/>
            </a:pPr>
            <a:r>
              <a:rPr lang="en-A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SST</a:t>
            </a:r>
          </a:p>
        </xdr:txBody>
      </xdr:sp>
      <xdr:sp macro="" textlink="">
        <xdr:nvSpPr>
          <xdr:cNvPr id="2084" name="Line 17"/>
          <xdr:cNvSpPr>
            <a:spLocks noChangeShapeType="1"/>
          </xdr:cNvSpPr>
        </xdr:nvSpPr>
        <xdr:spPr bwMode="auto">
          <a:xfrm flipH="1">
            <a:off x="3388370" y="3505200"/>
            <a:ext cx="256530" cy="55653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stealth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0" name="Text Box 12"/>
          <xdr:cNvSpPr txBox="1">
            <a:spLocks noChangeArrowheads="1"/>
          </xdr:cNvSpPr>
        </xdr:nvSpPr>
        <xdr:spPr bwMode="auto">
          <a:xfrm>
            <a:off x="2342136" y="3276600"/>
            <a:ext cx="952756" cy="215911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wrap="none" lIns="27432" tIns="36576" rIns="27432" bIns="0" anchor="t" upright="1">
            <a:noAutofit/>
          </a:bodyPr>
          <a:lstStyle/>
          <a:p>
            <a:pPr algn="ctr" rtl="0">
              <a:defRPr sz="1000"/>
            </a:pPr>
            <a:r>
              <a:rPr lang="en-A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Minimise SST</a:t>
            </a:r>
          </a:p>
        </xdr:txBody>
      </xdr:sp>
      <xdr:sp macro="" textlink="">
        <xdr:nvSpPr>
          <xdr:cNvPr id="2086" name="Line 18"/>
          <xdr:cNvSpPr>
            <a:spLocks noChangeShapeType="1"/>
          </xdr:cNvSpPr>
        </xdr:nvSpPr>
        <xdr:spPr bwMode="auto">
          <a:xfrm>
            <a:off x="2611508" y="3501216"/>
            <a:ext cx="531742" cy="9247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stealth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1" name="Text Box 13"/>
          <xdr:cNvSpPr txBox="1">
            <a:spLocks noChangeArrowheads="1"/>
          </xdr:cNvSpPr>
        </xdr:nvSpPr>
        <xdr:spPr bwMode="auto">
          <a:xfrm>
            <a:off x="258775" y="4946732"/>
            <a:ext cx="1079791" cy="3937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wrap="none" lIns="27432" tIns="36576" rIns="27432" bIns="0" anchor="t" upright="1">
            <a:noAutofit/>
          </a:bodyPr>
          <a:lstStyle/>
          <a:p>
            <a:pPr algn="ctr" rtl="0">
              <a:lnSpc>
                <a:spcPts val="1300"/>
              </a:lnSpc>
              <a:defRPr sz="1000"/>
            </a:pPr>
            <a:r>
              <a:rPr lang="en-A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Adjusted values </a:t>
            </a:r>
          </a:p>
          <a:p>
            <a:pPr algn="ctr" rtl="0">
              <a:lnSpc>
                <a:spcPts val="1300"/>
              </a:lnSpc>
              <a:defRPr sz="1000"/>
            </a:pPr>
            <a:r>
              <a:rPr lang="en-A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must be &gt; 0</a:t>
            </a:r>
          </a:p>
        </xdr:txBody>
      </xdr:sp>
      <xdr:sp macro="" textlink="">
        <xdr:nvSpPr>
          <xdr:cNvPr id="2088" name="Line 15"/>
          <xdr:cNvSpPr>
            <a:spLocks noChangeShapeType="1"/>
          </xdr:cNvSpPr>
        </xdr:nvSpPr>
        <xdr:spPr bwMode="auto">
          <a:xfrm>
            <a:off x="1341541" y="5173444"/>
            <a:ext cx="404709" cy="27485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stealth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2" name="Text Box 14"/>
          <xdr:cNvSpPr txBox="1">
            <a:spLocks noChangeArrowheads="1"/>
          </xdr:cNvSpPr>
        </xdr:nvSpPr>
        <xdr:spPr bwMode="auto">
          <a:xfrm>
            <a:off x="366754" y="5556362"/>
            <a:ext cx="959108" cy="3937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wrap="none" lIns="27432" tIns="36576" rIns="27432" bIns="0" anchor="t" upright="1">
            <a:noAutofit/>
          </a:bodyPr>
          <a:lstStyle/>
          <a:p>
            <a:pPr algn="ctr" rtl="0">
              <a:lnSpc>
                <a:spcPts val="1300"/>
              </a:lnSpc>
              <a:defRPr sz="1000"/>
            </a:pPr>
            <a:r>
              <a:rPr lang="en-A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All mass splits</a:t>
            </a:r>
          </a:p>
          <a:p>
            <a:pPr algn="ctr" rtl="0">
              <a:defRPr sz="1000"/>
            </a:pPr>
            <a:r>
              <a:rPr lang="en-A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must be equal</a:t>
            </a:r>
          </a:p>
        </xdr:txBody>
      </xdr:sp>
      <xdr:sp macro="" textlink="">
        <xdr:nvSpPr>
          <xdr:cNvPr id="2090" name="Line 16"/>
          <xdr:cNvSpPr>
            <a:spLocks noChangeShapeType="1"/>
          </xdr:cNvSpPr>
        </xdr:nvSpPr>
        <xdr:spPr bwMode="auto">
          <a:xfrm flipV="1">
            <a:off x="1328081" y="5689599"/>
            <a:ext cx="386419" cy="8113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stealth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0.18446</cdr:x>
      <cdr:y>0.12457</cdr:y>
    </cdr:from>
    <cdr:to>
      <cdr:x>0.93026</cdr:x>
      <cdr:y>0.76375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7825" y="255492"/>
          <a:ext cx="2538412" cy="13110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8</xdr:row>
      <xdr:rowOff>0</xdr:rowOff>
    </xdr:from>
    <xdr:to>
      <xdr:col>14</xdr:col>
      <xdr:colOff>355600</xdr:colOff>
      <xdr:row>25</xdr:row>
      <xdr:rowOff>95250</xdr:rowOff>
    </xdr:to>
    <xdr:graphicFrame macro="">
      <xdr:nvGraphicFramePr>
        <xdr:cNvPr id="922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0.69366</cdr:x>
      <cdr:y>0.10812</cdr:y>
    </cdr:from>
    <cdr:to>
      <cdr:x>0.8085</cdr:x>
      <cdr:y>0.16893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9271" y="304834"/>
          <a:ext cx="503151" cy="17145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Gy's line</a:t>
          </a:r>
        </a:p>
      </cdr:txBody>
    </cdr:sp>
  </cdr:relSizeAnchor>
  <cdr:relSizeAnchor xmlns:cdr="http://schemas.openxmlformats.org/drawingml/2006/chartDrawing">
    <cdr:from>
      <cdr:x>0.80917</cdr:x>
      <cdr:y>0.16475</cdr:y>
    </cdr:from>
    <cdr:to>
      <cdr:x>0.84385</cdr:x>
      <cdr:y>0.22525</cdr:y>
    </cdr:to>
    <cdr:sp macro="" textlink="">
      <cdr:nvSpPr>
        <cdr:cNvPr id="1024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50523" y="465552"/>
          <a:ext cx="152162" cy="1709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stealth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0.61283</cdr:x>
      <cdr:y>0.30816</cdr:y>
    </cdr:from>
    <cdr:to>
      <cdr:x>0.79696</cdr:x>
      <cdr:y>0.30816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688987" y="870769"/>
          <a:ext cx="80795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stealth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0.4133</cdr:x>
      <cdr:y>0.46939</cdr:y>
    </cdr:from>
    <cdr:to>
      <cdr:x>0.56594</cdr:x>
      <cdr:y>0.46939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813520" y="1326383"/>
          <a:ext cx="66972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stealth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0.21916</cdr:x>
      <cdr:y>0.62991</cdr:y>
    </cdr:from>
    <cdr:to>
      <cdr:x>0.38546</cdr:x>
      <cdr:y>0.62991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961628" y="1779954"/>
          <a:ext cx="7297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stealth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0.58401</cdr:x>
      <cdr:y>0.33539</cdr:y>
    </cdr:from>
    <cdr:to>
      <cdr:x>0.58401</cdr:x>
      <cdr:y>0.46939</cdr:y>
    </cdr:to>
    <cdr:sp macro="" textlink="">
      <cdr:nvSpPr>
        <cdr:cNvPr id="10250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562543" y="947726"/>
          <a:ext cx="0" cy="3786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stealth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0.36715</cdr:x>
      <cdr:y>0.49663</cdr:y>
    </cdr:from>
    <cdr:to>
      <cdr:x>0.36715</cdr:x>
      <cdr:y>0.62991</cdr:y>
    </cdr:to>
    <cdr:sp macro="" textlink="">
      <cdr:nvSpPr>
        <cdr:cNvPr id="10251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610995" y="1403340"/>
          <a:ext cx="0" cy="3766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stealth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0.2238</cdr:x>
      <cdr:y>0.67039</cdr:y>
    </cdr:from>
    <cdr:to>
      <cdr:x>0.2238</cdr:x>
      <cdr:y>0.80367</cdr:y>
    </cdr:to>
    <cdr:sp macro="" textlink="">
      <cdr:nvSpPr>
        <cdr:cNvPr id="10252" name="Line 1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81988" y="1894369"/>
          <a:ext cx="0" cy="3766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stealth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0.80917</cdr:x>
      <cdr:y>0.34551</cdr:y>
    </cdr:from>
    <cdr:to>
      <cdr:x>0.91027</cdr:x>
      <cdr:y>0.34551</cdr:y>
    </cdr:to>
    <cdr:sp macro="" textlink="">
      <cdr:nvSpPr>
        <cdr:cNvPr id="10253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50523" y="976330"/>
          <a:ext cx="44362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0.71862</cdr:x>
      <cdr:y>0.59665</cdr:y>
    </cdr:from>
    <cdr:to>
      <cdr:x>0.85259</cdr:x>
      <cdr:y>0.67254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8618" y="1682195"/>
          <a:ext cx="587020" cy="21396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36576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Unsafe</a:t>
          </a:r>
        </a:p>
      </cdr:txBody>
    </cdr:sp>
  </cdr:relSizeAnchor>
  <cdr:relSizeAnchor xmlns:cdr="http://schemas.openxmlformats.org/drawingml/2006/chartDrawing">
    <cdr:from>
      <cdr:x>0.45777</cdr:x>
      <cdr:y>0.13149</cdr:y>
    </cdr:from>
    <cdr:to>
      <cdr:x>0.54882</cdr:x>
      <cdr:y>0.20738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5709" y="370723"/>
          <a:ext cx="398955" cy="21396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36576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Safe</a:t>
          </a:r>
        </a:p>
      </cdr:txBody>
    </cdr:sp>
  </cdr:relSizeAnchor>
  <cdr:relSizeAnchor xmlns:cdr="http://schemas.openxmlformats.org/drawingml/2006/chartDrawing">
    <cdr:from>
      <cdr:x>0.79199</cdr:x>
      <cdr:y>0.37949</cdr:y>
    </cdr:from>
    <cdr:to>
      <cdr:x>0.82049</cdr:x>
      <cdr:y>0.44194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0087" y="1069934"/>
          <a:ext cx="124906" cy="17607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wrap="none" lIns="27432" tIns="32004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  <cdr:relSizeAnchor xmlns:cdr="http://schemas.openxmlformats.org/drawingml/2006/chartDrawing">
    <cdr:from>
      <cdr:x>0.5954</cdr:x>
      <cdr:y>0.52989</cdr:y>
    </cdr:from>
    <cdr:to>
      <cdr:x>0.6239</cdr:x>
      <cdr:y>0.59234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8728" y="1493972"/>
          <a:ext cx="124906" cy="17607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wrap="none" lIns="27432" tIns="32004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0.38391</cdr:x>
      <cdr:y>0.68028</cdr:y>
    </cdr:from>
    <cdr:to>
      <cdr:x>0.41241</cdr:x>
      <cdr:y>0.74273</cdr:y>
    </cdr:to>
    <cdr:sp macro="" textlink="">
      <cdr:nvSpPr>
        <cdr:cNvPr id="10258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2085" y="1917981"/>
          <a:ext cx="124906" cy="17607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wrap="none" lIns="27432" tIns="32004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cdr:txBody>
    </cdr:sp>
  </cdr:relSizeAnchor>
  <cdr:relSizeAnchor xmlns:cdr="http://schemas.openxmlformats.org/drawingml/2006/chartDrawing">
    <cdr:from>
      <cdr:x>0.22469</cdr:x>
      <cdr:y>0.80367</cdr:y>
    </cdr:from>
    <cdr:to>
      <cdr:x>0.25319</cdr:x>
      <cdr:y>0.86612</cdr:y>
    </cdr:to>
    <cdr:sp macro="" textlink="">
      <cdr:nvSpPr>
        <cdr:cNvPr id="10259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4463" y="2265867"/>
          <a:ext cx="124906" cy="17607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wrap="none" lIns="27432" tIns="32004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16</xdr:row>
      <xdr:rowOff>82550</xdr:rowOff>
    </xdr:from>
    <xdr:to>
      <xdr:col>6</xdr:col>
      <xdr:colOff>190500</xdr:colOff>
      <xdr:row>29</xdr:row>
      <xdr:rowOff>0</xdr:rowOff>
    </xdr:to>
    <xdr:graphicFrame macro="">
      <xdr:nvGraphicFramePr>
        <xdr:cNvPr id="2970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12</xdr:row>
      <xdr:rowOff>95250</xdr:rowOff>
    </xdr:from>
    <xdr:to>
      <xdr:col>6</xdr:col>
      <xdr:colOff>209550</xdr:colOff>
      <xdr:row>16</xdr:row>
      <xdr:rowOff>31750</xdr:rowOff>
    </xdr:to>
    <xdr:sp macro="" textlink="">
      <xdr:nvSpPr>
        <xdr:cNvPr id="28675" name="Line 1"/>
        <xdr:cNvSpPr>
          <a:spLocks noChangeShapeType="1"/>
        </xdr:cNvSpPr>
      </xdr:nvSpPr>
      <xdr:spPr bwMode="auto">
        <a:xfrm flipV="1">
          <a:off x="3651250" y="2044700"/>
          <a:ext cx="1206500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A18" sqref="A18"/>
    </sheetView>
  </sheetViews>
  <sheetFormatPr defaultRowHeight="12.5" x14ac:dyDescent="0.25"/>
  <cols>
    <col min="3" max="3" width="10.1796875" customWidth="1"/>
    <col min="4" max="4" width="7" customWidth="1"/>
    <col min="5" max="5" width="6.81640625" customWidth="1"/>
    <col min="6" max="6" width="7.1796875" customWidth="1"/>
    <col min="7" max="7" width="12" bestFit="1" customWidth="1"/>
    <col min="8" max="9" width="9.7265625" customWidth="1"/>
    <col min="10" max="10" width="14.453125" bestFit="1" customWidth="1"/>
    <col min="11" max="13" width="7.7265625" customWidth="1"/>
    <col min="15" max="15" width="9.81640625" bestFit="1" customWidth="1"/>
  </cols>
  <sheetData>
    <row r="1" spans="1:18" ht="13" x14ac:dyDescent="0.3">
      <c r="C1" s="10" t="s">
        <v>90</v>
      </c>
    </row>
    <row r="2" spans="1:18" ht="13" x14ac:dyDescent="0.3">
      <c r="C2" s="10" t="s">
        <v>91</v>
      </c>
    </row>
    <row r="3" spans="1:18" ht="13" x14ac:dyDescent="0.3">
      <c r="A3" s="10"/>
    </row>
    <row r="4" spans="1:18" ht="15" customHeight="1" x14ac:dyDescent="0.3">
      <c r="A4" s="10"/>
      <c r="B4" s="28"/>
      <c r="C4" s="10" t="s">
        <v>0</v>
      </c>
      <c r="D4" s="3" t="s">
        <v>1</v>
      </c>
      <c r="E4" s="3" t="s">
        <v>2</v>
      </c>
      <c r="F4" s="3" t="s">
        <v>3</v>
      </c>
      <c r="G4" s="3" t="s">
        <v>79</v>
      </c>
      <c r="I4" s="2"/>
      <c r="J4" s="1" t="s">
        <v>4</v>
      </c>
      <c r="K4" s="3" t="s">
        <v>1</v>
      </c>
      <c r="L4" s="3" t="s">
        <v>2</v>
      </c>
      <c r="M4" s="3" t="s">
        <v>3</v>
      </c>
      <c r="N4" s="3"/>
      <c r="P4" s="3" t="s">
        <v>0</v>
      </c>
      <c r="Q4" s="3" t="s">
        <v>6</v>
      </c>
    </row>
    <row r="5" spans="1:18" ht="13" x14ac:dyDescent="0.3">
      <c r="C5" s="1" t="s">
        <v>7</v>
      </c>
      <c r="D5" s="6">
        <v>26.52</v>
      </c>
      <c r="E5" s="6">
        <v>63.83</v>
      </c>
      <c r="F5" s="6">
        <v>20.6</v>
      </c>
      <c r="G5" s="6">
        <f>100*(D5-F5)/(E5-F5)</f>
        <v>13.694193846865598</v>
      </c>
      <c r="H5" s="6"/>
      <c r="I5" s="6"/>
      <c r="J5" s="1" t="s">
        <v>7</v>
      </c>
      <c r="K5" s="4">
        <f t="shared" ref="K5:M8" si="0">((D5-D13)/K13)^2</f>
        <v>0.31493362309734924</v>
      </c>
      <c r="L5" s="4">
        <f t="shared" si="0"/>
        <v>4.0617196413351543E-3</v>
      </c>
      <c r="M5" s="4">
        <f t="shared" si="0"/>
        <v>0.2474094660081689</v>
      </c>
      <c r="N5" s="4"/>
      <c r="P5" s="6">
        <v>26.52</v>
      </c>
      <c r="Q5" s="6">
        <f>D13</f>
        <v>25.95881052834417</v>
      </c>
      <c r="R5" s="1"/>
    </row>
    <row r="6" spans="1:18" ht="13" x14ac:dyDescent="0.3">
      <c r="C6" s="1" t="s">
        <v>8</v>
      </c>
      <c r="D6" s="6">
        <v>12.87</v>
      </c>
      <c r="E6" s="6">
        <v>63.52</v>
      </c>
      <c r="F6" s="6">
        <v>6.03</v>
      </c>
      <c r="G6" s="6">
        <f>100*(D6-F6)/(E6-F6)</f>
        <v>11.897721342842232</v>
      </c>
      <c r="H6" s="6"/>
      <c r="I6" s="6"/>
      <c r="J6" s="1" t="s">
        <v>8</v>
      </c>
      <c r="K6" s="4">
        <f t="shared" si="0"/>
        <v>2.9608864504956072E-2</v>
      </c>
      <c r="L6" s="4">
        <f t="shared" si="0"/>
        <v>3.8130372504749767E-4</v>
      </c>
      <c r="M6" s="4">
        <f t="shared" si="0"/>
        <v>2.3260183651978364E-2</v>
      </c>
      <c r="N6" s="4"/>
      <c r="P6" s="6">
        <v>12.87</v>
      </c>
      <c r="Q6" s="6">
        <f>D14</f>
        <v>12.697927734643388</v>
      </c>
      <c r="R6" s="1"/>
    </row>
    <row r="7" spans="1:18" ht="13" x14ac:dyDescent="0.3">
      <c r="C7" s="1" t="s">
        <v>9</v>
      </c>
      <c r="D7" s="6">
        <v>4.08</v>
      </c>
      <c r="E7" s="6">
        <v>6.73</v>
      </c>
      <c r="F7" s="6">
        <v>4.25</v>
      </c>
      <c r="G7" s="6">
        <f>100*(D7-F7)/(E7-F7)</f>
        <v>-6.8548387096774155</v>
      </c>
      <c r="H7" s="6"/>
      <c r="I7" s="6"/>
      <c r="J7" s="1" t="s">
        <v>9</v>
      </c>
      <c r="K7" s="4">
        <f t="shared" si="0"/>
        <v>6.3073832342699837E-2</v>
      </c>
      <c r="L7" s="4">
        <f t="shared" si="0"/>
        <v>8.1426546401409472E-4</v>
      </c>
      <c r="M7" s="4">
        <f t="shared" si="0"/>
        <v>4.9557169552179571E-2</v>
      </c>
      <c r="N7" s="4"/>
      <c r="P7" s="6">
        <v>4.08</v>
      </c>
      <c r="Q7" s="6">
        <f>D15</f>
        <v>4.3311450424410163</v>
      </c>
      <c r="R7" s="1"/>
    </row>
    <row r="8" spans="1:18" ht="13" x14ac:dyDescent="0.3">
      <c r="C8" s="1" t="s">
        <v>10</v>
      </c>
      <c r="D8" s="6">
        <v>32.200000000000003</v>
      </c>
      <c r="E8" s="6">
        <v>4</v>
      </c>
      <c r="F8" s="6">
        <v>33.6</v>
      </c>
      <c r="G8" s="6">
        <f>100*(D8-F8)/(E8-F8)</f>
        <v>4.7297297297297245</v>
      </c>
      <c r="H8" s="6"/>
      <c r="I8" s="6"/>
      <c r="J8" s="1" t="s">
        <v>10</v>
      </c>
      <c r="K8" s="4">
        <f t="shared" si="0"/>
        <v>1.1903979138112766</v>
      </c>
      <c r="L8" s="4">
        <f t="shared" si="0"/>
        <v>1.536105387366998E-2</v>
      </c>
      <c r="M8" s="4">
        <f t="shared" si="0"/>
        <v>0.93529971782872079</v>
      </c>
      <c r="N8" s="4"/>
      <c r="P8" s="6">
        <v>32.200000000000003</v>
      </c>
      <c r="Q8" s="6">
        <f>D16</f>
        <v>31.108946420283921</v>
      </c>
      <c r="R8" s="1"/>
    </row>
    <row r="9" spans="1:18" ht="13" x14ac:dyDescent="0.3">
      <c r="C9" s="5"/>
      <c r="D9" s="6"/>
      <c r="E9" s="6"/>
      <c r="F9" s="6"/>
      <c r="G9" s="6"/>
      <c r="H9" s="6"/>
      <c r="I9" s="6"/>
      <c r="K9" s="4"/>
      <c r="L9" s="3" t="s">
        <v>11</v>
      </c>
      <c r="M9" s="3">
        <f>SUM(K5:M8)</f>
        <v>2.874159113501396</v>
      </c>
      <c r="P9" s="6">
        <v>63.83</v>
      </c>
      <c r="Q9" s="6">
        <f>E13</f>
        <v>63.893731621988891</v>
      </c>
      <c r="R9" s="1"/>
    </row>
    <row r="10" spans="1:18" x14ac:dyDescent="0.25">
      <c r="P10" s="6">
        <v>63.52</v>
      </c>
      <c r="Q10" s="6">
        <f>E14</f>
        <v>63.539526999898797</v>
      </c>
    </row>
    <row r="11" spans="1:18" x14ac:dyDescent="0.25">
      <c r="C11" s="12"/>
      <c r="D11" s="12"/>
      <c r="E11" s="12"/>
      <c r="F11" s="12"/>
      <c r="G11" s="12"/>
      <c r="P11" s="6">
        <v>6.73</v>
      </c>
      <c r="Q11" s="6">
        <f>E15</f>
        <v>6.7014646628894265</v>
      </c>
    </row>
    <row r="12" spans="1:18" ht="16.5" customHeight="1" x14ac:dyDescent="0.3">
      <c r="C12" s="29" t="s">
        <v>6</v>
      </c>
      <c r="D12" s="9" t="s">
        <v>1</v>
      </c>
      <c r="E12" s="9"/>
      <c r="F12" s="9"/>
      <c r="G12" s="9" t="s">
        <v>79</v>
      </c>
      <c r="H12" s="9" t="s">
        <v>13</v>
      </c>
      <c r="I12" s="2"/>
      <c r="K12" s="1" t="s">
        <v>80</v>
      </c>
      <c r="P12" s="6">
        <v>4</v>
      </c>
      <c r="Q12" s="6">
        <f>E16</f>
        <v>4.1239397187090159</v>
      </c>
    </row>
    <row r="13" spans="1:18" ht="13" x14ac:dyDescent="0.3">
      <c r="C13" s="1" t="s">
        <v>7</v>
      </c>
      <c r="D13" s="6">
        <v>25.95881052834417</v>
      </c>
      <c r="E13" s="6">
        <v>63.893731621988891</v>
      </c>
      <c r="F13" s="6">
        <v>21.097402720145528</v>
      </c>
      <c r="G13" s="6">
        <f>100*(D13-F13)/(E13-F13)</f>
        <v>11.359403792200611</v>
      </c>
      <c r="H13" s="6">
        <f>G13*E13/D13</f>
        <v>27.959474356199049</v>
      </c>
      <c r="I13" s="6"/>
      <c r="K13" s="6">
        <f t="shared" ref="K13:M17" si="1">IF($K$19,1,D5)</f>
        <v>1</v>
      </c>
      <c r="L13" s="6">
        <f t="shared" si="1"/>
        <v>1</v>
      </c>
      <c r="M13" s="6">
        <f t="shared" si="1"/>
        <v>1</v>
      </c>
      <c r="P13" s="6">
        <v>20.6</v>
      </c>
      <c r="Q13" s="6">
        <f>F13</f>
        <v>21.097402720145528</v>
      </c>
    </row>
    <row r="14" spans="1:18" ht="13" x14ac:dyDescent="0.3">
      <c r="C14" s="1" t="s">
        <v>8</v>
      </c>
      <c r="D14" s="6">
        <v>12.697927734643388</v>
      </c>
      <c r="E14" s="6">
        <v>63.539526999898797</v>
      </c>
      <c r="F14" s="6">
        <v>6.1825128966742762</v>
      </c>
      <c r="G14" s="6">
        <f>100*(D14-F14)/(E14-F14)</f>
        <v>11.359403797142267</v>
      </c>
      <c r="H14" s="6">
        <f>G14*E14/D14</f>
        <v>56.841648444894417</v>
      </c>
      <c r="I14" s="6"/>
      <c r="K14" s="6">
        <f t="shared" si="1"/>
        <v>1</v>
      </c>
      <c r="L14" s="6">
        <f t="shared" si="1"/>
        <v>1</v>
      </c>
      <c r="M14" s="6">
        <f t="shared" si="1"/>
        <v>1</v>
      </c>
      <c r="P14" s="6">
        <v>6.03</v>
      </c>
      <c r="Q14" s="6">
        <f>F14</f>
        <v>6.1825128966742762</v>
      </c>
    </row>
    <row r="15" spans="1:18" ht="13" x14ac:dyDescent="0.3">
      <c r="C15" s="1" t="s">
        <v>9</v>
      </c>
      <c r="D15" s="6">
        <v>4.3311450424410163</v>
      </c>
      <c r="E15" s="6">
        <v>6.7014646628894265</v>
      </c>
      <c r="F15" s="6">
        <v>4.0273856034480708</v>
      </c>
      <c r="G15" s="6">
        <f>100*(D15-F15)/(E15-F15)</f>
        <v>11.359403826168254</v>
      </c>
      <c r="H15" s="6">
        <f>G15*E15/D15</f>
        <v>17.576101143371996</v>
      </c>
      <c r="I15" s="6"/>
      <c r="K15" s="6">
        <f t="shared" si="1"/>
        <v>1</v>
      </c>
      <c r="L15" s="6">
        <f t="shared" si="1"/>
        <v>1</v>
      </c>
      <c r="M15" s="6">
        <f t="shared" si="1"/>
        <v>1</v>
      </c>
      <c r="P15" s="6">
        <v>4.25</v>
      </c>
      <c r="Q15" s="6">
        <f>F15</f>
        <v>4.0273856034480708</v>
      </c>
    </row>
    <row r="16" spans="1:18" ht="13" x14ac:dyDescent="0.3">
      <c r="C16" s="1" t="s">
        <v>10</v>
      </c>
      <c r="D16" s="6">
        <v>31.108946420283921</v>
      </c>
      <c r="E16" s="6">
        <v>4.1239397187090159</v>
      </c>
      <c r="F16" s="6">
        <v>34.567108948272491</v>
      </c>
      <c r="G16" s="6">
        <f>100*(D16-F16)/(E16-F16)</f>
        <v>11.359403818674489</v>
      </c>
      <c r="H16" s="6">
        <f>G16*E16/D16</f>
        <v>1.5058528808980169</v>
      </c>
      <c r="I16" s="6"/>
      <c r="K16" s="6">
        <f t="shared" si="1"/>
        <v>1</v>
      </c>
      <c r="L16" s="6">
        <f t="shared" si="1"/>
        <v>1</v>
      </c>
      <c r="M16" s="6">
        <f t="shared" si="1"/>
        <v>1</v>
      </c>
      <c r="P16" s="6">
        <v>33.6</v>
      </c>
      <c r="Q16" s="6">
        <f>F16</f>
        <v>34.567108948272491</v>
      </c>
    </row>
    <row r="17" spans="3:17" x14ac:dyDescent="0.25">
      <c r="C17" s="5"/>
      <c r="D17" s="6"/>
      <c r="E17" s="6"/>
      <c r="F17" s="6"/>
      <c r="G17" s="6"/>
      <c r="H17" s="6"/>
      <c r="I17" s="6"/>
      <c r="K17" s="6">
        <f t="shared" si="1"/>
        <v>1</v>
      </c>
      <c r="L17" s="6">
        <f t="shared" si="1"/>
        <v>1</v>
      </c>
      <c r="M17" s="6">
        <f t="shared" si="1"/>
        <v>1</v>
      </c>
      <c r="Q17" s="6"/>
    </row>
    <row r="18" spans="3:17" x14ac:dyDescent="0.25">
      <c r="Q18" s="6"/>
    </row>
    <row r="19" spans="3:17" ht="13" x14ac:dyDescent="0.3">
      <c r="J19" s="26" t="s">
        <v>81</v>
      </c>
      <c r="K19" s="8">
        <v>1</v>
      </c>
      <c r="O19" s="6"/>
      <c r="P19" s="6"/>
      <c r="Q19" s="6"/>
    </row>
    <row r="20" spans="3:17" ht="13" x14ac:dyDescent="0.3">
      <c r="C20" s="4"/>
      <c r="D20" s="4"/>
      <c r="E20" s="4"/>
      <c r="F20" s="4"/>
      <c r="G20" s="3"/>
      <c r="H20" s="4"/>
      <c r="I20" s="4"/>
      <c r="K20" s="7" t="s">
        <v>92</v>
      </c>
    </row>
    <row r="21" spans="3:17" x14ac:dyDescent="0.25">
      <c r="C21" s="7"/>
      <c r="D21" s="4"/>
      <c r="E21" s="4"/>
      <c r="F21" s="4"/>
      <c r="G21" s="4"/>
      <c r="H21" s="4"/>
      <c r="I21" s="4"/>
      <c r="K21" s="7" t="s">
        <v>93</v>
      </c>
    </row>
    <row r="22" spans="3:17" x14ac:dyDescent="0.25">
      <c r="C22" s="7"/>
      <c r="D22" s="4"/>
      <c r="E22" s="4"/>
      <c r="F22" s="4"/>
      <c r="G22" s="4"/>
      <c r="H22" s="4"/>
      <c r="I22" s="4"/>
    </row>
    <row r="23" spans="3:17" x14ac:dyDescent="0.25">
      <c r="C23" s="7"/>
      <c r="D23" s="4"/>
      <c r="E23" s="4"/>
      <c r="F23" s="4"/>
      <c r="G23" s="4"/>
      <c r="H23" s="4"/>
      <c r="I23" s="4"/>
    </row>
    <row r="24" spans="3:17" x14ac:dyDescent="0.25">
      <c r="C24" s="7"/>
      <c r="D24" s="4"/>
      <c r="E24" s="4"/>
      <c r="F24" s="4"/>
      <c r="G24" s="4"/>
      <c r="H24" s="4"/>
      <c r="I24" s="4"/>
    </row>
    <row r="25" spans="3:17" x14ac:dyDescent="0.25">
      <c r="C25" s="7"/>
      <c r="D25" s="4"/>
      <c r="E25" s="4"/>
      <c r="F25" s="4"/>
      <c r="G25" s="4"/>
      <c r="H25" s="4"/>
      <c r="I25" s="4"/>
    </row>
    <row r="27" spans="3:17" ht="13" x14ac:dyDescent="0.3">
      <c r="C27" s="4"/>
      <c r="D27" s="4"/>
      <c r="E27" s="4"/>
      <c r="F27" s="4"/>
      <c r="G27" s="3"/>
      <c r="H27" s="4"/>
      <c r="I27" s="4"/>
    </row>
    <row r="28" spans="3:17" x14ac:dyDescent="0.25">
      <c r="C28" s="4"/>
      <c r="D28" s="4"/>
      <c r="E28" s="4"/>
      <c r="F28" s="4"/>
      <c r="G28" s="4"/>
      <c r="H28" s="4"/>
      <c r="I28" s="4"/>
    </row>
    <row r="29" spans="3:17" x14ac:dyDescent="0.25">
      <c r="C29" s="4"/>
      <c r="D29" s="4"/>
      <c r="E29" s="4"/>
      <c r="F29" s="4"/>
      <c r="G29" s="4"/>
      <c r="H29" s="4"/>
      <c r="I29" s="4"/>
    </row>
    <row r="30" spans="3:17" x14ac:dyDescent="0.25">
      <c r="C30" s="4"/>
      <c r="D30" s="4"/>
      <c r="E30" s="4"/>
      <c r="F30" s="4"/>
      <c r="G30" s="4"/>
      <c r="H30" s="4"/>
      <c r="I30" s="4"/>
    </row>
    <row r="31" spans="3:17" x14ac:dyDescent="0.25">
      <c r="C31" s="4"/>
      <c r="D31" s="4"/>
      <c r="E31" s="4"/>
      <c r="F31" s="4"/>
      <c r="G31" s="4"/>
      <c r="H31" s="4"/>
      <c r="I31" s="4"/>
    </row>
    <row r="32" spans="3:17" x14ac:dyDescent="0.25">
      <c r="C32" s="4"/>
      <c r="D32" s="4"/>
      <c r="E32" s="4"/>
      <c r="F32" s="4"/>
      <c r="G32" s="4"/>
      <c r="H32" s="4"/>
      <c r="I32" s="4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r:id="rId5">
            <anchor moveWithCells="1">
              <from>
                <xdr:col>3</xdr:col>
                <xdr:colOff>209550</xdr:colOff>
                <xdr:row>11</xdr:row>
                <xdr:rowOff>12700</xdr:rowOff>
              </from>
              <to>
                <xdr:col>3</xdr:col>
                <xdr:colOff>330200</xdr:colOff>
                <xdr:row>12</xdr:row>
                <xdr:rowOff>0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Equation.3" shapeId="2051" r:id="rId6">
          <objectPr defaultSize="0" r:id="rId7">
            <anchor moveWithCells="1">
              <from>
                <xdr:col>4</xdr:col>
                <xdr:colOff>177800</xdr:colOff>
                <xdr:row>11</xdr:row>
                <xdr:rowOff>19050</xdr:rowOff>
              </from>
              <to>
                <xdr:col>4</xdr:col>
                <xdr:colOff>298450</xdr:colOff>
                <xdr:row>12</xdr:row>
                <xdr:rowOff>0</xdr:rowOff>
              </to>
            </anchor>
          </objectPr>
        </oleObject>
      </mc:Choice>
      <mc:Fallback>
        <oleObject progId="Equation.3" shapeId="2051" r:id="rId6"/>
      </mc:Fallback>
    </mc:AlternateContent>
    <mc:AlternateContent xmlns:mc="http://schemas.openxmlformats.org/markup-compatibility/2006">
      <mc:Choice Requires="x14">
        <oleObject progId="Equation.3" shapeId="2052" r:id="rId8">
          <objectPr defaultSize="0" r:id="rId9">
            <anchor moveWithCells="1">
              <from>
                <xdr:col>5</xdr:col>
                <xdr:colOff>209550</xdr:colOff>
                <xdr:row>11</xdr:row>
                <xdr:rowOff>12700</xdr:rowOff>
              </from>
              <to>
                <xdr:col>5</xdr:col>
                <xdr:colOff>323850</xdr:colOff>
                <xdr:row>12</xdr:row>
                <xdr:rowOff>0</xdr:rowOff>
              </to>
            </anchor>
          </objectPr>
        </oleObject>
      </mc:Choice>
      <mc:Fallback>
        <oleObject progId="Equation.3" shapeId="2052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" sqref="G1:G1048576"/>
    </sheetView>
  </sheetViews>
  <sheetFormatPr defaultRowHeight="12.5" x14ac:dyDescent="0.25"/>
  <cols>
    <col min="1" max="1" width="10.6328125" bestFit="1" customWidth="1"/>
    <col min="3" max="3" width="32.54296875" bestFit="1" customWidth="1"/>
    <col min="4" max="4" width="8.7265625" style="4"/>
    <col min="7" max="7" width="8.7265625" style="4"/>
  </cols>
  <sheetData>
    <row r="1" spans="1:7" ht="13" x14ac:dyDescent="0.3">
      <c r="C1" s="35" t="s">
        <v>106</v>
      </c>
      <c r="G1" s="35" t="s">
        <v>108</v>
      </c>
    </row>
    <row r="2" spans="1:7" x14ac:dyDescent="0.25">
      <c r="A2" s="5" t="s">
        <v>105</v>
      </c>
    </row>
    <row r="3" spans="1:7" x14ac:dyDescent="0.25">
      <c r="A3" s="39"/>
      <c r="C3" s="5" t="s">
        <v>96</v>
      </c>
      <c r="D3" s="40">
        <v>95</v>
      </c>
    </row>
    <row r="4" spans="1:7" ht="13" x14ac:dyDescent="0.3">
      <c r="C4" s="5" t="s">
        <v>110</v>
      </c>
      <c r="D4" s="43">
        <v>0.1</v>
      </c>
      <c r="G4" s="38">
        <f>(NORMINV(((D3/100)+(1-D3/100)/2),0,1))*G19*D6</f>
        <v>0.18461377149459185</v>
      </c>
    </row>
    <row r="5" spans="1:7" x14ac:dyDescent="0.25">
      <c r="D5" s="42"/>
    </row>
    <row r="6" spans="1:7" x14ac:dyDescent="0.25">
      <c r="C6" s="5" t="s">
        <v>97</v>
      </c>
      <c r="D6" s="41">
        <v>5</v>
      </c>
    </row>
    <row r="7" spans="1:7" x14ac:dyDescent="0.25">
      <c r="C7" s="5" t="s">
        <v>99</v>
      </c>
      <c r="D7" s="40">
        <v>1.4999999999999999E-2</v>
      </c>
    </row>
    <row r="8" spans="1:7" x14ac:dyDescent="0.25">
      <c r="C8" s="5" t="s">
        <v>98</v>
      </c>
      <c r="D8" s="40">
        <v>2.5</v>
      </c>
    </row>
    <row r="9" spans="1:7" x14ac:dyDescent="0.25">
      <c r="C9" s="5" t="s">
        <v>100</v>
      </c>
      <c r="D9" s="40">
        <v>0.25</v>
      </c>
    </row>
    <row r="10" spans="1:7" x14ac:dyDescent="0.25">
      <c r="C10" s="5" t="s">
        <v>101</v>
      </c>
      <c r="D10" s="40">
        <v>0.5</v>
      </c>
    </row>
    <row r="11" spans="1:7" ht="15.5" x14ac:dyDescent="0.4">
      <c r="C11" s="5" t="s">
        <v>102</v>
      </c>
      <c r="D11" s="40">
        <v>5.8000000000000003E-2</v>
      </c>
    </row>
    <row r="12" spans="1:7" x14ac:dyDescent="0.25">
      <c r="C12" s="5" t="s">
        <v>94</v>
      </c>
      <c r="D12" s="40">
        <v>7.5</v>
      </c>
    </row>
    <row r="13" spans="1:7" x14ac:dyDescent="0.25">
      <c r="C13" s="5" t="s">
        <v>95</v>
      </c>
      <c r="D13" s="40">
        <v>2.7</v>
      </c>
    </row>
    <row r="15" spans="1:7" x14ac:dyDescent="0.25">
      <c r="C15" s="5" t="s">
        <v>103</v>
      </c>
      <c r="D15" s="14">
        <f>SQRT(D7/D8)</f>
        <v>7.7459666924148338E-2</v>
      </c>
    </row>
    <row r="16" spans="1:7" x14ac:dyDescent="0.25">
      <c r="C16" s="5" t="s">
        <v>104</v>
      </c>
      <c r="D16" s="11">
        <f>((1-D11)/D11)*((1-D11)*D12+D11*D13)</f>
        <v>117.28874482758619</v>
      </c>
    </row>
    <row r="18" spans="3:7" x14ac:dyDescent="0.25">
      <c r="C18" s="5" t="s">
        <v>119</v>
      </c>
      <c r="D18" s="4">
        <f>NORMINV(((D3/100)+(1-D3/100)/2),0,1)</f>
        <v>1.9599639845400536</v>
      </c>
    </row>
    <row r="19" spans="3:7" ht="15.5" x14ac:dyDescent="0.4">
      <c r="C19" s="5" t="s">
        <v>109</v>
      </c>
      <c r="D19" s="4">
        <f>(D4/D6)/D18</f>
        <v>1.0204269138493082E-2</v>
      </c>
      <c r="G19" s="4">
        <f>SQRT(D10*D9*D15*D16*D8^3/(G21*1000))</f>
        <v>1.8838486110030774E-2</v>
      </c>
    </row>
    <row r="21" spans="3:7" ht="13" x14ac:dyDescent="0.3">
      <c r="C21" s="1" t="s">
        <v>107</v>
      </c>
      <c r="D21" s="38">
        <f>(D10*D9*D15*D16*D8^3/D19^2)/1000</f>
        <v>170.41122312728686</v>
      </c>
      <c r="G21" s="4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workbookViewId="0">
      <selection activeCell="A9" sqref="A9"/>
    </sheetView>
  </sheetViews>
  <sheetFormatPr defaultRowHeight="12.5" x14ac:dyDescent="0.25"/>
  <cols>
    <col min="1" max="1" width="9.453125" customWidth="1"/>
    <col min="2" max="2" width="12" customWidth="1"/>
    <col min="3" max="3" width="8" customWidth="1"/>
    <col min="4" max="4" width="8.453125" customWidth="1"/>
    <col min="5" max="5" width="10.81640625" style="4" bestFit="1" customWidth="1"/>
    <col min="6" max="6" width="12.26953125" style="4" customWidth="1"/>
    <col min="7" max="7" width="12.7265625" style="4" customWidth="1"/>
    <col min="8" max="9" width="15.54296875" style="4" bestFit="1" customWidth="1"/>
    <col min="10" max="10" width="9.1796875" style="4" customWidth="1"/>
  </cols>
  <sheetData>
    <row r="1" spans="2:12" ht="13" x14ac:dyDescent="0.3">
      <c r="B1" s="36" t="s">
        <v>30</v>
      </c>
      <c r="C1" s="36"/>
      <c r="E1" s="36" t="s">
        <v>28</v>
      </c>
      <c r="F1" s="36"/>
      <c r="G1" s="36"/>
      <c r="H1" s="36"/>
      <c r="I1" s="36"/>
      <c r="J1" s="3"/>
    </row>
    <row r="2" spans="2:12" ht="13" x14ac:dyDescent="0.3">
      <c r="B2" s="1" t="s">
        <v>16</v>
      </c>
      <c r="C2" s="7">
        <v>0.5</v>
      </c>
      <c r="E2" s="3" t="s">
        <v>18</v>
      </c>
      <c r="F2" s="3" t="s">
        <v>20</v>
      </c>
      <c r="G2" s="3" t="s">
        <v>21</v>
      </c>
      <c r="H2" s="3" t="s">
        <v>19</v>
      </c>
      <c r="I2" s="3" t="s">
        <v>24</v>
      </c>
      <c r="L2" s="4"/>
    </row>
    <row r="3" spans="2:12" ht="13" x14ac:dyDescent="0.3">
      <c r="B3" s="1" t="s">
        <v>14</v>
      </c>
      <c r="C3" s="7">
        <v>0.25</v>
      </c>
      <c r="E3" s="4">
        <v>10</v>
      </c>
      <c r="F3" s="13">
        <f>IF(SQRT($C$4/E3)&lt;=1,SQRT($C$4/E3),1)</f>
        <v>3.8729833462074169E-2</v>
      </c>
      <c r="G3" s="13">
        <f>$C$2*$C$3*$C$5*F3*E3^3</f>
        <v>566.42381438283473</v>
      </c>
      <c r="H3" s="13">
        <f>1/($C$6^2/G3)</f>
        <v>5444288.8733452009</v>
      </c>
      <c r="I3" s="4">
        <f>125000*E3^3</f>
        <v>125000000</v>
      </c>
      <c r="L3" s="4"/>
    </row>
    <row r="4" spans="2:12" ht="13" x14ac:dyDescent="0.3">
      <c r="B4" s="1" t="s">
        <v>23</v>
      </c>
      <c r="C4" s="7">
        <v>1.4999999999999999E-2</v>
      </c>
      <c r="E4" s="4">
        <v>1</v>
      </c>
      <c r="F4" s="13">
        <f>IF(SQRT($C$4/E4)&lt;=1,SQRT($C$4/E4),1)</f>
        <v>0.1224744871391589</v>
      </c>
      <c r="G4" s="13">
        <f>$C$2*$C$3*$C$5*F4*E4^3</f>
        <v>1.791189374410199</v>
      </c>
      <c r="H4" s="13">
        <f>1/(($C$6^2/G4)+1/H3)</f>
        <v>17162.081811767468</v>
      </c>
      <c r="I4" s="4">
        <f>125000*E4^3</f>
        <v>125000</v>
      </c>
      <c r="L4" s="4"/>
    </row>
    <row r="5" spans="2:12" ht="13" x14ac:dyDescent="0.3">
      <c r="B5" s="1" t="s">
        <v>17</v>
      </c>
      <c r="C5" s="7">
        <v>117</v>
      </c>
      <c r="E5" s="4">
        <v>0.1</v>
      </c>
      <c r="F5" s="13">
        <f>IF(SQRT($C$4/E5)&lt;=1,SQRT($C$4/E5),1)</f>
        <v>0.3872983346207417</v>
      </c>
      <c r="G5" s="14">
        <f>$C$2*$C$3*$C$5*F5*E5^3</f>
        <v>5.6642381438283488E-3</v>
      </c>
      <c r="H5" s="13">
        <f>1/(($C$6^2/G5)+1/H4)</f>
        <v>54.270726918846265</v>
      </c>
      <c r="I5" s="4">
        <f>125000*E5^3</f>
        <v>125.00000000000003</v>
      </c>
      <c r="L5" s="4"/>
    </row>
    <row r="6" spans="2:12" ht="13" x14ac:dyDescent="0.3">
      <c r="B6" s="1" t="s">
        <v>22</v>
      </c>
      <c r="C6" s="7">
        <v>1.0200000000000001E-2</v>
      </c>
      <c r="E6" s="4">
        <v>0.01</v>
      </c>
      <c r="F6" s="13">
        <f>IF(SQRT($C$4/E6)&lt;=1,SQRT($C$4/E6),1)</f>
        <v>1</v>
      </c>
      <c r="G6" s="15">
        <f>$C$2*$C$3*$C$5*F6*E6^3</f>
        <v>1.4625000000000003E-5</v>
      </c>
      <c r="H6" s="13">
        <f>1/(($C$6^2/G6)+1/H5)</f>
        <v>0.1402077709363535</v>
      </c>
      <c r="I6" s="4">
        <f>125000*E6^3</f>
        <v>0.12500000000000003</v>
      </c>
    </row>
    <row r="8" spans="2:12" ht="13" x14ac:dyDescent="0.3">
      <c r="C8" s="3"/>
      <c r="D8" s="3"/>
    </row>
    <row r="9" spans="2:12" ht="13" x14ac:dyDescent="0.3">
      <c r="C9" s="4"/>
      <c r="D9" s="13"/>
      <c r="E9" s="36" t="s">
        <v>29</v>
      </c>
      <c r="F9" s="36"/>
      <c r="G9" s="36"/>
      <c r="H9" s="36"/>
    </row>
    <row r="10" spans="2:12" ht="13" x14ac:dyDescent="0.3">
      <c r="C10" s="4"/>
      <c r="D10" s="13"/>
      <c r="E10" s="3" t="s">
        <v>18</v>
      </c>
      <c r="F10" s="3" t="s">
        <v>20</v>
      </c>
      <c r="G10" s="3" t="s">
        <v>21</v>
      </c>
      <c r="H10" s="3" t="s">
        <v>19</v>
      </c>
    </row>
    <row r="11" spans="2:12" x14ac:dyDescent="0.25">
      <c r="C11" s="4"/>
      <c r="D11" s="13"/>
      <c r="E11" s="4">
        <v>2.5</v>
      </c>
      <c r="F11" s="14">
        <f>IF(SQRT($C$4/E11)&lt;=1,SQRT($C$4/E11),1)</f>
        <v>7.7459666924148338E-2</v>
      </c>
      <c r="G11" s="13">
        <f>$C$2*$C$3*$C$5*F11*E11^3</f>
        <v>17.700744199463585</v>
      </c>
      <c r="H11" s="13">
        <f>1/($C$6^2/G11)</f>
        <v>170134.02729203753</v>
      </c>
    </row>
    <row r="12" spans="2:12" x14ac:dyDescent="0.25">
      <c r="C12" s="4"/>
      <c r="D12" s="13"/>
      <c r="E12" s="4">
        <v>0.4</v>
      </c>
      <c r="F12" s="13">
        <f>IF(SQRT($C$4/E12)&lt;=1,SQRT($C$4/E12),1)</f>
        <v>0.19364916731037085</v>
      </c>
      <c r="G12" s="13">
        <f>$C$2*$C$3*$C$5*F12*E12^3</f>
        <v>0.18125562060250716</v>
      </c>
      <c r="H12" s="13">
        <f>1/(($C$6^2/G12)+1/H11)</f>
        <v>1724.5134220288887</v>
      </c>
    </row>
    <row r="13" spans="2:12" x14ac:dyDescent="0.25">
      <c r="E13" s="4">
        <v>0.06</v>
      </c>
      <c r="F13" s="13">
        <f>IF(SQRT($C$4/E13)&lt;=1,SQRT($C$4/E13),1)</f>
        <v>0.5</v>
      </c>
      <c r="G13" s="14">
        <f>$C$2*$C$3*$C$5*F13*E13^3</f>
        <v>1.5795E-3</v>
      </c>
      <c r="H13" s="13">
        <f>1/(($C$6^2/G13)+1/H12)</f>
        <v>15.049176287877012</v>
      </c>
    </row>
    <row r="14" spans="2:12" x14ac:dyDescent="0.25">
      <c r="E14" s="4">
        <v>1.06E-2</v>
      </c>
      <c r="F14" s="13">
        <f>IF(SQRT($C$4/E14)&lt;=1,SQRT($C$4/E14),1)</f>
        <v>1</v>
      </c>
      <c r="G14" s="15">
        <f>$C$2*$C$3*$C$5*F14*E14^3</f>
        <v>1.7418608999999997E-5</v>
      </c>
      <c r="H14" s="13">
        <f>1/(($C$6^2/G14)+1/H13)</f>
        <v>0.16558015105114252</v>
      </c>
    </row>
    <row r="17" spans="5:7" ht="13" x14ac:dyDescent="0.3">
      <c r="E17" s="36" t="s">
        <v>27</v>
      </c>
      <c r="F17" s="36"/>
      <c r="G17" s="36"/>
    </row>
    <row r="18" spans="5:7" ht="13" x14ac:dyDescent="0.3">
      <c r="E18" s="3" t="s">
        <v>26</v>
      </c>
      <c r="F18" s="3" t="s">
        <v>15</v>
      </c>
      <c r="G18" s="3" t="s">
        <v>25</v>
      </c>
    </row>
    <row r="19" spans="5:7" x14ac:dyDescent="0.25">
      <c r="E19" s="4">
        <v>1</v>
      </c>
      <c r="F19" s="4">
        <v>2.5</v>
      </c>
      <c r="G19" s="4">
        <v>170134.02729203753</v>
      </c>
    </row>
    <row r="20" spans="5:7" x14ac:dyDescent="0.25">
      <c r="F20" s="4">
        <v>0.4</v>
      </c>
      <c r="G20" s="4">
        <v>170134.02729203753</v>
      </c>
    </row>
    <row r="21" spans="5:7" x14ac:dyDescent="0.25">
      <c r="E21" s="4">
        <v>2</v>
      </c>
      <c r="F21" s="4">
        <v>0.4</v>
      </c>
      <c r="G21" s="4">
        <v>1724.5134220288887</v>
      </c>
    </row>
    <row r="22" spans="5:7" x14ac:dyDescent="0.25">
      <c r="F22" s="4">
        <v>0.06</v>
      </c>
      <c r="G22" s="4">
        <v>1724.5134220288887</v>
      </c>
    </row>
    <row r="23" spans="5:7" x14ac:dyDescent="0.25">
      <c r="E23" s="4">
        <v>3</v>
      </c>
      <c r="F23" s="4">
        <v>0.06</v>
      </c>
      <c r="G23" s="4">
        <v>15.049176287877012</v>
      </c>
    </row>
    <row r="24" spans="5:7" x14ac:dyDescent="0.25">
      <c r="F24" s="4">
        <v>1.06E-2</v>
      </c>
      <c r="G24" s="4">
        <v>15.049176287877012</v>
      </c>
    </row>
    <row r="25" spans="5:7" x14ac:dyDescent="0.25">
      <c r="E25" s="4">
        <v>4</v>
      </c>
      <c r="F25" s="4">
        <v>1.06E-2</v>
      </c>
      <c r="G25" s="4">
        <v>0.16558015105114252</v>
      </c>
    </row>
  </sheetData>
  <mergeCells count="4">
    <mergeCell ref="B1:C1"/>
    <mergeCell ref="E1:I1"/>
    <mergeCell ref="E9:H9"/>
    <mergeCell ref="E17:G17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6" sqref="A6"/>
    </sheetView>
  </sheetViews>
  <sheetFormatPr defaultRowHeight="12.5" x14ac:dyDescent="0.25"/>
  <cols>
    <col min="1" max="1" width="10.6328125" bestFit="1" customWidth="1"/>
    <col min="3" max="3" width="35.1796875" style="7" bestFit="1" customWidth="1"/>
    <col min="4" max="4" width="8.7265625" style="4"/>
    <col min="8" max="8" width="8.7265625" style="4"/>
  </cols>
  <sheetData>
    <row r="1" spans="1:9" ht="13" x14ac:dyDescent="0.3">
      <c r="C1" s="35" t="s">
        <v>106</v>
      </c>
      <c r="H1" s="35" t="s">
        <v>122</v>
      </c>
    </row>
    <row r="2" spans="1:9" x14ac:dyDescent="0.25">
      <c r="A2" s="5" t="s">
        <v>105</v>
      </c>
    </row>
    <row r="3" spans="1:9" ht="13" x14ac:dyDescent="0.3">
      <c r="A3" s="39"/>
      <c r="C3" s="44" t="s">
        <v>96</v>
      </c>
      <c r="D3" s="40">
        <v>90</v>
      </c>
      <c r="H3" s="35">
        <f>100*H8</f>
        <v>14.499999999999998</v>
      </c>
      <c r="I3" s="5" t="s">
        <v>121</v>
      </c>
    </row>
    <row r="4" spans="1:9" ht="13" x14ac:dyDescent="0.3">
      <c r="C4" s="5" t="s">
        <v>115</v>
      </c>
      <c r="D4" s="45">
        <v>20</v>
      </c>
      <c r="H4" s="47">
        <f>D12*H8*100*SQRT((D10*D9*(((D6/10)^3+(D7/10)^3)/2))/(H15*1000*H8))</f>
        <v>4.8135686592526099</v>
      </c>
      <c r="I4" s="5" t="s">
        <v>120</v>
      </c>
    </row>
    <row r="6" spans="1:9" x14ac:dyDescent="0.25">
      <c r="C6" s="44" t="s">
        <v>117</v>
      </c>
      <c r="D6" s="40">
        <v>50</v>
      </c>
    </row>
    <row r="7" spans="1:9" x14ac:dyDescent="0.25">
      <c r="C7" s="44" t="s">
        <v>118</v>
      </c>
      <c r="D7" s="40">
        <v>25</v>
      </c>
    </row>
    <row r="8" spans="1:9" x14ac:dyDescent="0.25">
      <c r="C8" s="44" t="s">
        <v>116</v>
      </c>
      <c r="D8" s="40">
        <v>0.1</v>
      </c>
      <c r="H8" s="40">
        <v>0.14499999999999999</v>
      </c>
    </row>
    <row r="9" spans="1:9" ht="13" x14ac:dyDescent="0.3">
      <c r="C9" s="44" t="s">
        <v>114</v>
      </c>
      <c r="D9" s="41">
        <v>3</v>
      </c>
    </row>
    <row r="10" spans="1:9" x14ac:dyDescent="0.25">
      <c r="C10" s="5" t="s">
        <v>101</v>
      </c>
      <c r="D10" s="40">
        <v>0.7</v>
      </c>
    </row>
    <row r="12" spans="1:9" x14ac:dyDescent="0.25">
      <c r="C12" s="5" t="s">
        <v>119</v>
      </c>
      <c r="D12" s="4">
        <f>NORMINV(((D3/100)+(1-D3/100)/2),0,1)</f>
        <v>1.6448536269514715</v>
      </c>
    </row>
    <row r="13" spans="1:9" ht="14.5" customHeight="1" x14ac:dyDescent="0.4">
      <c r="C13" s="5" t="s">
        <v>109</v>
      </c>
      <c r="D13" s="46">
        <f>(D4/100)/D12</f>
        <v>0.12159136638235388</v>
      </c>
    </row>
    <row r="15" spans="1:9" ht="13" x14ac:dyDescent="0.3">
      <c r="C15" s="1" t="s">
        <v>107</v>
      </c>
      <c r="D15" s="38">
        <f>(D10*D9*(((D6/10)^3+(D7/10)^3)/2)/(D13^2*D8))/1000</f>
        <v>99.872600160943833</v>
      </c>
      <c r="H15" s="40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3" sqref="A3"/>
    </sheetView>
  </sheetViews>
  <sheetFormatPr defaultRowHeight="12.5" x14ac:dyDescent="0.25"/>
  <cols>
    <col min="1" max="1" width="10.1796875" customWidth="1"/>
    <col min="2" max="2" width="9.54296875" bestFit="1" customWidth="1"/>
    <col min="3" max="3" width="14.7265625" bestFit="1" customWidth="1"/>
    <col min="4" max="4" width="15.26953125" bestFit="1" customWidth="1"/>
    <col min="5" max="5" width="14.7265625" bestFit="1" customWidth="1"/>
    <col min="6" max="6" width="9.1796875" style="4" customWidth="1"/>
    <col min="7" max="8" width="12.453125" style="4" bestFit="1" customWidth="1"/>
    <col min="9" max="9" width="5.54296875" customWidth="1"/>
    <col min="12" max="13" width="9.1796875" style="4" customWidth="1"/>
    <col min="14" max="14" width="9.54296875" style="4" customWidth="1"/>
  </cols>
  <sheetData>
    <row r="1" spans="1:14" ht="13" x14ac:dyDescent="0.3">
      <c r="A1" s="10"/>
      <c r="B1" s="30" t="s">
        <v>82</v>
      </c>
      <c r="C1" s="30" t="s">
        <v>72</v>
      </c>
      <c r="D1" s="30" t="s">
        <v>73</v>
      </c>
      <c r="E1" s="31" t="s">
        <v>57</v>
      </c>
      <c r="F1" s="30" t="s">
        <v>75</v>
      </c>
      <c r="G1" s="30" t="s">
        <v>84</v>
      </c>
      <c r="H1" s="30" t="s">
        <v>85</v>
      </c>
      <c r="K1" s="37" t="s">
        <v>83</v>
      </c>
      <c r="L1" s="37"/>
      <c r="M1" s="35"/>
    </row>
    <row r="2" spans="1:14" ht="13" x14ac:dyDescent="0.3">
      <c r="A2" s="10"/>
      <c r="B2" s="22">
        <v>212</v>
      </c>
      <c r="C2" s="11">
        <v>300</v>
      </c>
      <c r="D2" s="11">
        <v>2.4</v>
      </c>
      <c r="E2" s="11">
        <f>100-D2</f>
        <v>97.6</v>
      </c>
      <c r="F2" s="4">
        <f>D2/C2</f>
        <v>8.0000000000000002E-3</v>
      </c>
      <c r="G2" s="4">
        <f>D2/C2^2</f>
        <v>2.6666666666666667E-5</v>
      </c>
      <c r="H2" s="4">
        <f>D2/C2^3</f>
        <v>8.8888888888888882E-8</v>
      </c>
      <c r="J2" s="6"/>
    </row>
    <row r="3" spans="1:14" ht="15" x14ac:dyDescent="0.4">
      <c r="B3" s="22">
        <v>150</v>
      </c>
      <c r="C3" s="11">
        <f>AVERAGE(B2:B3)</f>
        <v>181</v>
      </c>
      <c r="D3" s="11">
        <v>4.9000000000000004</v>
      </c>
      <c r="E3" s="11">
        <f>E2-D3</f>
        <v>92.699999999999989</v>
      </c>
      <c r="F3" s="4">
        <f t="shared" ref="F3:F12" si="0">D3/C3</f>
        <v>2.7071823204419893E-2</v>
      </c>
      <c r="G3" s="4">
        <f t="shared" ref="G3:G12" si="1">D3/C3^2</f>
        <v>1.4956808400231985E-4</v>
      </c>
      <c r="H3" s="4">
        <f t="shared" ref="H3:H12" si="2">D3/C3^3</f>
        <v>8.263430055376787E-7</v>
      </c>
      <c r="J3" s="6"/>
      <c r="K3" s="35" t="s">
        <v>111</v>
      </c>
      <c r="L3" s="32">
        <f>G15/H15</f>
        <v>3.1355384050400814</v>
      </c>
      <c r="M3" s="3"/>
      <c r="N3" s="3"/>
    </row>
    <row r="4" spans="1:14" ht="15" x14ac:dyDescent="0.4">
      <c r="B4" s="22">
        <v>106</v>
      </c>
      <c r="C4" s="11">
        <f t="shared" ref="C4:C12" si="3">AVERAGE(B3:B4)</f>
        <v>128</v>
      </c>
      <c r="D4" s="11">
        <v>6.3</v>
      </c>
      <c r="E4" s="11">
        <f t="shared" ref="E4:E12" si="4">E3-D4</f>
        <v>86.399999999999991</v>
      </c>
      <c r="F4" s="4">
        <f t="shared" si="0"/>
        <v>4.9218749999999999E-2</v>
      </c>
      <c r="G4" s="4">
        <f t="shared" si="1"/>
        <v>3.8452148437499999E-4</v>
      </c>
      <c r="H4" s="4">
        <f t="shared" si="2"/>
        <v>3.0040740966796874E-6</v>
      </c>
      <c r="J4" s="6"/>
      <c r="K4" s="35" t="s">
        <v>112</v>
      </c>
      <c r="L4" s="32">
        <f>F15/H15</f>
        <v>12.243907885410888</v>
      </c>
      <c r="M4" s="6"/>
      <c r="N4" s="6"/>
    </row>
    <row r="5" spans="1:14" ht="15" x14ac:dyDescent="0.4">
      <c r="B5" s="22">
        <v>75</v>
      </c>
      <c r="C5" s="11">
        <f t="shared" si="3"/>
        <v>90.5</v>
      </c>
      <c r="D5" s="11">
        <v>10.3</v>
      </c>
      <c r="E5" s="11">
        <f t="shared" si="4"/>
        <v>76.099999999999994</v>
      </c>
      <c r="F5" s="4">
        <f t="shared" si="0"/>
        <v>0.11381215469613261</v>
      </c>
      <c r="G5" s="4">
        <f t="shared" si="1"/>
        <v>1.2575928695705259E-3</v>
      </c>
      <c r="H5" s="4">
        <f t="shared" si="2"/>
        <v>1.3896053807409128E-5</v>
      </c>
      <c r="J5" s="6"/>
      <c r="K5" s="35" t="s">
        <v>113</v>
      </c>
      <c r="L5" s="32">
        <f>D15/F15</f>
        <v>11.18186499808319</v>
      </c>
      <c r="M5" s="6"/>
      <c r="N5" s="6"/>
    </row>
    <row r="6" spans="1:14" ht="13" x14ac:dyDescent="0.3">
      <c r="B6" s="22">
        <v>53</v>
      </c>
      <c r="C6" s="11">
        <f t="shared" si="3"/>
        <v>64</v>
      </c>
      <c r="D6" s="11">
        <v>11.9</v>
      </c>
      <c r="E6" s="11">
        <f t="shared" si="4"/>
        <v>64.199999999999989</v>
      </c>
      <c r="F6" s="4">
        <f t="shared" si="0"/>
        <v>0.18593750000000001</v>
      </c>
      <c r="G6" s="4">
        <f t="shared" si="1"/>
        <v>2.9052734375000001E-3</v>
      </c>
      <c r="H6" s="4">
        <f t="shared" si="2"/>
        <v>4.5394897460937501E-5</v>
      </c>
      <c r="J6" s="6"/>
      <c r="K6" s="3"/>
      <c r="L6" s="32"/>
      <c r="M6" s="6"/>
      <c r="N6" s="6"/>
    </row>
    <row r="7" spans="1:14" x14ac:dyDescent="0.25">
      <c r="B7" s="23">
        <v>38</v>
      </c>
      <c r="C7" s="11">
        <f t="shared" si="3"/>
        <v>45.5</v>
      </c>
      <c r="D7" s="11">
        <v>11.3</v>
      </c>
      <c r="E7" s="11">
        <f t="shared" si="4"/>
        <v>52.899999999999991</v>
      </c>
      <c r="F7" s="4">
        <f t="shared" si="0"/>
        <v>0.24835164835164836</v>
      </c>
      <c r="G7" s="4">
        <f t="shared" si="1"/>
        <v>5.4582779857505134E-3</v>
      </c>
      <c r="H7" s="4">
        <f t="shared" si="2"/>
        <v>1.1996215353297832E-4</v>
      </c>
    </row>
    <row r="8" spans="1:14" x14ac:dyDescent="0.25">
      <c r="B8" s="23">
        <v>35</v>
      </c>
      <c r="C8" s="11">
        <f t="shared" si="3"/>
        <v>36.5</v>
      </c>
      <c r="D8" s="11">
        <v>3.8</v>
      </c>
      <c r="E8" s="11">
        <f t="shared" si="4"/>
        <v>49.099999999999994</v>
      </c>
      <c r="F8" s="4">
        <f t="shared" si="0"/>
        <v>0.10410958904109588</v>
      </c>
      <c r="G8" s="4">
        <f t="shared" si="1"/>
        <v>2.8523175079752296E-3</v>
      </c>
      <c r="H8" s="4">
        <f t="shared" si="2"/>
        <v>7.8145685150006288E-5</v>
      </c>
    </row>
    <row r="9" spans="1:14" x14ac:dyDescent="0.25">
      <c r="B9" s="23">
        <v>25</v>
      </c>
      <c r="C9" s="11">
        <f t="shared" si="3"/>
        <v>30</v>
      </c>
      <c r="D9" s="11">
        <v>6.2</v>
      </c>
      <c r="E9" s="11">
        <f t="shared" si="4"/>
        <v>42.899999999999991</v>
      </c>
      <c r="F9" s="4">
        <f t="shared" si="0"/>
        <v>0.20666666666666667</v>
      </c>
      <c r="G9" s="4">
        <f t="shared" si="1"/>
        <v>6.8888888888888888E-3</v>
      </c>
      <c r="H9" s="4">
        <f t="shared" si="2"/>
        <v>2.2962962962962965E-4</v>
      </c>
    </row>
    <row r="10" spans="1:14" x14ac:dyDescent="0.25">
      <c r="B10" s="23">
        <v>16</v>
      </c>
      <c r="C10" s="11">
        <f t="shared" si="3"/>
        <v>20.5</v>
      </c>
      <c r="D10" s="11">
        <v>12.2</v>
      </c>
      <c r="E10" s="11">
        <f t="shared" si="4"/>
        <v>30.699999999999992</v>
      </c>
      <c r="F10" s="4">
        <f t="shared" si="0"/>
        <v>0.59512195121951217</v>
      </c>
      <c r="G10" s="4">
        <f t="shared" si="1"/>
        <v>2.9030339083878642E-2</v>
      </c>
      <c r="H10" s="4">
        <f t="shared" si="2"/>
        <v>1.4161141016526167E-3</v>
      </c>
    </row>
    <row r="11" spans="1:14" x14ac:dyDescent="0.25">
      <c r="B11" s="23">
        <v>12</v>
      </c>
      <c r="C11" s="11">
        <f t="shared" si="3"/>
        <v>14</v>
      </c>
      <c r="D11" s="11">
        <v>6.8</v>
      </c>
      <c r="E11" s="11">
        <f t="shared" si="4"/>
        <v>23.899999999999991</v>
      </c>
      <c r="F11" s="4">
        <f t="shared" si="0"/>
        <v>0.48571428571428571</v>
      </c>
      <c r="G11" s="4">
        <f t="shared" si="1"/>
        <v>3.4693877551020408E-2</v>
      </c>
      <c r="H11" s="4">
        <f t="shared" si="2"/>
        <v>2.4781341107871719E-3</v>
      </c>
    </row>
    <row r="12" spans="1:14" x14ac:dyDescent="0.25">
      <c r="B12" s="23">
        <v>9</v>
      </c>
      <c r="C12" s="11">
        <f t="shared" si="3"/>
        <v>10.5</v>
      </c>
      <c r="D12" s="11">
        <v>4.4000000000000004</v>
      </c>
      <c r="E12" s="11">
        <f t="shared" si="4"/>
        <v>19.499999999999993</v>
      </c>
      <c r="F12" s="4">
        <f t="shared" si="0"/>
        <v>0.41904761904761906</v>
      </c>
      <c r="G12" s="4">
        <f t="shared" si="1"/>
        <v>3.9909297052154201E-2</v>
      </c>
      <c r="H12" s="4">
        <f t="shared" si="2"/>
        <v>3.800885433538495E-3</v>
      </c>
    </row>
    <row r="13" spans="1:14" x14ac:dyDescent="0.25">
      <c r="B13" s="23">
        <v>-9</v>
      </c>
      <c r="C13" s="11">
        <v>3</v>
      </c>
      <c r="D13" s="4">
        <v>19.5</v>
      </c>
      <c r="E13" s="11"/>
      <c r="F13" s="4">
        <f>D13/C13</f>
        <v>6.5</v>
      </c>
      <c r="G13" s="4">
        <f>D13/C13^2</f>
        <v>2.1666666666666665</v>
      </c>
      <c r="H13" s="4">
        <f>D13/C13^3</f>
        <v>0.72222222222222221</v>
      </c>
    </row>
    <row r="14" spans="1:14" x14ac:dyDescent="0.25">
      <c r="B14" s="23"/>
      <c r="C14" s="11"/>
      <c r="D14" s="4"/>
      <c r="E14" s="11"/>
    </row>
    <row r="15" spans="1:14" ht="13" x14ac:dyDescent="0.3">
      <c r="B15" s="23"/>
      <c r="C15" s="3" t="s">
        <v>74</v>
      </c>
      <c r="D15" s="11">
        <f>SUM(D2:D13)</f>
        <v>100.00000000000001</v>
      </c>
      <c r="E15" s="4"/>
      <c r="F15" s="4">
        <f>SUM(F2:F13)</f>
        <v>8.9430519879413808</v>
      </c>
      <c r="G15" s="4">
        <f>SUM(G2:G13)</f>
        <v>2.2902232872784491</v>
      </c>
      <c r="H15" s="4">
        <f>SUM(H2:H13)</f>
        <v>0.73040830359377251</v>
      </c>
    </row>
  </sheetData>
  <mergeCells count="1">
    <mergeCell ref="K1:L1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I23" sqref="I23"/>
    </sheetView>
  </sheetViews>
  <sheetFormatPr defaultRowHeight="12.5" x14ac:dyDescent="0.25"/>
  <cols>
    <col min="1" max="1" width="9.1796875" customWidth="1"/>
    <col min="2" max="2" width="10.1796875" bestFit="1" customWidth="1"/>
    <col min="3" max="3" width="10.1796875" customWidth="1"/>
    <col min="4" max="4" width="15.453125" style="4" customWidth="1"/>
    <col min="6" max="6" width="12.81640625" bestFit="1" customWidth="1"/>
    <col min="7" max="7" width="10.1796875" style="4" bestFit="1" customWidth="1"/>
    <col min="8" max="8" width="12.81640625" style="13" bestFit="1" customWidth="1"/>
    <col min="9" max="9" width="10.453125" style="4" customWidth="1"/>
    <col min="10" max="10" width="11.26953125" customWidth="1"/>
    <col min="11" max="11" width="8.54296875" customWidth="1"/>
    <col min="13" max="13" width="10.54296875" customWidth="1"/>
    <col min="19" max="20" width="9.1796875" style="12" customWidth="1"/>
  </cols>
  <sheetData>
    <row r="1" spans="1:20" ht="13" x14ac:dyDescent="0.3">
      <c r="A1" s="24"/>
      <c r="B1" s="3" t="s">
        <v>55</v>
      </c>
      <c r="C1" s="3" t="s">
        <v>56</v>
      </c>
      <c r="D1" s="3" t="s">
        <v>58</v>
      </c>
      <c r="E1" s="3" t="s">
        <v>59</v>
      </c>
      <c r="F1" s="3" t="s">
        <v>60</v>
      </c>
      <c r="G1" s="3" t="s">
        <v>31</v>
      </c>
      <c r="H1" s="25" t="s">
        <v>61</v>
      </c>
      <c r="I1" s="3" t="s">
        <v>62</v>
      </c>
      <c r="J1" s="2" t="s">
        <v>68</v>
      </c>
      <c r="L1" s="10" t="s">
        <v>88</v>
      </c>
    </row>
    <row r="2" spans="1:20" ht="13" x14ac:dyDescent="0.3">
      <c r="A2" s="24"/>
      <c r="B2" s="4">
        <v>212</v>
      </c>
      <c r="C2" s="11">
        <v>2.4</v>
      </c>
      <c r="D2" s="4">
        <f>C2</f>
        <v>2.4</v>
      </c>
      <c r="E2" s="4">
        <f>LN(B2)</f>
        <v>5.3565862746720123</v>
      </c>
      <c r="F2" s="4">
        <f>LN(LN(100/D2))</f>
        <v>1.3163281898716603</v>
      </c>
      <c r="G2" s="11">
        <v>300</v>
      </c>
      <c r="H2" s="4">
        <v>2.4</v>
      </c>
      <c r="I2" s="4">
        <f>H2/G2</f>
        <v>8.0000000000000002E-3</v>
      </c>
      <c r="J2" s="11">
        <f>I2/$I$15</f>
        <v>8.945491998466551E-2</v>
      </c>
    </row>
    <row r="3" spans="1:20" ht="13" x14ac:dyDescent="0.3">
      <c r="A3" s="24"/>
      <c r="B3" s="4">
        <v>150</v>
      </c>
      <c r="C3" s="11">
        <v>4.9000000000000004</v>
      </c>
      <c r="D3" s="4">
        <f t="shared" ref="D3:D12" si="0">D2+C3</f>
        <v>7.3000000000000007</v>
      </c>
      <c r="E3" s="4">
        <f t="shared" ref="E3:E12" si="1">LN(B3)</f>
        <v>5.0106352940962555</v>
      </c>
      <c r="F3" s="4">
        <f t="shared" ref="F3:F12" si="2">LN(LN(100/D3))</f>
        <v>0.96214166180309657</v>
      </c>
      <c r="G3" s="11">
        <f>AVERAGE(B2:B3)</f>
        <v>181</v>
      </c>
      <c r="H3" s="4">
        <v>4.9000000000000004</v>
      </c>
      <c r="I3" s="4">
        <f t="shared" ref="I3:I13" si="3">H3/G3</f>
        <v>2.7071823204419893E-2</v>
      </c>
      <c r="J3" s="11">
        <f t="shared" ref="J3:J13" si="4">I3/$I$15</f>
        <v>0.30271347232379908</v>
      </c>
      <c r="L3" t="s">
        <v>34</v>
      </c>
    </row>
    <row r="4" spans="1:20" ht="13" thickBot="1" x14ac:dyDescent="0.3">
      <c r="A4" s="4"/>
      <c r="B4" s="4">
        <v>106</v>
      </c>
      <c r="C4" s="11">
        <v>6.3</v>
      </c>
      <c r="D4" s="4">
        <f t="shared" si="0"/>
        <v>13.600000000000001</v>
      </c>
      <c r="E4" s="4">
        <f t="shared" si="1"/>
        <v>4.6634390941120669</v>
      </c>
      <c r="F4" s="4">
        <f t="shared" si="2"/>
        <v>0.69069437150481106</v>
      </c>
      <c r="G4" s="11">
        <f t="shared" ref="G4:G12" si="5">AVERAGE(B3:B4)</f>
        <v>128</v>
      </c>
      <c r="H4" s="4">
        <v>6.3</v>
      </c>
      <c r="I4" s="4">
        <f t="shared" si="3"/>
        <v>4.9218749999999999E-2</v>
      </c>
      <c r="J4" s="11">
        <f t="shared" si="4"/>
        <v>0.55035741787440695</v>
      </c>
    </row>
    <row r="5" spans="1:20" ht="13" x14ac:dyDescent="0.3">
      <c r="A5" s="4"/>
      <c r="B5" s="4">
        <v>75</v>
      </c>
      <c r="C5" s="11">
        <v>10.3</v>
      </c>
      <c r="D5" s="4">
        <f t="shared" si="0"/>
        <v>23.900000000000002</v>
      </c>
      <c r="E5" s="4">
        <f t="shared" si="1"/>
        <v>4.3174881135363101</v>
      </c>
      <c r="F5" s="4">
        <f t="shared" si="2"/>
        <v>0.35857734216661513</v>
      </c>
      <c r="G5" s="11">
        <f t="shared" si="5"/>
        <v>90.5</v>
      </c>
      <c r="H5" s="4">
        <v>10.3</v>
      </c>
      <c r="I5" s="4">
        <f t="shared" si="3"/>
        <v>0.11381215469613261</v>
      </c>
      <c r="J5" s="11">
        <f t="shared" si="4"/>
        <v>1.2726321489531145</v>
      </c>
      <c r="L5" s="19" t="s">
        <v>35</v>
      </c>
      <c r="M5" s="19"/>
    </row>
    <row r="6" spans="1:20" x14ac:dyDescent="0.25">
      <c r="B6" s="4">
        <v>53</v>
      </c>
      <c r="C6" s="11">
        <v>11.9</v>
      </c>
      <c r="D6" s="4">
        <f t="shared" si="0"/>
        <v>35.800000000000004</v>
      </c>
      <c r="E6" s="4">
        <f t="shared" si="1"/>
        <v>3.970291913552122</v>
      </c>
      <c r="F6" s="4">
        <f t="shared" si="2"/>
        <v>2.6858355997504454E-2</v>
      </c>
      <c r="G6" s="11">
        <f t="shared" si="5"/>
        <v>64</v>
      </c>
      <c r="H6" s="4">
        <v>11.9</v>
      </c>
      <c r="I6" s="4">
        <f t="shared" si="3"/>
        <v>0.18593750000000001</v>
      </c>
      <c r="J6" s="11">
        <f t="shared" si="4"/>
        <v>2.0791280230810929</v>
      </c>
      <c r="L6" s="16" t="s">
        <v>36</v>
      </c>
      <c r="M6" s="16">
        <v>0.99937657727496088</v>
      </c>
    </row>
    <row r="7" spans="1:20" x14ac:dyDescent="0.25">
      <c r="B7" s="4">
        <v>38</v>
      </c>
      <c r="C7" s="11">
        <v>11.3</v>
      </c>
      <c r="D7" s="4">
        <f t="shared" si="0"/>
        <v>47.100000000000009</v>
      </c>
      <c r="E7" s="4">
        <f t="shared" si="1"/>
        <v>3.6375861597263857</v>
      </c>
      <c r="F7" s="4">
        <f t="shared" si="2"/>
        <v>-0.28382660105492685</v>
      </c>
      <c r="G7" s="11">
        <f t="shared" si="5"/>
        <v>45.5</v>
      </c>
      <c r="H7" s="4">
        <v>11.3</v>
      </c>
      <c r="I7" s="4">
        <f t="shared" si="3"/>
        <v>0.24835164835164836</v>
      </c>
      <c r="J7" s="11">
        <f t="shared" si="4"/>
        <v>2.777034603919561</v>
      </c>
      <c r="L7" s="16" t="s">
        <v>37</v>
      </c>
      <c r="M7" s="16">
        <v>0.99875354320581577</v>
      </c>
    </row>
    <row r="8" spans="1:20" x14ac:dyDescent="0.25">
      <c r="A8" s="4"/>
      <c r="B8" s="4">
        <v>35</v>
      </c>
      <c r="C8" s="11">
        <v>3.8</v>
      </c>
      <c r="D8" s="4">
        <f t="shared" si="0"/>
        <v>50.900000000000006</v>
      </c>
      <c r="E8" s="4">
        <f t="shared" si="1"/>
        <v>3.5553480614894135</v>
      </c>
      <c r="F8" s="4">
        <f t="shared" si="2"/>
        <v>-0.3925874880809454</v>
      </c>
      <c r="G8" s="11">
        <f t="shared" si="5"/>
        <v>36.5</v>
      </c>
      <c r="H8" s="4">
        <v>3.8</v>
      </c>
      <c r="I8" s="4">
        <f t="shared" si="3"/>
        <v>0.10410958904109588</v>
      </c>
      <c r="J8" s="11">
        <f t="shared" si="4"/>
        <v>1.1641393696634552</v>
      </c>
      <c r="L8" s="16" t="s">
        <v>38</v>
      </c>
      <c r="M8" s="16">
        <v>0.99861504800646195</v>
      </c>
    </row>
    <row r="9" spans="1:20" x14ac:dyDescent="0.25">
      <c r="A9" s="4"/>
      <c r="B9" s="4">
        <v>25</v>
      </c>
      <c r="C9" s="11">
        <v>6.2</v>
      </c>
      <c r="D9" s="4">
        <f t="shared" si="0"/>
        <v>57.100000000000009</v>
      </c>
      <c r="E9" s="4">
        <f t="shared" si="1"/>
        <v>3.2188758248682006</v>
      </c>
      <c r="F9" s="4">
        <f t="shared" si="2"/>
        <v>-0.57916501359337336</v>
      </c>
      <c r="G9" s="11">
        <f t="shared" si="5"/>
        <v>30</v>
      </c>
      <c r="H9" s="4">
        <v>6.2</v>
      </c>
      <c r="I9" s="4">
        <f t="shared" si="3"/>
        <v>0.20666666666666667</v>
      </c>
      <c r="J9" s="11">
        <f t="shared" si="4"/>
        <v>2.3109187662705257</v>
      </c>
      <c r="L9" s="16" t="s">
        <v>39</v>
      </c>
      <c r="M9" s="16">
        <v>3.4489658578158333E-2</v>
      </c>
    </row>
    <row r="10" spans="1:20" ht="13" thickBot="1" x14ac:dyDescent="0.3">
      <c r="A10" s="4"/>
      <c r="B10" s="4">
        <v>16</v>
      </c>
      <c r="C10" s="11">
        <v>12.2</v>
      </c>
      <c r="D10" s="4">
        <f t="shared" si="0"/>
        <v>69.300000000000011</v>
      </c>
      <c r="E10" s="4">
        <f t="shared" si="1"/>
        <v>2.7725887222397811</v>
      </c>
      <c r="F10" s="4">
        <f t="shared" si="2"/>
        <v>-1.0031422676602515</v>
      </c>
      <c r="G10" s="11">
        <f t="shared" si="5"/>
        <v>20.5</v>
      </c>
      <c r="H10" s="4">
        <v>12.2</v>
      </c>
      <c r="I10" s="4">
        <f t="shared" si="3"/>
        <v>0.59512195121951217</v>
      </c>
      <c r="J10" s="11">
        <f t="shared" si="4"/>
        <v>6.6545733159324341</v>
      </c>
      <c r="L10" s="17" t="s">
        <v>40</v>
      </c>
      <c r="M10" s="17">
        <v>11</v>
      </c>
    </row>
    <row r="11" spans="1:20" x14ac:dyDescent="0.25">
      <c r="A11" s="4"/>
      <c r="B11" s="4">
        <v>12</v>
      </c>
      <c r="C11" s="11">
        <v>6.8</v>
      </c>
      <c r="D11" s="4">
        <f t="shared" si="0"/>
        <v>76.100000000000009</v>
      </c>
      <c r="E11" s="4">
        <f t="shared" si="1"/>
        <v>2.4849066497880004</v>
      </c>
      <c r="F11" s="4">
        <f t="shared" si="2"/>
        <v>-1.2978369859813548</v>
      </c>
      <c r="G11" s="11">
        <f t="shared" si="5"/>
        <v>14</v>
      </c>
      <c r="H11" s="4">
        <v>6.8</v>
      </c>
      <c r="I11" s="4">
        <f t="shared" si="3"/>
        <v>0.48571428571428571</v>
      </c>
      <c r="J11" s="11">
        <f t="shared" si="4"/>
        <v>5.4311915704975489</v>
      </c>
    </row>
    <row r="12" spans="1:20" ht="13" thickBot="1" x14ac:dyDescent="0.3">
      <c r="A12" s="4"/>
      <c r="B12" s="4">
        <v>9</v>
      </c>
      <c r="C12" s="11">
        <v>4.4000000000000004</v>
      </c>
      <c r="D12" s="4">
        <f t="shared" si="0"/>
        <v>80.500000000000014</v>
      </c>
      <c r="E12" s="4">
        <f t="shared" si="1"/>
        <v>2.1972245773362196</v>
      </c>
      <c r="F12" s="4">
        <f t="shared" si="2"/>
        <v>-1.5282589202829422</v>
      </c>
      <c r="G12" s="11">
        <f t="shared" si="5"/>
        <v>10.5</v>
      </c>
      <c r="H12" s="4">
        <v>4.4000000000000004</v>
      </c>
      <c r="I12" s="4">
        <f t="shared" si="3"/>
        <v>0.41904761904761906</v>
      </c>
      <c r="J12" s="11">
        <f t="shared" si="4"/>
        <v>4.6857339039586696</v>
      </c>
      <c r="L12" t="s">
        <v>41</v>
      </c>
    </row>
    <row r="13" spans="1:20" ht="13" x14ac:dyDescent="0.3">
      <c r="A13" s="4"/>
      <c r="C13" s="11">
        <v>19.5</v>
      </c>
      <c r="G13" s="6">
        <v>3</v>
      </c>
      <c r="H13" s="4">
        <v>19.5</v>
      </c>
      <c r="I13" s="4">
        <f t="shared" si="3"/>
        <v>6.5</v>
      </c>
      <c r="J13" s="11">
        <f t="shared" si="4"/>
        <v>72.682122487540724</v>
      </c>
      <c r="L13" s="18"/>
      <c r="M13" s="18" t="s">
        <v>45</v>
      </c>
      <c r="N13" s="18" t="s">
        <v>46</v>
      </c>
      <c r="O13" s="18" t="s">
        <v>47</v>
      </c>
      <c r="P13" s="18" t="s">
        <v>48</v>
      </c>
      <c r="Q13" s="18" t="s">
        <v>49</v>
      </c>
    </row>
    <row r="14" spans="1:20" x14ac:dyDescent="0.25">
      <c r="A14" s="4"/>
      <c r="C14" s="11">
        <v>100</v>
      </c>
      <c r="L14" s="16" t="s">
        <v>42</v>
      </c>
      <c r="M14" s="16">
        <v>1</v>
      </c>
      <c r="N14" s="16">
        <v>8.578303424724405</v>
      </c>
      <c r="O14" s="16">
        <v>8.578303424724405</v>
      </c>
      <c r="P14" s="16">
        <v>7211.4668801934913</v>
      </c>
      <c r="Q14" s="16">
        <v>2.2057111666536592E-14</v>
      </c>
    </row>
    <row r="15" spans="1:20" x14ac:dyDescent="0.25">
      <c r="G15" s="4" t="s">
        <v>5</v>
      </c>
      <c r="H15" s="13">
        <f>SUM(H2:H13)</f>
        <v>100.00000000000001</v>
      </c>
      <c r="I15" s="14">
        <f>SUM(I2:I13)/100</f>
        <v>8.9430519879413806E-2</v>
      </c>
      <c r="L15" s="16" t="s">
        <v>43</v>
      </c>
      <c r="M15" s="16">
        <v>9</v>
      </c>
      <c r="N15" s="16">
        <v>1.0705828939541378E-2</v>
      </c>
      <c r="O15" s="16">
        <v>1.1895365488379308E-3</v>
      </c>
      <c r="P15" s="16"/>
      <c r="Q15" s="16"/>
    </row>
    <row r="16" spans="1:20" ht="13.5" thickBot="1" x14ac:dyDescent="0.35">
      <c r="L16" s="17" t="s">
        <v>12</v>
      </c>
      <c r="M16" s="17">
        <v>10</v>
      </c>
      <c r="N16" s="17">
        <v>8.5890092536639457</v>
      </c>
      <c r="O16" s="17"/>
      <c r="P16" s="17"/>
      <c r="Q16" s="17"/>
      <c r="S16" s="27"/>
      <c r="T16" s="27"/>
    </row>
    <row r="17" spans="4:20" ht="13.5" thickBot="1" x14ac:dyDescent="0.35">
      <c r="D17" s="20" t="s">
        <v>66</v>
      </c>
      <c r="H17" s="25" t="s">
        <v>76</v>
      </c>
      <c r="I17" s="4">
        <v>10</v>
      </c>
      <c r="S17" s="16"/>
      <c r="T17" s="16"/>
    </row>
    <row r="18" spans="4:20" ht="13" x14ac:dyDescent="0.3">
      <c r="D18" s="20" t="s">
        <v>67</v>
      </c>
      <c r="H18" s="25" t="s">
        <v>77</v>
      </c>
      <c r="I18" s="4">
        <v>1</v>
      </c>
      <c r="L18" s="18"/>
      <c r="M18" s="18" t="s">
        <v>50</v>
      </c>
      <c r="N18" s="18" t="s">
        <v>39</v>
      </c>
      <c r="O18" s="18" t="s">
        <v>51</v>
      </c>
      <c r="P18" s="18" t="s">
        <v>52</v>
      </c>
      <c r="Q18" s="18" t="s">
        <v>53</v>
      </c>
      <c r="R18" s="18" t="s">
        <v>54</v>
      </c>
      <c r="S18" s="16"/>
      <c r="T18" s="16"/>
    </row>
    <row r="19" spans="4:20" ht="13" x14ac:dyDescent="0.3">
      <c r="D19" s="4" t="s">
        <v>69</v>
      </c>
      <c r="H19" s="25" t="s">
        <v>32</v>
      </c>
      <c r="I19" s="11">
        <v>3</v>
      </c>
      <c r="J19" t="s">
        <v>33</v>
      </c>
      <c r="L19" s="16" t="s">
        <v>44</v>
      </c>
      <c r="M19" s="16">
        <v>-3.5137022431284328</v>
      </c>
      <c r="N19" s="16">
        <v>4.0869336266819531E-2</v>
      </c>
      <c r="O19" s="16">
        <v>-85.974047148426337</v>
      </c>
      <c r="P19" s="16">
        <v>1.9742516601430588E-14</v>
      </c>
      <c r="Q19" s="16">
        <v>-3.606155104714222</v>
      </c>
      <c r="R19" s="16">
        <v>-3.4212493815426437</v>
      </c>
    </row>
    <row r="20" spans="4:20" ht="13.5" thickBot="1" x14ac:dyDescent="0.35">
      <c r="H20" s="25" t="s">
        <v>63</v>
      </c>
      <c r="I20" s="4">
        <f>10000*(I17/I18)*I15</f>
        <v>8943.0519879413805</v>
      </c>
      <c r="J20" t="s">
        <v>78</v>
      </c>
      <c r="L20" s="17" t="s">
        <v>59</v>
      </c>
      <c r="M20" s="17">
        <v>0.89645583582206789</v>
      </c>
      <c r="N20" s="17">
        <v>1.0556430483684875E-2</v>
      </c>
      <c r="O20" s="17">
        <v>84.920356100251325</v>
      </c>
      <c r="P20" s="17">
        <v>2.2057111666536589E-14</v>
      </c>
      <c r="Q20" s="17">
        <v>0.87257553103863839</v>
      </c>
      <c r="R20" s="17">
        <v>0.9203361406054974</v>
      </c>
    </row>
    <row r="21" spans="4:20" ht="13" x14ac:dyDescent="0.3">
      <c r="H21" s="25" t="s">
        <v>64</v>
      </c>
      <c r="I21" s="3">
        <f>I20/I19</f>
        <v>2981.0173293137937</v>
      </c>
      <c r="J21" t="s">
        <v>65</v>
      </c>
    </row>
    <row r="22" spans="4:20" ht="13" x14ac:dyDescent="0.3">
      <c r="H22" s="25"/>
      <c r="L22" s="33" t="s">
        <v>86</v>
      </c>
      <c r="M22">
        <f>M20</f>
        <v>0.89645583582206789</v>
      </c>
    </row>
    <row r="23" spans="4:20" ht="13" x14ac:dyDescent="0.3">
      <c r="H23" s="34" t="s">
        <v>89</v>
      </c>
      <c r="I23" s="4">
        <f>368000/(M22*M23*I19)</f>
        <v>2716.1848568911364</v>
      </c>
      <c r="J23" t="s">
        <v>65</v>
      </c>
      <c r="L23" s="33" t="s">
        <v>87</v>
      </c>
      <c r="M23">
        <f>EXP(-M19/M20)</f>
        <v>50.377700661379556</v>
      </c>
    </row>
    <row r="24" spans="4:20" ht="13" x14ac:dyDescent="0.3">
      <c r="H24" s="25"/>
    </row>
    <row r="25" spans="4:20" x14ac:dyDescent="0.25">
      <c r="O25" s="21" t="s">
        <v>70</v>
      </c>
      <c r="P25" s="4">
        <f>EXP((-4.6+M22*LN(M23))/M22)</f>
        <v>0.29767011350106509</v>
      </c>
    </row>
    <row r="26" spans="4:20" x14ac:dyDescent="0.25">
      <c r="O26" s="21" t="s">
        <v>71</v>
      </c>
      <c r="P26" s="4">
        <f>SQRT(B12*P25)</f>
        <v>1.636774578709477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Ex.13.1 &amp; 13.2</vt:lpstr>
      <vt:lpstr>Ex.13.3</vt:lpstr>
      <vt:lpstr>Ex.13.4</vt:lpstr>
      <vt:lpstr>Ex.13.5</vt:lpstr>
      <vt:lpstr>Ex.13.6</vt:lpstr>
      <vt:lpstr>Ex.13.7</vt:lpstr>
    </vt:vector>
  </TitlesOfParts>
  <Company>Univ of QLD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TJNM</dc:creator>
  <cp:lastModifiedBy>Tim Napier-Munn</cp:lastModifiedBy>
  <dcterms:created xsi:type="dcterms:W3CDTF">2012-01-17T01:44:04Z</dcterms:created>
  <dcterms:modified xsi:type="dcterms:W3CDTF">2014-10-20T01:47:54Z</dcterms:modified>
</cp:coreProperties>
</file>