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" windowWidth="7100" windowHeight="4800" tabRatio="753" activeTab="6"/>
  </bookViews>
  <sheets>
    <sheet name="Ex.4.1" sheetId="27" r:id="rId1"/>
    <sheet name="Ex.4.2" sheetId="22" r:id="rId2"/>
    <sheet name="Ex.4.3" sheetId="23" r:id="rId3"/>
    <sheet name="Ex.4.4" sheetId="24" r:id="rId4"/>
    <sheet name="Ex.4.5" sheetId="5" r:id="rId5"/>
    <sheet name="Ex.4.6" sheetId="26" r:id="rId6"/>
    <sheet name="Ex.4.7" sheetId="6" r:id="rId7"/>
    <sheet name="Ex.4.8" sheetId="7" r:id="rId8"/>
    <sheet name="Ex.4.9" sheetId="29" r:id="rId9"/>
    <sheet name="Ex.4.10" sheetId="9" r:id="rId10"/>
    <sheet name="Ex.4.12" sheetId="28" r:id="rId11"/>
    <sheet name="Ex.4.13" sheetId="8" r:id="rId12"/>
    <sheet name="Exs.4.14,4.15" sheetId="31" r:id="rId13"/>
    <sheet name="Ex.4.16A" sheetId="32" r:id="rId14"/>
    <sheet name="Ex.4.17" sheetId="33" r:id="rId15"/>
    <sheet name="Ex.4.18" sheetId="10" r:id="rId16"/>
    <sheet name="Ex.4.19" sheetId="11" r:id="rId17"/>
    <sheet name="Ex.4.20" sheetId="34" r:id="rId18"/>
    <sheet name="Ex.4.21" sheetId="14" r:id="rId19"/>
    <sheet name="Ex.4.22" sheetId="15" r:id="rId20"/>
    <sheet name="Ex.4.23" sheetId="18" r:id="rId21"/>
    <sheet name="Ex.4.24" sheetId="21" r:id="rId22"/>
    <sheet name="Ex.4.25" sheetId="17" r:id="rId23"/>
  </sheets>
  <calcPr calcId="145621"/>
</workbook>
</file>

<file path=xl/calcChain.xml><?xml version="1.0" encoding="utf-8"?>
<calcChain xmlns="http://schemas.openxmlformats.org/spreadsheetml/2006/main">
  <c r="O6" i="6" l="1"/>
  <c r="O7" i="6"/>
  <c r="O3" i="6"/>
  <c r="O8" i="6" l="1"/>
  <c r="O9" i="6"/>
  <c r="G20" i="26"/>
  <c r="F17" i="24"/>
  <c r="L12" i="5" l="1"/>
  <c r="L9" i="5" l="1"/>
  <c r="L4" i="5"/>
  <c r="H3" i="34" l="1"/>
  <c r="H4" i="34"/>
  <c r="H5" i="34"/>
  <c r="C6" i="34"/>
  <c r="D6" i="34"/>
  <c r="E6" i="34"/>
  <c r="F6" i="34"/>
  <c r="G6" i="34"/>
  <c r="H6" i="33"/>
  <c r="C10" i="33"/>
  <c r="D9" i="33"/>
  <c r="C9" i="33"/>
  <c r="H4" i="33" s="1"/>
  <c r="C5" i="32"/>
  <c r="C7" i="32" s="1"/>
  <c r="C4" i="32"/>
  <c r="C6" i="32" s="1"/>
  <c r="G6" i="31"/>
  <c r="G9" i="31"/>
  <c r="C6" i="31"/>
  <c r="C9" i="31" s="1"/>
  <c r="H5" i="28"/>
  <c r="K9" i="29"/>
  <c r="K10" i="29" s="1"/>
  <c r="D7" i="29"/>
  <c r="D9" i="29" s="1"/>
  <c r="D10" i="29" s="1"/>
  <c r="D8" i="29"/>
  <c r="D13" i="29"/>
  <c r="D14" i="29"/>
  <c r="L3" i="28"/>
  <c r="L6" i="28" s="1"/>
  <c r="L4" i="28"/>
  <c r="L5" i="28"/>
  <c r="E1" i="27"/>
  <c r="E2" i="27"/>
  <c r="E3" i="27"/>
  <c r="G17" i="26"/>
  <c r="G18" i="26" s="1"/>
  <c r="D4" i="26"/>
  <c r="D15" i="26" s="1"/>
  <c r="D5" i="26"/>
  <c r="D6" i="26"/>
  <c r="D7" i="26"/>
  <c r="D8" i="26"/>
  <c r="D9" i="26"/>
  <c r="D10" i="26"/>
  <c r="D11" i="26"/>
  <c r="D12" i="26"/>
  <c r="D13" i="26"/>
  <c r="F19" i="23"/>
  <c r="F22" i="23" s="1"/>
  <c r="F20" i="23"/>
  <c r="F21" i="23"/>
  <c r="F25" i="23"/>
  <c r="F28" i="23" s="1"/>
  <c r="F29" i="23" s="1"/>
  <c r="F26" i="23"/>
  <c r="F27" i="2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L5" i="21"/>
  <c r="L8" i="21"/>
  <c r="D3" i="21"/>
  <c r="E3" i="21" s="1"/>
  <c r="D4" i="21"/>
  <c r="E4" i="21" s="1"/>
  <c r="D5" i="21"/>
  <c r="E5" i="21" s="1"/>
  <c r="D6" i="21"/>
  <c r="E6" i="21" s="1"/>
  <c r="D7" i="21"/>
  <c r="E7" i="21" s="1"/>
  <c r="D8" i="21"/>
  <c r="E8" i="21" s="1"/>
  <c r="D9" i="21"/>
  <c r="E9" i="21" s="1"/>
  <c r="D10" i="21"/>
  <c r="E10" i="21"/>
  <c r="D11" i="21"/>
  <c r="E11" i="21" s="1"/>
  <c r="D12" i="21"/>
  <c r="E12" i="21" s="1"/>
  <c r="D13" i="21"/>
  <c r="E13" i="21" s="1"/>
  <c r="D14" i="21"/>
  <c r="E14" i="21" s="1"/>
  <c r="D15" i="21"/>
  <c r="E15" i="21" s="1"/>
  <c r="D16" i="21"/>
  <c r="E16" i="21" s="1"/>
  <c r="D2" i="21"/>
  <c r="E2" i="21" s="1"/>
  <c r="D4" i="18"/>
  <c r="D2" i="18"/>
  <c r="D3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H6" i="18"/>
  <c r="H7" i="18"/>
  <c r="J4" i="17"/>
  <c r="J9" i="17" s="1"/>
  <c r="J10" i="17" s="1"/>
  <c r="J11" i="17" s="1"/>
  <c r="J2" i="15"/>
  <c r="J7" i="15" s="1"/>
  <c r="J8" i="15" s="1"/>
  <c r="J9" i="15" s="1"/>
  <c r="J2" i="14"/>
  <c r="M17" i="14"/>
  <c r="N17" i="14" s="1"/>
  <c r="J3" i="14"/>
  <c r="K16" i="14" s="1"/>
  <c r="L16" i="14" s="1"/>
  <c r="M16" i="14" s="1"/>
  <c r="J4" i="14"/>
  <c r="J19" i="14"/>
  <c r="M34" i="10"/>
  <c r="M33" i="10"/>
  <c r="C10" i="11"/>
  <c r="E3" i="11"/>
  <c r="E4" i="11"/>
  <c r="E5" i="11"/>
  <c r="D6" i="11"/>
  <c r="C6" i="11"/>
  <c r="F15" i="8"/>
  <c r="B11" i="8"/>
  <c r="C11" i="8"/>
  <c r="C8" i="9"/>
  <c r="C9" i="9"/>
  <c r="C10" i="9" s="1"/>
  <c r="C11" i="9" s="1"/>
  <c r="E6" i="27" l="1"/>
  <c r="E7" i="27" s="1"/>
  <c r="E6" i="11"/>
  <c r="C8" i="11" s="1"/>
  <c r="H8" i="18"/>
  <c r="L10" i="21"/>
  <c r="L11" i="21" s="1"/>
  <c r="L12" i="21" s="1"/>
  <c r="L3" i="21"/>
  <c r="B13" i="8"/>
  <c r="E20" i="5"/>
  <c r="H20" i="18"/>
  <c r="H6" i="34"/>
  <c r="I3" i="34" s="1"/>
  <c r="D10" i="34" s="1"/>
  <c r="I5" i="34"/>
  <c r="D11" i="29"/>
  <c r="D12" i="29" s="1"/>
  <c r="I4" i="34"/>
  <c r="K11" i="29"/>
  <c r="K12" i="29"/>
  <c r="H5" i="33"/>
  <c r="C10" i="34"/>
  <c r="G10" i="34"/>
  <c r="I6" i="34"/>
  <c r="F10" i="34"/>
  <c r="E10" i="34"/>
  <c r="K15" i="14"/>
  <c r="L15" i="14" s="1"/>
  <c r="M15" i="14" s="1"/>
  <c r="N16" i="14" s="1"/>
  <c r="K14" i="14"/>
  <c r="L14" i="14" s="1"/>
  <c r="M14" i="14" s="1"/>
  <c r="K13" i="14"/>
  <c r="L13" i="14" s="1"/>
  <c r="M13" i="14" s="1"/>
  <c r="N13" i="14" s="1"/>
  <c r="K12" i="14"/>
  <c r="L12" i="14" s="1"/>
  <c r="M12" i="14" s="1"/>
  <c r="K11" i="14"/>
  <c r="L11" i="14" s="1"/>
  <c r="M11" i="14" s="1"/>
  <c r="K10" i="14"/>
  <c r="L10" i="14" s="1"/>
  <c r="M10" i="14" s="1"/>
  <c r="K9" i="14"/>
  <c r="L9" i="14" s="1"/>
  <c r="M9" i="14" s="1"/>
  <c r="N9" i="14" s="1"/>
  <c r="K8" i="14"/>
  <c r="L8" i="14" s="1"/>
  <c r="M8" i="14" s="1"/>
  <c r="N8" i="14" s="1"/>
  <c r="E19" i="5"/>
  <c r="G4" i="33"/>
  <c r="G5" i="33"/>
  <c r="H11" i="18"/>
  <c r="L5" i="5" l="1"/>
  <c r="L6" i="5" s="1"/>
  <c r="L10" i="5"/>
  <c r="L11" i="5" s="1"/>
  <c r="N10" i="14"/>
  <c r="N14" i="14"/>
  <c r="N12" i="14"/>
  <c r="M2" i="14" s="1"/>
  <c r="N3" i="34"/>
  <c r="E17" i="34"/>
  <c r="P3" i="34"/>
  <c r="G17" i="34"/>
  <c r="G6" i="33"/>
  <c r="I4" i="33"/>
  <c r="M3" i="34"/>
  <c r="D17" i="34"/>
  <c r="N11" i="14"/>
  <c r="N15" i="14"/>
  <c r="I5" i="33"/>
  <c r="F17" i="34"/>
  <c r="O3" i="34"/>
  <c r="L3" i="34"/>
  <c r="H10" i="34"/>
  <c r="C17" i="34"/>
  <c r="C11" i="34"/>
  <c r="E11" i="34"/>
  <c r="G11" i="34"/>
  <c r="D11" i="34"/>
  <c r="F11" i="34"/>
  <c r="D12" i="34"/>
  <c r="F12" i="34"/>
  <c r="C12" i="34"/>
  <c r="E12" i="34"/>
  <c r="G12" i="34"/>
  <c r="N19" i="14" l="1"/>
  <c r="L5" i="34"/>
  <c r="H12" i="34"/>
  <c r="C19" i="34"/>
  <c r="D18" i="34"/>
  <c r="M4" i="34"/>
  <c r="C13" i="34"/>
  <c r="D13" i="34"/>
  <c r="O5" i="34"/>
  <c r="F19" i="34"/>
  <c r="P4" i="34"/>
  <c r="G18" i="34"/>
  <c r="P5" i="34"/>
  <c r="G19" i="34"/>
  <c r="D19" i="34"/>
  <c r="M5" i="34"/>
  <c r="N4" i="34"/>
  <c r="E18" i="34"/>
  <c r="F13" i="34"/>
  <c r="J4" i="33"/>
  <c r="K4" i="33" s="1"/>
  <c r="G13" i="34"/>
  <c r="N5" i="34"/>
  <c r="E19" i="34"/>
  <c r="F18" i="34"/>
  <c r="O4" i="34"/>
  <c r="L4" i="34"/>
  <c r="H11" i="34"/>
  <c r="C18" i="34"/>
  <c r="L10" i="34"/>
  <c r="E13" i="34"/>
  <c r="L8" i="34" l="1"/>
  <c r="L9" i="34" s="1"/>
  <c r="H13" i="34"/>
</calcChain>
</file>

<file path=xl/sharedStrings.xml><?xml version="1.0" encoding="utf-8"?>
<sst xmlns="http://schemas.openxmlformats.org/spreadsheetml/2006/main" count="579" uniqueCount="245">
  <si>
    <t>%Zn</t>
  </si>
  <si>
    <t>Mean</t>
  </si>
  <si>
    <t>SD</t>
  </si>
  <si>
    <t>N</t>
  </si>
  <si>
    <t>Std.value</t>
  </si>
  <si>
    <t>t</t>
  </si>
  <si>
    <t>P(t)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</si>
  <si>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</si>
  <si>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</si>
  <si>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</si>
  <si>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</si>
  <si>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</si>
  <si>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</si>
  <si>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</si>
  <si>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</si>
  <si>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</si>
  <si>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</si>
  <si>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</si>
  <si>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Guarantee P80</t>
  </si>
  <si>
    <t>Measured P80</t>
  </si>
  <si>
    <t>t-Test: Two-Sample Assuming Equal Variances</t>
  </si>
  <si>
    <t>Pooled Variance</t>
  </si>
  <si>
    <t>Hypothesized Mean Diff.</t>
  </si>
  <si>
    <t>Metal Recovery %</t>
  </si>
  <si>
    <t>Method 1</t>
  </si>
  <si>
    <t>Method 2</t>
  </si>
  <si>
    <t>Cu assay %</t>
  </si>
  <si>
    <t>Old Collector</t>
  </si>
  <si>
    <t>New Collector</t>
  </si>
  <si>
    <t xml:space="preserve">t = </t>
  </si>
  <si>
    <t>90% 2-sided Confidence Interval</t>
  </si>
  <si>
    <t xml:space="preserve">s = </t>
  </si>
  <si>
    <t>sqrt(1/n1+1/n2) =</t>
  </si>
  <si>
    <t>Lower limit =</t>
  </si>
  <si>
    <r>
      <t xml:space="preserve">CI = </t>
    </r>
    <r>
      <rPr>
        <sz val="10"/>
        <rFont val="Symbol"/>
        <family val="1"/>
        <charset val="2"/>
      </rPr>
      <t>±</t>
    </r>
  </si>
  <si>
    <t>90% lower confidence limit</t>
  </si>
  <si>
    <t xml:space="preserve">1-sided t = </t>
  </si>
  <si>
    <t>1-sided CI =</t>
  </si>
  <si>
    <t>Var</t>
  </si>
  <si>
    <t>Old media</t>
  </si>
  <si>
    <t>New media</t>
  </si>
  <si>
    <t>ANOVA</t>
  </si>
  <si>
    <t>Total</t>
  </si>
  <si>
    <t>SS</t>
  </si>
  <si>
    <t>MS</t>
  </si>
  <si>
    <t>F</t>
  </si>
  <si>
    <t>P-value</t>
  </si>
  <si>
    <t>Manual</t>
  </si>
  <si>
    <t>Auto</t>
  </si>
  <si>
    <t>% copper</t>
  </si>
  <si>
    <t>Hyp. Mean Diff.</t>
  </si>
  <si>
    <t xml:space="preserve">Manual </t>
  </si>
  <si>
    <t>Automatic</t>
  </si>
  <si>
    <t>t-Test: Two-Sample Assuming Unequal Variances</t>
  </si>
  <si>
    <t>t (beta)</t>
  </si>
  <si>
    <t xml:space="preserve">Beta = </t>
  </si>
  <si>
    <t xml:space="preserve">Power = </t>
  </si>
  <si>
    <t xml:space="preserve">N = </t>
  </si>
  <si>
    <t xml:space="preserve">D = </t>
  </si>
  <si>
    <t xml:space="preserve">Alpha = </t>
  </si>
  <si>
    <t>2-sided 2-sample t-test</t>
  </si>
  <si>
    <t>F-Test Two-Sample for Variances</t>
  </si>
  <si>
    <t>P(F&lt;=f) one-tail</t>
  </si>
  <si>
    <t>F Critical one-tail</t>
  </si>
  <si>
    <t>Titration</t>
  </si>
  <si>
    <t>ICP</t>
  </si>
  <si>
    <t xml:space="preserve">P(F) = </t>
  </si>
  <si>
    <t>Modifed DF</t>
  </si>
  <si>
    <t>for 2-sample</t>
  </si>
  <si>
    <t>t-test</t>
  </si>
  <si>
    <t>Anova: Single Factor</t>
  </si>
  <si>
    <t>SUMMARY</t>
  </si>
  <si>
    <t>Groups</t>
  </si>
  <si>
    <t>Count</t>
  </si>
  <si>
    <t>Sum</t>
  </si>
  <si>
    <t>Average</t>
  </si>
  <si>
    <t>Source of Variation</t>
  </si>
  <si>
    <t>F crit</t>
  </si>
  <si>
    <t>Between Groups</t>
  </si>
  <si>
    <t>Within Groups</t>
  </si>
  <si>
    <t>A</t>
  </si>
  <si>
    <t>B</t>
  </si>
  <si>
    <t>C</t>
  </si>
  <si>
    <t>D</t>
  </si>
  <si>
    <t>E</t>
  </si>
  <si>
    <t>G</t>
  </si>
  <si>
    <t>Pump</t>
  </si>
  <si>
    <t>Obs</t>
  </si>
  <si>
    <t>Exp</t>
  </si>
  <si>
    <t>Chi-square</t>
  </si>
  <si>
    <t>P(chi-sq)</t>
  </si>
  <si>
    <t>Chitest</t>
  </si>
  <si>
    <t>Shape/Size</t>
  </si>
  <si>
    <t>S1</t>
  </si>
  <si>
    <t>S2</t>
  </si>
  <si>
    <t>S3</t>
  </si>
  <si>
    <t>S4</t>
  </si>
  <si>
    <t>S5</t>
  </si>
  <si>
    <r>
      <t xml:space="preserve">+125 </t>
    </r>
    <r>
      <rPr>
        <b/>
        <sz val="9"/>
        <rFont val="Symbol"/>
        <family val="1"/>
        <charset val="2"/>
      </rPr>
      <t>m</t>
    </r>
    <r>
      <rPr>
        <b/>
        <sz val="9"/>
        <rFont val="Times New Roman"/>
        <family val="1"/>
      </rPr>
      <t>m</t>
    </r>
  </si>
  <si>
    <r>
      <t xml:space="preserve">-125+75 </t>
    </r>
    <r>
      <rPr>
        <b/>
        <sz val="9"/>
        <rFont val="Symbol"/>
        <family val="1"/>
        <charset val="2"/>
      </rPr>
      <t>m</t>
    </r>
    <r>
      <rPr>
        <b/>
        <sz val="9"/>
        <rFont val="Times New Roman"/>
        <family val="1"/>
      </rPr>
      <t>m</t>
    </r>
  </si>
  <si>
    <r>
      <t xml:space="preserve">-75 </t>
    </r>
    <r>
      <rPr>
        <b/>
        <sz val="9"/>
        <rFont val="Symbol"/>
        <family val="1"/>
        <charset val="2"/>
      </rPr>
      <t>m</t>
    </r>
    <r>
      <rPr>
        <b/>
        <sz val="9"/>
        <rFont val="Times New Roman"/>
        <family val="1"/>
      </rPr>
      <t>m</t>
    </r>
  </si>
  <si>
    <t>Proportion</t>
  </si>
  <si>
    <t>Recovery</t>
  </si>
  <si>
    <t>Bin</t>
  </si>
  <si>
    <t>More</t>
  </si>
  <si>
    <t>Frequency</t>
  </si>
  <si>
    <t>z</t>
  </si>
  <si>
    <t>Less than</t>
  </si>
  <si>
    <t>More than</t>
  </si>
  <si>
    <t>Cum.prop.</t>
  </si>
  <si>
    <t>Cum.pred.count</t>
  </si>
  <si>
    <t>Pred.count</t>
  </si>
  <si>
    <t>-</t>
  </si>
  <si>
    <t>Sample</t>
  </si>
  <si>
    <t>Rank</t>
  </si>
  <si>
    <t>m</t>
  </si>
  <si>
    <t>n</t>
  </si>
  <si>
    <t>Assay</t>
  </si>
  <si>
    <t>P(z) (1-sided)</t>
  </si>
  <si>
    <t>P(z) (2-sided)</t>
  </si>
  <si>
    <t>Method A</t>
  </si>
  <si>
    <t>Method B</t>
  </si>
  <si>
    <t>Rank sum of A (= W)</t>
  </si>
  <si>
    <t>Cu Assay %</t>
  </si>
  <si>
    <t xml:space="preserve">Sample </t>
  </si>
  <si>
    <t>Titn.</t>
  </si>
  <si>
    <t>kWh/t -75m</t>
  </si>
  <si>
    <t>Diffs (10)</t>
  </si>
  <si>
    <t>are the only available data.</t>
  </si>
  <si>
    <t>Assume that first 10 of the new condition</t>
  </si>
  <si>
    <t>180 pairings</t>
  </si>
  <si>
    <t>Mean of first 10 new</t>
  </si>
  <si>
    <t>Mean of last 10 old</t>
  </si>
  <si>
    <t>kWh/t -75mic</t>
  </si>
  <si>
    <t>Difference</t>
  </si>
  <si>
    <t>Abs.diff.</t>
  </si>
  <si>
    <t>Sorted abs.diff.</t>
  </si>
  <si>
    <t>Neg/Pos</t>
  </si>
  <si>
    <t>P</t>
  </si>
  <si>
    <t>Rank sum W</t>
  </si>
  <si>
    <t>Sample size</t>
  </si>
  <si>
    <t>for non-zero diffs.</t>
  </si>
  <si>
    <t>P(z) 1-sided</t>
  </si>
  <si>
    <t>P(z) 2-sided</t>
  </si>
  <si>
    <t>Rec. (old)</t>
  </si>
  <si>
    <t>Rec. (new)</t>
  </si>
  <si>
    <t>Median difference</t>
  </si>
  <si>
    <t>Rank sum of ICP</t>
  </si>
  <si>
    <t>W</t>
  </si>
  <si>
    <t>Sorted Assay</t>
  </si>
  <si>
    <t>Run</t>
  </si>
  <si>
    <t>Copper Recovery %</t>
  </si>
  <si>
    <t>Mean difference</t>
  </si>
  <si>
    <t>SD of difference</t>
  </si>
  <si>
    <t>+125 mm</t>
  </si>
  <si>
    <t>-125+75 mm</t>
  </si>
  <si>
    <t>-75 mm</t>
  </si>
  <si>
    <t>Mean standard deviation</t>
  </si>
  <si>
    <t>Mean variance of data</t>
  </si>
  <si>
    <t>1 or 2 sample?*</t>
  </si>
  <si>
    <t>for t-tests</t>
  </si>
  <si>
    <t>1 or 2 sided?</t>
  </si>
  <si>
    <t>Confidence %</t>
  </si>
  <si>
    <t>Enter information</t>
  </si>
  <si>
    <t>Power %</t>
  </si>
  <si>
    <t>s</t>
  </si>
  <si>
    <t>z alpha</t>
  </si>
  <si>
    <t>z beta</t>
  </si>
  <si>
    <t>n approx</t>
  </si>
  <si>
    <t>Roundup</t>
  </si>
  <si>
    <t>DF</t>
  </si>
  <si>
    <t>n correct **</t>
  </si>
  <si>
    <t>Alpha risk</t>
  </si>
  <si>
    <t>Type I error</t>
  </si>
  <si>
    <t>Beta risk</t>
  </si>
  <si>
    <t>Type II error</t>
  </si>
  <si>
    <t>* Enter 1 for a paired t-test or test against a standard value.</t>
  </si>
  <si>
    <t xml:space="preserve">   Enter 2 for a 2-sample t-test.</t>
  </si>
  <si>
    <t>** Size of each sample for a 2-sample t-test, number of pairs</t>
  </si>
  <si>
    <t>for a paired t-test, and size of the single sample for a test of a</t>
  </si>
  <si>
    <t>sample mean against a standard value.</t>
  </si>
  <si>
    <t>Manual calculation of Ex.4.9</t>
  </si>
  <si>
    <t>Power calculation for</t>
  </si>
  <si>
    <t>z(alpha) =</t>
  </si>
  <si>
    <t>z (beta) =</t>
  </si>
  <si>
    <t>n(approx) =</t>
  </si>
  <si>
    <t>Std. dev. =</t>
  </si>
  <si>
    <t xml:space="preserve">DF = </t>
  </si>
  <si>
    <t>n(correct) =</t>
  </si>
  <si>
    <t>t (alpha) 2-sided =</t>
  </si>
  <si>
    <t>95% 2-sided Confidence Interval of difference</t>
  </si>
  <si>
    <t>Example 4.14</t>
  </si>
  <si>
    <t xml:space="preserve">F = </t>
  </si>
  <si>
    <t>P(F) =</t>
  </si>
  <si>
    <t>Variance 1 =</t>
  </si>
  <si>
    <t>Variance 2 =</t>
  </si>
  <si>
    <t xml:space="preserve">N1 = </t>
  </si>
  <si>
    <t>N2 =</t>
  </si>
  <si>
    <t>Example 4.15</t>
  </si>
  <si>
    <t xml:space="preserve">Variance = </t>
  </si>
  <si>
    <t xml:space="preserve">Chi-square (0.05) = </t>
  </si>
  <si>
    <t xml:space="preserve">Chi-square (0.95) = </t>
  </si>
  <si>
    <t>Lower 90% conf.limit =</t>
  </si>
  <si>
    <t>Upper 90% conf.limit =</t>
  </si>
  <si>
    <t>Ore A (kWh/t)</t>
  </si>
  <si>
    <t>Ore B (kWh/t)</t>
  </si>
  <si>
    <t>Sum of Squares</t>
  </si>
  <si>
    <t>Degrees of Freedom</t>
  </si>
  <si>
    <t>Mean Square</t>
  </si>
  <si>
    <t>P(F)</t>
  </si>
  <si>
    <t>Between ores</t>
  </si>
  <si>
    <t>Experimental error</t>
  </si>
  <si>
    <t>Overall mean</t>
  </si>
  <si>
    <t>Sample mean</t>
  </si>
  <si>
    <t>Without technician D</t>
  </si>
  <si>
    <t>Chi-square values</t>
  </si>
  <si>
    <t>Total chi-squared</t>
  </si>
  <si>
    <t>Observed Counts</t>
  </si>
  <si>
    <t>Expected counts</t>
  </si>
  <si>
    <t>Differences between expected and observed</t>
  </si>
  <si>
    <t>Std.dev.</t>
  </si>
  <si>
    <t>Recovery (sorted)</t>
  </si>
  <si>
    <t>Histogram</t>
  </si>
  <si>
    <t>Old/New</t>
  </si>
  <si>
    <t>10% percentile of differences</t>
  </si>
  <si>
    <t>(90% confidence) =</t>
  </si>
  <si>
    <t>We would need a difference of at least</t>
  </si>
  <si>
    <t xml:space="preserve">-5.1 kWh/t to conclude that there has </t>
  </si>
  <si>
    <t>been significant change.  The difference was</t>
  </si>
  <si>
    <t>only -4.5, and thus we conclude that there</t>
  </si>
  <si>
    <t>has been no significant change.</t>
  </si>
  <si>
    <t>For 95% confidence the difference would</t>
  </si>
  <si>
    <t>have to have been</t>
  </si>
  <si>
    <t>kWh/t</t>
  </si>
  <si>
    <t>100(1-beta)</t>
  </si>
  <si>
    <t>100(1-alpha)</t>
  </si>
  <si>
    <t>Difference in means</t>
  </si>
  <si>
    <t>Correlation Manual vs Auto</t>
  </si>
  <si>
    <t>TOST Method</t>
  </si>
  <si>
    <t>Confidence Interval Method</t>
  </si>
  <si>
    <t>Pooled SD</t>
  </si>
  <si>
    <r>
      <t xml:space="preserve">Conf.interval </t>
    </r>
    <r>
      <rPr>
        <sz val="10"/>
        <rFont val="Calibri"/>
        <family val="2"/>
      </rPr>
      <t>±</t>
    </r>
  </si>
  <si>
    <t>(enter)</t>
  </si>
  <si>
    <t>Lower C.Limit</t>
  </si>
  <si>
    <t>Upper C.Limit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</si>
</sst>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E+00"/>
  </numFmts>
  <fonts count="1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10"/>
      <name val="Symbol"/>
      <family val="1"/>
      <charset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0"/>
      <name val="Arial"/>
      <family val="2"/>
    </font>
    <font>
      <b/>
      <sz val="9"/>
      <name val="Times New Roman"/>
      <family val="1"/>
    </font>
    <font>
      <b/>
      <sz val="9"/>
      <name val="Symbol"/>
      <family val="1"/>
      <charset val="2"/>
    </font>
    <font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12"/>
      <name val="Arial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0" fillId="0" borderId="1" xfId="0" applyBorder="1"/>
    <xf numFmtId="0" fontId="0" fillId="2" borderId="0" xfId="0" applyFill="1" applyBorder="1" applyAlignment="1"/>
    <xf numFmtId="0" fontId="6" fillId="0" borderId="0" xfId="0" applyFont="1"/>
    <xf numFmtId="2" fontId="1" fillId="0" borderId="0" xfId="0" applyNumberFormat="1" applyFont="1" applyAlignment="1">
      <alignment horizontal="center"/>
    </xf>
    <xf numFmtId="0" fontId="3" fillId="0" borderId="0" xfId="0" applyFont="1"/>
    <xf numFmtId="0" fontId="3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6" fillId="0" borderId="0" xfId="0" applyFont="1" applyAlignment="1">
      <alignment horizontal="left"/>
    </xf>
    <xf numFmtId="0" fontId="0" fillId="0" borderId="0" xfId="0" applyNumberFormat="1" applyFill="1" applyBorder="1" applyAlignment="1"/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1" fontId="0" fillId="0" borderId="0" xfId="0" applyNumberFormat="1" applyAlignment="1">
      <alignment horizontal="center"/>
    </xf>
    <xf numFmtId="2" fontId="0" fillId="0" borderId="0" xfId="0" applyNumberFormat="1"/>
    <xf numFmtId="2" fontId="9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9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4" fillId="0" borderId="0" xfId="0" applyNumberFormat="1" applyFont="1"/>
    <xf numFmtId="1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/>
    <xf numFmtId="2" fontId="6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9" fillId="0" borderId="0" xfId="0" applyFont="1"/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vertical="top" wrapText="1"/>
    </xf>
    <xf numFmtId="164" fontId="9" fillId="0" borderId="0" xfId="0" applyNumberFormat="1" applyFont="1" applyBorder="1" applyAlignment="1">
      <alignment horizontal="center" wrapText="1"/>
    </xf>
    <xf numFmtId="0" fontId="1" fillId="0" borderId="0" xfId="0" applyFont="1" applyAlignment="1">
      <alignment horizontal="right"/>
    </xf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/>
    <xf numFmtId="0" fontId="8" fillId="0" borderId="0" xfId="0" applyFont="1"/>
    <xf numFmtId="164" fontId="1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left" wrapText="1"/>
    </xf>
    <xf numFmtId="164" fontId="9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 wrapText="1"/>
    </xf>
    <xf numFmtId="166" fontId="9" fillId="0" borderId="0" xfId="0" applyNumberFormat="1" applyFont="1"/>
    <xf numFmtId="0" fontId="1" fillId="0" borderId="0" xfId="0" applyFont="1" applyFill="1" applyBorder="1" applyAlignment="1">
      <alignment horizontal="left" wrapText="1"/>
    </xf>
    <xf numFmtId="49" fontId="0" fillId="0" borderId="0" xfId="0" applyNumberFormat="1"/>
    <xf numFmtId="2" fontId="0" fillId="0" borderId="0" xfId="0" applyNumberFormat="1" applyAlignment="1">
      <alignment horizontal="right"/>
    </xf>
    <xf numFmtId="0" fontId="1" fillId="0" borderId="0" xfId="0" applyFo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0" fillId="4" borderId="0" xfId="0" applyFill="1" applyBorder="1" applyAlignment="1"/>
    <xf numFmtId="164" fontId="0" fillId="0" borderId="0" xfId="0" applyNumberFormat="1"/>
    <xf numFmtId="0" fontId="1" fillId="0" borderId="0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'Ex.4.7'!#REF!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'Ex.4.7'!#REF!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'Ex.4.7'!#REF!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'Ex.4.7'!#REF!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34016"/>
        <c:axId val="168535936"/>
      </c:lineChart>
      <c:catAx>
        <c:axId val="1685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35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535936"/>
        <c:scaling>
          <c:orientation val="minMax"/>
          <c:min val="6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534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'Ex.4.7'!#REF!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'Ex.4.7'!#REF!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'Ex.4.7'!#REF!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yVal>
            <c:numRef>
              <c:f>'Ex.4.7'!#REF!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0112"/>
        <c:axId val="168976384"/>
      </c:scatterChart>
      <c:valAx>
        <c:axId val="168970112"/>
        <c:scaling>
          <c:orientation val="minMax"/>
          <c:max val="14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76384"/>
        <c:crosses val="autoZero"/>
        <c:crossBetween val="midCat"/>
      </c:valAx>
      <c:valAx>
        <c:axId val="168976384"/>
        <c:scaling>
          <c:orientation val="minMax"/>
          <c:max val="35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70112"/>
        <c:crosses val="autoZero"/>
        <c:crossBetween val="midCat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'Ex.4.8'!#REF!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'Ex.4.8'!#REF!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'Ex.4.7'!#REF!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'Ex.4.7'!#REF!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2496"/>
        <c:axId val="169004416"/>
      </c:scatterChart>
      <c:valAx>
        <c:axId val="16900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04416"/>
        <c:crosses val="autoZero"/>
        <c:crossBetween val="midCat"/>
      </c:valAx>
      <c:valAx>
        <c:axId val="169004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0024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'Ex.4.8'!#REF!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'Ex.4.8'!#REF!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03936"/>
        <c:axId val="168105088"/>
      </c:scatterChart>
      <c:valAx>
        <c:axId val="16810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05088"/>
        <c:crosses val="autoZero"/>
        <c:crossBetween val="midCat"/>
      </c:valAx>
      <c:valAx>
        <c:axId val="16810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103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40"/>
      <c:depthPercent val="100"/>
      <c:rAngAx val="0"/>
      <c:perspective val="3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0220630584242305"/>
          <c:y val="8.0402158010802319E-2"/>
          <c:w val="0.73039368655808568"/>
          <c:h val="0.7939713103566729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'Ex.4.20'!$C$16:$G$16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'Ex.4.20'!$C$17:$G$17</c:f>
              <c:numCache>
                <c:formatCode>0.00</c:formatCode>
                <c:ptCount val="5"/>
                <c:pt idx="0">
                  <c:v>15.671554252199414</c:v>
                </c:pt>
                <c:pt idx="1">
                  <c:v>10.211143695014663</c:v>
                </c:pt>
                <c:pt idx="2">
                  <c:v>-2.2991202346041071</c:v>
                </c:pt>
                <c:pt idx="3">
                  <c:v>-15.958944281524928</c:v>
                </c:pt>
                <c:pt idx="4">
                  <c:v>-7.6246334310850443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'Ex.4.20'!$C$16:$G$16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'Ex.4.20'!$C$18:$G$18</c:f>
              <c:numCache>
                <c:formatCode>0.00</c:formatCode>
                <c:ptCount val="5"/>
                <c:pt idx="0">
                  <c:v>9.3049853372434015</c:v>
                </c:pt>
                <c:pt idx="1">
                  <c:v>-1.6246334310850443</c:v>
                </c:pt>
                <c:pt idx="2">
                  <c:v>6.1348973607038104</c:v>
                </c:pt>
                <c:pt idx="3">
                  <c:v>-4.0381231671554261</c:v>
                </c:pt>
                <c:pt idx="4">
                  <c:v>-9.7771260997067451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'Ex.4.20'!$C$16:$G$16</c:f>
              <c:strCache>
                <c:ptCount val="5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</c:strCache>
            </c:strRef>
          </c:cat>
          <c:val>
            <c:numRef>
              <c:f>'Ex.4.20'!$C$19:$G$19</c:f>
              <c:numCache>
                <c:formatCode>0.00</c:formatCode>
                <c:ptCount val="5"/>
                <c:pt idx="0">
                  <c:v>-24.976539589442815</c:v>
                </c:pt>
                <c:pt idx="1">
                  <c:v>-8.5865102639296182</c:v>
                </c:pt>
                <c:pt idx="2">
                  <c:v>-3.8357771260997069</c:v>
                </c:pt>
                <c:pt idx="3">
                  <c:v>19.997067448680355</c:v>
                </c:pt>
                <c:pt idx="4">
                  <c:v>17.401759530791789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8092416"/>
        <c:axId val="168094336"/>
        <c:axId val="168974080"/>
      </c:bar3DChart>
      <c:catAx>
        <c:axId val="16809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Shape</a:t>
                </a:r>
              </a:p>
            </c:rich>
          </c:tx>
          <c:layout>
            <c:manualLayout>
              <c:xMode val="edge"/>
              <c:yMode val="edge"/>
              <c:x val="0.37990275643121907"/>
              <c:y val="0.83919752423774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9433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68094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Obs-Exp diff.</a:t>
                </a:r>
              </a:p>
            </c:rich>
          </c:tx>
          <c:layout>
            <c:manualLayout>
              <c:xMode val="edge"/>
              <c:yMode val="edge"/>
              <c:x val="0.19117687097829089"/>
              <c:y val="0.3517594412972601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92416"/>
        <c:crosses val="autoZero"/>
        <c:crossBetween val="between"/>
      </c:valAx>
      <c:serAx>
        <c:axId val="16897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Size</a:t>
                </a:r>
              </a:p>
            </c:rich>
          </c:tx>
          <c:layout>
            <c:manualLayout>
              <c:xMode val="edge"/>
              <c:yMode val="edge"/>
              <c:x val="0.77818790430265838"/>
              <c:y val="0.866835766053962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94336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00022888213529"/>
          <c:y val="9.946262669750372E-2"/>
          <c:w val="0.78928674659085507"/>
          <c:h val="0.6263457302842802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'Ex.4.21'!$E$3:$E$20</c:f>
              <c:strCache>
                <c:ptCount val="18"/>
                <c:pt idx="0">
                  <c:v>42</c:v>
                </c:pt>
                <c:pt idx="1">
                  <c:v>44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56</c:v>
                </c:pt>
                <c:pt idx="8">
                  <c:v>58</c:v>
                </c:pt>
                <c:pt idx="9">
                  <c:v>60</c:v>
                </c:pt>
                <c:pt idx="10">
                  <c:v>62</c:v>
                </c:pt>
                <c:pt idx="11">
                  <c:v>64</c:v>
                </c:pt>
                <c:pt idx="12">
                  <c:v>66</c:v>
                </c:pt>
                <c:pt idx="13">
                  <c:v>68</c:v>
                </c:pt>
                <c:pt idx="14">
                  <c:v>70</c:v>
                </c:pt>
                <c:pt idx="15">
                  <c:v>72</c:v>
                </c:pt>
                <c:pt idx="16">
                  <c:v>74</c:v>
                </c:pt>
                <c:pt idx="17">
                  <c:v>More</c:v>
                </c:pt>
              </c:strCache>
            </c:strRef>
          </c:cat>
          <c:val>
            <c:numRef>
              <c:f>'Ex.4.21'!$F$3:$F$20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6</c:v>
                </c:pt>
                <c:pt idx="8">
                  <c:v>10</c:v>
                </c:pt>
                <c:pt idx="9">
                  <c:v>15</c:v>
                </c:pt>
                <c:pt idx="10">
                  <c:v>18</c:v>
                </c:pt>
                <c:pt idx="11">
                  <c:v>24</c:v>
                </c:pt>
                <c:pt idx="12">
                  <c:v>21</c:v>
                </c:pt>
                <c:pt idx="13">
                  <c:v>13</c:v>
                </c:pt>
                <c:pt idx="14">
                  <c:v>12</c:v>
                </c:pt>
                <c:pt idx="15">
                  <c:v>6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69801600"/>
        <c:axId val="169476096"/>
      </c:barChart>
      <c:catAx>
        <c:axId val="16980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Zn Recovery %</a:t>
                </a:r>
              </a:p>
            </c:rich>
          </c:tx>
          <c:layout>
            <c:manualLayout>
              <c:xMode val="edge"/>
              <c:yMode val="edge"/>
              <c:x val="0.43928628882658449"/>
              <c:y val="0.8467764164787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760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947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Frequency</a:t>
                </a:r>
              </a:p>
            </c:rich>
          </c:tx>
          <c:layout>
            <c:manualLayout>
              <c:xMode val="edge"/>
              <c:yMode val="edge"/>
              <c:x val="3.9285765667418128E-2"/>
              <c:y val="0.26881790999325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801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184971098266"/>
          <c:y val="9.1133114528549455E-2"/>
          <c:w val="0.80202312138728327"/>
          <c:h val="0.65763625889520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'Ex.4.23'!$K$1</c:f>
              <c:strCache>
                <c:ptCount val="1"/>
                <c:pt idx="0">
                  <c:v>kWh/t -75mic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yVal>
            <c:numRef>
              <c:f>'Ex.4.23'!$K$2:$K$330</c:f>
              <c:numCache>
                <c:formatCode>0.00</c:formatCode>
                <c:ptCount val="329"/>
                <c:pt idx="0">
                  <c:v>31.98</c:v>
                </c:pt>
                <c:pt idx="1">
                  <c:v>32.020000000000003</c:v>
                </c:pt>
                <c:pt idx="2">
                  <c:v>33.51</c:v>
                </c:pt>
                <c:pt idx="3">
                  <c:v>31.79</c:v>
                </c:pt>
                <c:pt idx="4">
                  <c:v>31.03</c:v>
                </c:pt>
                <c:pt idx="5">
                  <c:v>34.4</c:v>
                </c:pt>
                <c:pt idx="6">
                  <c:v>36.369999999999997</c:v>
                </c:pt>
                <c:pt idx="7">
                  <c:v>31.7</c:v>
                </c:pt>
                <c:pt idx="8">
                  <c:v>48.74</c:v>
                </c:pt>
                <c:pt idx="9">
                  <c:v>36.22</c:v>
                </c:pt>
                <c:pt idx="10">
                  <c:v>34.31</c:v>
                </c:pt>
                <c:pt idx="11">
                  <c:v>45.29</c:v>
                </c:pt>
                <c:pt idx="12">
                  <c:v>33.21</c:v>
                </c:pt>
                <c:pt idx="13">
                  <c:v>35.82</c:v>
                </c:pt>
                <c:pt idx="14">
                  <c:v>30.62</c:v>
                </c:pt>
                <c:pt idx="15">
                  <c:v>31.61</c:v>
                </c:pt>
                <c:pt idx="16">
                  <c:v>29.71</c:v>
                </c:pt>
                <c:pt idx="17">
                  <c:v>29.19</c:v>
                </c:pt>
                <c:pt idx="18">
                  <c:v>27.39</c:v>
                </c:pt>
                <c:pt idx="19">
                  <c:v>28.08</c:v>
                </c:pt>
                <c:pt idx="20">
                  <c:v>31.65</c:v>
                </c:pt>
                <c:pt idx="21">
                  <c:v>31.57</c:v>
                </c:pt>
                <c:pt idx="22">
                  <c:v>36.450000000000003</c:v>
                </c:pt>
                <c:pt idx="23">
                  <c:v>29.82</c:v>
                </c:pt>
                <c:pt idx="24">
                  <c:v>32.89</c:v>
                </c:pt>
                <c:pt idx="25">
                  <c:v>32.15</c:v>
                </c:pt>
                <c:pt idx="26">
                  <c:v>31.5</c:v>
                </c:pt>
                <c:pt idx="27">
                  <c:v>31.62</c:v>
                </c:pt>
                <c:pt idx="28">
                  <c:v>32.33</c:v>
                </c:pt>
                <c:pt idx="29">
                  <c:v>32.130000000000003</c:v>
                </c:pt>
                <c:pt idx="30">
                  <c:v>31.7</c:v>
                </c:pt>
                <c:pt idx="31">
                  <c:v>31.75</c:v>
                </c:pt>
                <c:pt idx="32">
                  <c:v>28.36</c:v>
                </c:pt>
                <c:pt idx="33">
                  <c:v>29.07</c:v>
                </c:pt>
                <c:pt idx="34">
                  <c:v>27.93</c:v>
                </c:pt>
                <c:pt idx="35">
                  <c:v>32.61</c:v>
                </c:pt>
                <c:pt idx="36">
                  <c:v>34.25</c:v>
                </c:pt>
                <c:pt idx="37">
                  <c:v>33.81</c:v>
                </c:pt>
                <c:pt idx="38">
                  <c:v>32.450000000000003</c:v>
                </c:pt>
                <c:pt idx="39">
                  <c:v>32.53</c:v>
                </c:pt>
                <c:pt idx="40">
                  <c:v>33.840000000000003</c:v>
                </c:pt>
                <c:pt idx="41">
                  <c:v>34.15</c:v>
                </c:pt>
                <c:pt idx="42">
                  <c:v>30.32</c:v>
                </c:pt>
                <c:pt idx="43">
                  <c:v>31.22</c:v>
                </c:pt>
                <c:pt idx="44">
                  <c:v>28.4</c:v>
                </c:pt>
                <c:pt idx="45">
                  <c:v>31.02</c:v>
                </c:pt>
                <c:pt idx="46">
                  <c:v>29.78</c:v>
                </c:pt>
                <c:pt idx="47">
                  <c:v>29.88</c:v>
                </c:pt>
                <c:pt idx="48">
                  <c:v>34.549999999999997</c:v>
                </c:pt>
                <c:pt idx="49">
                  <c:v>33.64</c:v>
                </c:pt>
                <c:pt idx="50">
                  <c:v>37.28</c:v>
                </c:pt>
                <c:pt idx="51">
                  <c:v>39.14</c:v>
                </c:pt>
                <c:pt idx="52">
                  <c:v>36.47</c:v>
                </c:pt>
                <c:pt idx="53">
                  <c:v>61.12</c:v>
                </c:pt>
                <c:pt idx="54">
                  <c:v>38.24</c:v>
                </c:pt>
                <c:pt idx="55">
                  <c:v>34.78</c:v>
                </c:pt>
                <c:pt idx="56">
                  <c:v>36.659999999999997</c:v>
                </c:pt>
                <c:pt idx="57">
                  <c:v>35.31</c:v>
                </c:pt>
                <c:pt idx="58">
                  <c:v>34.78</c:v>
                </c:pt>
                <c:pt idx="59">
                  <c:v>40.78</c:v>
                </c:pt>
                <c:pt idx="60">
                  <c:v>46.26</c:v>
                </c:pt>
                <c:pt idx="61">
                  <c:v>42.86</c:v>
                </c:pt>
                <c:pt idx="62">
                  <c:v>32.29</c:v>
                </c:pt>
                <c:pt idx="63">
                  <c:v>32.880000000000003</c:v>
                </c:pt>
                <c:pt idx="64">
                  <c:v>36.83</c:v>
                </c:pt>
                <c:pt idx="65">
                  <c:v>29.19</c:v>
                </c:pt>
                <c:pt idx="66">
                  <c:v>30.77</c:v>
                </c:pt>
                <c:pt idx="67">
                  <c:v>32.96</c:v>
                </c:pt>
                <c:pt idx="68">
                  <c:v>34.78</c:v>
                </c:pt>
                <c:pt idx="69">
                  <c:v>31.68</c:v>
                </c:pt>
                <c:pt idx="70">
                  <c:v>28.56</c:v>
                </c:pt>
                <c:pt idx="71">
                  <c:v>30.92</c:v>
                </c:pt>
                <c:pt idx="72">
                  <c:v>33.61</c:v>
                </c:pt>
                <c:pt idx="73">
                  <c:v>34.06</c:v>
                </c:pt>
                <c:pt idx="74">
                  <c:v>34.950000000000003</c:v>
                </c:pt>
                <c:pt idx="75">
                  <c:v>35.49</c:v>
                </c:pt>
                <c:pt idx="76">
                  <c:v>28.51</c:v>
                </c:pt>
                <c:pt idx="77">
                  <c:v>28.88</c:v>
                </c:pt>
                <c:pt idx="78">
                  <c:v>32.869999999999997</c:v>
                </c:pt>
                <c:pt idx="79">
                  <c:v>31.18</c:v>
                </c:pt>
                <c:pt idx="80">
                  <c:v>27.79</c:v>
                </c:pt>
                <c:pt idx="81">
                  <c:v>29.43</c:v>
                </c:pt>
                <c:pt idx="82">
                  <c:v>35.35</c:v>
                </c:pt>
                <c:pt idx="83">
                  <c:v>35.67</c:v>
                </c:pt>
                <c:pt idx="84">
                  <c:v>35.799999999999997</c:v>
                </c:pt>
                <c:pt idx="85">
                  <c:v>33</c:v>
                </c:pt>
                <c:pt idx="86">
                  <c:v>30.77</c:v>
                </c:pt>
                <c:pt idx="87">
                  <c:v>31.3</c:v>
                </c:pt>
                <c:pt idx="88">
                  <c:v>32.86</c:v>
                </c:pt>
                <c:pt idx="89">
                  <c:v>38.479999999999997</c:v>
                </c:pt>
                <c:pt idx="90">
                  <c:v>39.729999999999997</c:v>
                </c:pt>
                <c:pt idx="91">
                  <c:v>46.12</c:v>
                </c:pt>
                <c:pt idx="92">
                  <c:v>48.87</c:v>
                </c:pt>
                <c:pt idx="93">
                  <c:v>35.479999999999997</c:v>
                </c:pt>
                <c:pt idx="94">
                  <c:v>31.61</c:v>
                </c:pt>
                <c:pt idx="95">
                  <c:v>34.15</c:v>
                </c:pt>
                <c:pt idx="96">
                  <c:v>49.32</c:v>
                </c:pt>
                <c:pt idx="97">
                  <c:v>37.71</c:v>
                </c:pt>
                <c:pt idx="98">
                  <c:v>25.93</c:v>
                </c:pt>
                <c:pt idx="99">
                  <c:v>31.88</c:v>
                </c:pt>
                <c:pt idx="100">
                  <c:v>35.17</c:v>
                </c:pt>
                <c:pt idx="101">
                  <c:v>32.549999999999997</c:v>
                </c:pt>
                <c:pt idx="102">
                  <c:v>36.090000000000003</c:v>
                </c:pt>
                <c:pt idx="103">
                  <c:v>33.82</c:v>
                </c:pt>
                <c:pt idx="104">
                  <c:v>33.06</c:v>
                </c:pt>
                <c:pt idx="105">
                  <c:v>50.13</c:v>
                </c:pt>
                <c:pt idx="106">
                  <c:v>45.8</c:v>
                </c:pt>
                <c:pt idx="107">
                  <c:v>43.4</c:v>
                </c:pt>
                <c:pt idx="108">
                  <c:v>44.46</c:v>
                </c:pt>
                <c:pt idx="109">
                  <c:v>34.67</c:v>
                </c:pt>
                <c:pt idx="110">
                  <c:v>37.86</c:v>
                </c:pt>
                <c:pt idx="111">
                  <c:v>33.18</c:v>
                </c:pt>
                <c:pt idx="112">
                  <c:v>32.130000000000003</c:v>
                </c:pt>
                <c:pt idx="113">
                  <c:v>38.53</c:v>
                </c:pt>
                <c:pt idx="114">
                  <c:v>35.24</c:v>
                </c:pt>
                <c:pt idx="115">
                  <c:v>32.78</c:v>
                </c:pt>
                <c:pt idx="116">
                  <c:v>32.35</c:v>
                </c:pt>
                <c:pt idx="117">
                  <c:v>38.28</c:v>
                </c:pt>
                <c:pt idx="118">
                  <c:v>38.72</c:v>
                </c:pt>
                <c:pt idx="119">
                  <c:v>42.99</c:v>
                </c:pt>
                <c:pt idx="120">
                  <c:v>40.409999999999997</c:v>
                </c:pt>
                <c:pt idx="121">
                  <c:v>37.18</c:v>
                </c:pt>
                <c:pt idx="122">
                  <c:v>36.71</c:v>
                </c:pt>
                <c:pt idx="123">
                  <c:v>42.03</c:v>
                </c:pt>
                <c:pt idx="124">
                  <c:v>32.57</c:v>
                </c:pt>
                <c:pt idx="125">
                  <c:v>37.42</c:v>
                </c:pt>
                <c:pt idx="126">
                  <c:v>40.369999999999997</c:v>
                </c:pt>
                <c:pt idx="127">
                  <c:v>51.15</c:v>
                </c:pt>
                <c:pt idx="128">
                  <c:v>34.86</c:v>
                </c:pt>
                <c:pt idx="129">
                  <c:v>34.340000000000003</c:v>
                </c:pt>
                <c:pt idx="130">
                  <c:v>35.74</c:v>
                </c:pt>
                <c:pt idx="131">
                  <c:v>30.84</c:v>
                </c:pt>
                <c:pt idx="132">
                  <c:v>31.04</c:v>
                </c:pt>
                <c:pt idx="133">
                  <c:v>36.4</c:v>
                </c:pt>
                <c:pt idx="134">
                  <c:v>30.29</c:v>
                </c:pt>
                <c:pt idx="135">
                  <c:v>31.03</c:v>
                </c:pt>
                <c:pt idx="136">
                  <c:v>24.64</c:v>
                </c:pt>
                <c:pt idx="137">
                  <c:v>24.28</c:v>
                </c:pt>
                <c:pt idx="138">
                  <c:v>33.67</c:v>
                </c:pt>
                <c:pt idx="139">
                  <c:v>25.89</c:v>
                </c:pt>
                <c:pt idx="140">
                  <c:v>18.93</c:v>
                </c:pt>
                <c:pt idx="141">
                  <c:v>25.28</c:v>
                </c:pt>
                <c:pt idx="142">
                  <c:v>31.75</c:v>
                </c:pt>
                <c:pt idx="143">
                  <c:v>34.33</c:v>
                </c:pt>
                <c:pt idx="144">
                  <c:v>34.64</c:v>
                </c:pt>
                <c:pt idx="145">
                  <c:v>34.74</c:v>
                </c:pt>
                <c:pt idx="146">
                  <c:v>25.96</c:v>
                </c:pt>
                <c:pt idx="147">
                  <c:v>35.090000000000003</c:v>
                </c:pt>
                <c:pt idx="148">
                  <c:v>27.55</c:v>
                </c:pt>
                <c:pt idx="149">
                  <c:v>30.46</c:v>
                </c:pt>
                <c:pt idx="150">
                  <c:v>38.81</c:v>
                </c:pt>
                <c:pt idx="151">
                  <c:v>39.17</c:v>
                </c:pt>
                <c:pt idx="152">
                  <c:v>30.91</c:v>
                </c:pt>
                <c:pt idx="153">
                  <c:v>29.91</c:v>
                </c:pt>
                <c:pt idx="154">
                  <c:v>29.94</c:v>
                </c:pt>
                <c:pt idx="155">
                  <c:v>29.07</c:v>
                </c:pt>
                <c:pt idx="156">
                  <c:v>32.840000000000003</c:v>
                </c:pt>
                <c:pt idx="157">
                  <c:v>26.76</c:v>
                </c:pt>
                <c:pt idx="158">
                  <c:v>32.130000000000003</c:v>
                </c:pt>
                <c:pt idx="159">
                  <c:v>29.25</c:v>
                </c:pt>
                <c:pt idx="160">
                  <c:v>30.99</c:v>
                </c:pt>
                <c:pt idx="161">
                  <c:v>34.17</c:v>
                </c:pt>
                <c:pt idx="162">
                  <c:v>27.55</c:v>
                </c:pt>
                <c:pt idx="163">
                  <c:v>31.04</c:v>
                </c:pt>
                <c:pt idx="164">
                  <c:v>28.55</c:v>
                </c:pt>
                <c:pt idx="165">
                  <c:v>29.59</c:v>
                </c:pt>
                <c:pt idx="166">
                  <c:v>27.18</c:v>
                </c:pt>
                <c:pt idx="167">
                  <c:v>30.72</c:v>
                </c:pt>
                <c:pt idx="168">
                  <c:v>30.43</c:v>
                </c:pt>
                <c:pt idx="169">
                  <c:v>26.45</c:v>
                </c:pt>
                <c:pt idx="170">
                  <c:v>27.84</c:v>
                </c:pt>
                <c:pt idx="171">
                  <c:v>27.1</c:v>
                </c:pt>
                <c:pt idx="172">
                  <c:v>31.44</c:v>
                </c:pt>
                <c:pt idx="173">
                  <c:v>31.14</c:v>
                </c:pt>
                <c:pt idx="174">
                  <c:v>31.06</c:v>
                </c:pt>
                <c:pt idx="175">
                  <c:v>32.590000000000003</c:v>
                </c:pt>
                <c:pt idx="176">
                  <c:v>32.22</c:v>
                </c:pt>
                <c:pt idx="177">
                  <c:v>30.53</c:v>
                </c:pt>
                <c:pt idx="178">
                  <c:v>31.44</c:v>
                </c:pt>
                <c:pt idx="179">
                  <c:v>31.55</c:v>
                </c:pt>
                <c:pt idx="180">
                  <c:v>32.74</c:v>
                </c:pt>
                <c:pt idx="181">
                  <c:v>32.520000000000003</c:v>
                </c:pt>
                <c:pt idx="182">
                  <c:v>34.03</c:v>
                </c:pt>
                <c:pt idx="183">
                  <c:v>30.23</c:v>
                </c:pt>
                <c:pt idx="184">
                  <c:v>30.53</c:v>
                </c:pt>
                <c:pt idx="185">
                  <c:v>30.41</c:v>
                </c:pt>
                <c:pt idx="186">
                  <c:v>34.47</c:v>
                </c:pt>
                <c:pt idx="187">
                  <c:v>34.299999999999997</c:v>
                </c:pt>
                <c:pt idx="188">
                  <c:v>34.58</c:v>
                </c:pt>
                <c:pt idx="189">
                  <c:v>36.520000000000003</c:v>
                </c:pt>
                <c:pt idx="190">
                  <c:v>33.18</c:v>
                </c:pt>
                <c:pt idx="191">
                  <c:v>35.96</c:v>
                </c:pt>
                <c:pt idx="192">
                  <c:v>34.68</c:v>
                </c:pt>
                <c:pt idx="193">
                  <c:v>31.64</c:v>
                </c:pt>
                <c:pt idx="194">
                  <c:v>34.21</c:v>
                </c:pt>
                <c:pt idx="195">
                  <c:v>31.29</c:v>
                </c:pt>
                <c:pt idx="196">
                  <c:v>31.77</c:v>
                </c:pt>
                <c:pt idx="197">
                  <c:v>32.979999999999997</c:v>
                </c:pt>
                <c:pt idx="198">
                  <c:v>33.83</c:v>
                </c:pt>
                <c:pt idx="199">
                  <c:v>26.08</c:v>
                </c:pt>
                <c:pt idx="200">
                  <c:v>25.54</c:v>
                </c:pt>
                <c:pt idx="201">
                  <c:v>25.48</c:v>
                </c:pt>
                <c:pt idx="202">
                  <c:v>26.59</c:v>
                </c:pt>
                <c:pt idx="203">
                  <c:v>26.36</c:v>
                </c:pt>
                <c:pt idx="204">
                  <c:v>29.79</c:v>
                </c:pt>
                <c:pt idx="205">
                  <c:v>36.65</c:v>
                </c:pt>
                <c:pt idx="206">
                  <c:v>32.409999999999997</c:v>
                </c:pt>
                <c:pt idx="207">
                  <c:v>33.83</c:v>
                </c:pt>
                <c:pt idx="208">
                  <c:v>28.42</c:v>
                </c:pt>
                <c:pt idx="209">
                  <c:v>29.65</c:v>
                </c:pt>
                <c:pt idx="210">
                  <c:v>30.5</c:v>
                </c:pt>
                <c:pt idx="211">
                  <c:v>33.340000000000003</c:v>
                </c:pt>
                <c:pt idx="212">
                  <c:v>30.28</c:v>
                </c:pt>
                <c:pt idx="213">
                  <c:v>28.62</c:v>
                </c:pt>
                <c:pt idx="214">
                  <c:v>23.85</c:v>
                </c:pt>
                <c:pt idx="215">
                  <c:v>28.31</c:v>
                </c:pt>
                <c:pt idx="216">
                  <c:v>24.22</c:v>
                </c:pt>
                <c:pt idx="217">
                  <c:v>22.2</c:v>
                </c:pt>
                <c:pt idx="218">
                  <c:v>27.01</c:v>
                </c:pt>
                <c:pt idx="219">
                  <c:v>29.46</c:v>
                </c:pt>
                <c:pt idx="220">
                  <c:v>31.41</c:v>
                </c:pt>
                <c:pt idx="221">
                  <c:v>28.65</c:v>
                </c:pt>
                <c:pt idx="222">
                  <c:v>29.33</c:v>
                </c:pt>
                <c:pt idx="223">
                  <c:v>36.72</c:v>
                </c:pt>
                <c:pt idx="224">
                  <c:v>35.950000000000003</c:v>
                </c:pt>
                <c:pt idx="225">
                  <c:v>30.4</c:v>
                </c:pt>
                <c:pt idx="226">
                  <c:v>30.79</c:v>
                </c:pt>
                <c:pt idx="227">
                  <c:v>28.37</c:v>
                </c:pt>
                <c:pt idx="228">
                  <c:v>29.72</c:v>
                </c:pt>
                <c:pt idx="229">
                  <c:v>30.24</c:v>
                </c:pt>
                <c:pt idx="230">
                  <c:v>29.45</c:v>
                </c:pt>
                <c:pt idx="231">
                  <c:v>25.27</c:v>
                </c:pt>
                <c:pt idx="232">
                  <c:v>27.79</c:v>
                </c:pt>
                <c:pt idx="233">
                  <c:v>26.56</c:v>
                </c:pt>
                <c:pt idx="234">
                  <c:v>25.58</c:v>
                </c:pt>
                <c:pt idx="235">
                  <c:v>27.67</c:v>
                </c:pt>
                <c:pt idx="236">
                  <c:v>28.28</c:v>
                </c:pt>
                <c:pt idx="237">
                  <c:v>27.86</c:v>
                </c:pt>
                <c:pt idx="238">
                  <c:v>36.64</c:v>
                </c:pt>
                <c:pt idx="239">
                  <c:v>30.74</c:v>
                </c:pt>
                <c:pt idx="240">
                  <c:v>25.05</c:v>
                </c:pt>
                <c:pt idx="241">
                  <c:v>26.18</c:v>
                </c:pt>
                <c:pt idx="242">
                  <c:v>29.95</c:v>
                </c:pt>
                <c:pt idx="243">
                  <c:v>25.49</c:v>
                </c:pt>
                <c:pt idx="244">
                  <c:v>24.56</c:v>
                </c:pt>
                <c:pt idx="245">
                  <c:v>28.83</c:v>
                </c:pt>
                <c:pt idx="246">
                  <c:v>34.549999999999997</c:v>
                </c:pt>
                <c:pt idx="247">
                  <c:v>28.71</c:v>
                </c:pt>
                <c:pt idx="248">
                  <c:v>28.06</c:v>
                </c:pt>
                <c:pt idx="249">
                  <c:v>27.89</c:v>
                </c:pt>
                <c:pt idx="250">
                  <c:v>29.52</c:v>
                </c:pt>
                <c:pt idx="251">
                  <c:v>28.24</c:v>
                </c:pt>
                <c:pt idx="252">
                  <c:v>30.36</c:v>
                </c:pt>
                <c:pt idx="253">
                  <c:v>24.58</c:v>
                </c:pt>
                <c:pt idx="254">
                  <c:v>27.5</c:v>
                </c:pt>
                <c:pt idx="255">
                  <c:v>28.67</c:v>
                </c:pt>
                <c:pt idx="256">
                  <c:v>26.8</c:v>
                </c:pt>
                <c:pt idx="257">
                  <c:v>31.6</c:v>
                </c:pt>
                <c:pt idx="258">
                  <c:v>28.36</c:v>
                </c:pt>
                <c:pt idx="259">
                  <c:v>41.92</c:v>
                </c:pt>
                <c:pt idx="260">
                  <c:v>28.78</c:v>
                </c:pt>
                <c:pt idx="261">
                  <c:v>25.65</c:v>
                </c:pt>
                <c:pt idx="262">
                  <c:v>31.13</c:v>
                </c:pt>
                <c:pt idx="263">
                  <c:v>34.72</c:v>
                </c:pt>
                <c:pt idx="264">
                  <c:v>29.66</c:v>
                </c:pt>
                <c:pt idx="265">
                  <c:v>28.37</c:v>
                </c:pt>
                <c:pt idx="266">
                  <c:v>27.68</c:v>
                </c:pt>
                <c:pt idx="267">
                  <c:v>31.37</c:v>
                </c:pt>
                <c:pt idx="268">
                  <c:v>24.81</c:v>
                </c:pt>
                <c:pt idx="269">
                  <c:v>25.05</c:v>
                </c:pt>
                <c:pt idx="270">
                  <c:v>24.07</c:v>
                </c:pt>
                <c:pt idx="271">
                  <c:v>24.9</c:v>
                </c:pt>
                <c:pt idx="272">
                  <c:v>25.29</c:v>
                </c:pt>
                <c:pt idx="273">
                  <c:v>27.59</c:v>
                </c:pt>
                <c:pt idx="274">
                  <c:v>30.54</c:v>
                </c:pt>
                <c:pt idx="275">
                  <c:v>31.07</c:v>
                </c:pt>
                <c:pt idx="276">
                  <c:v>29.78</c:v>
                </c:pt>
                <c:pt idx="277">
                  <c:v>35.82</c:v>
                </c:pt>
                <c:pt idx="278">
                  <c:v>31.42</c:v>
                </c:pt>
                <c:pt idx="279">
                  <c:v>34.54</c:v>
                </c:pt>
                <c:pt idx="280">
                  <c:v>48.28</c:v>
                </c:pt>
                <c:pt idx="281">
                  <c:v>42.42</c:v>
                </c:pt>
                <c:pt idx="282">
                  <c:v>30.5</c:v>
                </c:pt>
                <c:pt idx="283">
                  <c:v>33.729999999999997</c:v>
                </c:pt>
                <c:pt idx="284">
                  <c:v>29.21</c:v>
                </c:pt>
                <c:pt idx="285">
                  <c:v>30.16</c:v>
                </c:pt>
                <c:pt idx="286">
                  <c:v>28.79</c:v>
                </c:pt>
                <c:pt idx="287">
                  <c:v>32.14</c:v>
                </c:pt>
                <c:pt idx="288">
                  <c:v>29.76</c:v>
                </c:pt>
                <c:pt idx="289">
                  <c:v>32.32</c:v>
                </c:pt>
                <c:pt idx="290">
                  <c:v>30.21</c:v>
                </c:pt>
                <c:pt idx="291">
                  <c:v>32.57</c:v>
                </c:pt>
                <c:pt idx="292">
                  <c:v>32.69</c:v>
                </c:pt>
                <c:pt idx="293">
                  <c:v>28.69</c:v>
                </c:pt>
                <c:pt idx="294">
                  <c:v>28.06</c:v>
                </c:pt>
                <c:pt idx="295">
                  <c:v>26.84</c:v>
                </c:pt>
                <c:pt idx="296">
                  <c:v>25.72</c:v>
                </c:pt>
                <c:pt idx="297">
                  <c:v>27.25</c:v>
                </c:pt>
                <c:pt idx="298">
                  <c:v>28.08</c:v>
                </c:pt>
                <c:pt idx="299">
                  <c:v>25.44</c:v>
                </c:pt>
                <c:pt idx="300">
                  <c:v>26</c:v>
                </c:pt>
                <c:pt idx="301">
                  <c:v>28.73</c:v>
                </c:pt>
                <c:pt idx="302">
                  <c:v>28.31</c:v>
                </c:pt>
                <c:pt idx="303">
                  <c:v>29.29</c:v>
                </c:pt>
                <c:pt idx="304">
                  <c:v>20.3</c:v>
                </c:pt>
                <c:pt idx="305">
                  <c:v>17.52</c:v>
                </c:pt>
                <c:pt idx="306">
                  <c:v>13.16</c:v>
                </c:pt>
                <c:pt idx="307">
                  <c:v>12.07</c:v>
                </c:pt>
                <c:pt idx="308">
                  <c:v>13.49</c:v>
                </c:pt>
                <c:pt idx="309">
                  <c:v>17.18</c:v>
                </c:pt>
                <c:pt idx="310">
                  <c:v>32.14</c:v>
                </c:pt>
                <c:pt idx="311">
                  <c:v>29.68</c:v>
                </c:pt>
                <c:pt idx="312">
                  <c:v>29.98</c:v>
                </c:pt>
                <c:pt idx="313">
                  <c:v>35.770000000000003</c:v>
                </c:pt>
                <c:pt idx="314">
                  <c:v>29.58</c:v>
                </c:pt>
                <c:pt idx="315">
                  <c:v>28.2</c:v>
                </c:pt>
                <c:pt idx="316">
                  <c:v>27.11</c:v>
                </c:pt>
                <c:pt idx="317">
                  <c:v>28.52</c:v>
                </c:pt>
                <c:pt idx="318">
                  <c:v>33.29</c:v>
                </c:pt>
                <c:pt idx="319">
                  <c:v>35.880000000000003</c:v>
                </c:pt>
                <c:pt idx="320">
                  <c:v>28.54</c:v>
                </c:pt>
                <c:pt idx="321">
                  <c:v>30.1</c:v>
                </c:pt>
                <c:pt idx="322">
                  <c:v>28.62</c:v>
                </c:pt>
                <c:pt idx="323">
                  <c:v>29.85</c:v>
                </c:pt>
                <c:pt idx="324">
                  <c:v>28.58</c:v>
                </c:pt>
                <c:pt idx="325">
                  <c:v>35.409999999999997</c:v>
                </c:pt>
                <c:pt idx="326">
                  <c:v>31.09</c:v>
                </c:pt>
                <c:pt idx="327">
                  <c:v>34.53</c:v>
                </c:pt>
                <c:pt idx="328">
                  <c:v>33.22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91840"/>
        <c:axId val="169564032"/>
      </c:scatterChart>
      <c:valAx>
        <c:axId val="16949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Day</a:t>
                </a:r>
              </a:p>
            </c:rich>
          </c:tx>
          <c:layout>
            <c:manualLayout>
              <c:xMode val="edge"/>
              <c:yMode val="edge"/>
              <c:x val="0.51156069364161849"/>
              <c:y val="0.85960694514766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564032"/>
        <c:crosses val="autoZero"/>
        <c:crossBetween val="midCat"/>
      </c:valAx>
      <c:valAx>
        <c:axId val="169564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kWh/t -75mic</a:t>
                </a:r>
              </a:p>
            </c:rich>
          </c:tx>
          <c:layout>
            <c:manualLayout>
              <c:xMode val="edge"/>
              <c:yMode val="edge"/>
              <c:x val="3.1791907514450865E-2"/>
              <c:y val="0.26108405783854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4918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76200</xdr:rowOff>
    </xdr:from>
    <xdr:to>
      <xdr:col>0</xdr:col>
      <xdr:colOff>0</xdr:colOff>
      <xdr:row>33</xdr:row>
      <xdr:rowOff>101600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194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120650</xdr:rowOff>
    </xdr:from>
    <xdr:to>
      <xdr:col>0</xdr:col>
      <xdr:colOff>0</xdr:colOff>
      <xdr:row>34</xdr:row>
      <xdr:rowOff>38100</xdr:rowOff>
    </xdr:to>
    <xdr:graphicFrame macro="">
      <xdr:nvGraphicFramePr>
        <xdr:cNvPr id="1946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0.59794</cdr:x>
      <cdr:y>0.08859</cdr:y>
    </cdr:from>
    <cdr:to>
      <cdr:x>0.59794</cdr:x>
      <cdr:y>0.75963</cdr:y>
    </cdr:to>
    <cdr:sp macro="" textlink="">
      <cdr:nvSpPr>
        <cdr:cNvPr id="3891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31245" y="228944"/>
          <a:ext cx="0" cy="17342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0.36421</cdr:x>
      <cdr:y>0.10684</cdr:y>
    </cdr:from>
    <cdr:to>
      <cdr:x>0.50855</cdr:x>
      <cdr:y>0.18297</cdr:y>
    </cdr:to>
    <cdr:sp macro="" textlink="">
      <cdr:nvSpPr>
        <cdr:cNvPr id="3891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02721" y="276119"/>
          <a:ext cx="635170" cy="196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Old media</a:t>
          </a:r>
        </a:p>
      </cdr:txBody>
    </cdr:sp>
  </cdr:relSizeAnchor>
  <cdr:relSizeAnchor xmlns:cdr="http://schemas.openxmlformats.org/drawingml/2006/chartDrawing">
    <cdr:from>
      <cdr:x>0.67169</cdr:x>
      <cdr:y>0.10684</cdr:y>
    </cdr:from>
    <cdr:to>
      <cdr:x>0.82751</cdr:x>
      <cdr:y>0.18297</cdr:y>
    </cdr:to>
    <cdr:sp macro="" textlink="">
      <cdr:nvSpPr>
        <cdr:cNvPr id="3891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815" y="276119"/>
          <a:ext cx="685683" cy="1967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7432" rIns="27432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AU" sz="975" b="0" i="0" u="none" strike="noStrike" baseline="0">
              <a:solidFill>
                <a:srgbClr val="000000"/>
              </a:solidFill>
              <a:latin typeface="Arial"/>
              <a:cs typeface="Arial"/>
            </a:rPr>
            <a:t>New media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0.24914</cdr:x>
      <cdr:y>0.06791</cdr:y>
    </cdr:from>
    <cdr:to>
      <cdr:x>0.79461</cdr:x>
      <cdr:y>0.91887</cdr:y>
    </cdr:to>
    <cdr:sp macro="" textlink="">
      <cdr:nvSpPr>
        <cdr:cNvPr id="2355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83515" y="178108"/>
          <a:ext cx="401796" cy="223167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120650</xdr:rowOff>
    </xdr:from>
    <xdr:to>
      <xdr:col>0</xdr:col>
      <xdr:colOff>0</xdr:colOff>
      <xdr:row>33</xdr:row>
      <xdr:rowOff>38100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0.24914</cdr:x>
      <cdr:y>0.06755</cdr:y>
    </cdr:from>
    <cdr:to>
      <cdr:x>0.7944</cdr:x>
      <cdr:y>0.91947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83515" y="178435"/>
          <a:ext cx="401638" cy="22504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31</xdr:row>
      <xdr:rowOff>38100</xdr:rowOff>
    </xdr:from>
    <xdr:ext cx="63500" cy="184150"/>
    <xdr:sp macro="" textlink="">
      <xdr:nvSpPr>
        <xdr:cNvPr id="26626" name="Text Box 2"/>
        <xdr:cNvSpPr txBox="1">
          <a:spLocks noChangeArrowheads="1"/>
        </xdr:cNvSpPr>
      </xdr:nvSpPr>
      <xdr:spPr bwMode="auto">
        <a:xfrm>
          <a:off x="3867150" y="5092700"/>
          <a:ext cx="6350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31</xdr:row>
      <xdr:rowOff>38100</xdr:rowOff>
    </xdr:from>
    <xdr:ext cx="63500" cy="184150"/>
    <xdr:sp macro="" textlink="">
      <xdr:nvSpPr>
        <xdr:cNvPr id="45057" name="Text Box 2049"/>
        <xdr:cNvSpPr txBox="1">
          <a:spLocks noChangeArrowheads="1"/>
        </xdr:cNvSpPr>
      </xdr:nvSpPr>
      <xdr:spPr bwMode="auto">
        <a:xfrm>
          <a:off x="38100" y="5111750"/>
          <a:ext cx="63500" cy="184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8</xdr:col>
      <xdr:colOff>736600</xdr:colOff>
      <xdr:row>11</xdr:row>
      <xdr:rowOff>19050</xdr:rowOff>
    </xdr:from>
    <xdr:to>
      <xdr:col>15</xdr:col>
      <xdr:colOff>323850</xdr:colOff>
      <xdr:row>27</xdr:row>
      <xdr:rowOff>0</xdr:rowOff>
    </xdr:to>
    <xdr:graphicFrame macro="">
      <xdr:nvGraphicFramePr>
        <xdr:cNvPr id="45058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0.66618</cdr:x>
      <cdr:y>0.81845</cdr:y>
    </cdr:from>
    <cdr:to>
      <cdr:x>0.81349</cdr:x>
      <cdr:y>0.87676</cdr:y>
    </cdr:to>
    <cdr:sp macro="" textlink="">
      <cdr:nvSpPr>
        <cdr:cNvPr id="46081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 rot="3776254">
          <a:off x="3764349" y="1765420"/>
          <a:ext cx="147747" cy="76422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  <cdr:relSizeAnchor xmlns:cdr="http://schemas.openxmlformats.org/drawingml/2006/chartDrawing">
    <cdr:from>
      <cdr:x>0.73702</cdr:x>
      <cdr:y>0.79253</cdr:y>
    </cdr:from>
    <cdr:to>
      <cdr:x>0.89119</cdr:x>
      <cdr:y>0.87532</cdr:y>
    </cdr:to>
    <cdr:sp macro="" textlink="">
      <cdr:nvSpPr>
        <cdr:cNvPr id="4608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3600" y="2007992"/>
          <a:ext cx="799829" cy="20976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-125+75 </a:t>
          </a:r>
          <a:r>
            <a:rPr lang="en-AU" sz="1075" b="0" i="0" u="none" strike="noStrike" baseline="0">
              <a:solidFill>
                <a:srgbClr val="000000"/>
              </a:solidFill>
              <a:latin typeface="Symbol"/>
              <a:cs typeface="Arial"/>
            </a:rPr>
            <a:t>m</a:t>
          </a:r>
          <a:r>
            <a:rPr lang="en-AU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cdr:txBody>
    </cdr:sp>
  </cdr:relSizeAnchor>
  <cdr:relSizeAnchor xmlns:cdr="http://schemas.openxmlformats.org/drawingml/2006/chartDrawing">
    <cdr:from>
      <cdr:x>0.69731</cdr:x>
      <cdr:y>0.83453</cdr:y>
    </cdr:from>
    <cdr:to>
      <cdr:x>0.81226</cdr:x>
      <cdr:y>0.91732</cdr:y>
    </cdr:to>
    <cdr:sp macro="" textlink="">
      <cdr:nvSpPr>
        <cdr:cNvPr id="46083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17603" y="2114394"/>
          <a:ext cx="596374" cy="209765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+125 </a:t>
          </a:r>
          <a:r>
            <a:rPr lang="en-AU" sz="1075" b="0" i="0" u="none" strike="noStrike" baseline="0">
              <a:solidFill>
                <a:srgbClr val="000000"/>
              </a:solidFill>
              <a:latin typeface="Symbol"/>
              <a:cs typeface="Arial"/>
            </a:rPr>
            <a:t>m</a:t>
          </a:r>
          <a:r>
            <a:rPr lang="en-AU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cdr:txBody>
    </cdr:sp>
  </cdr:relSizeAnchor>
  <cdr:relSizeAnchor xmlns:cdr="http://schemas.openxmlformats.org/drawingml/2006/chartDrawing">
    <cdr:from>
      <cdr:x>0.78506</cdr:x>
      <cdr:y>0.74765</cdr:y>
    </cdr:from>
    <cdr:to>
      <cdr:x>0.88065</cdr:x>
      <cdr:y>0.83045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2831" y="1894294"/>
          <a:ext cx="495919" cy="20976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9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27432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AU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-75 </a:t>
          </a:r>
          <a:r>
            <a:rPr lang="en-AU" sz="1075" b="0" i="0" u="none" strike="noStrike" baseline="0">
              <a:solidFill>
                <a:srgbClr val="000000"/>
              </a:solidFill>
              <a:latin typeface="Symbol"/>
              <a:cs typeface="Arial"/>
            </a:rPr>
            <a:t>m</a:t>
          </a:r>
          <a:r>
            <a:rPr lang="en-AU" sz="1075" b="0" i="0" u="none" strike="noStrike" baseline="0">
              <a:solidFill>
                <a:srgbClr val="000000"/>
              </a:solidFill>
              <a:latin typeface="Arial"/>
              <a:cs typeface="Arial"/>
            </a:rPr>
            <a:t>m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20</xdr:row>
      <xdr:rowOff>152400</xdr:rowOff>
    </xdr:from>
    <xdr:to>
      <xdr:col>9</xdr:col>
      <xdr:colOff>501650</xdr:colOff>
      <xdr:row>35</xdr:row>
      <xdr:rowOff>114300</xdr:rowOff>
    </xdr:to>
    <xdr:graphicFrame macro="">
      <xdr:nvGraphicFramePr>
        <xdr:cNvPr id="358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</xdr:row>
      <xdr:rowOff>57150</xdr:rowOff>
    </xdr:from>
    <xdr:to>
      <xdr:col>18</xdr:col>
      <xdr:colOff>203200</xdr:colOff>
      <xdr:row>18</xdr:row>
      <xdr:rowOff>82550</xdr:rowOff>
    </xdr:to>
    <xdr:graphicFrame macro="">
      <xdr:nvGraphicFramePr>
        <xdr:cNvPr id="36866" name="Chart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workbookViewId="0">
      <selection activeCell="C14" sqref="C14"/>
    </sheetView>
  </sheetViews>
  <sheetFormatPr defaultRowHeight="12.5" x14ac:dyDescent="0.25"/>
  <sheetData>
    <row r="1" spans="2:5" ht="13" x14ac:dyDescent="0.3">
      <c r="B1" s="2" t="s">
        <v>0</v>
      </c>
      <c r="D1" s="1" t="s">
        <v>1</v>
      </c>
      <c r="E1">
        <f>AVERAGE(B:B)</f>
        <v>55.955000000000005</v>
      </c>
    </row>
    <row r="2" spans="2:5" ht="13" x14ac:dyDescent="0.3">
      <c r="B2" s="4">
        <v>56</v>
      </c>
      <c r="D2" s="1" t="s">
        <v>2</v>
      </c>
      <c r="E2">
        <f>STDEV(B:B)</f>
        <v>0.31503968004046651</v>
      </c>
    </row>
    <row r="3" spans="2:5" ht="13" x14ac:dyDescent="0.3">
      <c r="B3" s="4">
        <v>55.74</v>
      </c>
      <c r="D3" s="1" t="s">
        <v>3</v>
      </c>
      <c r="E3">
        <f>COUNT(B:B)</f>
        <v>10</v>
      </c>
    </row>
    <row r="4" spans="2:5" ht="13" x14ac:dyDescent="0.3">
      <c r="B4" s="4">
        <v>56.37</v>
      </c>
      <c r="D4" s="1"/>
    </row>
    <row r="5" spans="2:5" ht="13" x14ac:dyDescent="0.3">
      <c r="B5" s="4">
        <v>56.35</v>
      </c>
      <c r="D5" s="1" t="s">
        <v>4</v>
      </c>
      <c r="E5">
        <v>55.29</v>
      </c>
    </row>
    <row r="6" spans="2:5" ht="13" x14ac:dyDescent="0.3">
      <c r="B6" s="4">
        <v>56.05</v>
      </c>
      <c r="D6" s="1" t="s">
        <v>5</v>
      </c>
      <c r="E6">
        <f>(E1-E5)/(E2/SQRT(E3))</f>
        <v>6.6750786559390711</v>
      </c>
    </row>
    <row r="7" spans="2:5" ht="13" x14ac:dyDescent="0.3">
      <c r="B7" s="4">
        <v>56.17</v>
      </c>
      <c r="D7" s="1" t="s">
        <v>6</v>
      </c>
      <c r="E7">
        <f>TDIST(E6,E3-1,2)</f>
        <v>9.1089021779393998E-5</v>
      </c>
    </row>
    <row r="8" spans="2:5" x14ac:dyDescent="0.25">
      <c r="B8" s="4">
        <v>55.79</v>
      </c>
    </row>
    <row r="9" spans="2:5" x14ac:dyDescent="0.25">
      <c r="B9" s="4">
        <v>55.95</v>
      </c>
    </row>
    <row r="10" spans="2:5" x14ac:dyDescent="0.25">
      <c r="B10" s="4">
        <v>55.31</v>
      </c>
    </row>
    <row r="11" spans="2:5" x14ac:dyDescent="0.25">
      <c r="B11" s="4">
        <v>55.82</v>
      </c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5" sqref="B15"/>
    </sheetView>
  </sheetViews>
  <sheetFormatPr defaultRowHeight="12.5" x14ac:dyDescent="0.25"/>
  <cols>
    <col min="2" max="2" width="18" customWidth="1"/>
  </cols>
  <sheetData>
    <row r="1" spans="2:3" ht="13" x14ac:dyDescent="0.3">
      <c r="B1" s="13" t="s">
        <v>182</v>
      </c>
    </row>
    <row r="2" spans="2:3" ht="13" x14ac:dyDescent="0.3">
      <c r="B2" s="13" t="s">
        <v>60</v>
      </c>
    </row>
    <row r="4" spans="2:3" ht="13" x14ac:dyDescent="0.3">
      <c r="B4" s="1" t="s">
        <v>57</v>
      </c>
      <c r="C4">
        <v>10</v>
      </c>
    </row>
    <row r="5" spans="2:3" ht="13" x14ac:dyDescent="0.3">
      <c r="B5" s="1" t="s">
        <v>58</v>
      </c>
      <c r="C5">
        <v>0.2</v>
      </c>
    </row>
    <row r="6" spans="2:3" ht="13" x14ac:dyDescent="0.3">
      <c r="B6" s="1" t="s">
        <v>31</v>
      </c>
      <c r="C6">
        <v>0.43</v>
      </c>
    </row>
    <row r="7" spans="2:3" ht="13" x14ac:dyDescent="0.3">
      <c r="B7" s="1" t="s">
        <v>59</v>
      </c>
      <c r="C7">
        <v>0.05</v>
      </c>
    </row>
    <row r="8" spans="2:3" ht="13" x14ac:dyDescent="0.3">
      <c r="B8" s="1" t="s">
        <v>189</v>
      </c>
      <c r="C8">
        <f>TINV(C7,2*(C4-1))</f>
        <v>2.1009220402410378</v>
      </c>
    </row>
    <row r="9" spans="2:3" ht="13" x14ac:dyDescent="0.3">
      <c r="B9" s="1" t="s">
        <v>54</v>
      </c>
      <c r="C9">
        <f>(SQRT(C4/2)*(C5/C6)-C8)</f>
        <v>-1.060890422799275</v>
      </c>
    </row>
    <row r="10" spans="2:3" ht="13" x14ac:dyDescent="0.3">
      <c r="B10" s="1" t="s">
        <v>55</v>
      </c>
      <c r="C10">
        <f>IF(C9&lt;0,1-TDIST(-C9,2*(C4-1),1),TDIST(C9,2*(C4-1),1))</f>
        <v>0.84861608579866299</v>
      </c>
    </row>
    <row r="11" spans="2:3" ht="13" x14ac:dyDescent="0.3">
      <c r="B11" s="1" t="s">
        <v>56</v>
      </c>
      <c r="C11">
        <f>(1-C10)</f>
        <v>0.15138391420133701</v>
      </c>
    </row>
    <row r="13" spans="2:3" ht="13" x14ac:dyDescent="0.3">
      <c r="B13" s="13"/>
    </row>
    <row r="14" spans="2:3" ht="13" x14ac:dyDescent="0.3">
      <c r="B14" s="13"/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>
      <selection activeCell="A2" sqref="A2"/>
    </sheetView>
  </sheetViews>
  <sheetFormatPr defaultRowHeight="12.5" x14ac:dyDescent="0.25"/>
  <cols>
    <col min="2" max="2" width="12.453125" bestFit="1" customWidth="1"/>
    <col min="5" max="5" width="20.453125" customWidth="1"/>
  </cols>
  <sheetData>
    <row r="1" spans="2:12" ht="13" x14ac:dyDescent="0.3">
      <c r="B1" s="32"/>
    </row>
    <row r="2" spans="2:12" ht="13" x14ac:dyDescent="0.3">
      <c r="B2" s="92" t="s">
        <v>26</v>
      </c>
      <c r="C2" s="92"/>
      <c r="E2" t="s">
        <v>20</v>
      </c>
      <c r="J2" s="1" t="s">
        <v>190</v>
      </c>
    </row>
    <row r="3" spans="2:12" ht="13.5" thickBot="1" x14ac:dyDescent="0.35">
      <c r="B3" s="14" t="s">
        <v>24</v>
      </c>
      <c r="C3" s="14" t="s">
        <v>25</v>
      </c>
      <c r="E3" s="15"/>
      <c r="K3" s="19" t="s">
        <v>29</v>
      </c>
      <c r="L3">
        <f>TINV(0.05,F7-1+G7-1)</f>
        <v>2.1009220402410378</v>
      </c>
    </row>
    <row r="4" spans="2:12" ht="13" x14ac:dyDescent="0.3">
      <c r="B4" s="4">
        <v>24.151921656448394</v>
      </c>
      <c r="C4" s="4">
        <v>24.463730535656214</v>
      </c>
      <c r="E4" s="7"/>
      <c r="F4" s="16" t="s">
        <v>24</v>
      </c>
      <c r="G4" s="16" t="s">
        <v>25</v>
      </c>
      <c r="H4" t="s">
        <v>134</v>
      </c>
      <c r="K4" s="19" t="s">
        <v>31</v>
      </c>
      <c r="L4">
        <f>SQRT(F8)</f>
        <v>0.42953909673165419</v>
      </c>
    </row>
    <row r="5" spans="2:12" x14ac:dyDescent="0.25">
      <c r="B5" s="4">
        <v>24.715827698310022</v>
      </c>
      <c r="C5" s="4">
        <v>24.99643499753147</v>
      </c>
      <c r="E5" s="5" t="s">
        <v>1</v>
      </c>
      <c r="F5" s="5">
        <v>24.908508539192553</v>
      </c>
      <c r="G5" s="5">
        <v>25.24061788584077</v>
      </c>
      <c r="H5">
        <f>G5-F5</f>
        <v>0.33210934664821679</v>
      </c>
      <c r="K5" s="19" t="s">
        <v>32</v>
      </c>
      <c r="L5">
        <f>SQRT(1/F7+1/G7)</f>
        <v>0.44721359549995793</v>
      </c>
    </row>
    <row r="6" spans="2:12" x14ac:dyDescent="0.25">
      <c r="B6" s="4">
        <v>24.736842482889188</v>
      </c>
      <c r="C6" s="4">
        <v>25.581203028862365</v>
      </c>
      <c r="E6" s="5" t="s">
        <v>8</v>
      </c>
      <c r="F6" s="5">
        <v>0.15939847945406249</v>
      </c>
      <c r="G6" s="5">
        <v>0.2096091917880282</v>
      </c>
      <c r="K6" s="19" t="s">
        <v>34</v>
      </c>
      <c r="L6">
        <f>L3*L4*L5</f>
        <v>0.40357814008757892</v>
      </c>
    </row>
    <row r="7" spans="2:12" x14ac:dyDescent="0.25">
      <c r="B7" s="4">
        <v>25.362630544259446</v>
      </c>
      <c r="C7" s="4">
        <v>24.897150235786103</v>
      </c>
      <c r="E7" s="5" t="s">
        <v>9</v>
      </c>
      <c r="F7" s="5">
        <v>10</v>
      </c>
      <c r="G7" s="5">
        <v>10</v>
      </c>
    </row>
    <row r="8" spans="2:12" x14ac:dyDescent="0.25">
      <c r="B8" s="4">
        <v>24.499267232749844</v>
      </c>
      <c r="C8" s="4">
        <v>26.021072865417228</v>
      </c>
      <c r="E8" s="5" t="s">
        <v>21</v>
      </c>
      <c r="F8" s="5">
        <v>0.18450383562104536</v>
      </c>
      <c r="G8" s="5"/>
    </row>
    <row r="9" spans="2:12" x14ac:dyDescent="0.25">
      <c r="B9" s="4">
        <v>25.250412426794355</v>
      </c>
      <c r="C9" s="4">
        <v>24.998609599363409</v>
      </c>
      <c r="E9" s="5" t="s">
        <v>22</v>
      </c>
      <c r="F9" s="5">
        <v>0</v>
      </c>
      <c r="G9" s="5"/>
    </row>
    <row r="10" spans="2:12" x14ac:dyDescent="0.25">
      <c r="B10" s="4">
        <v>24.920202753855847</v>
      </c>
      <c r="C10" s="4">
        <v>25.440372321766336</v>
      </c>
      <c r="E10" s="5" t="s">
        <v>12</v>
      </c>
      <c r="F10" s="5">
        <v>18</v>
      </c>
      <c r="G10" s="5"/>
    </row>
    <row r="11" spans="2:12" x14ac:dyDescent="0.25">
      <c r="B11" s="4">
        <v>25.408402229368221</v>
      </c>
      <c r="C11" s="4">
        <v>25.411785311673885</v>
      </c>
      <c r="E11" s="5" t="s">
        <v>13</v>
      </c>
      <c r="F11" s="5">
        <v>-1.7288742298873687</v>
      </c>
      <c r="G11" s="5"/>
    </row>
    <row r="12" spans="2:12" x14ac:dyDescent="0.25">
      <c r="B12" s="4">
        <v>24.896974827606755</v>
      </c>
      <c r="C12" s="4">
        <v>25.648546791428817</v>
      </c>
      <c r="E12" s="5" t="s">
        <v>14</v>
      </c>
      <c r="F12" s="5">
        <v>5.0472495394398617E-2</v>
      </c>
      <c r="G12" s="5"/>
    </row>
    <row r="13" spans="2:12" x14ac:dyDescent="0.25">
      <c r="B13" s="4">
        <v>25.14260353964346</v>
      </c>
      <c r="C13" s="4">
        <v>24.947273170921836</v>
      </c>
      <c r="E13" s="5" t="s">
        <v>15</v>
      </c>
      <c r="F13" s="5">
        <v>1.7340635923093939</v>
      </c>
      <c r="G13" s="5"/>
    </row>
    <row r="14" spans="2:12" x14ac:dyDescent="0.25">
      <c r="E14" s="12" t="s">
        <v>16</v>
      </c>
      <c r="F14" s="12">
        <v>0.10094499078879723</v>
      </c>
      <c r="G14" s="5"/>
    </row>
    <row r="15" spans="2:12" ht="13" thickBot="1" x14ac:dyDescent="0.3">
      <c r="E15" s="6" t="s">
        <v>17</v>
      </c>
      <c r="F15" s="6">
        <v>2.1009220368611805</v>
      </c>
      <c r="G15" s="6"/>
    </row>
  </sheetData>
  <mergeCells count="1">
    <mergeCell ref="B2:C2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workbookViewId="0">
      <selection activeCell="B13" sqref="B13"/>
    </sheetView>
  </sheetViews>
  <sheetFormatPr defaultRowHeight="12.5" x14ac:dyDescent="0.25"/>
  <cols>
    <col min="5" max="5" width="14.81640625" customWidth="1"/>
  </cols>
  <sheetData>
    <row r="2" spans="1:7" ht="13" x14ac:dyDescent="0.3">
      <c r="B2" s="2" t="s">
        <v>64</v>
      </c>
      <c r="C2" s="2" t="s">
        <v>65</v>
      </c>
      <c r="E2" t="s">
        <v>61</v>
      </c>
    </row>
    <row r="3" spans="1:7" ht="13" thickBot="1" x14ac:dyDescent="0.3">
      <c r="B3" s="3">
        <v>27.43</v>
      </c>
      <c r="C3" s="3">
        <v>27.01</v>
      </c>
    </row>
    <row r="4" spans="1:7" ht="13" x14ac:dyDescent="0.3">
      <c r="B4" s="3">
        <v>27.63</v>
      </c>
      <c r="C4" s="3">
        <v>26.91</v>
      </c>
      <c r="E4" s="7"/>
      <c r="F4" s="7" t="s">
        <v>64</v>
      </c>
      <c r="G4" s="7" t="s">
        <v>65</v>
      </c>
    </row>
    <row r="5" spans="1:7" x14ac:dyDescent="0.25">
      <c r="B5" s="3">
        <v>27.36</v>
      </c>
      <c r="C5" s="3">
        <v>27.11</v>
      </c>
      <c r="E5" s="5" t="s">
        <v>1</v>
      </c>
      <c r="F5" s="5">
        <v>27.526666666666667</v>
      </c>
      <c r="G5" s="5">
        <v>26.995000000000001</v>
      </c>
    </row>
    <row r="6" spans="1:7" x14ac:dyDescent="0.25">
      <c r="B6" s="3">
        <v>27.55</v>
      </c>
      <c r="C6" s="3">
        <v>26.95</v>
      </c>
      <c r="E6" s="5" t="s">
        <v>8</v>
      </c>
      <c r="F6" s="5">
        <v>7.0826666666653187E-2</v>
      </c>
      <c r="G6" s="5">
        <v>7.5666666666666521E-3</v>
      </c>
    </row>
    <row r="7" spans="1:7" x14ac:dyDescent="0.25">
      <c r="B7" s="3">
        <v>27.98</v>
      </c>
      <c r="C7" s="3"/>
      <c r="E7" s="5" t="s">
        <v>9</v>
      </c>
      <c r="F7" s="5">
        <v>6</v>
      </c>
      <c r="G7" s="5">
        <v>4</v>
      </c>
    </row>
    <row r="8" spans="1:7" x14ac:dyDescent="0.25">
      <c r="B8" s="3">
        <v>27.21</v>
      </c>
      <c r="C8" s="3"/>
      <c r="E8" s="5" t="s">
        <v>12</v>
      </c>
      <c r="F8" s="5">
        <v>5</v>
      </c>
      <c r="G8" s="5">
        <v>3</v>
      </c>
    </row>
    <row r="9" spans="1:7" x14ac:dyDescent="0.25">
      <c r="E9" s="5" t="s">
        <v>45</v>
      </c>
      <c r="F9" s="5">
        <v>9.3603524229057253</v>
      </c>
      <c r="G9" s="5"/>
    </row>
    <row r="10" spans="1:7" x14ac:dyDescent="0.25">
      <c r="B10" s="3"/>
      <c r="C10" s="3"/>
      <c r="E10" s="5" t="s">
        <v>62</v>
      </c>
      <c r="F10" s="12">
        <v>4.7506819277202426E-2</v>
      </c>
      <c r="G10" s="5"/>
    </row>
    <row r="11" spans="1:7" ht="13" thickBot="1" x14ac:dyDescent="0.3">
      <c r="A11" t="s">
        <v>38</v>
      </c>
      <c r="B11" s="3">
        <f>VAR(B3:B8)</f>
        <v>7.0826666666666649E-2</v>
      </c>
      <c r="C11" s="3">
        <f>VAR(C3:C8)</f>
        <v>7.5666666666666521E-3</v>
      </c>
      <c r="E11" s="6" t="s">
        <v>63</v>
      </c>
      <c r="F11" s="6">
        <v>9.0134551675929124</v>
      </c>
      <c r="G11" s="6"/>
    </row>
    <row r="13" spans="1:7" x14ac:dyDescent="0.25">
      <c r="A13" t="s">
        <v>66</v>
      </c>
      <c r="B13">
        <f>FDIST(B11/C11,5,3)</f>
        <v>4.7506819276570376E-2</v>
      </c>
      <c r="E13" t="s">
        <v>67</v>
      </c>
    </row>
    <row r="14" spans="1:7" x14ac:dyDescent="0.25">
      <c r="E14" t="s">
        <v>68</v>
      </c>
    </row>
    <row r="15" spans="1:7" x14ac:dyDescent="0.25">
      <c r="E15" t="s">
        <v>69</v>
      </c>
      <c r="F15">
        <f>(F6/F7+G6/G7)^2/((1/(F7-1)*(F6/F7)^2+(1/(G7-1))*(G6/G7)^2))</f>
        <v>6.454643949379947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9" sqref="G9"/>
    </sheetView>
  </sheetViews>
  <sheetFormatPr defaultRowHeight="12.5" x14ac:dyDescent="0.25"/>
  <cols>
    <col min="2" max="2" width="11.7265625" customWidth="1"/>
    <col min="3" max="3" width="9.1796875" style="3" customWidth="1"/>
    <col min="6" max="6" width="11.7265625" customWidth="1"/>
  </cols>
  <sheetData>
    <row r="2" spans="2:7" ht="13" x14ac:dyDescent="0.3">
      <c r="B2" s="13" t="s">
        <v>191</v>
      </c>
      <c r="F2" s="13" t="s">
        <v>198</v>
      </c>
    </row>
    <row r="3" spans="2:7" ht="13" x14ac:dyDescent="0.3">
      <c r="F3" s="13"/>
    </row>
    <row r="4" spans="2:7" x14ac:dyDescent="0.25">
      <c r="B4" t="s">
        <v>194</v>
      </c>
      <c r="C4" s="3">
        <v>12.961</v>
      </c>
      <c r="F4" t="s">
        <v>194</v>
      </c>
      <c r="G4" s="3">
        <v>14889</v>
      </c>
    </row>
    <row r="5" spans="2:7" x14ac:dyDescent="0.25">
      <c r="B5" t="s">
        <v>195</v>
      </c>
      <c r="C5" s="3">
        <v>7.1070000000000002</v>
      </c>
      <c r="F5" t="s">
        <v>195</v>
      </c>
      <c r="G5" s="3">
        <v>1800</v>
      </c>
    </row>
    <row r="6" spans="2:7" x14ac:dyDescent="0.25">
      <c r="B6" t="s">
        <v>192</v>
      </c>
      <c r="C6" s="3">
        <f>C4/C5</f>
        <v>1.8236949486421838</v>
      </c>
      <c r="F6" t="s">
        <v>192</v>
      </c>
      <c r="G6" s="3">
        <f>G4/G5</f>
        <v>8.2716666666666665</v>
      </c>
    </row>
    <row r="7" spans="2:7" x14ac:dyDescent="0.25">
      <c r="B7" t="s">
        <v>196</v>
      </c>
      <c r="C7" s="3">
        <v>3</v>
      </c>
      <c r="F7" t="s">
        <v>196</v>
      </c>
      <c r="G7" s="3">
        <v>15</v>
      </c>
    </row>
    <row r="8" spans="2:7" x14ac:dyDescent="0.25">
      <c r="B8" t="s">
        <v>197</v>
      </c>
      <c r="C8" s="3">
        <v>4</v>
      </c>
      <c r="F8" t="s">
        <v>197</v>
      </c>
      <c r="G8" s="3">
        <v>15</v>
      </c>
    </row>
    <row r="9" spans="2:7" x14ac:dyDescent="0.25">
      <c r="B9" t="s">
        <v>193</v>
      </c>
      <c r="C9" s="3">
        <f>FDIST(C6,C7-1,C8-1)</f>
        <v>0.30318321432978995</v>
      </c>
      <c r="F9" t="s">
        <v>193</v>
      </c>
      <c r="G9" s="3">
        <f>FDIST(G6,G7-1,G8-1)</f>
        <v>1.611596554525181E-4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/>
  </sheetViews>
  <sheetFormatPr defaultRowHeight="13" x14ac:dyDescent="0.3"/>
  <cols>
    <col min="2" max="2" width="21.81640625" style="1" bestFit="1" customWidth="1"/>
  </cols>
  <sheetData>
    <row r="2" spans="2:3" x14ac:dyDescent="0.3">
      <c r="B2" s="1" t="s">
        <v>199</v>
      </c>
      <c r="C2">
        <v>7.0800000000000002E-2</v>
      </c>
    </row>
    <row r="3" spans="2:3" x14ac:dyDescent="0.3">
      <c r="B3" s="1" t="s">
        <v>57</v>
      </c>
      <c r="C3">
        <v>6</v>
      </c>
    </row>
    <row r="4" spans="2:3" x14ac:dyDescent="0.3">
      <c r="B4" s="1" t="s">
        <v>200</v>
      </c>
      <c r="C4">
        <f>CHIINV(0.05,C3-1)</f>
        <v>11.070497693516353</v>
      </c>
    </row>
    <row r="5" spans="2:3" x14ac:dyDescent="0.3">
      <c r="B5" s="1" t="s">
        <v>201</v>
      </c>
      <c r="C5">
        <f>CHIINV(0.95,C3-1)</f>
        <v>1.1454762260617699</v>
      </c>
    </row>
    <row r="6" spans="2:3" x14ac:dyDescent="0.3">
      <c r="B6" s="1" t="s">
        <v>202</v>
      </c>
      <c r="C6">
        <f>C2*(C3-1)/C4</f>
        <v>3.1976882142103404E-2</v>
      </c>
    </row>
    <row r="7" spans="2:3" x14ac:dyDescent="0.3">
      <c r="B7" s="1" t="s">
        <v>203</v>
      </c>
      <c r="C7">
        <f>C2*(C3-1)/C5</f>
        <v>0.30904176965512203</v>
      </c>
    </row>
  </sheetData>
  <phoneticPr fontId="2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workbookViewId="0">
      <selection activeCell="C11" sqref="C11"/>
    </sheetView>
  </sheetViews>
  <sheetFormatPr defaultRowHeight="12.5" x14ac:dyDescent="0.25"/>
  <cols>
    <col min="3" max="4" width="13.1796875" style="3" bestFit="1" customWidth="1"/>
    <col min="6" max="6" width="18.81640625" bestFit="1" customWidth="1"/>
    <col min="7" max="7" width="16.7265625" style="58" bestFit="1" customWidth="1"/>
    <col min="8" max="8" width="19.7265625" bestFit="1" customWidth="1"/>
    <col min="9" max="9" width="13.26953125" style="3" bestFit="1" customWidth="1"/>
    <col min="10" max="10" width="8.54296875" style="3" customWidth="1"/>
    <col min="11" max="11" width="8.81640625" style="3" customWidth="1"/>
  </cols>
  <sheetData>
    <row r="2" spans="2:11" ht="13" x14ac:dyDescent="0.3">
      <c r="C2" s="2" t="s">
        <v>204</v>
      </c>
      <c r="D2" s="2" t="s">
        <v>205</v>
      </c>
      <c r="F2" s="1" t="s">
        <v>41</v>
      </c>
    </row>
    <row r="3" spans="2:11" ht="13" x14ac:dyDescent="0.3">
      <c r="C3" s="34">
        <v>12.9</v>
      </c>
      <c r="D3" s="34">
        <v>12.5</v>
      </c>
      <c r="F3" s="2" t="s">
        <v>76</v>
      </c>
      <c r="G3" s="78" t="s">
        <v>206</v>
      </c>
      <c r="H3" s="2" t="s">
        <v>207</v>
      </c>
      <c r="I3" s="2" t="s">
        <v>208</v>
      </c>
      <c r="J3" s="2" t="s">
        <v>45</v>
      </c>
      <c r="K3" s="2" t="s">
        <v>209</v>
      </c>
    </row>
    <row r="4" spans="2:11" x14ac:dyDescent="0.25">
      <c r="C4" s="34">
        <v>11</v>
      </c>
      <c r="D4" s="34">
        <v>14.2</v>
      </c>
      <c r="F4" t="s">
        <v>210</v>
      </c>
      <c r="G4" s="58">
        <f>COUNT(C3:C7)*(C9-C10)^2+COUNT(D3:D7)*(D9-C10)^2</f>
        <v>3.502083333333327</v>
      </c>
      <c r="H4" s="47">
        <f>COUNT(C9:D9)-1</f>
        <v>1</v>
      </c>
      <c r="I4" s="58">
        <f>G4/H4</f>
        <v>3.502083333333327</v>
      </c>
      <c r="J4" s="58">
        <f>I4/I5</f>
        <v>4.1472039473684132</v>
      </c>
      <c r="K4" s="58">
        <f>FDIST(J4,H4,H5)</f>
        <v>8.7873072352182988E-2</v>
      </c>
    </row>
    <row r="5" spans="2:11" x14ac:dyDescent="0.25">
      <c r="C5" s="34">
        <v>13.1</v>
      </c>
      <c r="D5" s="34">
        <v>13.5</v>
      </c>
      <c r="F5" t="s">
        <v>211</v>
      </c>
      <c r="G5" s="58">
        <f>(C3-C9)^2+(C4-C9)^2+(C5-C9)^2+(D3-D9)^2+(D4-D9)^2+(D5-D9)^2+(D6-D9)^2+(D7-D9)^2</f>
        <v>5.0666666666666673</v>
      </c>
      <c r="H5" s="47">
        <f>H6-H4</f>
        <v>6</v>
      </c>
      <c r="I5" s="58">
        <f>G5/H5</f>
        <v>0.84444444444444455</v>
      </c>
      <c r="J5" s="58" t="s">
        <v>112</v>
      </c>
      <c r="K5" s="58" t="s">
        <v>112</v>
      </c>
    </row>
    <row r="6" spans="2:11" x14ac:dyDescent="0.25">
      <c r="C6" s="34"/>
      <c r="D6" s="34">
        <v>13.8</v>
      </c>
      <c r="F6" t="s">
        <v>42</v>
      </c>
      <c r="G6" s="58">
        <f>G4+G5</f>
        <v>8.5687499999999943</v>
      </c>
      <c r="H6" s="47">
        <f>COUNT(C3:D7)-1</f>
        <v>7</v>
      </c>
      <c r="I6" s="3" t="s">
        <v>112</v>
      </c>
      <c r="J6" s="3" t="s">
        <v>112</v>
      </c>
      <c r="K6" s="3" t="s">
        <v>112</v>
      </c>
    </row>
    <row r="7" spans="2:11" x14ac:dyDescent="0.25">
      <c r="C7" s="34"/>
      <c r="D7" s="34">
        <v>14.5</v>
      </c>
    </row>
    <row r="9" spans="2:11" x14ac:dyDescent="0.25">
      <c r="B9" s="19" t="s">
        <v>213</v>
      </c>
      <c r="C9" s="34">
        <f>AVERAGE(C3:C7)</f>
        <v>12.333333333333334</v>
      </c>
      <c r="D9" s="34">
        <f>AVERAGE(D3:D7)</f>
        <v>13.7</v>
      </c>
    </row>
    <row r="10" spans="2:11" x14ac:dyDescent="0.25">
      <c r="B10" s="19" t="s">
        <v>212</v>
      </c>
      <c r="C10" s="34">
        <f>AVERAGE(C3:D7)</f>
        <v>13.187499999999998</v>
      </c>
    </row>
    <row r="11" spans="2:11" x14ac:dyDescent="0.25">
      <c r="B11" s="19"/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0"/>
  <sheetViews>
    <sheetView workbookViewId="0">
      <selection activeCell="O37" sqref="O37"/>
    </sheetView>
  </sheetViews>
  <sheetFormatPr defaultRowHeight="12.5" x14ac:dyDescent="0.25"/>
  <cols>
    <col min="10" max="10" width="16.54296875" customWidth="1"/>
  </cols>
  <sheetData>
    <row r="2" spans="2:16" ht="13" x14ac:dyDescent="0.3">
      <c r="B2" s="2" t="s">
        <v>80</v>
      </c>
      <c r="C2" s="2" t="s">
        <v>81</v>
      </c>
      <c r="D2" s="2" t="s">
        <v>82</v>
      </c>
      <c r="E2" s="2" t="s">
        <v>83</v>
      </c>
      <c r="F2" s="2" t="s">
        <v>84</v>
      </c>
      <c r="G2" s="2" t="s">
        <v>45</v>
      </c>
      <c r="H2" s="2" t="s">
        <v>85</v>
      </c>
      <c r="J2" t="s">
        <v>70</v>
      </c>
    </row>
    <row r="3" spans="2:16" x14ac:dyDescent="0.25">
      <c r="B3" s="34">
        <v>90.2</v>
      </c>
      <c r="C3" s="34">
        <v>90.8</v>
      </c>
      <c r="D3" s="34">
        <v>87</v>
      </c>
      <c r="E3" s="34">
        <v>84.4</v>
      </c>
      <c r="F3" s="34">
        <v>91.6</v>
      </c>
      <c r="G3" s="34">
        <v>88.3</v>
      </c>
      <c r="H3" s="34">
        <v>83.8</v>
      </c>
    </row>
    <row r="4" spans="2:16" ht="13" thickBot="1" x14ac:dyDescent="0.3">
      <c r="B4" s="34">
        <v>90.4</v>
      </c>
      <c r="C4" s="34">
        <v>91.3</v>
      </c>
      <c r="D4" s="34">
        <v>87.1</v>
      </c>
      <c r="E4" s="34">
        <v>79.8</v>
      </c>
      <c r="F4" s="34">
        <v>89.8</v>
      </c>
      <c r="G4" s="34">
        <v>91.5</v>
      </c>
      <c r="H4" s="34">
        <v>90</v>
      </c>
      <c r="J4" t="s">
        <v>71</v>
      </c>
    </row>
    <row r="5" spans="2:16" ht="13" x14ac:dyDescent="0.3">
      <c r="B5" s="34">
        <v>88.3</v>
      </c>
      <c r="C5" s="34">
        <v>93.8</v>
      </c>
      <c r="D5" s="34">
        <v>91.1</v>
      </c>
      <c r="E5" s="34">
        <v>74.099999999999994</v>
      </c>
      <c r="F5" s="34">
        <v>89.8</v>
      </c>
      <c r="G5" s="34">
        <v>91.9</v>
      </c>
      <c r="H5" s="34">
        <v>91.3</v>
      </c>
      <c r="J5" s="7" t="s">
        <v>72</v>
      </c>
      <c r="K5" s="7" t="s">
        <v>73</v>
      </c>
      <c r="L5" s="7" t="s">
        <v>74</v>
      </c>
      <c r="M5" s="7" t="s">
        <v>75</v>
      </c>
      <c r="N5" s="7" t="s">
        <v>8</v>
      </c>
    </row>
    <row r="6" spans="2:16" x14ac:dyDescent="0.25">
      <c r="B6" s="34"/>
      <c r="C6" s="34"/>
      <c r="D6" s="34"/>
      <c r="E6" s="34"/>
      <c r="F6" s="34">
        <v>91.5</v>
      </c>
      <c r="G6" s="34"/>
      <c r="H6" s="34">
        <v>91.4</v>
      </c>
      <c r="J6" s="35" t="s">
        <v>80</v>
      </c>
      <c r="K6" s="35">
        <v>3</v>
      </c>
      <c r="L6" s="35">
        <v>268.89999999999998</v>
      </c>
      <c r="M6" s="5">
        <v>89.63333333333334</v>
      </c>
      <c r="N6" s="5">
        <v>1.34333333333052</v>
      </c>
    </row>
    <row r="7" spans="2:16" x14ac:dyDescent="0.25">
      <c r="J7" s="35" t="s">
        <v>81</v>
      </c>
      <c r="K7" s="35">
        <v>3</v>
      </c>
      <c r="L7" s="35">
        <v>275.89999999999998</v>
      </c>
      <c r="M7" s="5">
        <v>91.966666666666654</v>
      </c>
      <c r="N7" s="5">
        <v>2.5833333333339397</v>
      </c>
    </row>
    <row r="8" spans="2:16" x14ac:dyDescent="0.25">
      <c r="J8" s="35" t="s">
        <v>82</v>
      </c>
      <c r="K8" s="35">
        <v>3</v>
      </c>
      <c r="L8" s="35">
        <v>265.2</v>
      </c>
      <c r="M8" s="5">
        <v>88.4</v>
      </c>
      <c r="N8" s="5">
        <v>5.4700000000011642</v>
      </c>
    </row>
    <row r="9" spans="2:16" x14ac:dyDescent="0.25">
      <c r="J9" s="35" t="s">
        <v>83</v>
      </c>
      <c r="K9" s="35">
        <v>3</v>
      </c>
      <c r="L9" s="35">
        <v>238.3</v>
      </c>
      <c r="M9" s="5">
        <v>79.433333333333323</v>
      </c>
      <c r="N9" s="5">
        <v>26.623333333334813</v>
      </c>
    </row>
    <row r="10" spans="2:16" x14ac:dyDescent="0.25">
      <c r="J10" s="35" t="s">
        <v>84</v>
      </c>
      <c r="K10" s="35">
        <v>4</v>
      </c>
      <c r="L10" s="35">
        <v>362.7</v>
      </c>
      <c r="M10" s="5">
        <v>90.674999999999997</v>
      </c>
      <c r="N10" s="5">
        <v>1.0225000000015523</v>
      </c>
    </row>
    <row r="11" spans="2:16" x14ac:dyDescent="0.25">
      <c r="J11" s="35" t="s">
        <v>45</v>
      </c>
      <c r="K11" s="35">
        <v>3</v>
      </c>
      <c r="L11" s="35">
        <v>271.7</v>
      </c>
      <c r="M11" s="5">
        <v>90.566666666666677</v>
      </c>
      <c r="N11" s="5">
        <v>3.8933333333279734</v>
      </c>
    </row>
    <row r="12" spans="2:16" ht="13" thickBot="1" x14ac:dyDescent="0.3">
      <c r="J12" s="36" t="s">
        <v>85</v>
      </c>
      <c r="K12" s="36">
        <v>4</v>
      </c>
      <c r="L12" s="36">
        <v>356.5</v>
      </c>
      <c r="M12" s="6">
        <v>89.125</v>
      </c>
      <c r="N12" s="6">
        <v>13.009166666665502</v>
      </c>
    </row>
    <row r="15" spans="2:16" ht="13" thickBot="1" x14ac:dyDescent="0.3">
      <c r="J15" t="s">
        <v>41</v>
      </c>
    </row>
    <row r="16" spans="2:16" ht="13" x14ac:dyDescent="0.3">
      <c r="J16" s="7" t="s">
        <v>76</v>
      </c>
      <c r="K16" s="7" t="s">
        <v>43</v>
      </c>
      <c r="L16" s="7" t="s">
        <v>12</v>
      </c>
      <c r="M16" s="7" t="s">
        <v>44</v>
      </c>
      <c r="N16" s="7" t="s">
        <v>45</v>
      </c>
      <c r="O16" s="7" t="s">
        <v>46</v>
      </c>
      <c r="P16" s="7" t="s">
        <v>77</v>
      </c>
    </row>
    <row r="17" spans="2:16" x14ac:dyDescent="0.25">
      <c r="J17" s="5" t="s">
        <v>78</v>
      </c>
      <c r="K17" s="5">
        <v>319.25311594202896</v>
      </c>
      <c r="L17" s="5">
        <v>6</v>
      </c>
      <c r="M17" s="5">
        <v>53.208852657004826</v>
      </c>
      <c r="N17" s="5">
        <v>6.9826936080166986</v>
      </c>
      <c r="O17" s="12">
        <v>8.7235788581554021E-4</v>
      </c>
      <c r="P17" s="5">
        <v>2.7413108284277126</v>
      </c>
    </row>
    <row r="18" spans="2:16" x14ac:dyDescent="0.25">
      <c r="J18" s="5" t="s">
        <v>79</v>
      </c>
      <c r="K18" s="5">
        <v>121.92166666666685</v>
      </c>
      <c r="L18" s="5">
        <v>16</v>
      </c>
      <c r="M18" s="5">
        <v>7.6201041666666782</v>
      </c>
      <c r="N18" s="5"/>
      <c r="O18" s="5"/>
      <c r="P18" s="5"/>
    </row>
    <row r="19" spans="2:16" x14ac:dyDescent="0.25">
      <c r="J19" s="5"/>
      <c r="K19" s="5"/>
      <c r="L19" s="5"/>
      <c r="M19" s="5"/>
      <c r="N19" s="5"/>
      <c r="O19" s="5"/>
      <c r="P19" s="5"/>
    </row>
    <row r="20" spans="2:16" ht="13" thickBot="1" x14ac:dyDescent="0.3">
      <c r="J20" s="6" t="s">
        <v>42</v>
      </c>
      <c r="K20" s="6">
        <v>441.17478260869581</v>
      </c>
      <c r="L20" s="6">
        <v>22</v>
      </c>
      <c r="M20" s="6"/>
      <c r="N20" s="6"/>
      <c r="O20" s="6"/>
      <c r="P20" s="6"/>
    </row>
    <row r="21" spans="2:16" ht="13" x14ac:dyDescent="0.3">
      <c r="B21" s="13" t="s">
        <v>214</v>
      </c>
    </row>
    <row r="23" spans="2:16" ht="13" x14ac:dyDescent="0.3">
      <c r="B23" s="2" t="s">
        <v>80</v>
      </c>
      <c r="C23" s="2" t="s">
        <v>81</v>
      </c>
      <c r="D23" s="2" t="s">
        <v>82</v>
      </c>
      <c r="E23" s="2" t="s">
        <v>84</v>
      </c>
      <c r="F23" s="2" t="s">
        <v>45</v>
      </c>
      <c r="G23" s="2" t="s">
        <v>85</v>
      </c>
      <c r="J23" t="s">
        <v>70</v>
      </c>
    </row>
    <row r="24" spans="2:16" x14ac:dyDescent="0.25">
      <c r="B24" s="34">
        <v>90.2</v>
      </c>
      <c r="C24" s="34">
        <v>90.8</v>
      </c>
      <c r="D24" s="34">
        <v>87</v>
      </c>
      <c r="E24" s="34">
        <v>91.6</v>
      </c>
      <c r="F24" s="34">
        <v>88.3</v>
      </c>
      <c r="G24" s="34">
        <v>83.8</v>
      </c>
    </row>
    <row r="25" spans="2:16" ht="13" thickBot="1" x14ac:dyDescent="0.3">
      <c r="B25" s="34">
        <v>90.4</v>
      </c>
      <c r="C25" s="34">
        <v>91.3</v>
      </c>
      <c r="D25" s="34">
        <v>87.1</v>
      </c>
      <c r="E25" s="34">
        <v>89.8</v>
      </c>
      <c r="F25" s="34">
        <v>91.5</v>
      </c>
      <c r="G25" s="34">
        <v>90</v>
      </c>
      <c r="J25" t="s">
        <v>71</v>
      </c>
    </row>
    <row r="26" spans="2:16" ht="13" x14ac:dyDescent="0.3">
      <c r="B26" s="34">
        <v>88.3</v>
      </c>
      <c r="C26" s="34">
        <v>93.8</v>
      </c>
      <c r="D26" s="34">
        <v>91.1</v>
      </c>
      <c r="E26" s="34">
        <v>89.8</v>
      </c>
      <c r="F26" s="34">
        <v>91.9</v>
      </c>
      <c r="G26" s="34">
        <v>91.3</v>
      </c>
      <c r="J26" s="7" t="s">
        <v>72</v>
      </c>
      <c r="K26" s="7" t="s">
        <v>73</v>
      </c>
      <c r="L26" s="7" t="s">
        <v>74</v>
      </c>
      <c r="M26" s="7" t="s">
        <v>75</v>
      </c>
      <c r="N26" s="7" t="s">
        <v>8</v>
      </c>
    </row>
    <row r="27" spans="2:16" x14ac:dyDescent="0.25">
      <c r="B27" s="34"/>
      <c r="C27" s="34"/>
      <c r="D27" s="34"/>
      <c r="E27" s="34">
        <v>91.5</v>
      </c>
      <c r="F27" s="34"/>
      <c r="G27" s="34">
        <v>91.4</v>
      </c>
      <c r="J27" s="35" t="s">
        <v>80</v>
      </c>
      <c r="K27" s="35">
        <v>3</v>
      </c>
      <c r="L27" s="5">
        <v>268.89999999999998</v>
      </c>
      <c r="M27" s="5">
        <v>89.63333333333334</v>
      </c>
      <c r="N27" s="5">
        <v>1.34333333333052</v>
      </c>
    </row>
    <row r="28" spans="2:16" x14ac:dyDescent="0.25">
      <c r="J28" s="35" t="s">
        <v>81</v>
      </c>
      <c r="K28" s="35">
        <v>3</v>
      </c>
      <c r="L28" s="5">
        <v>275.89999999999998</v>
      </c>
      <c r="M28" s="5">
        <v>91.966666666666654</v>
      </c>
      <c r="N28" s="5">
        <v>2.5833333333339397</v>
      </c>
    </row>
    <row r="29" spans="2:16" x14ac:dyDescent="0.25">
      <c r="J29" s="35" t="s">
        <v>82</v>
      </c>
      <c r="K29" s="35">
        <v>3</v>
      </c>
      <c r="L29" s="5">
        <v>265.2</v>
      </c>
      <c r="M29" s="5">
        <v>88.4</v>
      </c>
      <c r="N29" s="5">
        <v>5.4700000000011642</v>
      </c>
    </row>
    <row r="30" spans="2:16" x14ac:dyDescent="0.25">
      <c r="J30" s="35" t="s">
        <v>84</v>
      </c>
      <c r="K30" s="35">
        <v>4</v>
      </c>
      <c r="L30" s="5">
        <v>362.7</v>
      </c>
      <c r="M30" s="5">
        <v>90.674999999999997</v>
      </c>
      <c r="N30" s="5">
        <v>1.0225000000015523</v>
      </c>
    </row>
    <row r="31" spans="2:16" x14ac:dyDescent="0.25">
      <c r="J31" s="35" t="s">
        <v>45</v>
      </c>
      <c r="K31" s="35">
        <v>3</v>
      </c>
      <c r="L31" s="5">
        <v>271.7</v>
      </c>
      <c r="M31" s="5">
        <v>90.566666666666677</v>
      </c>
      <c r="N31" s="5">
        <v>3.8933333333279734</v>
      </c>
    </row>
    <row r="32" spans="2:16" ht="13" thickBot="1" x14ac:dyDescent="0.3">
      <c r="J32" s="36" t="s">
        <v>85</v>
      </c>
      <c r="K32" s="36">
        <v>4</v>
      </c>
      <c r="L32" s="6">
        <v>356.5</v>
      </c>
      <c r="M32" s="6">
        <v>89.125</v>
      </c>
      <c r="N32" s="6">
        <v>13.009166666665502</v>
      </c>
    </row>
    <row r="33" spans="10:16" x14ac:dyDescent="0.25">
      <c r="M33">
        <f>AVERAGE(M27:M32)</f>
        <v>90.061111111111117</v>
      </c>
    </row>
    <row r="34" spans="10:16" x14ac:dyDescent="0.25">
      <c r="M34">
        <f>M33-M9</f>
        <v>10.627777777777794</v>
      </c>
    </row>
    <row r="35" spans="10:16" ht="13" thickBot="1" x14ac:dyDescent="0.3">
      <c r="J35" t="s">
        <v>41</v>
      </c>
    </row>
    <row r="36" spans="10:16" ht="13" x14ac:dyDescent="0.3">
      <c r="J36" s="7" t="s">
        <v>76</v>
      </c>
      <c r="K36" s="7" t="s">
        <v>43</v>
      </c>
      <c r="L36" s="7" t="s">
        <v>12</v>
      </c>
      <c r="M36" s="7" t="s">
        <v>44</v>
      </c>
      <c r="N36" s="7" t="s">
        <v>45</v>
      </c>
      <c r="O36" s="7" t="s">
        <v>46</v>
      </c>
      <c r="P36" s="7" t="s">
        <v>77</v>
      </c>
    </row>
    <row r="37" spans="10:16" x14ac:dyDescent="0.25">
      <c r="J37" s="5" t="s">
        <v>78</v>
      </c>
      <c r="K37" s="5">
        <v>25.494500000000002</v>
      </c>
      <c r="L37" s="5">
        <v>5</v>
      </c>
      <c r="M37" s="5">
        <v>5.0989000000000004</v>
      </c>
      <c r="N37" s="5">
        <v>1.0394554058973415</v>
      </c>
      <c r="O37" s="12">
        <v>0.43279938545343477</v>
      </c>
      <c r="P37" s="5">
        <v>2.9582489131183785</v>
      </c>
    </row>
    <row r="38" spans="10:16" x14ac:dyDescent="0.25">
      <c r="J38" s="5" t="s">
        <v>79</v>
      </c>
      <c r="K38" s="5">
        <v>68.675000000000068</v>
      </c>
      <c r="L38" s="5">
        <v>14</v>
      </c>
      <c r="M38" s="5">
        <v>4.9053571428571479</v>
      </c>
      <c r="N38" s="5"/>
      <c r="O38" s="5"/>
      <c r="P38" s="5"/>
    </row>
    <row r="39" spans="10:16" x14ac:dyDescent="0.25">
      <c r="J39" s="5"/>
      <c r="K39" s="5"/>
      <c r="L39" s="5"/>
      <c r="M39" s="5"/>
      <c r="N39" s="5"/>
      <c r="O39" s="5"/>
      <c r="P39" s="5"/>
    </row>
    <row r="40" spans="10:16" ht="13" thickBot="1" x14ac:dyDescent="0.3">
      <c r="J40" s="6" t="s">
        <v>42</v>
      </c>
      <c r="K40" s="6">
        <v>94.16950000000007</v>
      </c>
      <c r="L40" s="6">
        <v>19</v>
      </c>
      <c r="M40" s="6"/>
      <c r="N40" s="6"/>
      <c r="O40" s="6"/>
      <c r="P40" s="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E18" sqref="E18"/>
    </sheetView>
  </sheetViews>
  <sheetFormatPr defaultRowHeight="12.5" x14ac:dyDescent="0.25"/>
  <cols>
    <col min="3" max="3" width="9.7265625" customWidth="1"/>
    <col min="5" max="5" width="10.7265625" bestFit="1" customWidth="1"/>
    <col min="7" max="8" width="9.1796875" style="62" customWidth="1"/>
    <col min="9" max="9" width="10" style="62" bestFit="1" customWidth="1"/>
    <col min="10" max="10" width="11.54296875" style="62" bestFit="1" customWidth="1"/>
    <col min="11" max="17" width="9.1796875" style="62" customWidth="1"/>
  </cols>
  <sheetData>
    <row r="1" spans="1:16" ht="13" x14ac:dyDescent="0.3">
      <c r="A1" s="13"/>
    </row>
    <row r="2" spans="1:16" ht="15" customHeight="1" x14ac:dyDescent="0.3">
      <c r="B2" s="2" t="s">
        <v>86</v>
      </c>
      <c r="C2" s="2" t="s">
        <v>87</v>
      </c>
      <c r="D2" s="2" t="s">
        <v>88</v>
      </c>
      <c r="E2" s="2" t="s">
        <v>89</v>
      </c>
      <c r="G2" s="63"/>
      <c r="H2" s="63"/>
      <c r="I2" s="63"/>
      <c r="J2" s="64"/>
    </row>
    <row r="3" spans="1:16" x14ac:dyDescent="0.25">
      <c r="B3" s="3" t="s">
        <v>80</v>
      </c>
      <c r="C3" s="3">
        <v>2</v>
      </c>
      <c r="D3" s="3">
        <v>5</v>
      </c>
      <c r="E3" s="3">
        <f>(C3-D3)^2/D3</f>
        <v>1.8</v>
      </c>
      <c r="G3" s="65"/>
      <c r="H3" s="65"/>
      <c r="I3" s="65"/>
      <c r="J3" s="66"/>
      <c r="L3" s="49"/>
      <c r="M3" s="49"/>
      <c r="N3" s="49"/>
      <c r="O3" s="49"/>
      <c r="P3" s="49"/>
    </row>
    <row r="4" spans="1:16" ht="15" customHeight="1" x14ac:dyDescent="0.25">
      <c r="B4" s="3" t="s">
        <v>81</v>
      </c>
      <c r="C4" s="3">
        <v>6</v>
      </c>
      <c r="D4" s="3">
        <v>5</v>
      </c>
      <c r="E4" s="3">
        <f>(C4-D4)^2/D4</f>
        <v>0.2</v>
      </c>
      <c r="G4" s="65"/>
      <c r="H4" s="65"/>
      <c r="I4" s="65"/>
      <c r="J4" s="66"/>
      <c r="L4" s="49"/>
      <c r="M4" s="49"/>
      <c r="N4" s="49"/>
      <c r="O4" s="49"/>
      <c r="P4" s="49"/>
    </row>
    <row r="5" spans="1:16" x14ac:dyDescent="0.25">
      <c r="B5" s="3" t="s">
        <v>82</v>
      </c>
      <c r="C5" s="3">
        <v>7</v>
      </c>
      <c r="D5" s="3">
        <v>5</v>
      </c>
      <c r="E5" s="3">
        <f>(C5-D5)^2/D5</f>
        <v>0.8</v>
      </c>
      <c r="G5" s="65"/>
      <c r="H5" s="65"/>
      <c r="I5" s="65"/>
      <c r="J5" s="66"/>
      <c r="L5" s="49"/>
      <c r="M5" s="49"/>
      <c r="N5" s="49"/>
      <c r="O5" s="49"/>
      <c r="P5" s="49"/>
    </row>
    <row r="6" spans="1:16" ht="13" x14ac:dyDescent="0.3">
      <c r="B6" s="2" t="s">
        <v>42</v>
      </c>
      <c r="C6" s="3">
        <f>SUM(C3:C5)</f>
        <v>15</v>
      </c>
      <c r="D6" s="3">
        <f>SUM(D3:D5)</f>
        <v>15</v>
      </c>
      <c r="E6" s="3">
        <f>SUM(E3:E5)</f>
        <v>2.8</v>
      </c>
      <c r="G6" s="65"/>
      <c r="H6" s="65"/>
      <c r="I6" s="65"/>
      <c r="J6" s="66"/>
    </row>
    <row r="8" spans="1:16" ht="13" x14ac:dyDescent="0.3">
      <c r="B8" s="2" t="s">
        <v>90</v>
      </c>
      <c r="C8" s="58">
        <f>CHIDIST(E6,2)</f>
        <v>0.24659696394160649</v>
      </c>
    </row>
    <row r="9" spans="1:16" ht="13.5" customHeight="1" x14ac:dyDescent="0.3">
      <c r="B9" s="1"/>
      <c r="C9" s="58"/>
      <c r="G9" s="63"/>
      <c r="H9" s="63"/>
      <c r="I9" s="63"/>
    </row>
    <row r="10" spans="1:16" ht="13" x14ac:dyDescent="0.3">
      <c r="B10" s="1" t="s">
        <v>91</v>
      </c>
      <c r="C10" s="58">
        <f>CHITEST(C3:C5,D3:D5)</f>
        <v>0.24659696394160649</v>
      </c>
      <c r="G10" s="67"/>
      <c r="H10" s="67"/>
      <c r="I10" s="65"/>
    </row>
    <row r="11" spans="1:16" ht="15" customHeight="1" x14ac:dyDescent="0.25">
      <c r="G11" s="67"/>
      <c r="H11" s="67"/>
      <c r="I11" s="65"/>
    </row>
    <row r="12" spans="1:16" x14ac:dyDescent="0.25">
      <c r="G12" s="67"/>
      <c r="H12" s="67"/>
      <c r="I12" s="65"/>
    </row>
    <row r="13" spans="1:16" x14ac:dyDescent="0.25">
      <c r="G13" s="65"/>
      <c r="H13" s="65"/>
      <c r="I13" s="65"/>
    </row>
    <row r="15" spans="1:16" ht="12" customHeight="1" x14ac:dyDescent="0.25"/>
    <row r="20" spans="7:7" ht="13" x14ac:dyDescent="0.3">
      <c r="G20" s="63"/>
    </row>
    <row r="21" spans="7:7" x14ac:dyDescent="0.25">
      <c r="G21" s="49"/>
    </row>
    <row r="22" spans="7:7" x14ac:dyDescent="0.25">
      <c r="G22" s="49"/>
    </row>
    <row r="23" spans="7:7" x14ac:dyDescent="0.25">
      <c r="G23" s="49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/>
  </sheetViews>
  <sheetFormatPr defaultRowHeight="12.5" x14ac:dyDescent="0.25"/>
  <cols>
    <col min="1" max="1" width="9.54296875" customWidth="1"/>
    <col min="2" max="2" width="16.7265625" style="62" bestFit="1" customWidth="1"/>
    <col min="3" max="3" width="11.453125" style="62" customWidth="1"/>
    <col min="4" max="7" width="9.1796875" style="62" customWidth="1"/>
    <col min="8" max="8" width="10" style="62" bestFit="1" customWidth="1"/>
    <col min="9" max="9" width="11.54296875" style="62" bestFit="1" customWidth="1"/>
    <col min="10" max="10" width="11.54296875" style="62" customWidth="1"/>
    <col min="11" max="11" width="19.1796875" style="62" customWidth="1"/>
    <col min="12" max="12" width="10.26953125" style="62" customWidth="1"/>
    <col min="13" max="17" width="9.1796875" style="62" customWidth="1"/>
  </cols>
  <sheetData>
    <row r="1" spans="1:16" ht="13" x14ac:dyDescent="0.3">
      <c r="A1" s="13"/>
      <c r="B1" s="13" t="s">
        <v>217</v>
      </c>
    </row>
    <row r="2" spans="1:16" ht="15" customHeight="1" x14ac:dyDescent="0.3">
      <c r="B2" s="63" t="s">
        <v>92</v>
      </c>
      <c r="C2" s="63" t="s">
        <v>93</v>
      </c>
      <c r="D2" s="63" t="s">
        <v>94</v>
      </c>
      <c r="E2" s="63" t="s">
        <v>95</v>
      </c>
      <c r="F2" s="63" t="s">
        <v>96</v>
      </c>
      <c r="G2" s="63" t="s">
        <v>97</v>
      </c>
      <c r="H2" s="63" t="s">
        <v>42</v>
      </c>
      <c r="I2" s="64" t="s">
        <v>101</v>
      </c>
      <c r="J2" s="64"/>
      <c r="K2" s="63" t="s">
        <v>92</v>
      </c>
      <c r="L2" s="92" t="s">
        <v>215</v>
      </c>
      <c r="M2" s="92"/>
      <c r="N2" s="92"/>
      <c r="O2" s="92"/>
      <c r="P2" s="92"/>
    </row>
    <row r="3" spans="1:16" ht="13" x14ac:dyDescent="0.3">
      <c r="B3" s="37" t="s">
        <v>98</v>
      </c>
      <c r="C3" s="65">
        <v>48</v>
      </c>
      <c r="D3" s="65">
        <v>34</v>
      </c>
      <c r="E3" s="65">
        <v>16</v>
      </c>
      <c r="F3" s="65">
        <v>6</v>
      </c>
      <c r="G3" s="65">
        <v>0</v>
      </c>
      <c r="H3" s="65">
        <f>SUM(C3:G3)</f>
        <v>104</v>
      </c>
      <c r="I3" s="80">
        <f>H3/H6</f>
        <v>0.30498533724340177</v>
      </c>
      <c r="J3" s="80"/>
      <c r="K3" s="81" t="s">
        <v>154</v>
      </c>
      <c r="L3" s="49">
        <f t="shared" ref="L3:P5" si="0">(C3-C10)^2/C10</f>
        <v>7.5969508276264213</v>
      </c>
      <c r="M3" s="49">
        <f t="shared" si="0"/>
        <v>4.3830377645514123</v>
      </c>
      <c r="N3" s="49">
        <f t="shared" si="0"/>
        <v>0.2888638243476957</v>
      </c>
      <c r="O3" s="49">
        <f t="shared" si="0"/>
        <v>11.598367358448005</v>
      </c>
      <c r="P3" s="49">
        <f t="shared" si="0"/>
        <v>7.6246334310850443</v>
      </c>
    </row>
    <row r="4" spans="1:16" ht="15" customHeight="1" x14ac:dyDescent="0.3">
      <c r="B4" s="37" t="s">
        <v>99</v>
      </c>
      <c r="C4" s="65">
        <v>55</v>
      </c>
      <c r="D4" s="65">
        <v>32</v>
      </c>
      <c r="E4" s="65">
        <v>32</v>
      </c>
      <c r="F4" s="65">
        <v>27</v>
      </c>
      <c r="G4" s="65">
        <v>1</v>
      </c>
      <c r="H4" s="65">
        <f>SUM(C4:G4)</f>
        <v>147</v>
      </c>
      <c r="I4" s="80">
        <f>H4/H6</f>
        <v>0.4310850439882698</v>
      </c>
      <c r="J4" s="80"/>
      <c r="K4" s="81" t="s">
        <v>155</v>
      </c>
      <c r="L4" s="49">
        <f t="shared" si="0"/>
        <v>1.894796462268856</v>
      </c>
      <c r="M4" s="49">
        <f t="shared" si="0"/>
        <v>7.849702780578359E-2</v>
      </c>
      <c r="N4" s="49">
        <f t="shared" si="0"/>
        <v>1.4551253150331482</v>
      </c>
      <c r="O4" s="49">
        <f t="shared" si="0"/>
        <v>0.5253680651146091</v>
      </c>
      <c r="P4" s="49">
        <f t="shared" si="0"/>
        <v>8.8699152153530036</v>
      </c>
    </row>
    <row r="5" spans="1:16" ht="13" x14ac:dyDescent="0.3">
      <c r="B5" s="37" t="s">
        <v>100</v>
      </c>
      <c r="C5" s="65">
        <v>3</v>
      </c>
      <c r="D5" s="65">
        <v>12</v>
      </c>
      <c r="E5" s="65">
        <v>12</v>
      </c>
      <c r="F5" s="65">
        <v>39</v>
      </c>
      <c r="G5" s="65">
        <v>24</v>
      </c>
      <c r="H5" s="65">
        <f>SUM(C5:G5)</f>
        <v>90</v>
      </c>
      <c r="I5" s="80">
        <f>H5/H6</f>
        <v>0.26392961876832843</v>
      </c>
      <c r="J5" s="80"/>
      <c r="K5" s="81" t="s">
        <v>156</v>
      </c>
      <c r="L5" s="49">
        <f t="shared" si="0"/>
        <v>22.298237702650365</v>
      </c>
      <c r="M5" s="49">
        <f t="shared" si="0"/>
        <v>3.5813820588014131</v>
      </c>
      <c r="N5" s="49">
        <f t="shared" si="0"/>
        <v>0.92911045943304016</v>
      </c>
      <c r="O5" s="49">
        <f t="shared" si="0"/>
        <v>21.043210329097437</v>
      </c>
      <c r="P5" s="49">
        <f t="shared" si="0"/>
        <v>45.894240469208214</v>
      </c>
    </row>
    <row r="6" spans="1:16" ht="13" x14ac:dyDescent="0.3">
      <c r="B6" s="63" t="s">
        <v>42</v>
      </c>
      <c r="C6" s="65">
        <f t="shared" ref="C6:I6" si="1">SUM(C3:C5)</f>
        <v>106</v>
      </c>
      <c r="D6" s="65">
        <f t="shared" si="1"/>
        <v>78</v>
      </c>
      <c r="E6" s="65">
        <f t="shared" si="1"/>
        <v>60</v>
      </c>
      <c r="F6" s="65">
        <f t="shared" si="1"/>
        <v>72</v>
      </c>
      <c r="G6" s="65">
        <f t="shared" si="1"/>
        <v>25</v>
      </c>
      <c r="H6" s="65">
        <f t="shared" si="1"/>
        <v>341</v>
      </c>
      <c r="I6" s="80">
        <f t="shared" si="1"/>
        <v>1</v>
      </c>
      <c r="J6" s="80"/>
      <c r="K6" s="81"/>
    </row>
    <row r="8" spans="1:16" ht="13" x14ac:dyDescent="0.3">
      <c r="B8" s="79" t="s">
        <v>218</v>
      </c>
      <c r="K8" s="83" t="s">
        <v>216</v>
      </c>
      <c r="L8" s="62">
        <f>SUM(L3:P5)</f>
        <v>138.06173631082444</v>
      </c>
    </row>
    <row r="9" spans="1:16" ht="13.5" customHeight="1" x14ac:dyDescent="0.3">
      <c r="B9" s="63" t="s">
        <v>92</v>
      </c>
      <c r="C9" s="63" t="s">
        <v>93</v>
      </c>
      <c r="D9" s="63" t="s">
        <v>94</v>
      </c>
      <c r="E9" s="63" t="s">
        <v>95</v>
      </c>
      <c r="F9" s="63" t="s">
        <v>96</v>
      </c>
      <c r="G9" s="63" t="s">
        <v>97</v>
      </c>
      <c r="H9" s="63" t="s">
        <v>42</v>
      </c>
      <c r="K9" s="83" t="s">
        <v>90</v>
      </c>
      <c r="L9" s="82">
        <f>CHIDIST(L8,8)</f>
        <v>6.0015062932166504E-26</v>
      </c>
    </row>
    <row r="10" spans="1:16" ht="13" x14ac:dyDescent="0.3">
      <c r="B10" s="37" t="s">
        <v>98</v>
      </c>
      <c r="C10" s="67">
        <f>$I$3*C6</f>
        <v>32.328445747800586</v>
      </c>
      <c r="D10" s="67">
        <f>$I$3*D6</f>
        <v>23.788856304985337</v>
      </c>
      <c r="E10" s="67">
        <f>$I$3*E6</f>
        <v>18.299120234604107</v>
      </c>
      <c r="F10" s="67">
        <f>$I$3*F6</f>
        <v>21.958944281524928</v>
      </c>
      <c r="G10" s="67">
        <f>$I$3*G6</f>
        <v>7.6246334310850443</v>
      </c>
      <c r="H10" s="65">
        <f>SUM(C10:G10)</f>
        <v>104</v>
      </c>
      <c r="K10" s="83" t="s">
        <v>91</v>
      </c>
      <c r="L10" s="62">
        <f>CHITEST(C3:G5,C10:G12)</f>
        <v>6.0015062932166504E-26</v>
      </c>
    </row>
    <row r="11" spans="1:16" ht="15" customHeight="1" x14ac:dyDescent="0.25">
      <c r="B11" s="37" t="s">
        <v>99</v>
      </c>
      <c r="C11" s="67">
        <f>$I$4*C6</f>
        <v>45.695014662756599</v>
      </c>
      <c r="D11" s="67">
        <f>$I$4*D6</f>
        <v>33.624633431085044</v>
      </c>
      <c r="E11" s="67">
        <f>$I$4*E6</f>
        <v>25.86510263929619</v>
      </c>
      <c r="F11" s="67">
        <f>$I$4*F6</f>
        <v>31.038123167155426</v>
      </c>
      <c r="G11" s="67">
        <f>$I$4*G6</f>
        <v>10.777126099706745</v>
      </c>
      <c r="H11" s="65">
        <f>SUM(C11:G11)</f>
        <v>147</v>
      </c>
    </row>
    <row r="12" spans="1:16" x14ac:dyDescent="0.25">
      <c r="B12" s="37" t="s">
        <v>100</v>
      </c>
      <c r="C12" s="67">
        <f>$I$5*C6</f>
        <v>27.976539589442815</v>
      </c>
      <c r="D12" s="67">
        <f>$I$5*D6</f>
        <v>20.586510263929618</v>
      </c>
      <c r="E12" s="67">
        <f>$I$5*E6</f>
        <v>15.835777126099707</v>
      </c>
      <c r="F12" s="67">
        <f>$I$5*F6</f>
        <v>19.002932551319645</v>
      </c>
      <c r="G12" s="67">
        <f>$I$5*G6</f>
        <v>6.5982404692082106</v>
      </c>
      <c r="H12" s="65">
        <f>SUM(C12:G12)</f>
        <v>90</v>
      </c>
    </row>
    <row r="13" spans="1:16" ht="13" x14ac:dyDescent="0.3">
      <c r="B13" s="63" t="s">
        <v>42</v>
      </c>
      <c r="C13" s="65">
        <f>SUM(C10:C12)</f>
        <v>106</v>
      </c>
      <c r="D13" s="65">
        <f>SUM(D10:D12)</f>
        <v>78</v>
      </c>
      <c r="E13" s="65">
        <f>SUM(E10:E12)</f>
        <v>60.000000000000007</v>
      </c>
      <c r="F13" s="65">
        <f>SUM(F10:F12)</f>
        <v>72</v>
      </c>
      <c r="G13" s="65">
        <f>SUM(G10:G12)</f>
        <v>25</v>
      </c>
      <c r="H13" s="65">
        <f>SUM(C13:G13)</f>
        <v>341</v>
      </c>
    </row>
    <row r="15" spans="1:16" ht="12" customHeight="1" x14ac:dyDescent="0.3">
      <c r="B15" s="38" t="s">
        <v>219</v>
      </c>
    </row>
    <row r="16" spans="1:16" ht="13" x14ac:dyDescent="0.3">
      <c r="C16" s="63" t="s">
        <v>93</v>
      </c>
      <c r="D16" s="63" t="s">
        <v>94</v>
      </c>
      <c r="E16" s="63" t="s">
        <v>95</v>
      </c>
      <c r="F16" s="63" t="s">
        <v>96</v>
      </c>
      <c r="G16" s="63" t="s">
        <v>97</v>
      </c>
    </row>
    <row r="17" spans="1:7" x14ac:dyDescent="0.25">
      <c r="B17" s="37" t="s">
        <v>98</v>
      </c>
      <c r="C17" s="49">
        <f t="shared" ref="C17:G19" si="2">C3-C10</f>
        <v>15.671554252199414</v>
      </c>
      <c r="D17" s="49">
        <f t="shared" si="2"/>
        <v>10.211143695014663</v>
      </c>
      <c r="E17" s="49">
        <f t="shared" si="2"/>
        <v>-2.2991202346041071</v>
      </c>
      <c r="F17" s="49">
        <f t="shared" si="2"/>
        <v>-15.958944281524928</v>
      </c>
      <c r="G17" s="49">
        <f t="shared" si="2"/>
        <v>-7.6246334310850443</v>
      </c>
    </row>
    <row r="18" spans="1:7" x14ac:dyDescent="0.25">
      <c r="B18" s="37" t="s">
        <v>99</v>
      </c>
      <c r="C18" s="49">
        <f t="shared" si="2"/>
        <v>9.3049853372434015</v>
      </c>
      <c r="D18" s="49">
        <f t="shared" si="2"/>
        <v>-1.6246334310850443</v>
      </c>
      <c r="E18" s="49">
        <f t="shared" si="2"/>
        <v>6.1348973607038104</v>
      </c>
      <c r="F18" s="49">
        <f t="shared" si="2"/>
        <v>-4.0381231671554261</v>
      </c>
      <c r="G18" s="49">
        <f t="shared" si="2"/>
        <v>-9.7771260997067451</v>
      </c>
    </row>
    <row r="19" spans="1:7" x14ac:dyDescent="0.25">
      <c r="B19" s="37" t="s">
        <v>100</v>
      </c>
      <c r="C19" s="49">
        <f t="shared" si="2"/>
        <v>-24.976539589442815</v>
      </c>
      <c r="D19" s="49">
        <f t="shared" si="2"/>
        <v>-8.5865102639296182</v>
      </c>
      <c r="E19" s="49">
        <f t="shared" si="2"/>
        <v>-3.8357771260997069</v>
      </c>
      <c r="F19" s="49">
        <f t="shared" si="2"/>
        <v>19.997067448680355</v>
      </c>
      <c r="G19" s="49">
        <f t="shared" si="2"/>
        <v>17.401759530791789</v>
      </c>
    </row>
    <row r="21" spans="1:7" x14ac:dyDescent="0.25">
      <c r="A21" s="37"/>
    </row>
    <row r="22" spans="1:7" x14ac:dyDescent="0.25">
      <c r="A22" s="37"/>
    </row>
    <row r="23" spans="1:7" x14ac:dyDescent="0.25">
      <c r="A23" s="37"/>
    </row>
  </sheetData>
  <mergeCells count="1">
    <mergeCell ref="L2:P2"/>
  </mergeCells>
  <phoneticPr fontId="2" type="noConversion"/>
  <pageMargins left="0.75" right="0.75" top="1" bottom="1" header="0.5" footer="0.5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39"/>
  <sheetViews>
    <sheetView workbookViewId="0">
      <selection activeCell="M25" sqref="M25"/>
    </sheetView>
  </sheetViews>
  <sheetFormatPr defaultRowHeight="12.5" x14ac:dyDescent="0.25"/>
  <cols>
    <col min="1" max="1" width="10.1796875" customWidth="1"/>
    <col min="2" max="2" width="9.453125" bestFit="1" customWidth="1"/>
    <col min="3" max="3" width="16.81640625" bestFit="1" customWidth="1"/>
    <col min="4" max="4" width="9" customWidth="1"/>
    <col min="5" max="6" width="9.1796875" style="8" customWidth="1"/>
    <col min="7" max="7" width="5.54296875" style="8" customWidth="1"/>
    <col min="8" max="8" width="9.1796875" style="8" customWidth="1"/>
    <col min="9" max="9" width="8.453125" style="8" bestFit="1" customWidth="1"/>
    <col min="10" max="11" width="9.1796875" style="8" customWidth="1"/>
    <col min="12" max="12" width="10.453125" style="26" bestFit="1" customWidth="1"/>
    <col min="13" max="13" width="15.54296875" style="8" bestFit="1" customWidth="1"/>
    <col min="14" max="14" width="10.81640625" style="8" bestFit="1" customWidth="1"/>
    <col min="15" max="27" width="9.1796875" style="8" customWidth="1"/>
  </cols>
  <sheetData>
    <row r="1" spans="2:14" ht="13.5" thickBot="1" x14ac:dyDescent="0.35">
      <c r="B1" s="14" t="s">
        <v>102</v>
      </c>
      <c r="C1" s="14" t="s">
        <v>221</v>
      </c>
      <c r="E1" s="94" t="s">
        <v>222</v>
      </c>
      <c r="F1" s="94"/>
    </row>
    <row r="2" spans="2:14" ht="13" x14ac:dyDescent="0.3">
      <c r="B2" s="4">
        <v>62.042948961907548</v>
      </c>
      <c r="C2" s="4">
        <v>42.197581444151098</v>
      </c>
      <c r="D2" s="3"/>
      <c r="E2" s="7" t="s">
        <v>103</v>
      </c>
      <c r="F2" s="7" t="s">
        <v>105</v>
      </c>
      <c r="G2" s="9"/>
      <c r="H2" s="5"/>
      <c r="I2" s="46" t="s">
        <v>73</v>
      </c>
      <c r="J2" s="40">
        <f>SUM(F3:F21)</f>
        <v>138</v>
      </c>
      <c r="L2" s="43" t="s">
        <v>91</v>
      </c>
      <c r="M2" s="42">
        <f>CHITEST(J8:J17,N8:N17)</f>
        <v>0.91703911401408766</v>
      </c>
      <c r="N2" s="26"/>
    </row>
    <row r="3" spans="2:14" ht="13" x14ac:dyDescent="0.3">
      <c r="B3" s="4">
        <v>61.520045433546727</v>
      </c>
      <c r="C3" s="4">
        <v>45.384623285121201</v>
      </c>
      <c r="D3" s="3"/>
      <c r="E3" s="40">
        <v>42</v>
      </c>
      <c r="F3" s="35">
        <v>0</v>
      </c>
      <c r="G3" s="5"/>
      <c r="H3" s="5"/>
      <c r="I3" s="46" t="s">
        <v>1</v>
      </c>
      <c r="J3" s="25">
        <f>AVERAGE(B:B)</f>
        <v>62.347000195999989</v>
      </c>
    </row>
    <row r="4" spans="2:14" ht="13" x14ac:dyDescent="0.3">
      <c r="B4" s="4">
        <v>60.483956625307364</v>
      </c>
      <c r="C4" s="4">
        <v>49.974378038982103</v>
      </c>
      <c r="D4" s="3"/>
      <c r="E4" s="40">
        <v>44</v>
      </c>
      <c r="F4" s="35">
        <v>1</v>
      </c>
      <c r="G4" s="5"/>
      <c r="H4" s="5"/>
      <c r="I4" s="46" t="s">
        <v>220</v>
      </c>
      <c r="J4" s="42">
        <f>STDEV(B:B)</f>
        <v>5.4065943327839898</v>
      </c>
    </row>
    <row r="5" spans="2:14" x14ac:dyDescent="0.25">
      <c r="B5" s="4">
        <v>63.757861544594228</v>
      </c>
      <c r="C5" s="4">
        <v>51.098167013767203</v>
      </c>
      <c r="D5" s="3"/>
      <c r="E5" s="40">
        <v>46</v>
      </c>
      <c r="F5" s="35">
        <v>1</v>
      </c>
      <c r="G5" s="5"/>
      <c r="H5" s="5"/>
      <c r="I5" s="40"/>
      <c r="J5" s="35"/>
    </row>
    <row r="6" spans="2:14" x14ac:dyDescent="0.25">
      <c r="B6" s="4">
        <v>65.295442747470943</v>
      </c>
      <c r="C6" s="4">
        <v>52.177833914839262</v>
      </c>
      <c r="D6" s="3"/>
      <c r="E6" s="40">
        <v>48</v>
      </c>
      <c r="F6" s="35">
        <v>0</v>
      </c>
      <c r="G6" s="5"/>
      <c r="H6" s="5"/>
      <c r="I6" s="40"/>
      <c r="J6" s="35"/>
    </row>
    <row r="7" spans="2:14" ht="13" x14ac:dyDescent="0.3">
      <c r="B7" s="4">
        <v>71.235185536438792</v>
      </c>
      <c r="C7" s="4">
        <v>52.301268948233997</v>
      </c>
      <c r="D7" s="3"/>
      <c r="E7" s="40">
        <v>50</v>
      </c>
      <c r="F7" s="35">
        <v>1</v>
      </c>
      <c r="G7" s="5"/>
      <c r="H7" s="5"/>
      <c r="I7" s="43" t="s">
        <v>103</v>
      </c>
      <c r="J7" s="44" t="s">
        <v>73</v>
      </c>
      <c r="K7" s="21" t="s">
        <v>106</v>
      </c>
      <c r="L7" s="45" t="s">
        <v>109</v>
      </c>
      <c r="M7" s="44" t="s">
        <v>110</v>
      </c>
      <c r="N7" s="44" t="s">
        <v>111</v>
      </c>
    </row>
    <row r="8" spans="2:14" x14ac:dyDescent="0.25">
      <c r="B8" s="4">
        <v>70.454059601270686</v>
      </c>
      <c r="C8" s="4">
        <v>52.91</v>
      </c>
      <c r="D8" s="3"/>
      <c r="E8" s="40">
        <v>52</v>
      </c>
      <c r="F8" s="35">
        <v>1</v>
      </c>
      <c r="G8" s="5"/>
      <c r="H8" s="5" t="s">
        <v>107</v>
      </c>
      <c r="I8" s="40">
        <v>54</v>
      </c>
      <c r="J8" s="35">
        <v>10</v>
      </c>
      <c r="K8" s="22">
        <f t="shared" ref="K8:K16" si="0">(I8-$J$3)/$J$4</f>
        <v>-1.5438554628347549</v>
      </c>
      <c r="L8" s="26">
        <f>NORMSDIST(K8)</f>
        <v>6.1311675777838859E-2</v>
      </c>
      <c r="M8" s="26">
        <f t="shared" ref="M8:M17" si="1">L8*$J$2</f>
        <v>8.4610112573417631</v>
      </c>
      <c r="N8" s="26">
        <f>M8</f>
        <v>8.4610112573417631</v>
      </c>
    </row>
    <row r="9" spans="2:14" x14ac:dyDescent="0.25">
      <c r="B9" s="4">
        <v>61.416056420219618</v>
      </c>
      <c r="C9" s="4">
        <v>53.158456178465798</v>
      </c>
      <c r="D9" s="3"/>
      <c r="E9" s="40">
        <v>54</v>
      </c>
      <c r="F9" s="35">
        <v>6</v>
      </c>
      <c r="G9" s="5"/>
      <c r="H9" s="5"/>
      <c r="I9" s="40">
        <v>56</v>
      </c>
      <c r="J9" s="35">
        <v>6</v>
      </c>
      <c r="K9" s="22">
        <f t="shared" si="0"/>
        <v>-1.1739368270176396</v>
      </c>
      <c r="L9" s="26">
        <f t="shared" ref="L9:L16" si="2">NORMSDIST(K9)</f>
        <v>0.12021016509081253</v>
      </c>
      <c r="M9" s="26">
        <f t="shared" si="1"/>
        <v>16.58900278253213</v>
      </c>
      <c r="N9" s="26">
        <f>M9-M8</f>
        <v>8.1279915251903674</v>
      </c>
    </row>
    <row r="10" spans="2:14" x14ac:dyDescent="0.25">
      <c r="B10" s="4">
        <v>64.419850798934007</v>
      </c>
      <c r="C10" s="4">
        <v>53.28</v>
      </c>
      <c r="D10" s="3"/>
      <c r="E10" s="40">
        <v>56</v>
      </c>
      <c r="F10" s="35">
        <v>6</v>
      </c>
      <c r="G10" s="5"/>
      <c r="H10" s="5"/>
      <c r="I10" s="40">
        <v>58</v>
      </c>
      <c r="J10" s="35">
        <v>10</v>
      </c>
      <c r="K10" s="22">
        <f t="shared" si="0"/>
        <v>-0.80401819120052431</v>
      </c>
      <c r="L10" s="26">
        <f t="shared" si="2"/>
        <v>0.21069323458470868</v>
      </c>
      <c r="M10" s="26">
        <f t="shared" si="1"/>
        <v>29.075666372689799</v>
      </c>
      <c r="N10" s="26">
        <f t="shared" ref="N10:N17" si="3">M10-M9</f>
        <v>12.486663590157669</v>
      </c>
    </row>
    <row r="11" spans="2:14" x14ac:dyDescent="0.25">
      <c r="B11" s="4">
        <v>62.730690054431577</v>
      </c>
      <c r="C11" s="4">
        <v>53.719713201180902</v>
      </c>
      <c r="D11" s="3"/>
      <c r="E11" s="40">
        <v>58</v>
      </c>
      <c r="F11" s="35">
        <v>10</v>
      </c>
      <c r="G11" s="5"/>
      <c r="H11" s="5"/>
      <c r="I11" s="40">
        <v>60</v>
      </c>
      <c r="J11" s="35">
        <v>15</v>
      </c>
      <c r="K11" s="22">
        <f t="shared" si="0"/>
        <v>-0.43409955538340905</v>
      </c>
      <c r="L11" s="26">
        <f t="shared" si="2"/>
        <v>0.33210807417657506</v>
      </c>
      <c r="M11" s="26">
        <f t="shared" si="1"/>
        <v>45.830914236367356</v>
      </c>
      <c r="N11" s="26">
        <f t="shared" si="3"/>
        <v>16.755247863677557</v>
      </c>
    </row>
    <row r="12" spans="2:14" x14ac:dyDescent="0.25">
      <c r="B12" s="4">
        <v>71.439331909759545</v>
      </c>
      <c r="C12" s="4">
        <v>54.5413787582062</v>
      </c>
      <c r="D12" s="3"/>
      <c r="E12" s="40">
        <v>60</v>
      </c>
      <c r="F12" s="35">
        <v>15</v>
      </c>
      <c r="G12" s="5"/>
      <c r="H12" s="5"/>
      <c r="I12" s="40">
        <v>62</v>
      </c>
      <c r="J12" s="35">
        <v>18</v>
      </c>
      <c r="K12" s="22">
        <f t="shared" si="0"/>
        <v>-6.4180919566293793E-2</v>
      </c>
      <c r="L12" s="26">
        <f t="shared" si="2"/>
        <v>0.47441308502388263</v>
      </c>
      <c r="M12" s="26">
        <f t="shared" si="1"/>
        <v>65.469005733295802</v>
      </c>
      <c r="N12" s="26">
        <f t="shared" si="3"/>
        <v>19.638091496928446</v>
      </c>
    </row>
    <row r="13" spans="2:14" x14ac:dyDescent="0.25">
      <c r="B13" s="4">
        <v>64.677154534625714</v>
      </c>
      <c r="C13" s="4">
        <v>54.607909664020589</v>
      </c>
      <c r="D13" s="3"/>
      <c r="E13" s="40">
        <v>62</v>
      </c>
      <c r="F13" s="35">
        <v>18</v>
      </c>
      <c r="G13" s="5"/>
      <c r="H13" s="5"/>
      <c r="I13" s="40">
        <v>64</v>
      </c>
      <c r="J13" s="35">
        <v>24</v>
      </c>
      <c r="K13" s="22">
        <f t="shared" si="0"/>
        <v>0.30573771625082147</v>
      </c>
      <c r="L13" s="26">
        <f t="shared" si="2"/>
        <v>0.6200978229719194</v>
      </c>
      <c r="M13" s="26">
        <f t="shared" si="1"/>
        <v>85.573499570124881</v>
      </c>
      <c r="N13" s="26">
        <f t="shared" si="3"/>
        <v>20.104493836829079</v>
      </c>
    </row>
    <row r="14" spans="2:14" x14ac:dyDescent="0.25">
      <c r="B14" s="4">
        <v>66.097137147396495</v>
      </c>
      <c r="C14" s="4">
        <v>54.853353896094099</v>
      </c>
      <c r="D14" s="3"/>
      <c r="E14" s="40">
        <v>64</v>
      </c>
      <c r="F14" s="35">
        <v>24</v>
      </c>
      <c r="G14" s="5"/>
      <c r="H14" s="5"/>
      <c r="I14" s="40">
        <v>66</v>
      </c>
      <c r="J14" s="35">
        <v>21</v>
      </c>
      <c r="K14" s="22">
        <f t="shared" si="0"/>
        <v>0.67565635206793673</v>
      </c>
      <c r="L14" s="26">
        <f t="shared" si="2"/>
        <v>0.7503705728466713</v>
      </c>
      <c r="M14" s="26">
        <f t="shared" si="1"/>
        <v>103.55113905284064</v>
      </c>
      <c r="N14" s="26">
        <f t="shared" si="3"/>
        <v>17.977639482715759</v>
      </c>
    </row>
    <row r="15" spans="2:14" x14ac:dyDescent="0.25">
      <c r="B15" s="4">
        <v>72.961799054402931</v>
      </c>
      <c r="C15" s="4">
        <v>54.94</v>
      </c>
      <c r="D15" s="3"/>
      <c r="E15" s="40">
        <v>66</v>
      </c>
      <c r="F15" s="35">
        <v>21</v>
      </c>
      <c r="G15" s="5"/>
      <c r="I15" s="40">
        <v>68</v>
      </c>
      <c r="J15" s="35">
        <v>13</v>
      </c>
      <c r="K15" s="22">
        <f t="shared" si="0"/>
        <v>1.045574987885052</v>
      </c>
      <c r="L15" s="26">
        <f t="shared" si="2"/>
        <v>0.85212134887178759</v>
      </c>
      <c r="M15" s="26">
        <f t="shared" si="1"/>
        <v>117.59274614430669</v>
      </c>
      <c r="N15" s="26">
        <f t="shared" si="3"/>
        <v>14.041607091466048</v>
      </c>
    </row>
    <row r="16" spans="2:14" x14ac:dyDescent="0.25">
      <c r="B16" s="4">
        <v>52.177833914839262</v>
      </c>
      <c r="C16" s="4">
        <v>55.201657059550698</v>
      </c>
      <c r="D16" s="3"/>
      <c r="E16" s="40">
        <v>68</v>
      </c>
      <c r="F16" s="35">
        <v>13</v>
      </c>
      <c r="G16" s="5"/>
      <c r="I16" s="40">
        <v>70</v>
      </c>
      <c r="J16" s="35">
        <v>12</v>
      </c>
      <c r="K16" s="22">
        <f t="shared" si="0"/>
        <v>1.4154936237021674</v>
      </c>
      <c r="L16" s="26">
        <f t="shared" si="2"/>
        <v>0.92153809169154111</v>
      </c>
      <c r="M16" s="26">
        <f t="shared" si="1"/>
        <v>127.17225665343267</v>
      </c>
      <c r="N16" s="26">
        <f t="shared" si="3"/>
        <v>9.5795105091259813</v>
      </c>
    </row>
    <row r="17" spans="2:16" x14ac:dyDescent="0.25">
      <c r="B17" s="4">
        <v>58.9732612021634</v>
      </c>
      <c r="C17" s="4">
        <v>55.23</v>
      </c>
      <c r="D17" s="3"/>
      <c r="E17" s="40">
        <v>70</v>
      </c>
      <c r="F17" s="35">
        <v>12</v>
      </c>
      <c r="G17" s="5"/>
      <c r="H17" s="8" t="s">
        <v>108</v>
      </c>
      <c r="I17" s="40">
        <v>70</v>
      </c>
      <c r="J17" s="35">
        <v>9</v>
      </c>
      <c r="K17" s="22" t="s">
        <v>112</v>
      </c>
      <c r="L17" s="26">
        <v>1</v>
      </c>
      <c r="M17" s="26">
        <f t="shared" si="1"/>
        <v>138</v>
      </c>
      <c r="N17" s="26">
        <f t="shared" si="3"/>
        <v>10.827743346567331</v>
      </c>
    </row>
    <row r="18" spans="2:16" x14ac:dyDescent="0.25">
      <c r="B18" s="4">
        <v>72.8021176246192</v>
      </c>
      <c r="C18" s="4">
        <v>56.3635560533328</v>
      </c>
      <c r="D18" s="3"/>
      <c r="E18" s="40">
        <v>72</v>
      </c>
      <c r="F18" s="35">
        <v>6</v>
      </c>
      <c r="G18" s="5"/>
      <c r="I18" s="40"/>
      <c r="J18" s="35"/>
    </row>
    <row r="19" spans="2:16" ht="13" x14ac:dyDescent="0.3">
      <c r="B19" s="4">
        <v>63.031658575756886</v>
      </c>
      <c r="C19" s="4">
        <v>56.56</v>
      </c>
      <c r="D19" s="3"/>
      <c r="E19" s="40">
        <v>74</v>
      </c>
      <c r="F19" s="35">
        <v>3</v>
      </c>
      <c r="G19" s="5"/>
      <c r="I19" s="43" t="s">
        <v>42</v>
      </c>
      <c r="J19" s="35">
        <f>SUM(J8:J17)</f>
        <v>138</v>
      </c>
      <c r="K19" s="35"/>
      <c r="L19" s="35"/>
      <c r="M19" s="35"/>
      <c r="N19" s="35">
        <f>SUM(N8:N17)</f>
        <v>138</v>
      </c>
    </row>
    <row r="20" spans="2:16" x14ac:dyDescent="0.25">
      <c r="B20" s="4">
        <v>59.568601255362168</v>
      </c>
      <c r="C20" s="4">
        <v>56.832926658195703</v>
      </c>
      <c r="D20" s="3"/>
      <c r="E20" s="40" t="s">
        <v>104</v>
      </c>
      <c r="F20" s="35">
        <v>0</v>
      </c>
      <c r="G20" s="5"/>
    </row>
    <row r="21" spans="2:16" ht="13" x14ac:dyDescent="0.3">
      <c r="B21" s="4">
        <v>60.049327317270333</v>
      </c>
      <c r="C21" s="4">
        <v>56.920747002101201</v>
      </c>
      <c r="D21" s="3"/>
      <c r="F21" s="9"/>
      <c r="G21" s="5"/>
      <c r="I21" s="35"/>
      <c r="J21" s="35"/>
    </row>
    <row r="22" spans="2:16" ht="13" x14ac:dyDescent="0.3">
      <c r="B22" s="4">
        <v>60.722364607258356</v>
      </c>
      <c r="C22" s="4">
        <v>56.921249045990201</v>
      </c>
      <c r="D22" s="3"/>
      <c r="G22" s="5"/>
      <c r="H22" s="9"/>
      <c r="J22" s="9"/>
      <c r="K22" s="9"/>
      <c r="N22" s="41"/>
    </row>
    <row r="23" spans="2:16" ht="13" x14ac:dyDescent="0.3">
      <c r="B23" s="4">
        <v>63.59012860743006</v>
      </c>
      <c r="C23" s="4">
        <v>56.953653286127498</v>
      </c>
      <c r="G23" s="9"/>
      <c r="H23" s="35"/>
      <c r="N23" s="41"/>
      <c r="O23" s="9"/>
      <c r="P23" s="9"/>
    </row>
    <row r="24" spans="2:16" x14ac:dyDescent="0.25">
      <c r="B24" s="4">
        <v>66.494592364812036</v>
      </c>
      <c r="C24" s="4">
        <v>57.4691694210428</v>
      </c>
      <c r="G24" s="40"/>
      <c r="H24" s="35"/>
      <c r="J24" s="39"/>
      <c r="K24" s="5"/>
      <c r="N24" s="41"/>
      <c r="O24" s="39"/>
      <c r="P24" s="5"/>
    </row>
    <row r="25" spans="2:16" x14ac:dyDescent="0.25">
      <c r="B25" s="4">
        <v>54.607909664020589</v>
      </c>
      <c r="C25" s="4">
        <v>57.541441381738899</v>
      </c>
      <c r="G25" s="40"/>
      <c r="H25" s="25"/>
      <c r="J25" s="39"/>
      <c r="K25" s="5"/>
      <c r="N25" s="41"/>
      <c r="O25" s="39"/>
      <c r="P25" s="5"/>
    </row>
    <row r="26" spans="2:16" x14ac:dyDescent="0.25">
      <c r="B26" s="4">
        <v>70.408498849476302</v>
      </c>
      <c r="C26" s="4">
        <v>57.854022352750597</v>
      </c>
      <c r="F26" s="40"/>
      <c r="G26" s="25"/>
      <c r="H26" s="40"/>
      <c r="J26" s="39"/>
      <c r="K26" s="5"/>
      <c r="N26" s="41"/>
      <c r="O26" s="39"/>
      <c r="P26" s="5"/>
    </row>
    <row r="27" spans="2:16" x14ac:dyDescent="0.25">
      <c r="B27" s="4">
        <v>65.878829467196894</v>
      </c>
      <c r="C27" s="4">
        <v>57.882016889145099</v>
      </c>
      <c r="F27" s="40"/>
      <c r="G27" s="40"/>
      <c r="H27" s="35"/>
      <c r="J27" s="39"/>
      <c r="K27" s="5"/>
      <c r="N27" s="41"/>
      <c r="O27" s="39"/>
      <c r="P27" s="5"/>
    </row>
    <row r="28" spans="2:16" x14ac:dyDescent="0.25">
      <c r="B28" s="4">
        <v>58.398595085802263</v>
      </c>
      <c r="C28" s="4">
        <v>58.17</v>
      </c>
      <c r="F28" s="40"/>
      <c r="G28" s="40"/>
      <c r="H28" s="35"/>
      <c r="J28" s="39"/>
      <c r="K28" s="5"/>
      <c r="N28" s="41"/>
      <c r="O28" s="39"/>
      <c r="P28" s="5"/>
    </row>
    <row r="29" spans="2:16" x14ac:dyDescent="0.25">
      <c r="B29" s="4">
        <v>59.2292235008346</v>
      </c>
      <c r="C29" s="4">
        <v>58.398595085802263</v>
      </c>
      <c r="F29" s="40"/>
      <c r="G29" s="40"/>
      <c r="H29" s="35"/>
      <c r="J29" s="39"/>
      <c r="K29" s="5"/>
      <c r="N29" s="41"/>
      <c r="O29" s="39"/>
      <c r="P29" s="5"/>
    </row>
    <row r="30" spans="2:16" x14ac:dyDescent="0.25">
      <c r="B30" s="4">
        <v>62.309350072680203</v>
      </c>
      <c r="C30" s="4">
        <v>58.430671946652701</v>
      </c>
      <c r="F30" s="40"/>
      <c r="G30" s="40"/>
      <c r="H30" s="35"/>
      <c r="J30" s="5"/>
      <c r="K30" s="5"/>
      <c r="N30" s="41"/>
      <c r="O30" s="39"/>
      <c r="P30" s="5"/>
    </row>
    <row r="31" spans="2:16" x14ac:dyDescent="0.25">
      <c r="B31" s="4">
        <v>68.449045953479796</v>
      </c>
      <c r="C31" s="4">
        <v>58.45</v>
      </c>
      <c r="F31" s="40"/>
      <c r="G31" s="40"/>
      <c r="H31" s="35"/>
      <c r="N31" s="41"/>
      <c r="O31" s="39"/>
      <c r="P31" s="5"/>
    </row>
    <row r="32" spans="2:16" x14ac:dyDescent="0.25">
      <c r="B32" s="4">
        <v>58.711675240503297</v>
      </c>
      <c r="C32" s="4">
        <v>58.624955656612201</v>
      </c>
      <c r="F32" s="40"/>
      <c r="G32" s="40"/>
      <c r="H32" s="35"/>
      <c r="N32" s="41"/>
      <c r="O32" s="39"/>
      <c r="P32" s="5"/>
    </row>
    <row r="33" spans="2:16" x14ac:dyDescent="0.25">
      <c r="B33" s="4">
        <v>65.317114364133502</v>
      </c>
      <c r="C33" s="4">
        <v>58.689338464194599</v>
      </c>
      <c r="F33" s="40"/>
      <c r="G33" s="40"/>
      <c r="H33" s="35"/>
      <c r="N33" s="41"/>
      <c r="O33" s="39"/>
      <c r="P33" s="5"/>
    </row>
    <row r="34" spans="2:16" x14ac:dyDescent="0.25">
      <c r="B34" s="4">
        <v>65.407777733219305</v>
      </c>
      <c r="C34" s="4">
        <v>58.693114955602198</v>
      </c>
      <c r="F34" s="40"/>
      <c r="G34" s="40"/>
      <c r="H34" s="35"/>
      <c r="N34" s="41"/>
      <c r="O34" s="39"/>
      <c r="P34" s="5"/>
    </row>
    <row r="35" spans="2:16" x14ac:dyDescent="0.25">
      <c r="B35" s="4">
        <v>60.895436104875003</v>
      </c>
      <c r="C35" s="4">
        <v>58.711675240503297</v>
      </c>
      <c r="F35" s="35"/>
      <c r="G35" s="40"/>
      <c r="H35" s="35"/>
      <c r="N35" s="41"/>
      <c r="O35" s="39"/>
      <c r="P35" s="5"/>
    </row>
    <row r="36" spans="2:16" x14ac:dyDescent="0.25">
      <c r="B36" s="4">
        <v>58.693114955602198</v>
      </c>
      <c r="C36" s="4">
        <v>58.890831497673197</v>
      </c>
      <c r="G36" s="40"/>
      <c r="H36" s="35"/>
      <c r="N36" s="41"/>
      <c r="O36" s="39"/>
      <c r="P36" s="5"/>
    </row>
    <row r="37" spans="2:16" x14ac:dyDescent="0.25">
      <c r="B37" s="4">
        <v>56.921249045990201</v>
      </c>
      <c r="C37" s="4">
        <v>58.955797866760797</v>
      </c>
      <c r="G37" s="35"/>
      <c r="N37" s="41"/>
      <c r="O37" s="39"/>
      <c r="P37" s="5"/>
    </row>
    <row r="38" spans="2:16" x14ac:dyDescent="0.25">
      <c r="B38" s="4">
        <v>63.496030551405902</v>
      </c>
      <c r="C38" s="4">
        <v>58.9732612021634</v>
      </c>
      <c r="H38" s="41"/>
      <c r="N38" s="41"/>
      <c r="O38" s="39"/>
      <c r="P38" s="5"/>
    </row>
    <row r="39" spans="2:16" x14ac:dyDescent="0.25">
      <c r="B39" s="4">
        <v>65.577936146154698</v>
      </c>
      <c r="C39" s="4">
        <v>59.2292235008346</v>
      </c>
      <c r="N39" s="41"/>
      <c r="O39" s="39"/>
      <c r="P39" s="5"/>
    </row>
    <row r="40" spans="2:16" x14ac:dyDescent="0.25">
      <c r="B40" s="4">
        <v>67.103202807989106</v>
      </c>
      <c r="C40" s="4">
        <v>59.269818021698299</v>
      </c>
      <c r="N40" s="41"/>
      <c r="O40" s="39"/>
      <c r="P40" s="5"/>
    </row>
    <row r="41" spans="2:16" x14ac:dyDescent="0.25">
      <c r="B41" s="4">
        <v>69.242661010272798</v>
      </c>
      <c r="C41" s="4">
        <v>59.568601255362168</v>
      </c>
      <c r="N41" s="41"/>
      <c r="O41" s="39"/>
      <c r="P41" s="5"/>
    </row>
    <row r="42" spans="2:16" x14ac:dyDescent="0.25">
      <c r="B42" s="4">
        <v>65.115722872534903</v>
      </c>
      <c r="C42" s="4">
        <v>59.7691175479778</v>
      </c>
      <c r="O42" s="39"/>
      <c r="P42" s="5"/>
    </row>
    <row r="43" spans="2:16" x14ac:dyDescent="0.25">
      <c r="B43" s="4">
        <v>68.415654564469094</v>
      </c>
      <c r="C43" s="4">
        <v>60.049327317270333</v>
      </c>
      <c r="O43" s="5"/>
      <c r="P43" s="5"/>
    </row>
    <row r="44" spans="2:16" x14ac:dyDescent="0.25">
      <c r="B44" s="4">
        <v>64.635826338575797</v>
      </c>
      <c r="C44" s="4">
        <v>60.38</v>
      </c>
    </row>
    <row r="45" spans="2:16" x14ac:dyDescent="0.25">
      <c r="B45" s="4">
        <v>66.957396713908693</v>
      </c>
      <c r="C45" s="4">
        <v>60.475734265148901</v>
      </c>
    </row>
    <row r="46" spans="2:16" x14ac:dyDescent="0.25">
      <c r="B46" s="4">
        <v>57.882016889145099</v>
      </c>
      <c r="C46" s="4">
        <v>60.483956625307364</v>
      </c>
    </row>
    <row r="47" spans="2:16" x14ac:dyDescent="0.25">
      <c r="B47" s="4">
        <v>66.012631361134893</v>
      </c>
      <c r="C47" s="4">
        <v>60.58</v>
      </c>
    </row>
    <row r="48" spans="2:16" x14ac:dyDescent="0.25">
      <c r="B48" s="4">
        <v>53.719713201180902</v>
      </c>
      <c r="C48" s="4">
        <v>60.654434341986097</v>
      </c>
    </row>
    <row r="49" spans="2:3" x14ac:dyDescent="0.25">
      <c r="B49" s="4">
        <v>51.098167013767203</v>
      </c>
      <c r="C49" s="4">
        <v>60.696752015014098</v>
      </c>
    </row>
    <row r="50" spans="2:3" x14ac:dyDescent="0.25">
      <c r="B50" s="4">
        <v>67.004711518885898</v>
      </c>
      <c r="C50" s="4">
        <v>60.722364607258356</v>
      </c>
    </row>
    <row r="51" spans="2:3" x14ac:dyDescent="0.25">
      <c r="B51" s="4">
        <v>63.579268691235796</v>
      </c>
      <c r="C51" s="4">
        <v>60.895436104875003</v>
      </c>
    </row>
    <row r="52" spans="2:3" x14ac:dyDescent="0.25">
      <c r="B52" s="4">
        <v>65.681064301390805</v>
      </c>
      <c r="C52" s="4">
        <v>61.22</v>
      </c>
    </row>
    <row r="53" spans="2:3" x14ac:dyDescent="0.25">
      <c r="B53" s="4">
        <v>69.610120445666197</v>
      </c>
      <c r="C53" s="4">
        <v>61.239248149476403</v>
      </c>
    </row>
    <row r="54" spans="2:3" x14ac:dyDescent="0.25">
      <c r="B54" s="4">
        <v>70.232860941129104</v>
      </c>
      <c r="C54" s="4">
        <v>61.416056420219618</v>
      </c>
    </row>
    <row r="55" spans="2:3" x14ac:dyDescent="0.25">
      <c r="B55" s="4">
        <v>68.120831398936502</v>
      </c>
      <c r="C55" s="4">
        <v>61.422083215058599</v>
      </c>
    </row>
    <row r="56" spans="2:3" x14ac:dyDescent="0.25">
      <c r="B56" s="4">
        <v>63.451687980672197</v>
      </c>
      <c r="C56" s="4">
        <v>61.520045433546727</v>
      </c>
    </row>
    <row r="57" spans="2:3" x14ac:dyDescent="0.25">
      <c r="B57" s="4">
        <v>58.890831497673197</v>
      </c>
      <c r="C57" s="4">
        <v>61.644544264149403</v>
      </c>
    </row>
    <row r="58" spans="2:3" x14ac:dyDescent="0.25">
      <c r="B58" s="4">
        <v>63.8761355173095</v>
      </c>
      <c r="C58" s="4">
        <v>61.645862478281302</v>
      </c>
    </row>
    <row r="59" spans="2:3" x14ac:dyDescent="0.25">
      <c r="B59" s="4">
        <v>57.541441381738899</v>
      </c>
      <c r="C59" s="4">
        <v>61.884771771120903</v>
      </c>
    </row>
    <row r="60" spans="2:3" x14ac:dyDescent="0.25">
      <c r="B60" s="4">
        <v>64.666643474930396</v>
      </c>
      <c r="C60" s="4">
        <v>61.981967690793297</v>
      </c>
    </row>
    <row r="61" spans="2:3" x14ac:dyDescent="0.25">
      <c r="B61" s="4">
        <v>63.136432204606599</v>
      </c>
      <c r="C61" s="4">
        <v>62.042948961907548</v>
      </c>
    </row>
    <row r="62" spans="2:3" x14ac:dyDescent="0.25">
      <c r="B62" s="4">
        <v>69.864546192714201</v>
      </c>
      <c r="C62" s="4">
        <v>62.0484395196139</v>
      </c>
    </row>
    <row r="63" spans="2:3" x14ac:dyDescent="0.25">
      <c r="B63" s="4">
        <v>61.884771771120903</v>
      </c>
      <c r="C63" s="4">
        <v>62.2937821139721</v>
      </c>
    </row>
    <row r="64" spans="2:3" x14ac:dyDescent="0.25">
      <c r="B64" s="4">
        <v>62.7901228143214</v>
      </c>
      <c r="C64" s="4">
        <v>62.309350072680203</v>
      </c>
    </row>
    <row r="65" spans="2:3" x14ac:dyDescent="0.25">
      <c r="B65" s="4">
        <v>58.624955656612201</v>
      </c>
      <c r="C65" s="4">
        <v>62.487346094310098</v>
      </c>
    </row>
    <row r="66" spans="2:3" x14ac:dyDescent="0.25">
      <c r="B66" s="4">
        <v>58.955797866760797</v>
      </c>
      <c r="C66" s="4">
        <v>62.730690054431577</v>
      </c>
    </row>
    <row r="67" spans="2:3" x14ac:dyDescent="0.25">
      <c r="B67" s="4">
        <v>60.696752015014098</v>
      </c>
      <c r="C67" s="4">
        <v>62.7901228143214</v>
      </c>
    </row>
    <row r="68" spans="2:3" x14ac:dyDescent="0.25">
      <c r="B68" s="4">
        <v>62.2937821139721</v>
      </c>
      <c r="C68" s="4">
        <v>62.91</v>
      </c>
    </row>
    <row r="69" spans="2:3" x14ac:dyDescent="0.25">
      <c r="B69" s="4">
        <v>64.557243623515106</v>
      </c>
      <c r="C69" s="4">
        <v>63.031658575756886</v>
      </c>
    </row>
    <row r="70" spans="2:3" x14ac:dyDescent="0.25">
      <c r="B70" s="4">
        <v>64.725468065297093</v>
      </c>
      <c r="C70" s="4">
        <v>63.136432204606599</v>
      </c>
    </row>
    <row r="71" spans="2:3" x14ac:dyDescent="0.25">
      <c r="B71" s="4">
        <v>56.3635560533328</v>
      </c>
      <c r="C71" s="4">
        <v>63.404742317650602</v>
      </c>
    </row>
    <row r="72" spans="2:3" x14ac:dyDescent="0.25">
      <c r="B72" s="4">
        <v>63.628203494880403</v>
      </c>
      <c r="C72" s="4">
        <v>63.451687980672197</v>
      </c>
    </row>
    <row r="73" spans="2:3" x14ac:dyDescent="0.25">
      <c r="B73" s="4">
        <v>63.532295550076498</v>
      </c>
      <c r="C73" s="4">
        <v>63.496030551405902</v>
      </c>
    </row>
    <row r="74" spans="2:3" x14ac:dyDescent="0.25">
      <c r="B74" s="4">
        <v>63.9571719510582</v>
      </c>
      <c r="C74" s="4">
        <v>63.532295550076498</v>
      </c>
    </row>
    <row r="75" spans="2:3" x14ac:dyDescent="0.25">
      <c r="B75" s="4">
        <v>66.143217657131103</v>
      </c>
      <c r="C75" s="4">
        <v>63.579268691235796</v>
      </c>
    </row>
    <row r="76" spans="2:3" x14ac:dyDescent="0.25">
      <c r="B76" s="4">
        <v>68.336950932690399</v>
      </c>
      <c r="C76" s="4">
        <v>63.58</v>
      </c>
    </row>
    <row r="77" spans="2:3" x14ac:dyDescent="0.25">
      <c r="B77" s="4">
        <v>58.689338464194599</v>
      </c>
      <c r="C77" s="4">
        <v>63.59012860743006</v>
      </c>
    </row>
    <row r="78" spans="2:3" x14ac:dyDescent="0.25">
      <c r="B78" s="4">
        <v>56.953653286127498</v>
      </c>
      <c r="C78" s="4">
        <v>63.594710386243896</v>
      </c>
    </row>
    <row r="79" spans="2:3" x14ac:dyDescent="0.25">
      <c r="B79" s="4">
        <v>68.264855102224402</v>
      </c>
      <c r="C79" s="4">
        <v>63.628203494880403</v>
      </c>
    </row>
    <row r="80" spans="2:3" x14ac:dyDescent="0.25">
      <c r="B80" s="4">
        <v>56.920747002101201</v>
      </c>
      <c r="C80" s="4">
        <v>63.75</v>
      </c>
    </row>
    <row r="81" spans="2:3" x14ac:dyDescent="0.25">
      <c r="B81" s="4">
        <v>52.301268948233997</v>
      </c>
      <c r="C81" s="4">
        <v>63.757861544594228</v>
      </c>
    </row>
    <row r="82" spans="2:3" x14ac:dyDescent="0.25">
      <c r="B82" s="4">
        <v>59.7691175479778</v>
      </c>
      <c r="C82" s="4">
        <v>63.78</v>
      </c>
    </row>
    <row r="83" spans="2:3" x14ac:dyDescent="0.25">
      <c r="B83" s="4">
        <v>59.269818021698299</v>
      </c>
      <c r="C83" s="4">
        <v>63.8761355173095</v>
      </c>
    </row>
    <row r="84" spans="2:3" x14ac:dyDescent="0.25">
      <c r="B84" s="4">
        <v>58.430671946652701</v>
      </c>
      <c r="C84" s="4">
        <v>63.9571719510582</v>
      </c>
    </row>
    <row r="85" spans="2:3" x14ac:dyDescent="0.25">
      <c r="B85" s="4">
        <v>57.854022352750597</v>
      </c>
      <c r="C85" s="4">
        <v>64.356476686817601</v>
      </c>
    </row>
    <row r="86" spans="2:3" x14ac:dyDescent="0.25">
      <c r="B86" s="4">
        <v>57.4691694210428</v>
      </c>
      <c r="C86" s="4">
        <v>64.419850798934007</v>
      </c>
    </row>
    <row r="87" spans="2:3" x14ac:dyDescent="0.25">
      <c r="B87" s="4">
        <v>60.654434341986097</v>
      </c>
      <c r="C87" s="4">
        <v>64.430000000000007</v>
      </c>
    </row>
    <row r="88" spans="2:3" x14ac:dyDescent="0.25">
      <c r="B88" s="4">
        <v>64.356476686817601</v>
      </c>
      <c r="C88" s="4">
        <v>64.489999999999995</v>
      </c>
    </row>
    <row r="89" spans="2:3" x14ac:dyDescent="0.25">
      <c r="B89" s="4">
        <v>56.832926658195703</v>
      </c>
      <c r="C89" s="4">
        <v>64.557243623515106</v>
      </c>
    </row>
    <row r="90" spans="2:3" x14ac:dyDescent="0.25">
      <c r="B90" s="4">
        <v>65.392890143170504</v>
      </c>
      <c r="C90" s="4">
        <v>64.635826338575797</v>
      </c>
    </row>
    <row r="91" spans="2:3" x14ac:dyDescent="0.25">
      <c r="B91" s="4">
        <v>61.239248149476403</v>
      </c>
      <c r="C91" s="4">
        <v>64.666643474930396</v>
      </c>
    </row>
    <row r="92" spans="2:3" x14ac:dyDescent="0.25">
      <c r="B92" s="4">
        <v>55.201657059550698</v>
      </c>
      <c r="C92" s="4">
        <v>64.677154534625714</v>
      </c>
    </row>
    <row r="93" spans="2:3" x14ac:dyDescent="0.25">
      <c r="B93" s="4">
        <v>45.384623285121201</v>
      </c>
      <c r="C93" s="4">
        <v>64.725468065297093</v>
      </c>
    </row>
    <row r="94" spans="2:3" x14ac:dyDescent="0.25">
      <c r="B94" s="4">
        <v>61.645862478281302</v>
      </c>
      <c r="C94" s="4">
        <v>64.73</v>
      </c>
    </row>
    <row r="95" spans="2:3" x14ac:dyDescent="0.25">
      <c r="B95" s="4">
        <v>62.0484395196139</v>
      </c>
      <c r="C95" s="4">
        <v>65.06</v>
      </c>
    </row>
    <row r="96" spans="2:3" x14ac:dyDescent="0.25">
      <c r="B96" s="4">
        <v>61.644544264149403</v>
      </c>
      <c r="C96" s="4">
        <v>65.115722872534903</v>
      </c>
    </row>
    <row r="97" spans="2:3" x14ac:dyDescent="0.25">
      <c r="B97" s="4">
        <v>63.404742317650602</v>
      </c>
      <c r="C97" s="4">
        <v>65.295442747470943</v>
      </c>
    </row>
    <row r="98" spans="2:3" x14ac:dyDescent="0.25">
      <c r="B98" s="4">
        <v>49.974378038982103</v>
      </c>
      <c r="C98" s="4">
        <v>65.317114364133502</v>
      </c>
    </row>
    <row r="99" spans="2:3" x14ac:dyDescent="0.25">
      <c r="B99" s="4">
        <v>42.197581444151098</v>
      </c>
      <c r="C99" s="4">
        <v>65.392890143170504</v>
      </c>
    </row>
    <row r="100" spans="2:3" x14ac:dyDescent="0.25">
      <c r="B100" s="4">
        <v>60.475734265148901</v>
      </c>
      <c r="C100" s="4">
        <v>65.407777733219305</v>
      </c>
    </row>
    <row r="101" spans="2:3" x14ac:dyDescent="0.25">
      <c r="B101" s="4">
        <v>66.976697938105303</v>
      </c>
      <c r="C101" s="4">
        <v>65.577936146154698</v>
      </c>
    </row>
    <row r="102" spans="2:3" x14ac:dyDescent="0.25">
      <c r="B102" s="4">
        <v>69.051938288101894</v>
      </c>
      <c r="C102" s="4">
        <v>65.59</v>
      </c>
    </row>
    <row r="103" spans="2:3" x14ac:dyDescent="0.25">
      <c r="B103" s="4">
        <v>63.594710386243896</v>
      </c>
      <c r="C103" s="4">
        <v>65.681064301390805</v>
      </c>
    </row>
    <row r="104" spans="2:3" x14ac:dyDescent="0.25">
      <c r="B104" s="4">
        <v>62.487346094310098</v>
      </c>
      <c r="C104" s="4">
        <v>65.84</v>
      </c>
    </row>
    <row r="105" spans="2:3" x14ac:dyDescent="0.25">
      <c r="B105" s="4">
        <v>67.119821308399594</v>
      </c>
      <c r="C105" s="4">
        <v>65.878829467196894</v>
      </c>
    </row>
    <row r="106" spans="2:3" x14ac:dyDescent="0.25">
      <c r="B106" s="4">
        <v>66.0190220880759</v>
      </c>
      <c r="C106" s="4">
        <v>66.012631361134893</v>
      </c>
    </row>
    <row r="107" spans="2:3" x14ac:dyDescent="0.25">
      <c r="B107" s="4">
        <v>54.5413787582062</v>
      </c>
      <c r="C107" s="4">
        <v>66.0190220880759</v>
      </c>
    </row>
    <row r="108" spans="2:3" x14ac:dyDescent="0.25">
      <c r="B108" s="4">
        <v>53.158456178465798</v>
      </c>
      <c r="C108" s="4">
        <v>66.097137147396495</v>
      </c>
    </row>
    <row r="109" spans="2:3" x14ac:dyDescent="0.25">
      <c r="B109" s="4">
        <v>54.853353896094099</v>
      </c>
      <c r="C109" s="4">
        <v>66.143217657131103</v>
      </c>
    </row>
    <row r="110" spans="2:3" x14ac:dyDescent="0.25">
      <c r="B110" s="4">
        <v>61.981967690793297</v>
      </c>
      <c r="C110" s="4">
        <v>66.209999999999994</v>
      </c>
    </row>
    <row r="111" spans="2:3" x14ac:dyDescent="0.25">
      <c r="B111" s="4">
        <v>61.422083215058599</v>
      </c>
      <c r="C111" s="4">
        <v>66.349999999999994</v>
      </c>
    </row>
    <row r="112" spans="2:3" x14ac:dyDescent="0.25">
      <c r="B112" s="4">
        <v>68.37</v>
      </c>
      <c r="C112" s="4">
        <v>66.400000000000006</v>
      </c>
    </row>
    <row r="113" spans="2:3" x14ac:dyDescent="0.25">
      <c r="B113" s="4">
        <v>54.94</v>
      </c>
      <c r="C113" s="4">
        <v>66.494592364812036</v>
      </c>
    </row>
    <row r="114" spans="2:3" x14ac:dyDescent="0.25">
      <c r="B114" s="4">
        <v>62.91</v>
      </c>
      <c r="C114" s="4">
        <v>66.957396713908693</v>
      </c>
    </row>
    <row r="115" spans="2:3" x14ac:dyDescent="0.25">
      <c r="B115" s="4">
        <v>73.7</v>
      </c>
      <c r="C115" s="4">
        <v>66.976697938105303</v>
      </c>
    </row>
    <row r="116" spans="2:3" x14ac:dyDescent="0.25">
      <c r="B116" s="4">
        <v>70.069999999999993</v>
      </c>
      <c r="C116" s="4">
        <v>67.004711518885898</v>
      </c>
    </row>
    <row r="117" spans="2:3" x14ac:dyDescent="0.25">
      <c r="B117" s="4">
        <v>68.48</v>
      </c>
      <c r="C117" s="4">
        <v>67.103202807989106</v>
      </c>
    </row>
    <row r="118" spans="2:3" x14ac:dyDescent="0.25">
      <c r="B118" s="4">
        <v>65.84</v>
      </c>
      <c r="C118" s="4">
        <v>67.119821308399594</v>
      </c>
    </row>
    <row r="119" spans="2:3" x14ac:dyDescent="0.25">
      <c r="B119" s="4">
        <v>63.75</v>
      </c>
      <c r="C119" s="4">
        <v>68.120831398936502</v>
      </c>
    </row>
    <row r="120" spans="2:3" x14ac:dyDescent="0.25">
      <c r="B120" s="4">
        <v>60.38</v>
      </c>
      <c r="C120" s="4">
        <v>68.264855102224402</v>
      </c>
    </row>
    <row r="121" spans="2:3" x14ac:dyDescent="0.25">
      <c r="B121" s="4">
        <v>65.06</v>
      </c>
      <c r="C121" s="4">
        <v>68.27</v>
      </c>
    </row>
    <row r="122" spans="2:3" x14ac:dyDescent="0.25">
      <c r="B122" s="4">
        <v>65.59</v>
      </c>
      <c r="C122" s="4">
        <v>68.336950932690399</v>
      </c>
    </row>
    <row r="123" spans="2:3" x14ac:dyDescent="0.25">
      <c r="B123" s="4">
        <v>68.27</v>
      </c>
      <c r="C123" s="4">
        <v>68.37</v>
      </c>
    </row>
    <row r="124" spans="2:3" x14ac:dyDescent="0.25">
      <c r="B124" s="4">
        <v>64.73</v>
      </c>
      <c r="C124" s="4">
        <v>68.415654564469094</v>
      </c>
    </row>
    <row r="125" spans="2:3" x14ac:dyDescent="0.25">
      <c r="B125" s="4">
        <v>53.28</v>
      </c>
      <c r="C125" s="4">
        <v>68.449045953479796</v>
      </c>
    </row>
    <row r="126" spans="2:3" x14ac:dyDescent="0.25">
      <c r="B126" s="4">
        <v>58.45</v>
      </c>
      <c r="C126" s="4">
        <v>68.48</v>
      </c>
    </row>
    <row r="127" spans="2:3" x14ac:dyDescent="0.25">
      <c r="B127" s="4">
        <v>63.78</v>
      </c>
      <c r="C127" s="4">
        <v>69.051938288101894</v>
      </c>
    </row>
    <row r="128" spans="2:3" x14ac:dyDescent="0.25">
      <c r="B128" s="4">
        <v>52.91</v>
      </c>
      <c r="C128" s="4">
        <v>69.242661010272798</v>
      </c>
    </row>
    <row r="129" spans="2:3" x14ac:dyDescent="0.25">
      <c r="B129" s="4">
        <v>64.430000000000007</v>
      </c>
      <c r="C129" s="4">
        <v>69.610120445666197</v>
      </c>
    </row>
    <row r="130" spans="2:3" x14ac:dyDescent="0.25">
      <c r="B130" s="4">
        <v>66.209999999999994</v>
      </c>
      <c r="C130" s="4">
        <v>69.864546192714201</v>
      </c>
    </row>
    <row r="131" spans="2:3" x14ac:dyDescent="0.25">
      <c r="B131" s="4">
        <v>56.56</v>
      </c>
      <c r="C131" s="4">
        <v>70.069999999999993</v>
      </c>
    </row>
    <row r="132" spans="2:3" x14ac:dyDescent="0.25">
      <c r="B132" s="4">
        <v>63.58</v>
      </c>
      <c r="C132" s="4">
        <v>70.232860941129104</v>
      </c>
    </row>
    <row r="133" spans="2:3" x14ac:dyDescent="0.25">
      <c r="B133" s="4">
        <v>66.349999999999994</v>
      </c>
      <c r="C133" s="4">
        <v>70.408498849476302</v>
      </c>
    </row>
    <row r="134" spans="2:3" x14ac:dyDescent="0.25">
      <c r="B134" s="4">
        <v>64.489999999999995</v>
      </c>
      <c r="C134" s="4">
        <v>70.454059601270686</v>
      </c>
    </row>
    <row r="135" spans="2:3" x14ac:dyDescent="0.25">
      <c r="B135" s="4">
        <v>61.22</v>
      </c>
      <c r="C135" s="4">
        <v>71.235185536438792</v>
      </c>
    </row>
    <row r="136" spans="2:3" x14ac:dyDescent="0.25">
      <c r="B136" s="4">
        <v>60.58</v>
      </c>
      <c r="C136" s="4">
        <v>71.439331909759545</v>
      </c>
    </row>
    <row r="137" spans="2:3" x14ac:dyDescent="0.25">
      <c r="B137" s="4">
        <v>58.17</v>
      </c>
      <c r="C137" s="4">
        <v>72.8021176246192</v>
      </c>
    </row>
    <row r="138" spans="2:3" x14ac:dyDescent="0.25">
      <c r="B138" s="4">
        <v>55.23</v>
      </c>
      <c r="C138" s="4">
        <v>72.961799054402931</v>
      </c>
    </row>
    <row r="139" spans="2:3" x14ac:dyDescent="0.25">
      <c r="B139" s="4">
        <v>66.400000000000006</v>
      </c>
      <c r="C139" s="4">
        <v>73.7</v>
      </c>
    </row>
  </sheetData>
  <mergeCells count="1">
    <mergeCell ref="E1:F1"/>
  </mergeCells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workbookViewId="0">
      <selection activeCell="C13" sqref="C13"/>
    </sheetView>
  </sheetViews>
  <sheetFormatPr defaultRowHeight="12.5" x14ac:dyDescent="0.25"/>
  <cols>
    <col min="2" max="2" width="13.81640625" style="3" bestFit="1" customWidth="1"/>
    <col min="3" max="3" width="14.54296875" style="3" bestFit="1" customWidth="1"/>
    <col min="4" max="4" width="10.54296875" customWidth="1"/>
    <col min="5" max="5" width="26" customWidth="1"/>
    <col min="6" max="6" width="13.54296875" bestFit="1" customWidth="1"/>
    <col min="7" max="7" width="14.1796875" bestFit="1" customWidth="1"/>
  </cols>
  <sheetData>
    <row r="1" spans="2:7" ht="13" x14ac:dyDescent="0.3">
      <c r="B1" s="2" t="s">
        <v>19</v>
      </c>
      <c r="C1" s="2" t="s">
        <v>18</v>
      </c>
      <c r="D1" s="1"/>
      <c r="E1" t="s">
        <v>7</v>
      </c>
    </row>
    <row r="2" spans="2:7" ht="13" thickBot="1" x14ac:dyDescent="0.3">
      <c r="B2" s="3">
        <v>77</v>
      </c>
      <c r="C2" s="3">
        <v>75</v>
      </c>
    </row>
    <row r="3" spans="2:7" ht="13" x14ac:dyDescent="0.3">
      <c r="B3" s="3">
        <v>66</v>
      </c>
      <c r="C3" s="3">
        <v>75</v>
      </c>
      <c r="E3" s="7"/>
      <c r="F3" s="10" t="s">
        <v>19</v>
      </c>
      <c r="G3" s="10" t="s">
        <v>18</v>
      </c>
    </row>
    <row r="4" spans="2:7" x14ac:dyDescent="0.25">
      <c r="B4" s="3">
        <v>69</v>
      </c>
      <c r="C4" s="3">
        <v>75</v>
      </c>
      <c r="E4" s="5" t="s">
        <v>1</v>
      </c>
      <c r="F4" s="5">
        <v>72.2</v>
      </c>
      <c r="G4" s="5">
        <v>75</v>
      </c>
    </row>
    <row r="5" spans="2:7" x14ac:dyDescent="0.25">
      <c r="B5" s="3">
        <v>71</v>
      </c>
      <c r="C5" s="3">
        <v>75</v>
      </c>
      <c r="E5" s="5" t="s">
        <v>8</v>
      </c>
      <c r="F5" s="5">
        <v>26.699999999999818</v>
      </c>
      <c r="G5" s="5">
        <v>0</v>
      </c>
    </row>
    <row r="6" spans="2:7" x14ac:dyDescent="0.25">
      <c r="B6" s="3">
        <v>78</v>
      </c>
      <c r="C6" s="3">
        <v>75</v>
      </c>
      <c r="E6" s="5" t="s">
        <v>9</v>
      </c>
      <c r="F6" s="5">
        <v>5</v>
      </c>
      <c r="G6" s="5">
        <v>5</v>
      </c>
    </row>
    <row r="7" spans="2:7" x14ac:dyDescent="0.25">
      <c r="E7" s="5" t="s">
        <v>10</v>
      </c>
      <c r="F7" s="5" t="e">
        <v>#DIV/0!</v>
      </c>
      <c r="G7" s="5"/>
    </row>
    <row r="8" spans="2:7" x14ac:dyDescent="0.25">
      <c r="E8" s="5" t="s">
        <v>11</v>
      </c>
      <c r="F8" s="5">
        <v>0</v>
      </c>
      <c r="G8" s="5"/>
    </row>
    <row r="9" spans="2:7" x14ac:dyDescent="0.25">
      <c r="E9" s="5" t="s">
        <v>12</v>
      </c>
      <c r="F9" s="5">
        <v>4</v>
      </c>
      <c r="G9" s="5"/>
    </row>
    <row r="10" spans="2:7" x14ac:dyDescent="0.25">
      <c r="E10" s="5" t="s">
        <v>13</v>
      </c>
      <c r="F10" s="5">
        <v>-1.2116785027421633</v>
      </c>
      <c r="G10" s="5"/>
    </row>
    <row r="11" spans="2:7" x14ac:dyDescent="0.25">
      <c r="E11" s="5" t="s">
        <v>14</v>
      </c>
      <c r="F11" s="5">
        <v>0.1461583853740363</v>
      </c>
      <c r="G11" s="5"/>
    </row>
    <row r="12" spans="2:7" x14ac:dyDescent="0.25">
      <c r="E12" s="5" t="s">
        <v>15</v>
      </c>
      <c r="F12" s="5">
        <v>2.1318467819039775</v>
      </c>
      <c r="G12" s="5"/>
    </row>
    <row r="13" spans="2:7" x14ac:dyDescent="0.25">
      <c r="E13" s="5" t="s">
        <v>16</v>
      </c>
      <c r="F13" s="5">
        <v>0.29231677074807261</v>
      </c>
      <c r="G13" s="5"/>
    </row>
    <row r="14" spans="2:7" ht="13" thickBot="1" x14ac:dyDescent="0.3">
      <c r="E14" s="6" t="s">
        <v>17</v>
      </c>
      <c r="F14" s="6">
        <v>2.7764451050438028</v>
      </c>
      <c r="G14" s="6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zoomScale="90" workbookViewId="0">
      <selection activeCell="C17" sqref="C17"/>
    </sheetView>
  </sheetViews>
  <sheetFormatPr defaultRowHeight="12.5" x14ac:dyDescent="0.25"/>
  <cols>
    <col min="4" max="4" width="9.26953125" customWidth="1"/>
    <col min="6" max="6" width="9.1796875" style="3" customWidth="1"/>
    <col min="8" max="8" width="4.54296875" customWidth="1"/>
    <col min="9" max="9" width="18.81640625" customWidth="1"/>
    <col min="10" max="10" width="9.453125" customWidth="1"/>
  </cols>
  <sheetData>
    <row r="1" spans="2:10" ht="13" x14ac:dyDescent="0.3">
      <c r="B1" s="92" t="s">
        <v>26</v>
      </c>
      <c r="C1" s="92"/>
      <c r="E1" s="2" t="s">
        <v>117</v>
      </c>
      <c r="F1" s="2" t="s">
        <v>113</v>
      </c>
      <c r="G1" s="2" t="s">
        <v>114</v>
      </c>
    </row>
    <row r="2" spans="2:10" ht="13" x14ac:dyDescent="0.3">
      <c r="B2" s="14" t="s">
        <v>120</v>
      </c>
      <c r="C2" s="14" t="s">
        <v>121</v>
      </c>
      <c r="E2" s="4">
        <v>24.151921656448394</v>
      </c>
      <c r="F2" s="30" t="s">
        <v>80</v>
      </c>
      <c r="G2" s="30">
        <v>1</v>
      </c>
      <c r="I2" s="1" t="s">
        <v>122</v>
      </c>
      <c r="J2" s="3">
        <f>SUM(G2,G4:G7,G9,G13:G16)</f>
        <v>82</v>
      </c>
    </row>
    <row r="3" spans="2:10" ht="13" x14ac:dyDescent="0.3">
      <c r="B3" s="4">
        <v>24.151921656448394</v>
      </c>
      <c r="C3" s="4">
        <v>24.463730535656214</v>
      </c>
      <c r="E3" s="4">
        <v>24.463730535656214</v>
      </c>
      <c r="F3" s="30" t="s">
        <v>81</v>
      </c>
      <c r="G3" s="30">
        <v>2</v>
      </c>
      <c r="I3" s="1"/>
    </row>
    <row r="4" spans="2:10" ht="13" x14ac:dyDescent="0.3">
      <c r="B4" s="4">
        <v>24.715827698310022</v>
      </c>
      <c r="C4" s="4">
        <v>24.99643499753147</v>
      </c>
      <c r="E4" s="4">
        <v>24.499267232749844</v>
      </c>
      <c r="F4" s="30" t="s">
        <v>80</v>
      </c>
      <c r="G4" s="30">
        <v>3</v>
      </c>
      <c r="I4" s="2" t="s">
        <v>115</v>
      </c>
      <c r="J4" s="3">
        <v>10</v>
      </c>
    </row>
    <row r="5" spans="2:10" ht="13" x14ac:dyDescent="0.3">
      <c r="B5" s="4">
        <v>24.736842482889188</v>
      </c>
      <c r="C5" s="4">
        <v>25.581203028862365</v>
      </c>
      <c r="E5" s="4">
        <v>24.715827698310022</v>
      </c>
      <c r="F5" s="30" t="s">
        <v>80</v>
      </c>
      <c r="G5" s="30">
        <v>4</v>
      </c>
      <c r="I5" s="2" t="s">
        <v>116</v>
      </c>
      <c r="J5" s="3">
        <v>10</v>
      </c>
    </row>
    <row r="6" spans="2:10" ht="13" x14ac:dyDescent="0.3">
      <c r="B6" s="4">
        <v>25.362630544259446</v>
      </c>
      <c r="C6" s="4">
        <v>24.897150235786103</v>
      </c>
      <c r="E6" s="4">
        <v>24.736842482889188</v>
      </c>
      <c r="F6" s="30" t="s">
        <v>80</v>
      </c>
      <c r="G6" s="30">
        <v>5</v>
      </c>
      <c r="I6" s="1"/>
    </row>
    <row r="7" spans="2:10" ht="13" x14ac:dyDescent="0.3">
      <c r="B7" s="4">
        <v>24.499267232749844</v>
      </c>
      <c r="C7" s="4">
        <v>26.021072865417228</v>
      </c>
      <c r="E7" s="4">
        <v>24.896974827606755</v>
      </c>
      <c r="F7" s="30" t="s">
        <v>80</v>
      </c>
      <c r="G7" s="30">
        <v>6.5</v>
      </c>
      <c r="I7" s="2" t="s">
        <v>106</v>
      </c>
      <c r="J7">
        <f>(J2-J4*(J4+J5+1)/2-0.5)/SQRT(J4*J5*(J4+J5+1)/12)</f>
        <v>-1.776433023143368</v>
      </c>
    </row>
    <row r="8" spans="2:10" ht="13" x14ac:dyDescent="0.3">
      <c r="B8" s="4">
        <v>25.250412426794355</v>
      </c>
      <c r="C8" s="4">
        <v>24.998609599363409</v>
      </c>
      <c r="E8" s="4">
        <v>24.897150235786103</v>
      </c>
      <c r="F8" s="30" t="s">
        <v>81</v>
      </c>
      <c r="G8" s="30">
        <v>6.5</v>
      </c>
      <c r="I8" s="2" t="s">
        <v>118</v>
      </c>
      <c r="J8">
        <f>NORMSDIST(J7)</f>
        <v>3.7830786071943519E-2</v>
      </c>
    </row>
    <row r="9" spans="2:10" ht="13" x14ac:dyDescent="0.3">
      <c r="B9" s="4">
        <v>24.920202753855847</v>
      </c>
      <c r="C9" s="4">
        <v>25.440372321766336</v>
      </c>
      <c r="E9" s="4">
        <v>24.920202753855847</v>
      </c>
      <c r="F9" s="30" t="s">
        <v>80</v>
      </c>
      <c r="G9" s="30">
        <v>8</v>
      </c>
      <c r="I9" s="2" t="s">
        <v>119</v>
      </c>
      <c r="J9">
        <f>2*J8</f>
        <v>7.5661572143887038E-2</v>
      </c>
    </row>
    <row r="10" spans="2:10" x14ac:dyDescent="0.25">
      <c r="B10" s="4">
        <v>25.408402229368221</v>
      </c>
      <c r="C10" s="4">
        <v>25.411785311673885</v>
      </c>
      <c r="E10" s="4">
        <v>24.947273170921836</v>
      </c>
      <c r="F10" s="30" t="s">
        <v>81</v>
      </c>
      <c r="G10" s="30">
        <v>9</v>
      </c>
    </row>
    <row r="11" spans="2:10" x14ac:dyDescent="0.25">
      <c r="B11" s="4">
        <v>24.896974827606755</v>
      </c>
      <c r="C11" s="4">
        <v>25.648546791428817</v>
      </c>
      <c r="E11" s="4">
        <v>24.99643499753147</v>
      </c>
      <c r="F11" s="30" t="s">
        <v>81</v>
      </c>
      <c r="G11" s="30">
        <v>10.5</v>
      </c>
    </row>
    <row r="12" spans="2:10" x14ac:dyDescent="0.25">
      <c r="B12" s="4">
        <v>25.14260353964346</v>
      </c>
      <c r="C12" s="4">
        <v>24.947273170921836</v>
      </c>
      <c r="E12" s="4">
        <v>24.998609599363409</v>
      </c>
      <c r="F12" s="30" t="s">
        <v>81</v>
      </c>
      <c r="G12" s="30">
        <v>10.5</v>
      </c>
    </row>
    <row r="13" spans="2:10" x14ac:dyDescent="0.25">
      <c r="E13" s="4">
        <v>25.14260353964346</v>
      </c>
      <c r="F13" s="30" t="s">
        <v>80</v>
      </c>
      <c r="G13" s="30">
        <v>12</v>
      </c>
    </row>
    <row r="14" spans="2:10" x14ac:dyDescent="0.25">
      <c r="E14" s="4">
        <v>25.250412426794355</v>
      </c>
      <c r="F14" s="30" t="s">
        <v>80</v>
      </c>
      <c r="G14" s="30">
        <v>13</v>
      </c>
    </row>
    <row r="15" spans="2:10" x14ac:dyDescent="0.25">
      <c r="E15" s="4">
        <v>25.362630544259446</v>
      </c>
      <c r="F15" s="30" t="s">
        <v>80</v>
      </c>
      <c r="G15" s="30">
        <v>14</v>
      </c>
    </row>
    <row r="16" spans="2:10" x14ac:dyDescent="0.25">
      <c r="E16" s="4">
        <v>25.408402229368221</v>
      </c>
      <c r="F16" s="30" t="s">
        <v>80</v>
      </c>
      <c r="G16" s="30">
        <v>15.5</v>
      </c>
    </row>
    <row r="17" spans="5:7" x14ac:dyDescent="0.25">
      <c r="E17" s="4">
        <v>25.411785311673885</v>
      </c>
      <c r="F17" s="30" t="s">
        <v>81</v>
      </c>
      <c r="G17" s="30">
        <v>15.5</v>
      </c>
    </row>
    <row r="18" spans="5:7" x14ac:dyDescent="0.25">
      <c r="E18" s="4">
        <v>25.440372321766336</v>
      </c>
      <c r="F18" s="30" t="s">
        <v>81</v>
      </c>
      <c r="G18" s="30">
        <v>17</v>
      </c>
    </row>
    <row r="19" spans="5:7" x14ac:dyDescent="0.25">
      <c r="E19" s="4">
        <v>25.581203028862365</v>
      </c>
      <c r="F19" s="30" t="s">
        <v>81</v>
      </c>
      <c r="G19" s="30">
        <v>18</v>
      </c>
    </row>
    <row r="20" spans="5:7" x14ac:dyDescent="0.25">
      <c r="E20" s="4">
        <v>25.648546791428817</v>
      </c>
      <c r="F20" s="3" t="s">
        <v>81</v>
      </c>
      <c r="G20" s="3">
        <v>19</v>
      </c>
    </row>
    <row r="21" spans="5:7" x14ac:dyDescent="0.25">
      <c r="E21" s="4">
        <v>26.021072865417228</v>
      </c>
      <c r="F21" s="3" t="s">
        <v>81</v>
      </c>
      <c r="G21" s="3">
        <v>20</v>
      </c>
    </row>
    <row r="41" spans="1:1" x14ac:dyDescent="0.25">
      <c r="A41" s="3"/>
    </row>
  </sheetData>
  <mergeCells count="1">
    <mergeCell ref="B1:C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0"/>
  <sheetViews>
    <sheetView workbookViewId="0">
      <selection activeCell="E4" sqref="E4"/>
    </sheetView>
  </sheetViews>
  <sheetFormatPr defaultRowHeight="12.5" x14ac:dyDescent="0.25"/>
  <cols>
    <col min="2" max="2" width="11" style="51" bestFit="1" customWidth="1"/>
    <col min="3" max="3" width="7.7265625" style="55" bestFit="1" customWidth="1"/>
    <col min="4" max="4" width="9.1796875" style="3" customWidth="1"/>
    <col min="11" max="11" width="12.54296875" style="51" bestFit="1" customWidth="1"/>
  </cols>
  <sheetData>
    <row r="1" spans="2:11" ht="13" x14ac:dyDescent="0.3">
      <c r="B1" s="14" t="s">
        <v>126</v>
      </c>
      <c r="C1" s="52" t="s">
        <v>223</v>
      </c>
      <c r="D1" s="2" t="s">
        <v>127</v>
      </c>
      <c r="K1" s="14" t="s">
        <v>133</v>
      </c>
    </row>
    <row r="2" spans="2:11" ht="13" x14ac:dyDescent="0.3">
      <c r="B2" s="49">
        <v>31.98</v>
      </c>
      <c r="C2" s="53">
        <v>0</v>
      </c>
      <c r="D2" s="4">
        <f t="shared" ref="D2:D33" si="0">AVERAGE(B12:B21)-AVERAGE(B2:B11)</f>
        <v>-2.252999999999993</v>
      </c>
      <c r="F2" s="1" t="s">
        <v>129</v>
      </c>
      <c r="K2" s="49">
        <v>31.98</v>
      </c>
    </row>
    <row r="3" spans="2:11" ht="13" x14ac:dyDescent="0.3">
      <c r="B3" s="49">
        <v>32.020000000000003</v>
      </c>
      <c r="C3" s="53">
        <v>0</v>
      </c>
      <c r="D3" s="4">
        <f t="shared" si="0"/>
        <v>-2.7520000000000024</v>
      </c>
      <c r="F3" s="1" t="s">
        <v>128</v>
      </c>
      <c r="K3" s="49">
        <v>32.020000000000003</v>
      </c>
    </row>
    <row r="4" spans="2:11" ht="13" x14ac:dyDescent="0.3">
      <c r="B4" s="49">
        <v>33.51</v>
      </c>
      <c r="C4" s="53">
        <v>0</v>
      </c>
      <c r="D4" s="4">
        <f t="shared" si="0"/>
        <v>-5.4510000000000005</v>
      </c>
      <c r="F4" s="15" t="s">
        <v>130</v>
      </c>
      <c r="K4" s="49">
        <v>33.51</v>
      </c>
    </row>
    <row r="5" spans="2:11" x14ac:dyDescent="0.25">
      <c r="B5" s="49">
        <v>31.79</v>
      </c>
      <c r="C5" s="53">
        <v>0</v>
      </c>
      <c r="D5" s="4">
        <f t="shared" si="0"/>
        <v>-5.0970000000000013</v>
      </c>
      <c r="K5" s="49">
        <v>31.79</v>
      </c>
    </row>
    <row r="6" spans="2:11" x14ac:dyDescent="0.25">
      <c r="B6" s="49">
        <v>31.03</v>
      </c>
      <c r="C6" s="53">
        <v>0</v>
      </c>
      <c r="D6" s="4">
        <f t="shared" si="0"/>
        <v>-6.0999999999999979</v>
      </c>
      <c r="F6" t="s">
        <v>131</v>
      </c>
      <c r="H6" s="4">
        <f>AVERAGE(B201:B210)</f>
        <v>29.115000000000002</v>
      </c>
      <c r="K6" s="49">
        <v>31.03</v>
      </c>
    </row>
    <row r="7" spans="2:11" x14ac:dyDescent="0.25">
      <c r="B7" s="49">
        <v>34.4</v>
      </c>
      <c r="C7" s="53">
        <v>0</v>
      </c>
      <c r="D7" s="4">
        <f t="shared" si="0"/>
        <v>-5.8319999999999972</v>
      </c>
      <c r="F7" t="s">
        <v>132</v>
      </c>
      <c r="H7" s="4">
        <f>AVERAGE(B191:B200)</f>
        <v>33.606000000000002</v>
      </c>
      <c r="K7" s="49">
        <v>34.4</v>
      </c>
    </row>
    <row r="8" spans="2:11" x14ac:dyDescent="0.25">
      <c r="B8" s="49">
        <v>36.369999999999997</v>
      </c>
      <c r="C8" s="53">
        <v>0</v>
      </c>
      <c r="D8" s="4">
        <f t="shared" si="0"/>
        <v>-5.4989999999999988</v>
      </c>
      <c r="F8" t="s">
        <v>134</v>
      </c>
      <c r="H8" s="58">
        <f>H6-H7</f>
        <v>-4.4909999999999997</v>
      </c>
      <c r="K8" s="49">
        <v>36.369999999999997</v>
      </c>
    </row>
    <row r="9" spans="2:11" x14ac:dyDescent="0.25">
      <c r="B9" s="49">
        <v>31.7</v>
      </c>
      <c r="C9" s="53">
        <v>0</v>
      </c>
      <c r="D9" s="4">
        <f t="shared" si="0"/>
        <v>-4.6540000000000035</v>
      </c>
      <c r="K9" s="49">
        <v>31.7</v>
      </c>
    </row>
    <row r="10" spans="2:11" x14ac:dyDescent="0.25">
      <c r="B10" s="49">
        <v>48.74</v>
      </c>
      <c r="C10" s="53">
        <v>0</v>
      </c>
      <c r="D10" s="4">
        <f t="shared" si="0"/>
        <v>-4.159999999999993</v>
      </c>
      <c r="F10" t="s">
        <v>224</v>
      </c>
      <c r="K10" s="49">
        <v>48.74</v>
      </c>
    </row>
    <row r="11" spans="2:11" x14ac:dyDescent="0.25">
      <c r="B11" s="49">
        <v>36.22</v>
      </c>
      <c r="C11" s="53">
        <v>0</v>
      </c>
      <c r="D11" s="4">
        <f t="shared" si="0"/>
        <v>-1.5310000000000024</v>
      </c>
      <c r="F11" t="s">
        <v>225</v>
      </c>
      <c r="H11" s="85">
        <f>PERCENTILE(D:D,0.1)</f>
        <v>-5.102100000000001</v>
      </c>
      <c r="I11" t="s">
        <v>233</v>
      </c>
      <c r="K11" s="49">
        <v>36.22</v>
      </c>
    </row>
    <row r="12" spans="2:11" x14ac:dyDescent="0.25">
      <c r="B12" s="49">
        <v>34.31</v>
      </c>
      <c r="C12" s="53">
        <v>0</v>
      </c>
      <c r="D12" s="4">
        <f t="shared" si="0"/>
        <v>-0.31200000000000472</v>
      </c>
      <c r="K12" s="49">
        <v>34.31</v>
      </c>
    </row>
    <row r="13" spans="2:11" x14ac:dyDescent="0.25">
      <c r="B13" s="49">
        <v>45.29</v>
      </c>
      <c r="C13" s="53">
        <v>0</v>
      </c>
      <c r="D13" s="4">
        <f t="shared" si="0"/>
        <v>-4.0999999999996817E-2</v>
      </c>
      <c r="F13" t="s">
        <v>226</v>
      </c>
      <c r="J13" s="48"/>
      <c r="K13" s="49">
        <v>45.29</v>
      </c>
    </row>
    <row r="14" spans="2:11" x14ac:dyDescent="0.25">
      <c r="B14" s="49">
        <v>33.21</v>
      </c>
      <c r="C14" s="53">
        <v>0</v>
      </c>
      <c r="D14" s="4">
        <f t="shared" si="0"/>
        <v>1.3489999999999966</v>
      </c>
      <c r="F14" s="84" t="s">
        <v>227</v>
      </c>
      <c r="J14" s="48"/>
      <c r="K14" s="49">
        <v>33.21</v>
      </c>
    </row>
    <row r="15" spans="2:11" x14ac:dyDescent="0.25">
      <c r="B15" s="49">
        <v>35.82</v>
      </c>
      <c r="C15" s="53">
        <v>0</v>
      </c>
      <c r="D15" s="4">
        <f t="shared" si="0"/>
        <v>0.21600000000000463</v>
      </c>
      <c r="F15" t="s">
        <v>228</v>
      </c>
      <c r="J15" s="48"/>
      <c r="K15" s="49">
        <v>35.82</v>
      </c>
    </row>
    <row r="16" spans="2:11" x14ac:dyDescent="0.25">
      <c r="B16" s="49">
        <v>30.62</v>
      </c>
      <c r="C16" s="53">
        <v>0</v>
      </c>
      <c r="D16" s="4">
        <f t="shared" si="0"/>
        <v>0.74100000000000321</v>
      </c>
      <c r="F16" t="s">
        <v>229</v>
      </c>
      <c r="K16" s="49">
        <v>30.62</v>
      </c>
    </row>
    <row r="17" spans="2:11" x14ac:dyDescent="0.25">
      <c r="B17" s="49">
        <v>31.61</v>
      </c>
      <c r="C17" s="53">
        <v>0</v>
      </c>
      <c r="D17" s="4">
        <f t="shared" si="0"/>
        <v>1.7999999999993577E-2</v>
      </c>
      <c r="F17" t="s">
        <v>230</v>
      </c>
      <c r="K17" s="49">
        <v>31.61</v>
      </c>
    </row>
    <row r="18" spans="2:11" x14ac:dyDescent="0.25">
      <c r="B18" s="49">
        <v>29.71</v>
      </c>
      <c r="C18" s="53">
        <v>0</v>
      </c>
      <c r="D18" s="4">
        <f t="shared" si="0"/>
        <v>1.0000000000001563E-2</v>
      </c>
      <c r="K18" s="49">
        <v>29.71</v>
      </c>
    </row>
    <row r="19" spans="2:11" x14ac:dyDescent="0.25">
      <c r="B19" s="49">
        <v>29.19</v>
      </c>
      <c r="C19" s="53">
        <v>0</v>
      </c>
      <c r="D19" s="4">
        <f t="shared" si="0"/>
        <v>0.10600000000000875</v>
      </c>
      <c r="F19" t="s">
        <v>231</v>
      </c>
      <c r="K19" s="49">
        <v>29.19</v>
      </c>
    </row>
    <row r="20" spans="2:11" x14ac:dyDescent="0.25">
      <c r="B20" s="49">
        <v>27.39</v>
      </c>
      <c r="C20" s="53">
        <v>0</v>
      </c>
      <c r="D20" s="4">
        <f t="shared" si="0"/>
        <v>8.1999999999997186E-2</v>
      </c>
      <c r="F20" t="s">
        <v>232</v>
      </c>
      <c r="H20" s="85">
        <f>PERCENTILE(D:D,0.05)</f>
        <v>-7.8154500000000047</v>
      </c>
      <c r="I20" t="s">
        <v>233</v>
      </c>
      <c r="K20" s="49">
        <v>27.39</v>
      </c>
    </row>
    <row r="21" spans="2:11" x14ac:dyDescent="0.25">
      <c r="B21" s="49">
        <v>28.08</v>
      </c>
      <c r="C21" s="53">
        <v>0</v>
      </c>
      <c r="D21" s="4">
        <f t="shared" si="0"/>
        <v>-0.39999999999999503</v>
      </c>
      <c r="K21" s="49">
        <v>28.08</v>
      </c>
    </row>
    <row r="22" spans="2:11" x14ac:dyDescent="0.25">
      <c r="B22" s="49">
        <v>31.65</v>
      </c>
      <c r="C22" s="53">
        <v>0</v>
      </c>
      <c r="D22" s="4">
        <f t="shared" si="0"/>
        <v>-0.76499999999999346</v>
      </c>
      <c r="K22" s="49">
        <v>31.65</v>
      </c>
    </row>
    <row r="23" spans="2:11" x14ac:dyDescent="0.25">
      <c r="B23" s="49">
        <v>31.57</v>
      </c>
      <c r="C23" s="53">
        <v>0</v>
      </c>
      <c r="D23" s="4">
        <f t="shared" si="0"/>
        <v>-0.55599999999999739</v>
      </c>
      <c r="K23" s="49">
        <v>31.57</v>
      </c>
    </row>
    <row r="24" spans="2:11" x14ac:dyDescent="0.25">
      <c r="B24" s="49">
        <v>36.450000000000003</v>
      </c>
      <c r="C24" s="53">
        <v>0</v>
      </c>
      <c r="D24" s="4">
        <f t="shared" si="0"/>
        <v>-0.33399999999999608</v>
      </c>
      <c r="K24" s="49">
        <v>36.450000000000003</v>
      </c>
    </row>
    <row r="25" spans="2:11" x14ac:dyDescent="0.25">
      <c r="B25" s="49">
        <v>29.82</v>
      </c>
      <c r="C25" s="53">
        <v>0</v>
      </c>
      <c r="D25" s="4">
        <f t="shared" si="0"/>
        <v>0.67099999999999582</v>
      </c>
      <c r="K25" s="49">
        <v>29.82</v>
      </c>
    </row>
    <row r="26" spans="2:11" x14ac:dyDescent="0.25">
      <c r="B26" s="49">
        <v>32.89</v>
      </c>
      <c r="C26" s="53">
        <v>0</v>
      </c>
      <c r="D26" s="4">
        <f t="shared" si="0"/>
        <v>0.96099999999999852</v>
      </c>
      <c r="K26" s="49">
        <v>32.89</v>
      </c>
    </row>
    <row r="27" spans="2:11" x14ac:dyDescent="0.25">
      <c r="B27" s="49">
        <v>32.15</v>
      </c>
      <c r="C27" s="53">
        <v>0</v>
      </c>
      <c r="D27" s="4">
        <f t="shared" si="0"/>
        <v>1.5040000000000084</v>
      </c>
      <c r="K27" s="49">
        <v>32.15</v>
      </c>
    </row>
    <row r="28" spans="2:11" x14ac:dyDescent="0.25">
      <c r="B28" s="49">
        <v>31.5</v>
      </c>
      <c r="C28" s="53">
        <v>0</v>
      </c>
      <c r="D28" s="4">
        <f t="shared" si="0"/>
        <v>1.2989999999999995</v>
      </c>
      <c r="K28" s="49">
        <v>31.5</v>
      </c>
    </row>
    <row r="29" spans="2:11" x14ac:dyDescent="0.25">
      <c r="B29" s="49">
        <v>31.62</v>
      </c>
      <c r="C29" s="53">
        <v>0</v>
      </c>
      <c r="D29" s="4">
        <f t="shared" si="0"/>
        <v>0.57699999999999463</v>
      </c>
      <c r="K29" s="49">
        <v>31.62</v>
      </c>
    </row>
    <row r="30" spans="2:11" x14ac:dyDescent="0.25">
      <c r="B30" s="49">
        <v>32.33</v>
      </c>
      <c r="C30" s="53">
        <v>0</v>
      </c>
      <c r="D30" s="4">
        <f t="shared" si="0"/>
        <v>-3.4999999999996589E-2</v>
      </c>
      <c r="K30" s="49">
        <v>32.33</v>
      </c>
    </row>
    <row r="31" spans="2:11" x14ac:dyDescent="0.25">
      <c r="B31" s="49">
        <v>32.130000000000003</v>
      </c>
      <c r="C31" s="53">
        <v>0</v>
      </c>
      <c r="D31" s="4">
        <f t="shared" si="0"/>
        <v>0.16300000000000736</v>
      </c>
      <c r="K31" s="49">
        <v>32.130000000000003</v>
      </c>
    </row>
    <row r="32" spans="2:11" x14ac:dyDescent="0.25">
      <c r="B32" s="49">
        <v>31.7</v>
      </c>
      <c r="C32" s="53">
        <v>0</v>
      </c>
      <c r="D32" s="4">
        <f t="shared" si="0"/>
        <v>0.23399999999999466</v>
      </c>
      <c r="K32" s="49">
        <v>31.7</v>
      </c>
    </row>
    <row r="33" spans="2:11" x14ac:dyDescent="0.25">
      <c r="B33" s="49">
        <v>31.75</v>
      </c>
      <c r="C33" s="53">
        <v>0</v>
      </c>
      <c r="D33" s="4">
        <f t="shared" si="0"/>
        <v>0.36399999999999721</v>
      </c>
      <c r="K33" s="49">
        <v>31.75</v>
      </c>
    </row>
    <row r="34" spans="2:11" x14ac:dyDescent="0.25">
      <c r="B34" s="49">
        <v>28.36</v>
      </c>
      <c r="C34" s="53">
        <v>0</v>
      </c>
      <c r="D34" s="4">
        <f t="shared" ref="D34:D65" si="1">AVERAGE(B44:B53)-AVERAGE(B34:B43)</f>
        <v>0.62300000000000466</v>
      </c>
      <c r="K34" s="49">
        <v>28.36</v>
      </c>
    </row>
    <row r="35" spans="2:11" x14ac:dyDescent="0.25">
      <c r="B35" s="49">
        <v>29.07</v>
      </c>
      <c r="C35" s="53">
        <v>0</v>
      </c>
      <c r="D35" s="4">
        <f t="shared" si="1"/>
        <v>1.0420000000000016</v>
      </c>
      <c r="K35" s="49">
        <v>29.07</v>
      </c>
    </row>
    <row r="36" spans="2:11" x14ac:dyDescent="0.25">
      <c r="B36" s="49">
        <v>27.93</v>
      </c>
      <c r="C36" s="53">
        <v>0</v>
      </c>
      <c r="D36" s="4">
        <f t="shared" si="1"/>
        <v>3.8170000000000002</v>
      </c>
      <c r="K36" s="49">
        <v>27.93</v>
      </c>
    </row>
    <row r="37" spans="2:11" x14ac:dyDescent="0.25">
      <c r="B37" s="49">
        <v>32.61</v>
      </c>
      <c r="C37" s="53">
        <v>0</v>
      </c>
      <c r="D37" s="4">
        <f t="shared" si="1"/>
        <v>4.7539999999999978</v>
      </c>
      <c r="K37" s="49">
        <v>32.61</v>
      </c>
    </row>
    <row r="38" spans="2:11" x14ac:dyDescent="0.25">
      <c r="B38" s="49">
        <v>34.25</v>
      </c>
      <c r="C38" s="53">
        <v>0</v>
      </c>
      <c r="D38" s="4">
        <f t="shared" si="1"/>
        <v>5.2890000000000015</v>
      </c>
      <c r="K38" s="49">
        <v>34.25</v>
      </c>
    </row>
    <row r="39" spans="2:11" x14ac:dyDescent="0.25">
      <c r="B39" s="49">
        <v>33.81</v>
      </c>
      <c r="C39" s="53">
        <v>0</v>
      </c>
      <c r="D39" s="4">
        <f t="shared" si="1"/>
        <v>6.424000000000003</v>
      </c>
      <c r="K39" s="49">
        <v>33.81</v>
      </c>
    </row>
    <row r="40" spans="2:11" x14ac:dyDescent="0.25">
      <c r="B40" s="49">
        <v>32.450000000000003</v>
      </c>
      <c r="C40" s="53">
        <v>0</v>
      </c>
      <c r="D40" s="4">
        <f t="shared" si="1"/>
        <v>7.3599999999999994</v>
      </c>
      <c r="K40" s="49">
        <v>32.450000000000003</v>
      </c>
    </row>
    <row r="41" spans="2:11" x14ac:dyDescent="0.25">
      <c r="B41" s="49">
        <v>32.53</v>
      </c>
      <c r="C41" s="53">
        <v>0</v>
      </c>
      <c r="D41" s="4">
        <f t="shared" si="1"/>
        <v>7.1729999999999983</v>
      </c>
      <c r="K41" s="49">
        <v>32.53</v>
      </c>
    </row>
    <row r="42" spans="2:11" x14ac:dyDescent="0.25">
      <c r="B42" s="49">
        <v>33.840000000000003</v>
      </c>
      <c r="C42" s="53">
        <v>0</v>
      </c>
      <c r="D42" s="4">
        <f t="shared" si="1"/>
        <v>7.7759999999999962</v>
      </c>
      <c r="K42" s="49">
        <v>33.840000000000003</v>
      </c>
    </row>
    <row r="43" spans="2:11" x14ac:dyDescent="0.25">
      <c r="B43" s="49">
        <v>34.15</v>
      </c>
      <c r="C43" s="53">
        <v>0</v>
      </c>
      <c r="D43" s="4">
        <f t="shared" si="1"/>
        <v>8.3299999999999983</v>
      </c>
      <c r="K43" s="49">
        <v>34.15</v>
      </c>
    </row>
    <row r="44" spans="2:11" x14ac:dyDescent="0.25">
      <c r="B44" s="49">
        <v>30.32</v>
      </c>
      <c r="C44" s="53">
        <v>0</v>
      </c>
      <c r="D44" s="4">
        <f t="shared" si="1"/>
        <v>8.2029999999999959</v>
      </c>
      <c r="K44" s="49">
        <v>30.32</v>
      </c>
    </row>
    <row r="45" spans="2:11" x14ac:dyDescent="0.25">
      <c r="B45" s="49">
        <v>31.22</v>
      </c>
      <c r="C45" s="53">
        <v>0</v>
      </c>
      <c r="D45" s="4">
        <f t="shared" si="1"/>
        <v>7.1700000000000017</v>
      </c>
      <c r="K45" s="49">
        <v>31.22</v>
      </c>
    </row>
    <row r="46" spans="2:11" x14ac:dyDescent="0.25">
      <c r="B46" s="49">
        <v>28.4</v>
      </c>
      <c r="C46" s="53">
        <v>0</v>
      </c>
      <c r="D46" s="4">
        <f t="shared" si="1"/>
        <v>1.3560000000000016</v>
      </c>
      <c r="K46" s="49">
        <v>28.4</v>
      </c>
    </row>
    <row r="47" spans="2:11" x14ac:dyDescent="0.25">
      <c r="B47" s="49">
        <v>31.02</v>
      </c>
      <c r="C47" s="53">
        <v>0</v>
      </c>
      <c r="D47" s="4">
        <f t="shared" si="1"/>
        <v>0.23100000000000165</v>
      </c>
      <c r="K47" s="49">
        <v>31.02</v>
      </c>
    </row>
    <row r="48" spans="2:11" x14ac:dyDescent="0.25">
      <c r="B48" s="49">
        <v>29.78</v>
      </c>
      <c r="C48" s="53">
        <v>0</v>
      </c>
      <c r="D48" s="4">
        <f t="shared" si="1"/>
        <v>-0.70400000000000063</v>
      </c>
      <c r="K48" s="49">
        <v>29.78</v>
      </c>
    </row>
    <row r="49" spans="2:11" x14ac:dyDescent="0.25">
      <c r="B49" s="49">
        <v>29.88</v>
      </c>
      <c r="C49" s="53">
        <v>0</v>
      </c>
      <c r="D49" s="4">
        <f t="shared" si="1"/>
        <v>-1.9810000000000016</v>
      </c>
      <c r="K49" s="49">
        <v>29.88</v>
      </c>
    </row>
    <row r="50" spans="2:11" x14ac:dyDescent="0.25">
      <c r="B50" s="49">
        <v>34.549999999999997</v>
      </c>
      <c r="C50" s="53">
        <v>0</v>
      </c>
      <c r="D50" s="4">
        <f t="shared" si="1"/>
        <v>-2.7590000000000074</v>
      </c>
      <c r="K50" s="49">
        <v>34.549999999999997</v>
      </c>
    </row>
    <row r="51" spans="2:11" x14ac:dyDescent="0.25">
      <c r="B51" s="49">
        <v>33.64</v>
      </c>
      <c r="C51" s="53">
        <v>0</v>
      </c>
      <c r="D51" s="4">
        <f t="shared" si="1"/>
        <v>-2.7820000000000107</v>
      </c>
      <c r="K51" s="49">
        <v>33.64</v>
      </c>
    </row>
    <row r="52" spans="2:11" x14ac:dyDescent="0.25">
      <c r="B52" s="49">
        <v>37.28</v>
      </c>
      <c r="C52" s="53">
        <v>0</v>
      </c>
      <c r="D52" s="4">
        <f t="shared" si="1"/>
        <v>-4.4059999999999917</v>
      </c>
      <c r="K52" s="49">
        <v>37.28</v>
      </c>
    </row>
    <row r="53" spans="2:11" x14ac:dyDescent="0.25">
      <c r="B53" s="49">
        <v>39.14</v>
      </c>
      <c r="C53" s="53">
        <v>0</v>
      </c>
      <c r="D53" s="4">
        <f t="shared" si="1"/>
        <v>-7.073999999999991</v>
      </c>
      <c r="K53" s="49">
        <v>39.14</v>
      </c>
    </row>
    <row r="54" spans="2:11" x14ac:dyDescent="0.25">
      <c r="B54" s="49">
        <v>36.47</v>
      </c>
      <c r="C54" s="53">
        <v>0</v>
      </c>
      <c r="D54" s="4">
        <f t="shared" si="1"/>
        <v>-8.64</v>
      </c>
      <c r="K54" s="49">
        <v>36.47</v>
      </c>
    </row>
    <row r="55" spans="2:11" x14ac:dyDescent="0.25">
      <c r="B55" s="49">
        <v>61.12</v>
      </c>
      <c r="C55" s="53">
        <v>0</v>
      </c>
      <c r="D55" s="4">
        <f t="shared" si="1"/>
        <v>-8.0899999999999963</v>
      </c>
      <c r="K55" s="49">
        <v>61.12</v>
      </c>
    </row>
    <row r="56" spans="2:11" x14ac:dyDescent="0.25">
      <c r="B56" s="49">
        <v>38.24</v>
      </c>
      <c r="C56" s="53">
        <v>0</v>
      </c>
      <c r="D56" s="4">
        <f t="shared" si="1"/>
        <v>-5.1480000000000032</v>
      </c>
      <c r="K56" s="49">
        <v>38.24</v>
      </c>
    </row>
    <row r="57" spans="2:11" x14ac:dyDescent="0.25">
      <c r="B57" s="49">
        <v>34.78</v>
      </c>
      <c r="C57" s="53">
        <v>0</v>
      </c>
      <c r="D57" s="4">
        <f t="shared" si="1"/>
        <v>-5.1950000000000003</v>
      </c>
      <c r="K57" s="49">
        <v>34.78</v>
      </c>
    </row>
    <row r="58" spans="2:11" x14ac:dyDescent="0.25">
      <c r="B58" s="49">
        <v>36.659999999999997</v>
      </c>
      <c r="C58" s="53">
        <v>0</v>
      </c>
      <c r="D58" s="4">
        <f t="shared" si="1"/>
        <v>-4.0059999999999931</v>
      </c>
      <c r="K58" s="49">
        <v>36.659999999999997</v>
      </c>
    </row>
    <row r="59" spans="2:11" x14ac:dyDescent="0.25">
      <c r="B59" s="49">
        <v>35.31</v>
      </c>
      <c r="C59" s="53">
        <v>0</v>
      </c>
      <c r="D59" s="4">
        <f t="shared" si="1"/>
        <v>-3.6429999999999936</v>
      </c>
      <c r="K59" s="49">
        <v>35.31</v>
      </c>
    </row>
    <row r="60" spans="2:11" x14ac:dyDescent="0.25">
      <c r="B60" s="49">
        <v>34.78</v>
      </c>
      <c r="C60" s="53">
        <v>0</v>
      </c>
      <c r="D60" s="4">
        <f t="shared" si="1"/>
        <v>-3.8159999999999954</v>
      </c>
      <c r="K60" s="49">
        <v>34.78</v>
      </c>
    </row>
    <row r="61" spans="2:11" x14ac:dyDescent="0.25">
      <c r="B61" s="49">
        <v>40.78</v>
      </c>
      <c r="C61" s="53">
        <v>0</v>
      </c>
      <c r="D61" s="4">
        <f t="shared" si="1"/>
        <v>-4.0069999999999979</v>
      </c>
      <c r="K61" s="49">
        <v>40.78</v>
      </c>
    </row>
    <row r="62" spans="2:11" x14ac:dyDescent="0.25">
      <c r="B62" s="49">
        <v>46.26</v>
      </c>
      <c r="C62" s="53">
        <v>0</v>
      </c>
      <c r="D62" s="4">
        <f t="shared" si="1"/>
        <v>-3.147000000000002</v>
      </c>
      <c r="K62" s="49">
        <v>46.26</v>
      </c>
    </row>
    <row r="63" spans="2:11" x14ac:dyDescent="0.25">
      <c r="B63" s="49">
        <v>42.86</v>
      </c>
      <c r="C63" s="53">
        <v>0</v>
      </c>
      <c r="D63" s="4">
        <f t="shared" si="1"/>
        <v>-1.4540000000000042</v>
      </c>
      <c r="K63" s="49">
        <v>42.86</v>
      </c>
    </row>
    <row r="64" spans="2:11" x14ac:dyDescent="0.25">
      <c r="B64" s="49">
        <v>32.29</v>
      </c>
      <c r="C64" s="53">
        <v>0</v>
      </c>
      <c r="D64" s="4">
        <f t="shared" si="1"/>
        <v>-0.40899999999999537</v>
      </c>
      <c r="K64" s="49">
        <v>32.29</v>
      </c>
    </row>
    <row r="65" spans="2:11" x14ac:dyDescent="0.25">
      <c r="B65" s="49">
        <v>32.880000000000003</v>
      </c>
      <c r="C65" s="53">
        <v>0</v>
      </c>
      <c r="D65" s="4">
        <f t="shared" si="1"/>
        <v>-0.36700000000000443</v>
      </c>
      <c r="K65" s="49">
        <v>32.880000000000003</v>
      </c>
    </row>
    <row r="66" spans="2:11" x14ac:dyDescent="0.25">
      <c r="B66" s="49">
        <v>36.83</v>
      </c>
      <c r="C66" s="53">
        <v>0</v>
      </c>
      <c r="D66" s="4">
        <f t="shared" ref="D66:D97" si="2">AVERAGE(B76:B85)-AVERAGE(B66:B75)</f>
        <v>-0.32399999999999807</v>
      </c>
      <c r="K66" s="49">
        <v>36.83</v>
      </c>
    </row>
    <row r="67" spans="2:11" x14ac:dyDescent="0.25">
      <c r="B67" s="49">
        <v>29.19</v>
      </c>
      <c r="C67" s="53">
        <v>0</v>
      </c>
      <c r="D67" s="4">
        <f t="shared" si="2"/>
        <v>-5.1000000000001933E-2</v>
      </c>
      <c r="K67" s="49">
        <v>29.19</v>
      </c>
    </row>
    <row r="68" spans="2:11" x14ac:dyDescent="0.25">
      <c r="B68" s="49">
        <v>30.77</v>
      </c>
      <c r="C68" s="53">
        <v>0</v>
      </c>
      <c r="D68" s="4">
        <f t="shared" si="2"/>
        <v>-0.93000000000000327</v>
      </c>
      <c r="K68" s="49">
        <v>30.77</v>
      </c>
    </row>
    <row r="69" spans="2:11" x14ac:dyDescent="0.25">
      <c r="B69" s="49">
        <v>32.96</v>
      </c>
      <c r="C69" s="53">
        <v>0</v>
      </c>
      <c r="D69" s="4">
        <f t="shared" si="2"/>
        <v>-0.47800000000000864</v>
      </c>
      <c r="K69" s="49">
        <v>32.96</v>
      </c>
    </row>
    <row r="70" spans="2:11" x14ac:dyDescent="0.25">
      <c r="B70" s="49">
        <v>34.78</v>
      </c>
      <c r="C70" s="53">
        <v>0</v>
      </c>
      <c r="D70" s="4">
        <f t="shared" si="2"/>
        <v>0.17200000000000415</v>
      </c>
      <c r="K70" s="49">
        <v>34.78</v>
      </c>
    </row>
    <row r="71" spans="2:11" x14ac:dyDescent="0.25">
      <c r="B71" s="49">
        <v>31.68</v>
      </c>
      <c r="C71" s="53">
        <v>0</v>
      </c>
      <c r="D71" s="4">
        <f t="shared" si="2"/>
        <v>0.36200000000000898</v>
      </c>
      <c r="K71" s="49">
        <v>31.68</v>
      </c>
    </row>
    <row r="72" spans="2:11" x14ac:dyDescent="0.25">
      <c r="B72" s="49">
        <v>28.56</v>
      </c>
      <c r="C72" s="53">
        <v>0</v>
      </c>
      <c r="D72" s="4">
        <f t="shared" si="2"/>
        <v>1.1419999999999995</v>
      </c>
      <c r="K72" s="49">
        <v>28.56</v>
      </c>
    </row>
    <row r="73" spans="2:11" x14ac:dyDescent="0.25">
      <c r="B73" s="49">
        <v>30.92</v>
      </c>
      <c r="C73" s="53">
        <v>0</v>
      </c>
      <c r="D73" s="4">
        <f t="shared" si="2"/>
        <v>2.4130000000000003</v>
      </c>
      <c r="K73" s="49">
        <v>30.92</v>
      </c>
    </row>
    <row r="74" spans="2:11" x14ac:dyDescent="0.25">
      <c r="B74" s="49">
        <v>33.61</v>
      </c>
      <c r="C74" s="53">
        <v>0</v>
      </c>
      <c r="D74" s="4">
        <f t="shared" si="2"/>
        <v>4.2309999999999981</v>
      </c>
      <c r="K74" s="49">
        <v>33.61</v>
      </c>
    </row>
    <row r="75" spans="2:11" x14ac:dyDescent="0.25">
      <c r="B75" s="49">
        <v>34.06</v>
      </c>
      <c r="C75" s="53">
        <v>0</v>
      </c>
      <c r="D75" s="4">
        <f t="shared" si="2"/>
        <v>5.409000000000006</v>
      </c>
      <c r="K75" s="49">
        <v>34.06</v>
      </c>
    </row>
    <row r="76" spans="2:11" x14ac:dyDescent="0.25">
      <c r="B76" s="49">
        <v>34.950000000000003</v>
      </c>
      <c r="C76" s="53">
        <v>0</v>
      </c>
      <c r="D76" s="4">
        <f t="shared" si="2"/>
        <v>5.2289999999999992</v>
      </c>
      <c r="K76" s="49">
        <v>34.950000000000003</v>
      </c>
    </row>
    <row r="77" spans="2:11" x14ac:dyDescent="0.25">
      <c r="B77" s="49">
        <v>35.49</v>
      </c>
      <c r="C77" s="53">
        <v>0</v>
      </c>
      <c r="D77" s="4">
        <f t="shared" si="2"/>
        <v>4.7250000000000014</v>
      </c>
      <c r="K77" s="49">
        <v>35.49</v>
      </c>
    </row>
    <row r="78" spans="2:11" x14ac:dyDescent="0.25">
      <c r="B78" s="49">
        <v>28.51</v>
      </c>
      <c r="C78" s="53">
        <v>0</v>
      </c>
      <c r="D78" s="4">
        <f t="shared" si="2"/>
        <v>5.0889999999999951</v>
      </c>
      <c r="K78" s="49">
        <v>28.51</v>
      </c>
    </row>
    <row r="79" spans="2:11" x14ac:dyDescent="0.25">
      <c r="B79" s="49">
        <v>28.88</v>
      </c>
      <c r="C79" s="53">
        <v>0</v>
      </c>
      <c r="D79" s="4">
        <f t="shared" si="2"/>
        <v>6.7179999999999964</v>
      </c>
      <c r="K79" s="49">
        <v>28.88</v>
      </c>
    </row>
    <row r="80" spans="2:11" x14ac:dyDescent="0.25">
      <c r="B80" s="49">
        <v>32.869999999999997</v>
      </c>
      <c r="C80" s="53">
        <v>0</v>
      </c>
      <c r="D80" s="4">
        <f t="shared" si="2"/>
        <v>7.1169999999999902</v>
      </c>
      <c r="K80" s="49">
        <v>32.869999999999997</v>
      </c>
    </row>
    <row r="81" spans="2:11" x14ac:dyDescent="0.25">
      <c r="B81" s="49">
        <v>31.18</v>
      </c>
      <c r="C81" s="53">
        <v>0</v>
      </c>
      <c r="D81" s="4">
        <f t="shared" si="2"/>
        <v>6.4249999999999901</v>
      </c>
      <c r="K81" s="49">
        <v>31.18</v>
      </c>
    </row>
    <row r="82" spans="2:11" x14ac:dyDescent="0.25">
      <c r="B82" s="49">
        <v>27.79</v>
      </c>
      <c r="C82" s="53">
        <v>0</v>
      </c>
      <c r="D82" s="4">
        <f t="shared" si="2"/>
        <v>5.0349999999999966</v>
      </c>
      <c r="K82" s="49">
        <v>27.79</v>
      </c>
    </row>
    <row r="83" spans="2:11" x14ac:dyDescent="0.25">
      <c r="B83" s="49">
        <v>29.43</v>
      </c>
      <c r="C83" s="53">
        <v>0</v>
      </c>
      <c r="D83" s="4">
        <f t="shared" si="2"/>
        <v>3.384999999999998</v>
      </c>
      <c r="K83" s="49">
        <v>29.43</v>
      </c>
    </row>
    <row r="84" spans="2:11" x14ac:dyDescent="0.25">
      <c r="B84" s="49">
        <v>35.35</v>
      </c>
      <c r="C84" s="53">
        <v>0</v>
      </c>
      <c r="D84" s="4">
        <f t="shared" si="2"/>
        <v>0.35900000000000176</v>
      </c>
      <c r="K84" s="49">
        <v>35.35</v>
      </c>
    </row>
    <row r="85" spans="2:11" x14ac:dyDescent="0.25">
      <c r="B85" s="49">
        <v>35.67</v>
      </c>
      <c r="C85" s="53">
        <v>0</v>
      </c>
      <c r="D85" s="4">
        <f t="shared" si="2"/>
        <v>-2.2710000000000079</v>
      </c>
      <c r="K85" s="49">
        <v>35.67</v>
      </c>
    </row>
    <row r="86" spans="2:11" x14ac:dyDescent="0.25">
      <c r="B86" s="49">
        <v>35.799999999999997</v>
      </c>
      <c r="C86" s="53">
        <v>0</v>
      </c>
      <c r="D86" s="4">
        <f t="shared" si="2"/>
        <v>-2.4180000000000064</v>
      </c>
      <c r="K86" s="49">
        <v>35.799999999999997</v>
      </c>
    </row>
    <row r="87" spans="2:11" x14ac:dyDescent="0.25">
      <c r="B87" s="49">
        <v>33</v>
      </c>
      <c r="C87" s="53">
        <v>0</v>
      </c>
      <c r="D87" s="4">
        <f t="shared" si="2"/>
        <v>-1.8539999999999992</v>
      </c>
      <c r="K87" s="49">
        <v>33</v>
      </c>
    </row>
    <row r="88" spans="2:11" x14ac:dyDescent="0.25">
      <c r="B88" s="49">
        <v>30.77</v>
      </c>
      <c r="C88" s="53">
        <v>0</v>
      </c>
      <c r="D88" s="4">
        <f t="shared" si="2"/>
        <v>-0.37099999999999511</v>
      </c>
      <c r="K88" s="49">
        <v>30.77</v>
      </c>
    </row>
    <row r="89" spans="2:11" x14ac:dyDescent="0.25">
      <c r="B89" s="49">
        <v>31.3</v>
      </c>
      <c r="C89" s="53">
        <v>0</v>
      </c>
      <c r="D89" s="4">
        <f t="shared" si="2"/>
        <v>-2.5779999999999887</v>
      </c>
      <c r="K89" s="49">
        <v>31.3</v>
      </c>
    </row>
    <row r="90" spans="2:11" x14ac:dyDescent="0.25">
      <c r="B90" s="49">
        <v>32.86</v>
      </c>
      <c r="C90" s="53">
        <v>0</v>
      </c>
      <c r="D90" s="4">
        <f t="shared" si="2"/>
        <v>-2.6499999999999915</v>
      </c>
      <c r="K90" s="49">
        <v>32.86</v>
      </c>
    </row>
    <row r="91" spans="2:11" x14ac:dyDescent="0.25">
      <c r="B91" s="49">
        <v>38.479999999999997</v>
      </c>
      <c r="C91" s="53">
        <v>0</v>
      </c>
      <c r="D91" s="4">
        <f t="shared" si="2"/>
        <v>-0.1039999999999992</v>
      </c>
      <c r="K91" s="49">
        <v>38.479999999999997</v>
      </c>
    </row>
    <row r="92" spans="2:11" x14ac:dyDescent="0.25">
      <c r="B92" s="49">
        <v>39.729999999999997</v>
      </c>
      <c r="C92" s="53">
        <v>0</v>
      </c>
      <c r="D92" s="4">
        <f t="shared" si="2"/>
        <v>0.83500000000000085</v>
      </c>
      <c r="K92" s="49">
        <v>39.729999999999997</v>
      </c>
    </row>
    <row r="93" spans="2:11" x14ac:dyDescent="0.25">
      <c r="B93" s="49">
        <v>46.12</v>
      </c>
      <c r="C93" s="53">
        <v>0</v>
      </c>
      <c r="D93" s="4">
        <f t="shared" si="2"/>
        <v>1.5599999999999952</v>
      </c>
      <c r="K93" s="49">
        <v>46.12</v>
      </c>
    </row>
    <row r="94" spans="2:11" x14ac:dyDescent="0.25">
      <c r="B94" s="49">
        <v>48.87</v>
      </c>
      <c r="C94" s="53">
        <v>0</v>
      </c>
      <c r="D94" s="4">
        <f t="shared" si="2"/>
        <v>2.9799999999999969</v>
      </c>
      <c r="K94" s="49">
        <v>48.87</v>
      </c>
    </row>
    <row r="95" spans="2:11" x14ac:dyDescent="0.25">
      <c r="B95" s="49">
        <v>35.479999999999997</v>
      </c>
      <c r="C95" s="53">
        <v>0</v>
      </c>
      <c r="D95" s="4">
        <f t="shared" si="2"/>
        <v>3.862000000000009</v>
      </c>
      <c r="K95" s="49">
        <v>35.479999999999997</v>
      </c>
    </row>
    <row r="96" spans="2:11" x14ac:dyDescent="0.25">
      <c r="B96" s="49">
        <v>31.61</v>
      </c>
      <c r="C96" s="53">
        <v>0</v>
      </c>
      <c r="D96" s="4">
        <f t="shared" si="2"/>
        <v>4.4990000000000094</v>
      </c>
      <c r="K96" s="49">
        <v>31.61</v>
      </c>
    </row>
    <row r="97" spans="2:11" x14ac:dyDescent="0.25">
      <c r="B97" s="49">
        <v>34.15</v>
      </c>
      <c r="C97" s="53">
        <v>0</v>
      </c>
      <c r="D97" s="4">
        <f t="shared" si="2"/>
        <v>4.5720000000000027</v>
      </c>
      <c r="K97" s="49">
        <v>34.15</v>
      </c>
    </row>
    <row r="98" spans="2:11" x14ac:dyDescent="0.25">
      <c r="B98" s="49">
        <v>49.32</v>
      </c>
      <c r="C98" s="53">
        <v>0</v>
      </c>
      <c r="D98" s="4">
        <f t="shared" ref="D98:D129" si="3">AVERAGE(B108:B117)-AVERAGE(B98:B107)</f>
        <v>1.2389999999999901</v>
      </c>
      <c r="K98" s="49">
        <v>49.32</v>
      </c>
    </row>
    <row r="99" spans="2:11" x14ac:dyDescent="0.25">
      <c r="B99" s="49">
        <v>37.71</v>
      </c>
      <c r="C99" s="53">
        <v>0</v>
      </c>
      <c r="D99" s="4">
        <f t="shared" si="3"/>
        <v>0.24599999999999511</v>
      </c>
      <c r="K99" s="49">
        <v>37.71</v>
      </c>
    </row>
    <row r="100" spans="2:11" x14ac:dyDescent="0.25">
      <c r="B100" s="49">
        <v>25.93</v>
      </c>
      <c r="C100" s="53">
        <v>0</v>
      </c>
      <c r="D100" s="4">
        <f t="shared" si="3"/>
        <v>-0.83500000000000085</v>
      </c>
      <c r="K100" s="49">
        <v>25.93</v>
      </c>
    </row>
    <row r="101" spans="2:11" x14ac:dyDescent="0.25">
      <c r="B101" s="49">
        <v>31.88</v>
      </c>
      <c r="C101" s="53">
        <v>0</v>
      </c>
      <c r="D101" s="4">
        <f t="shared" si="3"/>
        <v>-3.2619999999999933</v>
      </c>
      <c r="K101" s="49">
        <v>31.88</v>
      </c>
    </row>
    <row r="102" spans="2:11" x14ac:dyDescent="0.25">
      <c r="B102" s="49">
        <v>35.17</v>
      </c>
      <c r="C102" s="53">
        <v>0</v>
      </c>
      <c r="D102" s="4">
        <f t="shared" si="3"/>
        <v>-2.7089999999999961</v>
      </c>
      <c r="K102" s="49">
        <v>35.17</v>
      </c>
    </row>
    <row r="103" spans="2:11" x14ac:dyDescent="0.25">
      <c r="B103" s="49">
        <v>32.549999999999997</v>
      </c>
      <c r="C103" s="53">
        <v>0</v>
      </c>
      <c r="D103" s="4">
        <f t="shared" si="3"/>
        <v>-2.722999999999999</v>
      </c>
      <c r="K103" s="49">
        <v>32.549999999999997</v>
      </c>
    </row>
    <row r="104" spans="2:11" x14ac:dyDescent="0.25">
      <c r="B104" s="49">
        <v>36.090000000000003</v>
      </c>
      <c r="C104" s="53">
        <v>0</v>
      </c>
      <c r="D104" s="4">
        <f t="shared" si="3"/>
        <v>-2.3860000000000028</v>
      </c>
      <c r="K104" s="49">
        <v>36.090000000000003</v>
      </c>
    </row>
    <row r="105" spans="2:11" x14ac:dyDescent="0.25">
      <c r="B105" s="49">
        <v>33.82</v>
      </c>
      <c r="C105" s="53">
        <v>0</v>
      </c>
      <c r="D105" s="4">
        <f t="shared" si="3"/>
        <v>-1.5320000000000107</v>
      </c>
      <c r="K105" s="49">
        <v>33.82</v>
      </c>
    </row>
    <row r="106" spans="2:11" x14ac:dyDescent="0.25">
      <c r="B106" s="49">
        <v>33.06</v>
      </c>
      <c r="C106" s="53">
        <v>0</v>
      </c>
      <c r="D106" s="4">
        <f t="shared" si="3"/>
        <v>-1.6530000000000058</v>
      </c>
      <c r="K106" s="49">
        <v>33.06</v>
      </c>
    </row>
    <row r="107" spans="2:11" x14ac:dyDescent="0.25">
      <c r="B107" s="49">
        <v>50.13</v>
      </c>
      <c r="C107" s="53">
        <v>0</v>
      </c>
      <c r="D107" s="4">
        <f t="shared" si="3"/>
        <v>-2.1380000000000123</v>
      </c>
      <c r="K107" s="49">
        <v>50.13</v>
      </c>
    </row>
    <row r="108" spans="2:11" x14ac:dyDescent="0.25">
      <c r="B108" s="49">
        <v>45.8</v>
      </c>
      <c r="C108" s="53">
        <v>0</v>
      </c>
      <c r="D108" s="4">
        <f t="shared" si="3"/>
        <v>6.1000000000007049E-2</v>
      </c>
      <c r="K108" s="49">
        <v>45.8</v>
      </c>
    </row>
    <row r="109" spans="2:11" x14ac:dyDescent="0.25">
      <c r="B109" s="49">
        <v>43.4</v>
      </c>
      <c r="C109" s="53">
        <v>0</v>
      </c>
      <c r="D109" s="4">
        <f t="shared" si="3"/>
        <v>2.2080000000000055</v>
      </c>
      <c r="K109" s="49">
        <v>43.4</v>
      </c>
    </row>
    <row r="110" spans="2:11" x14ac:dyDescent="0.25">
      <c r="B110" s="49">
        <v>44.46</v>
      </c>
      <c r="C110" s="53">
        <v>0</v>
      </c>
      <c r="D110" s="4">
        <f t="shared" si="3"/>
        <v>4.0069999999999979</v>
      </c>
      <c r="K110" s="49">
        <v>44.46</v>
      </c>
    </row>
    <row r="111" spans="2:11" x14ac:dyDescent="0.25">
      <c r="B111" s="49">
        <v>34.67</v>
      </c>
      <c r="C111" s="53">
        <v>0</v>
      </c>
      <c r="D111" s="4">
        <f t="shared" si="3"/>
        <v>4.1950000000000003</v>
      </c>
      <c r="K111" s="49">
        <v>34.67</v>
      </c>
    </row>
    <row r="112" spans="2:11" x14ac:dyDescent="0.25">
      <c r="B112" s="49">
        <v>37.86</v>
      </c>
      <c r="C112" s="53">
        <v>0</v>
      </c>
      <c r="D112" s="4">
        <f t="shared" si="3"/>
        <v>2.4979999999999905</v>
      </c>
      <c r="K112" s="49">
        <v>37.86</v>
      </c>
    </row>
    <row r="113" spans="2:11" x14ac:dyDescent="0.25">
      <c r="B113" s="49">
        <v>33.18</v>
      </c>
      <c r="C113" s="53">
        <v>0</v>
      </c>
      <c r="D113" s="4">
        <f t="shared" si="3"/>
        <v>1.7760000000000034</v>
      </c>
      <c r="K113" s="49">
        <v>33.18</v>
      </c>
    </row>
    <row r="114" spans="2:11" x14ac:dyDescent="0.25">
      <c r="B114" s="49">
        <v>32.130000000000003</v>
      </c>
      <c r="C114" s="53">
        <v>0</v>
      </c>
      <c r="D114" s="4">
        <f t="shared" si="3"/>
        <v>0.74200000000000443</v>
      </c>
      <c r="K114" s="49">
        <v>32.130000000000003</v>
      </c>
    </row>
    <row r="115" spans="2:11" x14ac:dyDescent="0.25">
      <c r="B115" s="49">
        <v>38.53</v>
      </c>
      <c r="C115" s="53">
        <v>0</v>
      </c>
      <c r="D115" s="4">
        <f t="shared" si="3"/>
        <v>-0.28299999999999415</v>
      </c>
      <c r="K115" s="49">
        <v>38.53</v>
      </c>
    </row>
    <row r="116" spans="2:11" x14ac:dyDescent="0.25">
      <c r="B116" s="49">
        <v>35.24</v>
      </c>
      <c r="C116" s="53">
        <v>0</v>
      </c>
      <c r="D116" s="4">
        <f t="shared" si="3"/>
        <v>-1.195999999999998</v>
      </c>
      <c r="K116" s="49">
        <v>35.24</v>
      </c>
    </row>
    <row r="117" spans="2:11" x14ac:dyDescent="0.25">
      <c r="B117" s="49">
        <v>32.78</v>
      </c>
      <c r="C117" s="53">
        <v>0</v>
      </c>
      <c r="D117" s="4">
        <f t="shared" si="3"/>
        <v>-1.1569999999999894</v>
      </c>
      <c r="K117" s="49">
        <v>32.78</v>
      </c>
    </row>
    <row r="118" spans="2:11" x14ac:dyDescent="0.25">
      <c r="B118" s="49">
        <v>32.35</v>
      </c>
      <c r="C118" s="53">
        <v>0</v>
      </c>
      <c r="D118" s="4">
        <f t="shared" si="3"/>
        <v>-2.2599999999999909</v>
      </c>
      <c r="K118" s="49">
        <v>32.35</v>
      </c>
    </row>
    <row r="119" spans="2:11" x14ac:dyDescent="0.25">
      <c r="B119" s="49">
        <v>38.28</v>
      </c>
      <c r="C119" s="53">
        <v>0</v>
      </c>
      <c r="D119" s="4">
        <f t="shared" si="3"/>
        <v>-4.6350000000000051</v>
      </c>
      <c r="K119" s="49">
        <v>38.28</v>
      </c>
    </row>
    <row r="120" spans="2:11" x14ac:dyDescent="0.25">
      <c r="B120" s="49">
        <v>38.72</v>
      </c>
      <c r="C120" s="53">
        <v>0</v>
      </c>
      <c r="D120" s="4">
        <f t="shared" si="3"/>
        <v>-8.6090000000000053</v>
      </c>
      <c r="K120" s="49">
        <v>38.72</v>
      </c>
    </row>
    <row r="121" spans="2:11" x14ac:dyDescent="0.25">
      <c r="B121" s="49">
        <v>42.99</v>
      </c>
      <c r="C121" s="53">
        <v>0</v>
      </c>
      <c r="D121" s="4">
        <f t="shared" si="3"/>
        <v>-8.3419999999999987</v>
      </c>
      <c r="K121" s="49">
        <v>42.99</v>
      </c>
    </row>
    <row r="122" spans="2:11" x14ac:dyDescent="0.25">
      <c r="B122" s="49">
        <v>40.409999999999997</v>
      </c>
      <c r="C122" s="53">
        <v>0</v>
      </c>
      <c r="D122" s="4">
        <f t="shared" si="3"/>
        <v>-8.3219999999999956</v>
      </c>
      <c r="K122" s="49">
        <v>40.409999999999997</v>
      </c>
    </row>
    <row r="123" spans="2:11" x14ac:dyDescent="0.25">
      <c r="B123" s="49">
        <v>37.18</v>
      </c>
      <c r="C123" s="53">
        <v>0</v>
      </c>
      <c r="D123" s="4">
        <f t="shared" si="3"/>
        <v>-9.5360000000000014</v>
      </c>
      <c r="K123" s="49">
        <v>37.18</v>
      </c>
    </row>
    <row r="124" spans="2:11" x14ac:dyDescent="0.25">
      <c r="B124" s="49">
        <v>36.71</v>
      </c>
      <c r="C124" s="53">
        <v>0</v>
      </c>
      <c r="D124" s="4">
        <f t="shared" si="3"/>
        <v>-9.4580000000000091</v>
      </c>
      <c r="K124" s="49">
        <v>36.71</v>
      </c>
    </row>
    <row r="125" spans="2:11" x14ac:dyDescent="0.25">
      <c r="B125" s="49">
        <v>42.03</v>
      </c>
      <c r="C125" s="53">
        <v>0</v>
      </c>
      <c r="D125" s="4">
        <f t="shared" si="3"/>
        <v>-8.8200000000000038</v>
      </c>
      <c r="K125" s="49">
        <v>42.03</v>
      </c>
    </row>
    <row r="126" spans="2:11" x14ac:dyDescent="0.25">
      <c r="B126" s="49">
        <v>32.57</v>
      </c>
      <c r="C126" s="53">
        <v>0</v>
      </c>
      <c r="D126" s="4">
        <f t="shared" si="3"/>
        <v>-8.4639999999999951</v>
      </c>
      <c r="K126" s="49">
        <v>32.57</v>
      </c>
    </row>
    <row r="127" spans="2:11" x14ac:dyDescent="0.25">
      <c r="B127" s="49">
        <v>37.42</v>
      </c>
      <c r="C127" s="53">
        <v>0</v>
      </c>
      <c r="D127" s="4">
        <f t="shared" si="3"/>
        <v>-7.8010000000000055</v>
      </c>
      <c r="K127" s="49">
        <v>37.42</v>
      </c>
    </row>
    <row r="128" spans="2:11" x14ac:dyDescent="0.25">
      <c r="B128" s="49">
        <v>40.369999999999997</v>
      </c>
      <c r="C128" s="53">
        <v>0</v>
      </c>
      <c r="D128" s="4">
        <f t="shared" si="3"/>
        <v>-6.791000000000011</v>
      </c>
      <c r="K128" s="49">
        <v>40.369999999999997</v>
      </c>
    </row>
    <row r="129" spans="2:11" x14ac:dyDescent="0.25">
      <c r="B129" s="49">
        <v>51.15</v>
      </c>
      <c r="C129" s="53">
        <v>0</v>
      </c>
      <c r="D129" s="4">
        <f t="shared" si="3"/>
        <v>-5.0860000000000056</v>
      </c>
      <c r="K129" s="49">
        <v>51.15</v>
      </c>
    </row>
    <row r="130" spans="2:11" x14ac:dyDescent="0.25">
      <c r="B130" s="49">
        <v>34.86</v>
      </c>
      <c r="C130" s="53">
        <v>0</v>
      </c>
      <c r="D130" s="4">
        <f t="shared" ref="D130:D161" si="4">AVERAGE(B140:B149)-AVERAGE(B130:B139)</f>
        <v>-1.3179999999999943</v>
      </c>
      <c r="K130" s="49">
        <v>34.86</v>
      </c>
    </row>
    <row r="131" spans="2:11" x14ac:dyDescent="0.25">
      <c r="B131" s="49">
        <v>34.340000000000003</v>
      </c>
      <c r="C131" s="53">
        <v>0</v>
      </c>
      <c r="D131" s="4">
        <f t="shared" si="4"/>
        <v>-1.8109999999999999</v>
      </c>
      <c r="K131" s="49">
        <v>34.340000000000003</v>
      </c>
    </row>
    <row r="132" spans="2:11" x14ac:dyDescent="0.25">
      <c r="B132" s="49">
        <v>35.74</v>
      </c>
      <c r="C132" s="53">
        <v>0</v>
      </c>
      <c r="D132" s="4">
        <f t="shared" si="4"/>
        <v>-0.50899999999999679</v>
      </c>
      <c r="K132" s="49">
        <v>35.74</v>
      </c>
    </row>
    <row r="133" spans="2:11" x14ac:dyDescent="0.25">
      <c r="B133" s="49">
        <v>30.84</v>
      </c>
      <c r="C133" s="53">
        <v>0</v>
      </c>
      <c r="D133" s="4">
        <f t="shared" si="4"/>
        <v>3.16</v>
      </c>
      <c r="K133" s="49">
        <v>30.84</v>
      </c>
    </row>
    <row r="134" spans="2:11" x14ac:dyDescent="0.25">
      <c r="B134" s="49">
        <v>31.04</v>
      </c>
      <c r="C134" s="53">
        <v>0</v>
      </c>
      <c r="D134" s="4">
        <f t="shared" si="4"/>
        <v>5.1050000000000146</v>
      </c>
      <c r="K134" s="49">
        <v>31.04</v>
      </c>
    </row>
    <row r="135" spans="2:11" x14ac:dyDescent="0.25">
      <c r="B135" s="49">
        <v>36.4</v>
      </c>
      <c r="C135" s="53">
        <v>0</v>
      </c>
      <c r="D135" s="4">
        <f t="shared" si="4"/>
        <v>4.9500000000000135</v>
      </c>
      <c r="K135" s="49">
        <v>36.4</v>
      </c>
    </row>
    <row r="136" spans="2:11" x14ac:dyDescent="0.25">
      <c r="B136" s="49">
        <v>30.29</v>
      </c>
      <c r="C136" s="53">
        <v>0</v>
      </c>
      <c r="D136" s="4">
        <f t="shared" si="4"/>
        <v>4.7149999999999999</v>
      </c>
      <c r="K136" s="49">
        <v>30.29</v>
      </c>
    </row>
    <row r="137" spans="2:11" x14ac:dyDescent="0.25">
      <c r="B137" s="49">
        <v>31.03</v>
      </c>
      <c r="C137" s="53">
        <v>0</v>
      </c>
      <c r="D137" s="4">
        <f t="shared" si="4"/>
        <v>3.8100000000000058</v>
      </c>
      <c r="K137" s="49">
        <v>31.03</v>
      </c>
    </row>
    <row r="138" spans="2:11" x14ac:dyDescent="0.25">
      <c r="B138" s="49">
        <v>24.64</v>
      </c>
      <c r="C138" s="53">
        <v>0</v>
      </c>
      <c r="D138" s="4">
        <f t="shared" si="4"/>
        <v>2.8720000000000034</v>
      </c>
      <c r="K138" s="49">
        <v>24.64</v>
      </c>
    </row>
    <row r="139" spans="2:11" x14ac:dyDescent="0.25">
      <c r="B139" s="49">
        <v>24.28</v>
      </c>
      <c r="C139" s="53">
        <v>0</v>
      </c>
      <c r="D139" s="4">
        <f t="shared" si="4"/>
        <v>3.4280000000000044</v>
      </c>
      <c r="K139" s="49">
        <v>24.28</v>
      </c>
    </row>
    <row r="140" spans="2:11" x14ac:dyDescent="0.25">
      <c r="B140" s="49">
        <v>33.67</v>
      </c>
      <c r="C140" s="53">
        <v>0</v>
      </c>
      <c r="D140" s="4">
        <f t="shared" si="4"/>
        <v>1.5139999999999958</v>
      </c>
      <c r="K140" s="49">
        <v>33.67</v>
      </c>
    </row>
    <row r="141" spans="2:11" x14ac:dyDescent="0.25">
      <c r="B141" s="49">
        <v>25.89</v>
      </c>
      <c r="C141" s="53">
        <v>0</v>
      </c>
      <c r="D141" s="4">
        <f t="shared" si="4"/>
        <v>2.5839999999999961</v>
      </c>
      <c r="K141" s="49">
        <v>25.89</v>
      </c>
    </row>
    <row r="142" spans="2:11" x14ac:dyDescent="0.25">
      <c r="B142" s="49">
        <v>18.93</v>
      </c>
      <c r="C142" s="53">
        <v>0</v>
      </c>
      <c r="D142" s="4">
        <f t="shared" si="4"/>
        <v>2.0060000000000002</v>
      </c>
      <c r="K142" s="49">
        <v>18.93</v>
      </c>
    </row>
    <row r="143" spans="2:11" x14ac:dyDescent="0.25">
      <c r="B143" s="49">
        <v>25.28</v>
      </c>
      <c r="C143" s="53">
        <v>0</v>
      </c>
      <c r="D143" s="4">
        <f t="shared" si="4"/>
        <v>-0.76399999999999935</v>
      </c>
      <c r="K143" s="49">
        <v>25.28</v>
      </c>
    </row>
    <row r="144" spans="2:11" x14ac:dyDescent="0.25">
      <c r="B144" s="49">
        <v>31.75</v>
      </c>
      <c r="C144" s="53">
        <v>0</v>
      </c>
      <c r="D144" s="4">
        <f t="shared" si="4"/>
        <v>-2.6530000000000058</v>
      </c>
      <c r="K144" s="49">
        <v>31.75</v>
      </c>
    </row>
    <row r="145" spans="2:11" x14ac:dyDescent="0.25">
      <c r="B145" s="49">
        <v>34.33</v>
      </c>
      <c r="C145" s="53">
        <v>0</v>
      </c>
      <c r="D145" s="4">
        <f t="shared" si="4"/>
        <v>-2.9050000000000082</v>
      </c>
      <c r="K145" s="49">
        <v>34.33</v>
      </c>
    </row>
    <row r="146" spans="2:11" x14ac:dyDescent="0.25">
      <c r="B146" s="49">
        <v>34.64</v>
      </c>
      <c r="C146" s="53">
        <v>0</v>
      </c>
      <c r="D146" s="4">
        <f t="shared" si="4"/>
        <v>-2.3499999999999979</v>
      </c>
      <c r="K146" s="49">
        <v>34.64</v>
      </c>
    </row>
    <row r="147" spans="2:11" x14ac:dyDescent="0.25">
      <c r="B147" s="49">
        <v>34.74</v>
      </c>
      <c r="C147" s="53">
        <v>0</v>
      </c>
      <c r="D147" s="4">
        <f t="shared" si="4"/>
        <v>-2.0189999999999984</v>
      </c>
      <c r="K147" s="49">
        <v>34.74</v>
      </c>
    </row>
    <row r="148" spans="2:11" x14ac:dyDescent="0.25">
      <c r="B148" s="49">
        <v>25.96</v>
      </c>
      <c r="C148" s="53">
        <v>0</v>
      </c>
      <c r="D148" s="4">
        <f t="shared" si="4"/>
        <v>-1.4000000000000021</v>
      </c>
      <c r="K148" s="49">
        <v>25.96</v>
      </c>
    </row>
    <row r="149" spans="2:11" x14ac:dyDescent="0.25">
      <c r="B149" s="49">
        <v>35.090000000000003</v>
      </c>
      <c r="C149" s="53">
        <v>0</v>
      </c>
      <c r="D149" s="4">
        <f t="shared" si="4"/>
        <v>-2.6539999999999964</v>
      </c>
      <c r="K149" s="49">
        <v>35.090000000000003</v>
      </c>
    </row>
    <row r="150" spans="2:11" x14ac:dyDescent="0.25">
      <c r="B150" s="49">
        <v>27.55</v>
      </c>
      <c r="C150" s="53">
        <v>0</v>
      </c>
      <c r="D150" s="4">
        <f t="shared" si="4"/>
        <v>-1.4249999999999972</v>
      </c>
      <c r="K150" s="49">
        <v>27.55</v>
      </c>
    </row>
    <row r="151" spans="2:11" x14ac:dyDescent="0.25">
      <c r="B151" s="49">
        <v>30.46</v>
      </c>
      <c r="C151" s="53">
        <v>0</v>
      </c>
      <c r="D151" s="4">
        <f t="shared" si="4"/>
        <v>-2.0529999999999973</v>
      </c>
      <c r="K151" s="49">
        <v>30.46</v>
      </c>
    </row>
    <row r="152" spans="2:11" x14ac:dyDescent="0.25">
      <c r="B152" s="49">
        <v>38.81</v>
      </c>
      <c r="C152" s="53">
        <v>0</v>
      </c>
      <c r="D152" s="4">
        <f t="shared" si="4"/>
        <v>-2.2119999999999997</v>
      </c>
      <c r="K152" s="49">
        <v>38.81</v>
      </c>
    </row>
    <row r="153" spans="2:11" x14ac:dyDescent="0.25">
      <c r="B153" s="49">
        <v>39.17</v>
      </c>
      <c r="C153" s="53">
        <v>0</v>
      </c>
      <c r="D153" s="4">
        <f t="shared" si="4"/>
        <v>-1.7450000000000045</v>
      </c>
      <c r="K153" s="49">
        <v>39.17</v>
      </c>
    </row>
    <row r="154" spans="2:11" x14ac:dyDescent="0.25">
      <c r="B154" s="49">
        <v>30.91</v>
      </c>
      <c r="C154" s="53">
        <v>0</v>
      </c>
      <c r="D154" s="4">
        <f t="shared" si="4"/>
        <v>-1.9520000000000017</v>
      </c>
      <c r="K154" s="49">
        <v>30.91</v>
      </c>
    </row>
    <row r="155" spans="2:11" x14ac:dyDescent="0.25">
      <c r="B155" s="49">
        <v>29.91</v>
      </c>
      <c r="C155" s="53">
        <v>0</v>
      </c>
      <c r="D155" s="4">
        <f t="shared" si="4"/>
        <v>-1.2270000000000003</v>
      </c>
      <c r="K155" s="49">
        <v>29.91</v>
      </c>
    </row>
    <row r="156" spans="2:11" x14ac:dyDescent="0.25">
      <c r="B156" s="49">
        <v>29.94</v>
      </c>
      <c r="C156" s="53">
        <v>0</v>
      </c>
      <c r="D156" s="4">
        <f t="shared" si="4"/>
        <v>-1.3300000000000054</v>
      </c>
      <c r="K156" s="49">
        <v>29.94</v>
      </c>
    </row>
    <row r="157" spans="2:11" x14ac:dyDescent="0.25">
      <c r="B157" s="49">
        <v>29.07</v>
      </c>
      <c r="C157" s="53">
        <v>0</v>
      </c>
      <c r="D157" s="4">
        <f t="shared" si="4"/>
        <v>-0.94000000000000838</v>
      </c>
      <c r="K157" s="49">
        <v>29.07</v>
      </c>
    </row>
    <row r="158" spans="2:11" x14ac:dyDescent="0.25">
      <c r="B158" s="49">
        <v>32.840000000000003</v>
      </c>
      <c r="C158" s="53">
        <v>0</v>
      </c>
      <c r="D158" s="4">
        <f t="shared" si="4"/>
        <v>-0.69199999999999307</v>
      </c>
      <c r="K158" s="49">
        <v>32.840000000000003</v>
      </c>
    </row>
    <row r="159" spans="2:11" x14ac:dyDescent="0.25">
      <c r="B159" s="49">
        <v>26.76</v>
      </c>
      <c r="C159" s="53">
        <v>0</v>
      </c>
      <c r="D159" s="4">
        <f t="shared" si="4"/>
        <v>0.37799999999999656</v>
      </c>
      <c r="K159" s="49">
        <v>26.76</v>
      </c>
    </row>
    <row r="160" spans="2:11" x14ac:dyDescent="0.25">
      <c r="B160" s="49">
        <v>32.130000000000003</v>
      </c>
      <c r="C160" s="53">
        <v>0</v>
      </c>
      <c r="D160" s="4">
        <f t="shared" si="4"/>
        <v>-3.7000000000002586E-2</v>
      </c>
      <c r="K160" s="49">
        <v>32.130000000000003</v>
      </c>
    </row>
    <row r="161" spans="2:11" x14ac:dyDescent="0.25">
      <c r="B161" s="49">
        <v>29.25</v>
      </c>
      <c r="C161" s="53">
        <v>0</v>
      </c>
      <c r="D161" s="4">
        <f t="shared" si="4"/>
        <v>0.23399999999999821</v>
      </c>
      <c r="K161" s="49">
        <v>29.25</v>
      </c>
    </row>
    <row r="162" spans="2:11" x14ac:dyDescent="0.25">
      <c r="B162" s="49">
        <v>30.99</v>
      </c>
      <c r="C162" s="53">
        <v>0</v>
      </c>
      <c r="D162" s="4">
        <f t="shared" ref="D162:D181" si="5">AVERAGE(B172:B181)-AVERAGE(B162:B171)</f>
        <v>1.0240000000000009</v>
      </c>
      <c r="K162" s="49">
        <v>30.99</v>
      </c>
    </row>
    <row r="163" spans="2:11" x14ac:dyDescent="0.25">
      <c r="B163" s="49">
        <v>34.17</v>
      </c>
      <c r="C163" s="53">
        <v>0</v>
      </c>
      <c r="D163" s="4">
        <f t="shared" si="5"/>
        <v>1.8290000000000042</v>
      </c>
      <c r="K163" s="49">
        <v>34.17</v>
      </c>
    </row>
    <row r="164" spans="2:11" x14ac:dyDescent="0.25">
      <c r="B164" s="49">
        <v>27.55</v>
      </c>
      <c r="C164" s="53">
        <v>0</v>
      </c>
      <c r="D164" s="4">
        <f t="shared" si="5"/>
        <v>3.0779999999999959</v>
      </c>
      <c r="K164" s="49">
        <v>27.55</v>
      </c>
    </row>
    <row r="165" spans="2:11" x14ac:dyDescent="0.25">
      <c r="B165" s="49">
        <v>31.04</v>
      </c>
      <c r="C165" s="53">
        <v>0</v>
      </c>
      <c r="D165" s="4">
        <f t="shared" si="5"/>
        <v>2.948000000000004</v>
      </c>
      <c r="K165" s="49">
        <v>31.04</v>
      </c>
    </row>
    <row r="166" spans="2:11" x14ac:dyDescent="0.25">
      <c r="B166" s="49">
        <v>28.55</v>
      </c>
      <c r="C166" s="53">
        <v>0</v>
      </c>
      <c r="D166" s="4">
        <f t="shared" si="5"/>
        <v>2.8470000000000084</v>
      </c>
      <c r="K166" s="49">
        <v>28.55</v>
      </c>
    </row>
    <row r="167" spans="2:11" x14ac:dyDescent="0.25">
      <c r="B167" s="49">
        <v>29.59</v>
      </c>
      <c r="C167" s="53">
        <v>0</v>
      </c>
      <c r="D167" s="4">
        <f t="shared" si="5"/>
        <v>2.5430000000000028</v>
      </c>
      <c r="K167" s="49">
        <v>29.59</v>
      </c>
    </row>
    <row r="168" spans="2:11" x14ac:dyDescent="0.25">
      <c r="B168" s="49">
        <v>27.18</v>
      </c>
      <c r="C168" s="53">
        <v>0</v>
      </c>
      <c r="D168" s="4">
        <f t="shared" si="5"/>
        <v>2.0249999999999915</v>
      </c>
      <c r="K168" s="49">
        <v>27.18</v>
      </c>
    </row>
    <row r="169" spans="2:11" x14ac:dyDescent="0.25">
      <c r="B169" s="49">
        <v>30.72</v>
      </c>
      <c r="C169" s="53">
        <v>0</v>
      </c>
      <c r="D169" s="4">
        <f t="shared" si="5"/>
        <v>1.7460000000000058</v>
      </c>
      <c r="K169" s="49">
        <v>30.72</v>
      </c>
    </row>
    <row r="170" spans="2:11" x14ac:dyDescent="0.25">
      <c r="B170" s="49">
        <v>30.43</v>
      </c>
      <c r="C170" s="53">
        <v>0</v>
      </c>
      <c r="D170" s="4">
        <f t="shared" si="5"/>
        <v>2.1419999999999995</v>
      </c>
      <c r="K170" s="49">
        <v>30.43</v>
      </c>
    </row>
    <row r="171" spans="2:11" x14ac:dyDescent="0.25">
      <c r="B171" s="49">
        <v>26.45</v>
      </c>
      <c r="C171" s="53">
        <v>0</v>
      </c>
      <c r="D171" s="4">
        <f t="shared" si="5"/>
        <v>2.3550000000000004</v>
      </c>
      <c r="K171" s="49">
        <v>26.45</v>
      </c>
    </row>
    <row r="172" spans="2:11" x14ac:dyDescent="0.25">
      <c r="B172" s="49">
        <v>27.84</v>
      </c>
      <c r="C172" s="53">
        <v>0</v>
      </c>
      <c r="D172" s="4">
        <f t="shared" si="5"/>
        <v>2.3419999999999987</v>
      </c>
      <c r="K172" s="49">
        <v>27.84</v>
      </c>
    </row>
    <row r="173" spans="2:11" x14ac:dyDescent="0.25">
      <c r="B173" s="49">
        <v>27.1</v>
      </c>
      <c r="C173" s="53">
        <v>0</v>
      </c>
      <c r="D173" s="4">
        <f t="shared" si="5"/>
        <v>1.8959999999999972</v>
      </c>
      <c r="K173" s="49">
        <v>27.1</v>
      </c>
    </row>
    <row r="174" spans="2:11" x14ac:dyDescent="0.25">
      <c r="B174" s="49">
        <v>31.44</v>
      </c>
      <c r="C174" s="53">
        <v>0</v>
      </c>
      <c r="D174" s="4">
        <f t="shared" si="5"/>
        <v>1.698000000000004</v>
      </c>
      <c r="K174" s="49">
        <v>31.44</v>
      </c>
    </row>
    <row r="175" spans="2:11" x14ac:dyDescent="0.25">
      <c r="B175" s="49">
        <v>31.14</v>
      </c>
      <c r="C175" s="53">
        <v>0</v>
      </c>
      <c r="D175" s="4">
        <f t="shared" si="5"/>
        <v>1.5039999999999907</v>
      </c>
      <c r="K175" s="49">
        <v>31.14</v>
      </c>
    </row>
    <row r="176" spans="2:11" x14ac:dyDescent="0.25">
      <c r="B176" s="49">
        <v>31.06</v>
      </c>
      <c r="C176" s="53">
        <v>0</v>
      </c>
      <c r="D176" s="4">
        <f t="shared" si="5"/>
        <v>1.7359999999999864</v>
      </c>
      <c r="K176" s="49">
        <v>31.06</v>
      </c>
    </row>
    <row r="177" spans="2:11" x14ac:dyDescent="0.25">
      <c r="B177" s="49">
        <v>32.590000000000003</v>
      </c>
      <c r="C177" s="53">
        <v>0</v>
      </c>
      <c r="D177" s="4">
        <f t="shared" si="5"/>
        <v>2.1569999999999965</v>
      </c>
      <c r="K177" s="49">
        <v>32.590000000000003</v>
      </c>
    </row>
    <row r="178" spans="2:11" x14ac:dyDescent="0.25">
      <c r="B178" s="49">
        <v>32.22</v>
      </c>
      <c r="C178" s="53">
        <v>0</v>
      </c>
      <c r="D178" s="4">
        <f t="shared" si="5"/>
        <v>2.4630000000000081</v>
      </c>
      <c r="K178" s="49">
        <v>32.22</v>
      </c>
    </row>
    <row r="179" spans="2:11" x14ac:dyDescent="0.25">
      <c r="B179" s="49">
        <v>30.53</v>
      </c>
      <c r="C179" s="53">
        <v>0</v>
      </c>
      <c r="D179" s="4">
        <f t="shared" si="5"/>
        <v>1.9679999999999964</v>
      </c>
      <c r="K179" s="49">
        <v>30.53</v>
      </c>
    </row>
    <row r="180" spans="2:11" x14ac:dyDescent="0.25">
      <c r="B180" s="49">
        <v>31.44</v>
      </c>
      <c r="C180" s="53">
        <v>0</v>
      </c>
      <c r="D180" s="4">
        <f t="shared" si="5"/>
        <v>1.4590000000000032</v>
      </c>
      <c r="K180" s="49">
        <v>31.44</v>
      </c>
    </row>
    <row r="181" spans="2:11" x14ac:dyDescent="0.25">
      <c r="B181" s="49">
        <v>31.55</v>
      </c>
      <c r="C181" s="53">
        <v>0</v>
      </c>
      <c r="D181" s="4">
        <f t="shared" si="5"/>
        <v>1.0700000000000003</v>
      </c>
      <c r="K181" s="49">
        <v>31.55</v>
      </c>
    </row>
    <row r="182" spans="2:11" x14ac:dyDescent="0.25">
      <c r="B182" s="49">
        <v>32.74</v>
      </c>
      <c r="C182" s="53">
        <v>0</v>
      </c>
      <c r="D182" s="4"/>
      <c r="K182" s="49">
        <v>32.74</v>
      </c>
    </row>
    <row r="183" spans="2:11" x14ac:dyDescent="0.25">
      <c r="B183" s="49">
        <v>32.520000000000003</v>
      </c>
      <c r="C183" s="53">
        <v>0</v>
      </c>
      <c r="D183" s="4"/>
      <c r="K183" s="49">
        <v>32.520000000000003</v>
      </c>
    </row>
    <row r="184" spans="2:11" x14ac:dyDescent="0.25">
      <c r="B184" s="49">
        <v>34.03</v>
      </c>
      <c r="C184" s="53">
        <v>0</v>
      </c>
      <c r="D184" s="4"/>
      <c r="K184" s="49">
        <v>34.03</v>
      </c>
    </row>
    <row r="185" spans="2:11" x14ac:dyDescent="0.25">
      <c r="B185" s="49">
        <v>30.23</v>
      </c>
      <c r="C185" s="53">
        <v>0</v>
      </c>
      <c r="D185" s="4"/>
      <c r="F185" s="48"/>
      <c r="K185" s="49">
        <v>30.23</v>
      </c>
    </row>
    <row r="186" spans="2:11" x14ac:dyDescent="0.25">
      <c r="B186" s="49">
        <v>30.53</v>
      </c>
      <c r="C186" s="53">
        <v>0</v>
      </c>
      <c r="D186" s="4"/>
      <c r="F186" s="48"/>
      <c r="K186" s="49">
        <v>30.53</v>
      </c>
    </row>
    <row r="187" spans="2:11" x14ac:dyDescent="0.25">
      <c r="B187" s="49">
        <v>30.41</v>
      </c>
      <c r="C187" s="53">
        <v>0</v>
      </c>
      <c r="D187" s="4"/>
      <c r="F187" s="48"/>
      <c r="K187" s="49">
        <v>30.41</v>
      </c>
    </row>
    <row r="188" spans="2:11" x14ac:dyDescent="0.25">
      <c r="B188" s="49">
        <v>34.47</v>
      </c>
      <c r="C188" s="53">
        <v>0</v>
      </c>
      <c r="D188" s="4"/>
      <c r="F188" s="48"/>
      <c r="K188" s="49">
        <v>34.47</v>
      </c>
    </row>
    <row r="189" spans="2:11" x14ac:dyDescent="0.25">
      <c r="B189" s="49">
        <v>34.299999999999997</v>
      </c>
      <c r="C189" s="53">
        <v>0</v>
      </c>
      <c r="D189" s="4"/>
      <c r="F189" s="48"/>
      <c r="K189" s="49">
        <v>34.299999999999997</v>
      </c>
    </row>
    <row r="190" spans="2:11" x14ac:dyDescent="0.25">
      <c r="B190" s="49">
        <v>34.58</v>
      </c>
      <c r="C190" s="53">
        <v>0</v>
      </c>
      <c r="D190" s="4"/>
      <c r="F190" s="48"/>
      <c r="K190" s="49">
        <v>34.58</v>
      </c>
    </row>
    <row r="191" spans="2:11" x14ac:dyDescent="0.25">
      <c r="B191" s="49">
        <v>36.520000000000003</v>
      </c>
      <c r="C191" s="53">
        <v>0</v>
      </c>
      <c r="D191" s="4"/>
      <c r="F191" s="48"/>
      <c r="K191" s="49">
        <v>36.520000000000003</v>
      </c>
    </row>
    <row r="192" spans="2:11" x14ac:dyDescent="0.25">
      <c r="B192" s="49">
        <v>33.18</v>
      </c>
      <c r="C192" s="53">
        <v>0</v>
      </c>
      <c r="D192" s="4"/>
      <c r="F192" s="48"/>
      <c r="K192" s="49">
        <v>33.18</v>
      </c>
    </row>
    <row r="193" spans="2:11" x14ac:dyDescent="0.25">
      <c r="B193" s="49">
        <v>35.96</v>
      </c>
      <c r="C193" s="53">
        <v>0</v>
      </c>
      <c r="D193" s="4"/>
      <c r="F193" s="48"/>
      <c r="K193" s="49">
        <v>35.96</v>
      </c>
    </row>
    <row r="194" spans="2:11" x14ac:dyDescent="0.25">
      <c r="B194" s="49">
        <v>34.68</v>
      </c>
      <c r="C194" s="53">
        <v>0</v>
      </c>
      <c r="D194" s="4"/>
      <c r="F194" s="48"/>
      <c r="K194" s="49">
        <v>34.68</v>
      </c>
    </row>
    <row r="195" spans="2:11" x14ac:dyDescent="0.25">
      <c r="B195" s="49">
        <v>31.64</v>
      </c>
      <c r="C195" s="53">
        <v>0</v>
      </c>
      <c r="D195" s="4"/>
      <c r="F195" s="48"/>
      <c r="K195" s="49">
        <v>31.64</v>
      </c>
    </row>
    <row r="196" spans="2:11" x14ac:dyDescent="0.25">
      <c r="B196" s="49">
        <v>34.21</v>
      </c>
      <c r="C196" s="53">
        <v>0</v>
      </c>
      <c r="D196" s="4"/>
      <c r="F196" s="48"/>
      <c r="K196" s="49">
        <v>34.21</v>
      </c>
    </row>
    <row r="197" spans="2:11" x14ac:dyDescent="0.25">
      <c r="B197" s="49">
        <v>31.29</v>
      </c>
      <c r="C197" s="53">
        <v>0</v>
      </c>
      <c r="D197" s="4"/>
      <c r="F197" s="48"/>
      <c r="K197" s="49">
        <v>31.29</v>
      </c>
    </row>
    <row r="198" spans="2:11" x14ac:dyDescent="0.25">
      <c r="B198" s="49">
        <v>31.77</v>
      </c>
      <c r="C198" s="53">
        <v>0</v>
      </c>
      <c r="D198" s="4"/>
      <c r="F198" s="48"/>
      <c r="K198" s="49">
        <v>31.77</v>
      </c>
    </row>
    <row r="199" spans="2:11" x14ac:dyDescent="0.25">
      <c r="B199" s="49">
        <v>32.979999999999997</v>
      </c>
      <c r="C199" s="53">
        <v>0</v>
      </c>
      <c r="D199" s="4"/>
      <c r="F199" s="48"/>
      <c r="K199" s="49">
        <v>32.979999999999997</v>
      </c>
    </row>
    <row r="200" spans="2:11" x14ac:dyDescent="0.25">
      <c r="B200" s="49">
        <v>33.83</v>
      </c>
      <c r="C200" s="53">
        <v>0</v>
      </c>
      <c r="D200" s="4"/>
      <c r="F200" s="48"/>
      <c r="K200" s="49">
        <v>33.83</v>
      </c>
    </row>
    <row r="201" spans="2:11" x14ac:dyDescent="0.25">
      <c r="B201" s="50">
        <v>26.08</v>
      </c>
      <c r="C201" s="54">
        <v>1</v>
      </c>
      <c r="D201" s="4"/>
      <c r="F201" s="48"/>
      <c r="K201" s="50">
        <v>26.08</v>
      </c>
    </row>
    <row r="202" spans="2:11" x14ac:dyDescent="0.25">
      <c r="B202" s="50">
        <v>25.54</v>
      </c>
      <c r="C202" s="54">
        <v>1</v>
      </c>
      <c r="D202" s="4"/>
      <c r="F202" s="48"/>
      <c r="K202" s="50">
        <v>25.54</v>
      </c>
    </row>
    <row r="203" spans="2:11" x14ac:dyDescent="0.25">
      <c r="B203" s="50">
        <v>25.48</v>
      </c>
      <c r="C203" s="54">
        <v>1</v>
      </c>
      <c r="D203" s="4"/>
      <c r="F203" s="48"/>
      <c r="K203" s="50">
        <v>25.48</v>
      </c>
    </row>
    <row r="204" spans="2:11" x14ac:dyDescent="0.25">
      <c r="B204" s="50">
        <v>26.59</v>
      </c>
      <c r="C204" s="54">
        <v>1</v>
      </c>
      <c r="D204" s="4"/>
      <c r="F204" s="48"/>
      <c r="K204" s="50">
        <v>26.59</v>
      </c>
    </row>
    <row r="205" spans="2:11" x14ac:dyDescent="0.25">
      <c r="B205" s="50">
        <v>26.36</v>
      </c>
      <c r="C205" s="54">
        <v>1</v>
      </c>
      <c r="D205" s="4"/>
      <c r="F205" s="48"/>
      <c r="K205" s="50">
        <v>26.36</v>
      </c>
    </row>
    <row r="206" spans="2:11" x14ac:dyDescent="0.25">
      <c r="B206" s="50">
        <v>29.79</v>
      </c>
      <c r="C206" s="54">
        <v>1</v>
      </c>
      <c r="D206" s="4"/>
      <c r="F206" s="48"/>
      <c r="K206" s="50">
        <v>29.79</v>
      </c>
    </row>
    <row r="207" spans="2:11" x14ac:dyDescent="0.25">
      <c r="B207" s="50">
        <v>36.65</v>
      </c>
      <c r="C207" s="54">
        <v>1</v>
      </c>
      <c r="D207" s="4"/>
      <c r="F207" s="48"/>
      <c r="K207" s="50">
        <v>36.65</v>
      </c>
    </row>
    <row r="208" spans="2:11" x14ac:dyDescent="0.25">
      <c r="B208" s="50">
        <v>32.409999999999997</v>
      </c>
      <c r="C208" s="54">
        <v>1</v>
      </c>
      <c r="D208" s="4"/>
      <c r="F208" s="48"/>
      <c r="K208" s="50">
        <v>32.409999999999997</v>
      </c>
    </row>
    <row r="209" spans="2:11" x14ac:dyDescent="0.25">
      <c r="B209" s="50">
        <v>33.83</v>
      </c>
      <c r="C209" s="54">
        <v>1</v>
      </c>
      <c r="D209" s="4"/>
      <c r="F209" s="48"/>
      <c r="K209" s="50">
        <v>33.83</v>
      </c>
    </row>
    <row r="210" spans="2:11" x14ac:dyDescent="0.25">
      <c r="B210" s="50">
        <v>28.42</v>
      </c>
      <c r="C210" s="54">
        <v>1</v>
      </c>
      <c r="D210" s="4"/>
      <c r="F210" s="48"/>
      <c r="K210" s="50">
        <v>28.42</v>
      </c>
    </row>
    <row r="211" spans="2:11" x14ac:dyDescent="0.25">
      <c r="B211" s="50">
        <v>29.65</v>
      </c>
      <c r="C211" s="54">
        <v>1</v>
      </c>
      <c r="D211" s="4"/>
      <c r="F211" s="48"/>
      <c r="K211" s="50">
        <v>29.65</v>
      </c>
    </row>
    <row r="212" spans="2:11" x14ac:dyDescent="0.25">
      <c r="B212" s="50">
        <v>30.5</v>
      </c>
      <c r="C212" s="54">
        <v>1</v>
      </c>
      <c r="D212" s="4"/>
      <c r="F212" s="48"/>
      <c r="K212" s="50">
        <v>30.5</v>
      </c>
    </row>
    <row r="213" spans="2:11" x14ac:dyDescent="0.25">
      <c r="B213" s="50">
        <v>33.340000000000003</v>
      </c>
      <c r="C213" s="54">
        <v>1</v>
      </c>
      <c r="D213" s="4"/>
      <c r="F213" s="48"/>
      <c r="K213" s="50">
        <v>33.340000000000003</v>
      </c>
    </row>
    <row r="214" spans="2:11" x14ac:dyDescent="0.25">
      <c r="B214" s="50">
        <v>30.28</v>
      </c>
      <c r="C214" s="54">
        <v>1</v>
      </c>
      <c r="D214" s="4"/>
      <c r="F214" s="48"/>
      <c r="K214" s="50">
        <v>30.28</v>
      </c>
    </row>
    <row r="215" spans="2:11" x14ac:dyDescent="0.25">
      <c r="B215" s="50">
        <v>28.62</v>
      </c>
      <c r="C215" s="54">
        <v>1</v>
      </c>
      <c r="D215" s="4"/>
      <c r="F215" s="48"/>
      <c r="K215" s="50">
        <v>28.62</v>
      </c>
    </row>
    <row r="216" spans="2:11" x14ac:dyDescent="0.25">
      <c r="B216" s="50">
        <v>23.85</v>
      </c>
      <c r="C216" s="54">
        <v>1</v>
      </c>
      <c r="D216" s="4"/>
      <c r="F216" s="48"/>
      <c r="K216" s="50">
        <v>23.85</v>
      </c>
    </row>
    <row r="217" spans="2:11" x14ac:dyDescent="0.25">
      <c r="B217" s="50">
        <v>28.31</v>
      </c>
      <c r="C217" s="54">
        <v>1</v>
      </c>
      <c r="D217" s="4"/>
      <c r="F217" s="48"/>
      <c r="K217" s="50">
        <v>28.31</v>
      </c>
    </row>
    <row r="218" spans="2:11" x14ac:dyDescent="0.25">
      <c r="B218" s="50">
        <v>24.22</v>
      </c>
      <c r="C218" s="54">
        <v>1</v>
      </c>
      <c r="D218" s="4"/>
      <c r="F218" s="48"/>
      <c r="K218" s="50">
        <v>24.22</v>
      </c>
    </row>
    <row r="219" spans="2:11" x14ac:dyDescent="0.25">
      <c r="B219" s="50">
        <v>22.2</v>
      </c>
      <c r="C219" s="54">
        <v>1</v>
      </c>
      <c r="D219" s="4"/>
      <c r="F219" s="48"/>
      <c r="K219" s="50">
        <v>22.2</v>
      </c>
    </row>
    <row r="220" spans="2:11" x14ac:dyDescent="0.25">
      <c r="B220" s="50">
        <v>27.01</v>
      </c>
      <c r="C220" s="54">
        <v>1</v>
      </c>
      <c r="D220" s="4"/>
      <c r="F220" s="48"/>
      <c r="K220" s="50">
        <v>27.01</v>
      </c>
    </row>
    <row r="221" spans="2:11" x14ac:dyDescent="0.25">
      <c r="B221" s="50">
        <v>29.46</v>
      </c>
      <c r="C221" s="54">
        <v>1</v>
      </c>
      <c r="D221" s="4"/>
      <c r="F221" s="48"/>
      <c r="K221" s="50">
        <v>29.46</v>
      </c>
    </row>
    <row r="222" spans="2:11" x14ac:dyDescent="0.25">
      <c r="B222" s="50">
        <v>31.41</v>
      </c>
      <c r="C222" s="54">
        <v>1</v>
      </c>
      <c r="D222" s="4"/>
      <c r="F222" s="48"/>
      <c r="K222" s="50">
        <v>31.41</v>
      </c>
    </row>
    <row r="223" spans="2:11" x14ac:dyDescent="0.25">
      <c r="B223" s="50">
        <v>28.65</v>
      </c>
      <c r="C223" s="54">
        <v>1</v>
      </c>
      <c r="D223" s="4"/>
      <c r="F223" s="48"/>
      <c r="K223" s="50">
        <v>28.65</v>
      </c>
    </row>
    <row r="224" spans="2:11" x14ac:dyDescent="0.25">
      <c r="B224" s="50">
        <v>29.33</v>
      </c>
      <c r="C224" s="54">
        <v>1</v>
      </c>
      <c r="D224" s="4"/>
      <c r="F224" s="48"/>
      <c r="K224" s="50">
        <v>29.33</v>
      </c>
    </row>
    <row r="225" spans="2:11" x14ac:dyDescent="0.25">
      <c r="B225" s="50">
        <v>36.72</v>
      </c>
      <c r="C225" s="54">
        <v>1</v>
      </c>
      <c r="D225" s="4"/>
      <c r="F225" s="48"/>
      <c r="K225" s="50">
        <v>36.72</v>
      </c>
    </row>
    <row r="226" spans="2:11" x14ac:dyDescent="0.25">
      <c r="B226" s="50">
        <v>35.950000000000003</v>
      </c>
      <c r="C226" s="54">
        <v>1</v>
      </c>
      <c r="D226" s="4"/>
      <c r="F226" s="48"/>
      <c r="K226" s="50">
        <v>35.950000000000003</v>
      </c>
    </row>
    <row r="227" spans="2:11" x14ac:dyDescent="0.25">
      <c r="B227" s="50">
        <v>30.4</v>
      </c>
      <c r="C227" s="54">
        <v>1</v>
      </c>
      <c r="D227" s="4"/>
      <c r="F227" s="48"/>
      <c r="K227" s="50">
        <v>30.4</v>
      </c>
    </row>
    <row r="228" spans="2:11" x14ac:dyDescent="0.25">
      <c r="B228" s="50">
        <v>30.79</v>
      </c>
      <c r="C228" s="54">
        <v>1</v>
      </c>
      <c r="D228" s="4"/>
      <c r="F228" s="48"/>
      <c r="K228" s="50">
        <v>30.79</v>
      </c>
    </row>
    <row r="229" spans="2:11" x14ac:dyDescent="0.25">
      <c r="B229" s="50">
        <v>28.37</v>
      </c>
      <c r="C229" s="54">
        <v>1</v>
      </c>
      <c r="D229" s="4"/>
      <c r="F229" s="48"/>
      <c r="K229" s="50">
        <v>28.37</v>
      </c>
    </row>
    <row r="230" spans="2:11" x14ac:dyDescent="0.25">
      <c r="B230" s="50">
        <v>29.72</v>
      </c>
      <c r="C230" s="54">
        <v>1</v>
      </c>
      <c r="D230" s="4"/>
      <c r="F230" s="48"/>
      <c r="K230" s="50">
        <v>29.72</v>
      </c>
    </row>
    <row r="231" spans="2:11" x14ac:dyDescent="0.25">
      <c r="B231" s="50">
        <v>30.24</v>
      </c>
      <c r="C231" s="54">
        <v>1</v>
      </c>
      <c r="D231" s="4"/>
      <c r="F231" s="48"/>
      <c r="K231" s="50">
        <v>30.24</v>
      </c>
    </row>
    <row r="232" spans="2:11" x14ac:dyDescent="0.25">
      <c r="B232" s="50">
        <v>29.45</v>
      </c>
      <c r="C232" s="54">
        <v>1</v>
      </c>
      <c r="D232" s="4"/>
      <c r="F232" s="48"/>
      <c r="K232" s="50">
        <v>29.45</v>
      </c>
    </row>
    <row r="233" spans="2:11" x14ac:dyDescent="0.25">
      <c r="B233" s="50">
        <v>25.27</v>
      </c>
      <c r="C233" s="54">
        <v>1</v>
      </c>
      <c r="D233" s="4"/>
      <c r="F233" s="48"/>
      <c r="K233" s="50">
        <v>25.27</v>
      </c>
    </row>
    <row r="234" spans="2:11" x14ac:dyDescent="0.25">
      <c r="B234" s="50">
        <v>27.79</v>
      </c>
      <c r="C234" s="54">
        <v>1</v>
      </c>
      <c r="D234" s="4"/>
      <c r="F234" s="48"/>
      <c r="K234" s="50">
        <v>27.79</v>
      </c>
    </row>
    <row r="235" spans="2:11" x14ac:dyDescent="0.25">
      <c r="B235" s="50">
        <v>26.56</v>
      </c>
      <c r="C235" s="54">
        <v>1</v>
      </c>
      <c r="D235" s="4"/>
      <c r="F235" s="48"/>
      <c r="K235" s="50">
        <v>26.56</v>
      </c>
    </row>
    <row r="236" spans="2:11" x14ac:dyDescent="0.25">
      <c r="B236" s="50">
        <v>25.58</v>
      </c>
      <c r="C236" s="54">
        <v>1</v>
      </c>
      <c r="D236" s="4"/>
      <c r="F236" s="48"/>
      <c r="K236" s="50">
        <v>25.58</v>
      </c>
    </row>
    <row r="237" spans="2:11" x14ac:dyDescent="0.25">
      <c r="B237" s="50">
        <v>27.67</v>
      </c>
      <c r="C237" s="54">
        <v>1</v>
      </c>
      <c r="D237" s="4"/>
      <c r="F237" s="48"/>
      <c r="K237" s="50">
        <v>27.67</v>
      </c>
    </row>
    <row r="238" spans="2:11" x14ac:dyDescent="0.25">
      <c r="B238" s="50">
        <v>28.28</v>
      </c>
      <c r="C238" s="54">
        <v>1</v>
      </c>
      <c r="D238" s="4"/>
      <c r="F238" s="48"/>
      <c r="K238" s="50">
        <v>28.28</v>
      </c>
    </row>
    <row r="239" spans="2:11" x14ac:dyDescent="0.25">
      <c r="B239" s="50">
        <v>27.86</v>
      </c>
      <c r="C239" s="54">
        <v>1</v>
      </c>
      <c r="D239" s="4"/>
      <c r="F239" s="48"/>
      <c r="K239" s="50">
        <v>27.86</v>
      </c>
    </row>
    <row r="240" spans="2:11" x14ac:dyDescent="0.25">
      <c r="B240" s="50">
        <v>36.64</v>
      </c>
      <c r="C240" s="54">
        <v>1</v>
      </c>
      <c r="D240" s="4"/>
      <c r="F240" s="48"/>
      <c r="K240" s="50">
        <v>36.64</v>
      </c>
    </row>
    <row r="241" spans="2:11" x14ac:dyDescent="0.25">
      <c r="B241" s="50">
        <v>30.74</v>
      </c>
      <c r="C241" s="54">
        <v>1</v>
      </c>
      <c r="D241" s="4"/>
      <c r="F241" s="48"/>
      <c r="K241" s="50">
        <v>30.74</v>
      </c>
    </row>
    <row r="242" spans="2:11" x14ac:dyDescent="0.25">
      <c r="B242" s="50">
        <v>25.05</v>
      </c>
      <c r="C242" s="54">
        <v>1</v>
      </c>
      <c r="D242" s="4"/>
      <c r="F242" s="48"/>
      <c r="K242" s="50">
        <v>25.05</v>
      </c>
    </row>
    <row r="243" spans="2:11" x14ac:dyDescent="0.25">
      <c r="B243" s="50">
        <v>26.18</v>
      </c>
      <c r="C243" s="54">
        <v>1</v>
      </c>
      <c r="D243" s="4"/>
      <c r="F243" s="48"/>
      <c r="K243" s="50">
        <v>26.18</v>
      </c>
    </row>
    <row r="244" spans="2:11" x14ac:dyDescent="0.25">
      <c r="B244" s="50">
        <v>29.95</v>
      </c>
      <c r="C244" s="54">
        <v>1</v>
      </c>
      <c r="D244" s="4"/>
      <c r="F244" s="48"/>
      <c r="K244" s="50">
        <v>29.95</v>
      </c>
    </row>
    <row r="245" spans="2:11" x14ac:dyDescent="0.25">
      <c r="B245" s="50">
        <v>25.49</v>
      </c>
      <c r="C245" s="54">
        <v>1</v>
      </c>
      <c r="D245" s="4"/>
      <c r="K245" s="50">
        <v>25.49</v>
      </c>
    </row>
    <row r="246" spans="2:11" x14ac:dyDescent="0.25">
      <c r="B246" s="50">
        <v>24.56</v>
      </c>
      <c r="C246" s="54">
        <v>1</v>
      </c>
      <c r="D246" s="4"/>
      <c r="K246" s="50">
        <v>24.56</v>
      </c>
    </row>
    <row r="247" spans="2:11" x14ac:dyDescent="0.25">
      <c r="B247" s="50">
        <v>28.83</v>
      </c>
      <c r="C247" s="54">
        <v>1</v>
      </c>
      <c r="D247" s="4"/>
      <c r="K247" s="50">
        <v>28.83</v>
      </c>
    </row>
    <row r="248" spans="2:11" x14ac:dyDescent="0.25">
      <c r="B248" s="50">
        <v>34.549999999999997</v>
      </c>
      <c r="C248" s="54">
        <v>1</v>
      </c>
      <c r="D248" s="4"/>
      <c r="K248" s="50">
        <v>34.549999999999997</v>
      </c>
    </row>
    <row r="249" spans="2:11" x14ac:dyDescent="0.25">
      <c r="B249" s="50">
        <v>28.71</v>
      </c>
      <c r="C249" s="54">
        <v>1</v>
      </c>
      <c r="D249" s="4"/>
      <c r="K249" s="50">
        <v>28.71</v>
      </c>
    </row>
    <row r="250" spans="2:11" x14ac:dyDescent="0.25">
      <c r="B250" s="50">
        <v>28.06</v>
      </c>
      <c r="C250" s="54">
        <v>1</v>
      </c>
      <c r="D250" s="4"/>
      <c r="K250" s="50">
        <v>28.06</v>
      </c>
    </row>
    <row r="251" spans="2:11" x14ac:dyDescent="0.25">
      <c r="B251" s="50">
        <v>27.89</v>
      </c>
      <c r="C251" s="54">
        <v>1</v>
      </c>
      <c r="D251" s="4"/>
      <c r="K251" s="50">
        <v>27.89</v>
      </c>
    </row>
    <row r="252" spans="2:11" x14ac:dyDescent="0.25">
      <c r="B252" s="50">
        <v>29.52</v>
      </c>
      <c r="C252" s="54">
        <v>1</v>
      </c>
      <c r="D252" s="4"/>
      <c r="K252" s="50">
        <v>29.52</v>
      </c>
    </row>
    <row r="253" spans="2:11" x14ac:dyDescent="0.25">
      <c r="B253" s="50">
        <v>28.24</v>
      </c>
      <c r="C253" s="54">
        <v>1</v>
      </c>
      <c r="D253" s="4"/>
      <c r="K253" s="50">
        <v>28.24</v>
      </c>
    </row>
    <row r="254" spans="2:11" x14ac:dyDescent="0.25">
      <c r="B254" s="50">
        <v>30.36</v>
      </c>
      <c r="C254" s="54">
        <v>1</v>
      </c>
      <c r="D254" s="4"/>
      <c r="K254" s="50">
        <v>30.36</v>
      </c>
    </row>
    <row r="255" spans="2:11" x14ac:dyDescent="0.25">
      <c r="B255" s="50">
        <v>24.58</v>
      </c>
      <c r="C255" s="54">
        <v>1</v>
      </c>
      <c r="D255" s="4"/>
      <c r="K255" s="50">
        <v>24.58</v>
      </c>
    </row>
    <row r="256" spans="2:11" x14ac:dyDescent="0.25">
      <c r="B256" s="50">
        <v>27.5</v>
      </c>
      <c r="C256" s="54">
        <v>1</v>
      </c>
      <c r="D256" s="4"/>
      <c r="K256" s="50">
        <v>27.5</v>
      </c>
    </row>
    <row r="257" spans="2:11" x14ac:dyDescent="0.25">
      <c r="B257" s="50">
        <v>28.67</v>
      </c>
      <c r="C257" s="54">
        <v>1</v>
      </c>
      <c r="D257" s="4"/>
      <c r="K257" s="50">
        <v>28.67</v>
      </c>
    </row>
    <row r="258" spans="2:11" x14ac:dyDescent="0.25">
      <c r="B258" s="50">
        <v>26.8</v>
      </c>
      <c r="C258" s="54">
        <v>1</v>
      </c>
      <c r="D258" s="4"/>
      <c r="K258" s="50">
        <v>26.8</v>
      </c>
    </row>
    <row r="259" spans="2:11" x14ac:dyDescent="0.25">
      <c r="B259" s="50">
        <v>31.6</v>
      </c>
      <c r="C259" s="54">
        <v>1</v>
      </c>
      <c r="D259" s="4"/>
      <c r="K259" s="50">
        <v>31.6</v>
      </c>
    </row>
    <row r="260" spans="2:11" x14ac:dyDescent="0.25">
      <c r="B260" s="50">
        <v>28.36</v>
      </c>
      <c r="C260" s="54">
        <v>1</v>
      </c>
      <c r="D260" s="4"/>
      <c r="K260" s="50">
        <v>28.36</v>
      </c>
    </row>
    <row r="261" spans="2:11" x14ac:dyDescent="0.25">
      <c r="B261" s="50">
        <v>41.92</v>
      </c>
      <c r="C261" s="54">
        <v>1</v>
      </c>
      <c r="D261" s="4"/>
      <c r="K261" s="50">
        <v>41.92</v>
      </c>
    </row>
    <row r="262" spans="2:11" x14ac:dyDescent="0.25">
      <c r="B262" s="50">
        <v>28.78</v>
      </c>
      <c r="C262" s="54">
        <v>1</v>
      </c>
      <c r="D262" s="4"/>
      <c r="K262" s="50">
        <v>28.78</v>
      </c>
    </row>
    <row r="263" spans="2:11" x14ac:dyDescent="0.25">
      <c r="B263" s="50">
        <v>25.65</v>
      </c>
      <c r="C263" s="54">
        <v>1</v>
      </c>
      <c r="D263" s="4"/>
      <c r="K263" s="50">
        <v>25.65</v>
      </c>
    </row>
    <row r="264" spans="2:11" x14ac:dyDescent="0.25">
      <c r="B264" s="50">
        <v>31.13</v>
      </c>
      <c r="C264" s="54">
        <v>1</v>
      </c>
      <c r="D264" s="4"/>
      <c r="K264" s="50">
        <v>31.13</v>
      </c>
    </row>
    <row r="265" spans="2:11" x14ac:dyDescent="0.25">
      <c r="B265" s="50">
        <v>34.72</v>
      </c>
      <c r="C265" s="54">
        <v>1</v>
      </c>
      <c r="D265" s="4"/>
      <c r="K265" s="50">
        <v>34.72</v>
      </c>
    </row>
    <row r="266" spans="2:11" x14ac:dyDescent="0.25">
      <c r="B266" s="50">
        <v>29.66</v>
      </c>
      <c r="C266" s="54">
        <v>1</v>
      </c>
      <c r="D266" s="4"/>
      <c r="K266" s="50">
        <v>29.66</v>
      </c>
    </row>
    <row r="267" spans="2:11" x14ac:dyDescent="0.25">
      <c r="B267" s="50">
        <v>28.37</v>
      </c>
      <c r="C267" s="54">
        <v>1</v>
      </c>
      <c r="D267" s="4"/>
      <c r="K267" s="50">
        <v>28.37</v>
      </c>
    </row>
    <row r="268" spans="2:11" x14ac:dyDescent="0.25">
      <c r="B268" s="50">
        <v>27.68</v>
      </c>
      <c r="C268" s="54">
        <v>1</v>
      </c>
      <c r="D268" s="4"/>
      <c r="K268" s="50">
        <v>27.68</v>
      </c>
    </row>
    <row r="269" spans="2:11" x14ac:dyDescent="0.25">
      <c r="B269" s="50">
        <v>31.37</v>
      </c>
      <c r="C269" s="54">
        <v>1</v>
      </c>
      <c r="D269" s="4"/>
      <c r="K269" s="50">
        <v>31.37</v>
      </c>
    </row>
    <row r="270" spans="2:11" x14ac:dyDescent="0.25">
      <c r="B270" s="50">
        <v>24.81</v>
      </c>
      <c r="C270" s="54">
        <v>1</v>
      </c>
      <c r="D270" s="4"/>
      <c r="K270" s="50">
        <v>24.81</v>
      </c>
    </row>
    <row r="271" spans="2:11" x14ac:dyDescent="0.25">
      <c r="B271" s="50">
        <v>25.05</v>
      </c>
      <c r="C271" s="54">
        <v>1</v>
      </c>
      <c r="D271" s="4"/>
      <c r="K271" s="50">
        <v>25.05</v>
      </c>
    </row>
    <row r="272" spans="2:11" x14ac:dyDescent="0.25">
      <c r="B272" s="50">
        <v>24.07</v>
      </c>
      <c r="C272" s="54">
        <v>1</v>
      </c>
      <c r="D272" s="4"/>
      <c r="K272" s="50">
        <v>24.07</v>
      </c>
    </row>
    <row r="273" spans="2:11" x14ac:dyDescent="0.25">
      <c r="B273" s="50">
        <v>24.9</v>
      </c>
      <c r="C273" s="54">
        <v>1</v>
      </c>
      <c r="D273" s="4"/>
      <c r="K273" s="50">
        <v>24.9</v>
      </c>
    </row>
    <row r="274" spans="2:11" x14ac:dyDescent="0.25">
      <c r="B274" s="50">
        <v>25.29</v>
      </c>
      <c r="C274" s="54">
        <v>1</v>
      </c>
      <c r="D274" s="4"/>
      <c r="K274" s="50">
        <v>25.29</v>
      </c>
    </row>
    <row r="275" spans="2:11" x14ac:dyDescent="0.25">
      <c r="B275" s="50">
        <v>27.59</v>
      </c>
      <c r="C275" s="54">
        <v>1</v>
      </c>
      <c r="D275" s="4"/>
      <c r="K275" s="50">
        <v>27.59</v>
      </c>
    </row>
    <row r="276" spans="2:11" x14ac:dyDescent="0.25">
      <c r="B276" s="50">
        <v>30.54</v>
      </c>
      <c r="C276" s="54">
        <v>1</v>
      </c>
      <c r="D276" s="4"/>
      <c r="K276" s="50">
        <v>30.54</v>
      </c>
    </row>
    <row r="277" spans="2:11" x14ac:dyDescent="0.25">
      <c r="B277" s="50">
        <v>31.07</v>
      </c>
      <c r="C277" s="54">
        <v>1</v>
      </c>
      <c r="D277" s="4"/>
      <c r="K277" s="50">
        <v>31.07</v>
      </c>
    </row>
    <row r="278" spans="2:11" x14ac:dyDescent="0.25">
      <c r="B278" s="50">
        <v>29.78</v>
      </c>
      <c r="C278" s="54">
        <v>1</v>
      </c>
      <c r="D278" s="4"/>
      <c r="K278" s="50">
        <v>29.78</v>
      </c>
    </row>
    <row r="279" spans="2:11" x14ac:dyDescent="0.25">
      <c r="B279" s="50">
        <v>35.82</v>
      </c>
      <c r="C279" s="54">
        <v>1</v>
      </c>
      <c r="D279" s="4"/>
      <c r="K279" s="50">
        <v>35.82</v>
      </c>
    </row>
    <row r="280" spans="2:11" x14ac:dyDescent="0.25">
      <c r="B280" s="50">
        <v>31.42</v>
      </c>
      <c r="C280" s="54">
        <v>1</v>
      </c>
      <c r="D280" s="4"/>
      <c r="K280" s="50">
        <v>31.42</v>
      </c>
    </row>
    <row r="281" spans="2:11" x14ac:dyDescent="0.25">
      <c r="B281" s="50">
        <v>34.54</v>
      </c>
      <c r="C281" s="54">
        <v>1</v>
      </c>
      <c r="D281" s="4"/>
      <c r="K281" s="50">
        <v>34.54</v>
      </c>
    </row>
    <row r="282" spans="2:11" x14ac:dyDescent="0.25">
      <c r="B282" s="50">
        <v>48.28</v>
      </c>
      <c r="C282" s="54">
        <v>1</v>
      </c>
      <c r="D282" s="4"/>
      <c r="K282" s="50">
        <v>48.28</v>
      </c>
    </row>
    <row r="283" spans="2:11" x14ac:dyDescent="0.25">
      <c r="B283" s="50">
        <v>42.42</v>
      </c>
      <c r="C283" s="54">
        <v>1</v>
      </c>
      <c r="D283" s="4"/>
      <c r="K283" s="50">
        <v>42.42</v>
      </c>
    </row>
    <row r="284" spans="2:11" x14ac:dyDescent="0.25">
      <c r="B284" s="50">
        <v>30.5</v>
      </c>
      <c r="C284" s="54">
        <v>1</v>
      </c>
      <c r="D284" s="4"/>
      <c r="K284" s="50">
        <v>30.5</v>
      </c>
    </row>
    <row r="285" spans="2:11" x14ac:dyDescent="0.25">
      <c r="B285" s="50">
        <v>33.729999999999997</v>
      </c>
      <c r="C285" s="54">
        <v>1</v>
      </c>
      <c r="D285" s="4"/>
      <c r="K285" s="50">
        <v>33.729999999999997</v>
      </c>
    </row>
    <row r="286" spans="2:11" x14ac:dyDescent="0.25">
      <c r="B286" s="50">
        <v>29.21</v>
      </c>
      <c r="C286" s="54">
        <v>1</v>
      </c>
      <c r="D286" s="4"/>
      <c r="K286" s="50">
        <v>29.21</v>
      </c>
    </row>
    <row r="287" spans="2:11" x14ac:dyDescent="0.25">
      <c r="B287" s="50">
        <v>30.16</v>
      </c>
      <c r="C287" s="54">
        <v>1</v>
      </c>
      <c r="D287" s="4"/>
      <c r="K287" s="50">
        <v>30.16</v>
      </c>
    </row>
    <row r="288" spans="2:11" x14ac:dyDescent="0.25">
      <c r="B288" s="50">
        <v>28.79</v>
      </c>
      <c r="C288" s="54">
        <v>1</v>
      </c>
      <c r="D288" s="4"/>
      <c r="K288" s="50">
        <v>28.79</v>
      </c>
    </row>
    <row r="289" spans="2:11" x14ac:dyDescent="0.25">
      <c r="B289" s="50">
        <v>32.14</v>
      </c>
      <c r="C289" s="54">
        <v>1</v>
      </c>
      <c r="D289" s="4"/>
      <c r="K289" s="50">
        <v>32.14</v>
      </c>
    </row>
    <row r="290" spans="2:11" x14ac:dyDescent="0.25">
      <c r="B290" s="50">
        <v>29.76</v>
      </c>
      <c r="C290" s="54">
        <v>1</v>
      </c>
      <c r="D290" s="4"/>
      <c r="K290" s="50">
        <v>29.76</v>
      </c>
    </row>
    <row r="291" spans="2:11" x14ac:dyDescent="0.25">
      <c r="B291" s="50">
        <v>32.32</v>
      </c>
      <c r="C291" s="54">
        <v>1</v>
      </c>
      <c r="D291" s="4"/>
      <c r="K291" s="50">
        <v>32.32</v>
      </c>
    </row>
    <row r="292" spans="2:11" x14ac:dyDescent="0.25">
      <c r="B292" s="50">
        <v>30.21</v>
      </c>
      <c r="C292" s="54">
        <v>1</v>
      </c>
      <c r="D292" s="4"/>
      <c r="K292" s="50">
        <v>30.21</v>
      </c>
    </row>
    <row r="293" spans="2:11" x14ac:dyDescent="0.25">
      <c r="B293" s="50">
        <v>32.57</v>
      </c>
      <c r="C293" s="54">
        <v>1</v>
      </c>
      <c r="D293" s="4"/>
      <c r="K293" s="50">
        <v>32.57</v>
      </c>
    </row>
    <row r="294" spans="2:11" x14ac:dyDescent="0.25">
      <c r="B294" s="50">
        <v>32.69</v>
      </c>
      <c r="C294" s="54">
        <v>1</v>
      </c>
      <c r="D294" s="4"/>
      <c r="K294" s="50">
        <v>32.69</v>
      </c>
    </row>
    <row r="295" spans="2:11" x14ac:dyDescent="0.25">
      <c r="B295" s="50">
        <v>28.69</v>
      </c>
      <c r="C295" s="54">
        <v>1</v>
      </c>
      <c r="D295" s="4"/>
      <c r="K295" s="50">
        <v>28.69</v>
      </c>
    </row>
    <row r="296" spans="2:11" x14ac:dyDescent="0.25">
      <c r="B296" s="50">
        <v>28.06</v>
      </c>
      <c r="C296" s="54">
        <v>1</v>
      </c>
      <c r="D296" s="4"/>
      <c r="K296" s="50">
        <v>28.06</v>
      </c>
    </row>
    <row r="297" spans="2:11" x14ac:dyDescent="0.25">
      <c r="B297" s="50">
        <v>26.84</v>
      </c>
      <c r="C297" s="54">
        <v>1</v>
      </c>
      <c r="D297" s="4"/>
      <c r="K297" s="50">
        <v>26.84</v>
      </c>
    </row>
    <row r="298" spans="2:11" x14ac:dyDescent="0.25">
      <c r="B298" s="50">
        <v>25.72</v>
      </c>
      <c r="C298" s="54">
        <v>1</v>
      </c>
      <c r="D298" s="4"/>
      <c r="K298" s="50">
        <v>25.72</v>
      </c>
    </row>
    <row r="299" spans="2:11" x14ac:dyDescent="0.25">
      <c r="B299" s="50">
        <v>27.25</v>
      </c>
      <c r="C299" s="54">
        <v>1</v>
      </c>
      <c r="D299" s="4"/>
      <c r="K299" s="50">
        <v>27.25</v>
      </c>
    </row>
    <row r="300" spans="2:11" x14ac:dyDescent="0.25">
      <c r="B300" s="50">
        <v>28.08</v>
      </c>
      <c r="C300" s="54">
        <v>1</v>
      </c>
      <c r="D300" s="4"/>
      <c r="K300" s="50">
        <v>28.08</v>
      </c>
    </row>
    <row r="301" spans="2:11" x14ac:dyDescent="0.25">
      <c r="B301" s="50">
        <v>25.44</v>
      </c>
      <c r="C301" s="54">
        <v>1</v>
      </c>
      <c r="D301" s="4"/>
      <c r="K301" s="50">
        <v>25.44</v>
      </c>
    </row>
    <row r="302" spans="2:11" x14ac:dyDescent="0.25">
      <c r="B302" s="50">
        <v>26</v>
      </c>
      <c r="C302" s="54">
        <v>1</v>
      </c>
      <c r="D302" s="4"/>
      <c r="K302" s="50">
        <v>26</v>
      </c>
    </row>
    <row r="303" spans="2:11" x14ac:dyDescent="0.25">
      <c r="B303" s="50">
        <v>28.73</v>
      </c>
      <c r="C303" s="54">
        <v>1</v>
      </c>
      <c r="D303" s="4"/>
      <c r="K303" s="50">
        <v>28.73</v>
      </c>
    </row>
    <row r="304" spans="2:11" x14ac:dyDescent="0.25">
      <c r="B304" s="50">
        <v>28.31</v>
      </c>
      <c r="C304" s="54">
        <v>1</v>
      </c>
      <c r="D304" s="4"/>
      <c r="K304" s="50">
        <v>28.31</v>
      </c>
    </row>
    <row r="305" spans="2:11" x14ac:dyDescent="0.25">
      <c r="B305" s="50">
        <v>29.29</v>
      </c>
      <c r="C305" s="54">
        <v>1</v>
      </c>
      <c r="D305" s="4"/>
      <c r="K305" s="50">
        <v>29.29</v>
      </c>
    </row>
    <row r="306" spans="2:11" x14ac:dyDescent="0.25">
      <c r="B306" s="50">
        <v>20.3</v>
      </c>
      <c r="C306" s="54">
        <v>1</v>
      </c>
      <c r="D306" s="4"/>
      <c r="K306" s="50">
        <v>20.3</v>
      </c>
    </row>
    <row r="307" spans="2:11" x14ac:dyDescent="0.25">
      <c r="B307" s="50">
        <v>17.52</v>
      </c>
      <c r="C307" s="54">
        <v>1</v>
      </c>
      <c r="D307" s="4"/>
      <c r="K307" s="50">
        <v>17.52</v>
      </c>
    </row>
    <row r="308" spans="2:11" x14ac:dyDescent="0.25">
      <c r="B308" s="50">
        <v>13.16</v>
      </c>
      <c r="C308" s="54">
        <v>1</v>
      </c>
      <c r="D308" s="4"/>
      <c r="K308" s="50">
        <v>13.16</v>
      </c>
    </row>
    <row r="309" spans="2:11" x14ac:dyDescent="0.25">
      <c r="B309" s="50">
        <v>12.07</v>
      </c>
      <c r="C309" s="54">
        <v>1</v>
      </c>
      <c r="D309" s="4"/>
      <c r="K309" s="50">
        <v>12.07</v>
      </c>
    </row>
    <row r="310" spans="2:11" x14ac:dyDescent="0.25">
      <c r="B310" s="50">
        <v>13.49</v>
      </c>
      <c r="C310" s="54">
        <v>1</v>
      </c>
      <c r="D310" s="4"/>
      <c r="K310" s="50">
        <v>13.49</v>
      </c>
    </row>
    <row r="311" spans="2:11" x14ac:dyDescent="0.25">
      <c r="B311" s="50">
        <v>17.18</v>
      </c>
      <c r="C311" s="54">
        <v>1</v>
      </c>
      <c r="D311" s="4"/>
      <c r="K311" s="50">
        <v>17.18</v>
      </c>
    </row>
    <row r="312" spans="2:11" x14ac:dyDescent="0.25">
      <c r="B312" s="50">
        <v>32.14</v>
      </c>
      <c r="C312" s="54">
        <v>1</v>
      </c>
      <c r="D312" s="4"/>
      <c r="K312" s="50">
        <v>32.14</v>
      </c>
    </row>
    <row r="313" spans="2:11" x14ac:dyDescent="0.25">
      <c r="B313" s="50">
        <v>29.68</v>
      </c>
      <c r="C313" s="54">
        <v>1</v>
      </c>
      <c r="D313" s="4"/>
      <c r="K313" s="50">
        <v>29.68</v>
      </c>
    </row>
    <row r="314" spans="2:11" x14ac:dyDescent="0.25">
      <c r="B314" s="50">
        <v>29.98</v>
      </c>
      <c r="C314" s="54">
        <v>1</v>
      </c>
      <c r="D314" s="4"/>
      <c r="K314" s="50">
        <v>29.98</v>
      </c>
    </row>
    <row r="315" spans="2:11" x14ac:dyDescent="0.25">
      <c r="B315" s="50">
        <v>35.770000000000003</v>
      </c>
      <c r="C315" s="54">
        <v>1</v>
      </c>
      <c r="D315" s="4"/>
      <c r="K315" s="50">
        <v>35.770000000000003</v>
      </c>
    </row>
    <row r="316" spans="2:11" x14ac:dyDescent="0.25">
      <c r="B316" s="50">
        <v>29.58</v>
      </c>
      <c r="C316" s="54">
        <v>1</v>
      </c>
      <c r="D316" s="4"/>
      <c r="K316" s="50">
        <v>29.58</v>
      </c>
    </row>
    <row r="317" spans="2:11" x14ac:dyDescent="0.25">
      <c r="B317" s="50">
        <v>28.2</v>
      </c>
      <c r="C317" s="54">
        <v>1</v>
      </c>
      <c r="D317" s="4"/>
      <c r="K317" s="50">
        <v>28.2</v>
      </c>
    </row>
    <row r="318" spans="2:11" x14ac:dyDescent="0.25">
      <c r="B318" s="50">
        <v>27.11</v>
      </c>
      <c r="C318" s="54">
        <v>1</v>
      </c>
      <c r="D318" s="4"/>
      <c r="K318" s="50">
        <v>27.11</v>
      </c>
    </row>
    <row r="319" spans="2:11" x14ac:dyDescent="0.25">
      <c r="B319" s="50">
        <v>28.52</v>
      </c>
      <c r="C319" s="54">
        <v>1</v>
      </c>
      <c r="D319" s="4"/>
      <c r="K319" s="50">
        <v>28.52</v>
      </c>
    </row>
    <row r="320" spans="2:11" x14ac:dyDescent="0.25">
      <c r="B320" s="50">
        <v>33.29</v>
      </c>
      <c r="C320" s="54">
        <v>1</v>
      </c>
      <c r="D320" s="4"/>
      <c r="K320" s="50">
        <v>33.29</v>
      </c>
    </row>
    <row r="321" spans="2:11" x14ac:dyDescent="0.25">
      <c r="B321" s="50">
        <v>35.880000000000003</v>
      </c>
      <c r="C321" s="54">
        <v>1</v>
      </c>
      <c r="D321" s="4"/>
      <c r="K321" s="50">
        <v>35.880000000000003</v>
      </c>
    </row>
    <row r="322" spans="2:11" x14ac:dyDescent="0.25">
      <c r="B322" s="50">
        <v>28.54</v>
      </c>
      <c r="C322" s="54">
        <v>1</v>
      </c>
      <c r="D322" s="4"/>
      <c r="K322" s="50">
        <v>28.54</v>
      </c>
    </row>
    <row r="323" spans="2:11" x14ac:dyDescent="0.25">
      <c r="B323" s="50">
        <v>30.1</v>
      </c>
      <c r="C323" s="54">
        <v>1</v>
      </c>
      <c r="D323" s="4"/>
      <c r="K323" s="50">
        <v>30.1</v>
      </c>
    </row>
    <row r="324" spans="2:11" x14ac:dyDescent="0.25">
      <c r="B324" s="50">
        <v>28.62</v>
      </c>
      <c r="C324" s="54">
        <v>1</v>
      </c>
      <c r="D324" s="4"/>
      <c r="K324" s="50">
        <v>28.62</v>
      </c>
    </row>
    <row r="325" spans="2:11" x14ac:dyDescent="0.25">
      <c r="B325" s="50">
        <v>29.85</v>
      </c>
      <c r="C325" s="54">
        <v>1</v>
      </c>
      <c r="D325" s="4"/>
      <c r="K325" s="50">
        <v>29.85</v>
      </c>
    </row>
    <row r="326" spans="2:11" x14ac:dyDescent="0.25">
      <c r="B326" s="50">
        <v>28.58</v>
      </c>
      <c r="C326" s="54">
        <v>1</v>
      </c>
      <c r="D326" s="4"/>
      <c r="K326" s="50">
        <v>28.58</v>
      </c>
    </row>
    <row r="327" spans="2:11" x14ac:dyDescent="0.25">
      <c r="B327" s="50">
        <v>35.409999999999997</v>
      </c>
      <c r="C327" s="54">
        <v>1</v>
      </c>
      <c r="D327" s="4"/>
      <c r="K327" s="50">
        <v>35.409999999999997</v>
      </c>
    </row>
    <row r="328" spans="2:11" x14ac:dyDescent="0.25">
      <c r="B328" s="50">
        <v>31.09</v>
      </c>
      <c r="C328" s="54">
        <v>1</v>
      </c>
      <c r="D328" s="4"/>
      <c r="K328" s="50">
        <v>31.09</v>
      </c>
    </row>
    <row r="329" spans="2:11" x14ac:dyDescent="0.25">
      <c r="B329" s="50">
        <v>34.53</v>
      </c>
      <c r="C329" s="54">
        <v>1</v>
      </c>
      <c r="D329" s="4"/>
      <c r="K329" s="50">
        <v>34.53</v>
      </c>
    </row>
    <row r="330" spans="2:11" x14ac:dyDescent="0.25">
      <c r="B330" s="50">
        <v>33.22</v>
      </c>
      <c r="C330" s="54">
        <v>1</v>
      </c>
      <c r="D330" s="4"/>
      <c r="K330" s="50">
        <v>33.22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workbookViewId="0">
      <selection activeCell="G20" sqref="G20"/>
    </sheetView>
  </sheetViews>
  <sheetFormatPr defaultRowHeight="12.5" x14ac:dyDescent="0.25"/>
  <cols>
    <col min="1" max="1" width="9.54296875" customWidth="1"/>
    <col min="2" max="3" width="10.7265625" customWidth="1"/>
    <col min="4" max="4" width="10.26953125" style="3" bestFit="1" customWidth="1"/>
    <col min="5" max="5" width="9.1796875" style="3" customWidth="1"/>
    <col min="6" max="6" width="3.26953125" customWidth="1"/>
    <col min="7" max="7" width="14.81640625" bestFit="1" customWidth="1"/>
    <col min="8" max="8" width="9.1796875" style="3" customWidth="1"/>
    <col min="9" max="9" width="7" customWidth="1"/>
    <col min="10" max="10" width="3.54296875" customWidth="1"/>
    <col min="11" max="11" width="17" bestFit="1" customWidth="1"/>
    <col min="12" max="12" width="7" bestFit="1" customWidth="1"/>
    <col min="14" max="14" width="9.1796875" style="8" customWidth="1"/>
    <col min="15" max="15" width="11.1796875" style="8" customWidth="1"/>
    <col min="16" max="16" width="10.54296875" style="8" customWidth="1"/>
    <col min="17" max="17" width="9.1796875" style="8" customWidth="1"/>
    <col min="18" max="18" width="4.7265625" style="8" customWidth="1"/>
    <col min="19" max="19" width="12.453125" style="41" bestFit="1" customWidth="1"/>
    <col min="20" max="20" width="9.1796875" style="41" customWidth="1"/>
    <col min="21" max="22" width="9.1796875" style="8" customWidth="1"/>
    <col min="23" max="23" width="17" style="8" bestFit="1" customWidth="1"/>
    <col min="24" max="24" width="9.1796875" style="8" customWidth="1"/>
  </cols>
  <sheetData>
    <row r="1" spans="1:24" ht="13" x14ac:dyDescent="0.3">
      <c r="A1" s="13"/>
      <c r="B1" s="14" t="s">
        <v>144</v>
      </c>
      <c r="C1" s="14" t="s">
        <v>145</v>
      </c>
      <c r="D1" s="2" t="s">
        <v>134</v>
      </c>
      <c r="E1" s="14" t="s">
        <v>135</v>
      </c>
      <c r="G1" s="2" t="s">
        <v>136</v>
      </c>
      <c r="H1" s="2" t="s">
        <v>137</v>
      </c>
      <c r="I1" s="2" t="s">
        <v>114</v>
      </c>
      <c r="N1" s="21"/>
      <c r="O1" s="21"/>
      <c r="P1" s="21"/>
      <c r="Q1" s="21"/>
      <c r="S1" s="21"/>
      <c r="T1" s="21"/>
      <c r="U1" s="21"/>
    </row>
    <row r="2" spans="1:24" ht="13" x14ac:dyDescent="0.3">
      <c r="A2" s="20"/>
      <c r="B2" s="4">
        <v>63.33</v>
      </c>
      <c r="C2" s="4">
        <v>70.099999999999994</v>
      </c>
      <c r="D2" s="57">
        <f>C2-B2</f>
        <v>6.769999999999996</v>
      </c>
      <c r="E2" s="4">
        <f>ABS(D2)</f>
        <v>6.769999999999996</v>
      </c>
      <c r="G2" s="4">
        <v>1.6999999999999886</v>
      </c>
      <c r="H2" s="3" t="s">
        <v>3</v>
      </c>
      <c r="I2" s="3">
        <v>1</v>
      </c>
      <c r="N2" s="27"/>
      <c r="O2" s="41"/>
      <c r="P2" s="56"/>
      <c r="Q2" s="41"/>
    </row>
    <row r="3" spans="1:24" ht="13" x14ac:dyDescent="0.3">
      <c r="A3" s="20"/>
      <c r="B3" s="4">
        <v>85.02</v>
      </c>
      <c r="C3" s="4">
        <v>78.930000000000007</v>
      </c>
      <c r="D3" s="57">
        <f t="shared" ref="D3:D16" si="0">C3-B3</f>
        <v>-6.0899999999999892</v>
      </c>
      <c r="E3" s="4">
        <f t="shared" ref="E3:E16" si="1">ABS(D3)</f>
        <v>6.0899999999999892</v>
      </c>
      <c r="G3" s="4">
        <v>2.56</v>
      </c>
      <c r="H3" s="3" t="s">
        <v>138</v>
      </c>
      <c r="I3" s="3">
        <v>2</v>
      </c>
      <c r="K3" s="2" t="s">
        <v>146</v>
      </c>
      <c r="L3" s="57">
        <f>MEDIAN(D2:D16)</f>
        <v>3.2000000000000028</v>
      </c>
      <c r="N3" s="27"/>
      <c r="O3" s="41"/>
      <c r="P3" s="56"/>
      <c r="Q3" s="41"/>
    </row>
    <row r="4" spans="1:24" ht="13" x14ac:dyDescent="0.3">
      <c r="A4" s="20"/>
      <c r="B4" s="4">
        <v>68.42</v>
      </c>
      <c r="C4" s="4">
        <v>70.98</v>
      </c>
      <c r="D4" s="57">
        <f t="shared" si="0"/>
        <v>2.5600000000000023</v>
      </c>
      <c r="E4" s="4">
        <f t="shared" si="1"/>
        <v>2.5600000000000023</v>
      </c>
      <c r="G4" s="4">
        <v>2.91</v>
      </c>
      <c r="H4" s="3" t="s">
        <v>138</v>
      </c>
      <c r="I4" s="3">
        <v>3</v>
      </c>
      <c r="K4" s="2"/>
      <c r="N4" s="27"/>
      <c r="O4" s="41"/>
      <c r="P4" s="56"/>
      <c r="Q4" s="41"/>
    </row>
    <row r="5" spans="1:24" ht="13" x14ac:dyDescent="0.3">
      <c r="A5" s="19"/>
      <c r="B5" s="4">
        <v>65.709999999999994</v>
      </c>
      <c r="C5" s="4">
        <v>64.010000000000005</v>
      </c>
      <c r="D5" s="57">
        <f t="shared" si="0"/>
        <v>-1.6999999999999886</v>
      </c>
      <c r="E5" s="4">
        <f t="shared" si="1"/>
        <v>1.6999999999999886</v>
      </c>
      <c r="G5" s="4">
        <v>3.2</v>
      </c>
      <c r="H5" s="3" t="s">
        <v>138</v>
      </c>
      <c r="I5" s="3">
        <v>4</v>
      </c>
      <c r="K5" s="2" t="s">
        <v>139</v>
      </c>
      <c r="L5" s="3">
        <f>SUM(I3:I6,I8,I10:I11,I13,I15:I16)</f>
        <v>81</v>
      </c>
      <c r="N5" s="27"/>
      <c r="O5" s="41"/>
      <c r="P5" s="56"/>
      <c r="Q5" s="41"/>
      <c r="W5" s="21"/>
      <c r="X5" s="41"/>
    </row>
    <row r="6" spans="1:24" x14ac:dyDescent="0.25">
      <c r="B6" s="4">
        <v>74.2</v>
      </c>
      <c r="C6" s="4">
        <v>77.11</v>
      </c>
      <c r="D6" s="57">
        <f t="shared" si="0"/>
        <v>2.9099999999999966</v>
      </c>
      <c r="E6" s="4">
        <f t="shared" si="1"/>
        <v>2.9099999999999966</v>
      </c>
      <c r="G6" s="4">
        <v>3.5800000000000054</v>
      </c>
      <c r="H6" s="3" t="s">
        <v>138</v>
      </c>
      <c r="I6" s="3">
        <v>5</v>
      </c>
      <c r="L6" s="3"/>
      <c r="N6" s="27"/>
      <c r="O6" s="41"/>
      <c r="P6" s="56"/>
      <c r="Q6" s="41"/>
      <c r="X6" s="41"/>
    </row>
    <row r="7" spans="1:24" ht="13" x14ac:dyDescent="0.3">
      <c r="B7" s="4">
        <v>64.98</v>
      </c>
      <c r="C7" s="4">
        <v>77.010000000000005</v>
      </c>
      <c r="D7" s="57">
        <f t="shared" si="0"/>
        <v>12.030000000000001</v>
      </c>
      <c r="E7" s="4">
        <f t="shared" si="1"/>
        <v>12.030000000000001</v>
      </c>
      <c r="G7" s="4">
        <v>4.5300000000000082</v>
      </c>
      <c r="H7" s="3" t="s">
        <v>3</v>
      </c>
      <c r="I7" s="3">
        <v>6</v>
      </c>
      <c r="K7" s="2" t="s">
        <v>140</v>
      </c>
      <c r="L7" s="3"/>
      <c r="N7" s="27"/>
      <c r="O7" s="41"/>
      <c r="P7" s="56"/>
      <c r="Q7" s="41"/>
      <c r="W7" s="21"/>
      <c r="X7" s="41"/>
    </row>
    <row r="8" spans="1:24" ht="13" x14ac:dyDescent="0.3">
      <c r="B8" s="4">
        <v>81.36</v>
      </c>
      <c r="C8" s="4">
        <v>86.03</v>
      </c>
      <c r="D8" s="57">
        <f t="shared" si="0"/>
        <v>4.6700000000000017</v>
      </c>
      <c r="E8" s="4">
        <f t="shared" si="1"/>
        <v>4.6700000000000017</v>
      </c>
      <c r="G8" s="4">
        <v>4.67</v>
      </c>
      <c r="H8" s="3" t="s">
        <v>138</v>
      </c>
      <c r="I8" s="3">
        <v>7</v>
      </c>
      <c r="K8" s="1" t="s">
        <v>141</v>
      </c>
      <c r="L8" s="3">
        <f>COUNTIF(G2:G16,"&gt;0")</f>
        <v>15</v>
      </c>
      <c r="N8" s="27"/>
      <c r="O8" s="41"/>
      <c r="P8" s="56"/>
      <c r="Q8" s="41"/>
      <c r="W8" s="46"/>
      <c r="X8" s="41"/>
    </row>
    <row r="9" spans="1:24" x14ac:dyDescent="0.25">
      <c r="B9" s="4">
        <v>81.38</v>
      </c>
      <c r="C9" s="4">
        <v>86.58</v>
      </c>
      <c r="D9" s="57">
        <f t="shared" si="0"/>
        <v>5.2000000000000028</v>
      </c>
      <c r="E9" s="4">
        <f t="shared" si="1"/>
        <v>5.2000000000000028</v>
      </c>
      <c r="G9" s="4">
        <v>5.0599999999999996</v>
      </c>
      <c r="H9" s="3" t="s">
        <v>3</v>
      </c>
      <c r="I9" s="3">
        <v>8</v>
      </c>
      <c r="L9" s="3"/>
      <c r="N9" s="27"/>
      <c r="O9" s="41"/>
      <c r="P9" s="56"/>
      <c r="Q9" s="41"/>
      <c r="X9" s="41"/>
    </row>
    <row r="10" spans="1:24" ht="13" x14ac:dyDescent="0.3">
      <c r="B10" s="4">
        <v>76.81</v>
      </c>
      <c r="C10" s="4">
        <v>71.75</v>
      </c>
      <c r="D10" s="57">
        <f t="shared" si="0"/>
        <v>-5.0600000000000023</v>
      </c>
      <c r="E10" s="4">
        <f t="shared" si="1"/>
        <v>5.0600000000000023</v>
      </c>
      <c r="G10" s="4">
        <v>5.2</v>
      </c>
      <c r="H10" s="3" t="s">
        <v>138</v>
      </c>
      <c r="I10" s="3">
        <v>9</v>
      </c>
      <c r="K10" s="2" t="s">
        <v>106</v>
      </c>
      <c r="L10" s="3">
        <f>(ABS(L5-L8*(L8+1)/4)-0.5)/SQRT(L8*(L8+1)*(2*L8+1)/24)</f>
        <v>1.1643217602064828</v>
      </c>
      <c r="N10" s="27"/>
      <c r="O10" s="41"/>
      <c r="P10" s="56"/>
      <c r="Q10" s="41"/>
      <c r="W10" s="21"/>
      <c r="X10" s="41"/>
    </row>
    <row r="11" spans="1:24" ht="13" x14ac:dyDescent="0.3">
      <c r="B11" s="23">
        <v>66.25</v>
      </c>
      <c r="C11" s="23">
        <v>69.45</v>
      </c>
      <c r="D11" s="57">
        <f t="shared" si="0"/>
        <v>3.2000000000000028</v>
      </c>
      <c r="E11" s="4">
        <f t="shared" si="1"/>
        <v>3.2000000000000028</v>
      </c>
      <c r="G11" s="4">
        <v>5.43</v>
      </c>
      <c r="H11" s="3" t="s">
        <v>138</v>
      </c>
      <c r="I11" s="3">
        <v>10</v>
      </c>
      <c r="K11" s="2" t="s">
        <v>142</v>
      </c>
      <c r="L11" s="3">
        <f>1-NORMSDIST(L10)</f>
        <v>0.12214682066588833</v>
      </c>
      <c r="N11" s="27"/>
      <c r="O11" s="41"/>
      <c r="P11" s="56"/>
      <c r="Q11" s="41"/>
      <c r="W11" s="21"/>
      <c r="X11" s="41"/>
    </row>
    <row r="12" spans="1:24" ht="13" x14ac:dyDescent="0.3">
      <c r="B12" s="23">
        <v>49.62</v>
      </c>
      <c r="C12" s="23">
        <v>55.05</v>
      </c>
      <c r="D12" s="57">
        <f t="shared" si="0"/>
        <v>5.43</v>
      </c>
      <c r="E12" s="4">
        <f t="shared" si="1"/>
        <v>5.43</v>
      </c>
      <c r="G12" s="4">
        <v>6.0899999999999892</v>
      </c>
      <c r="H12" s="3" t="s">
        <v>3</v>
      </c>
      <c r="I12" s="3">
        <v>11</v>
      </c>
      <c r="K12" s="2" t="s">
        <v>143</v>
      </c>
      <c r="L12" s="3">
        <f>2*L11</f>
        <v>0.24429364133177667</v>
      </c>
      <c r="N12" s="27"/>
      <c r="O12" s="41"/>
      <c r="P12" s="56"/>
      <c r="Q12" s="41"/>
      <c r="W12" s="21"/>
      <c r="X12" s="41"/>
    </row>
    <row r="13" spans="1:24" x14ac:dyDescent="0.25">
      <c r="B13" s="23">
        <v>67.260000000000005</v>
      </c>
      <c r="C13" s="23">
        <v>62.73</v>
      </c>
      <c r="D13" s="57">
        <f t="shared" si="0"/>
        <v>-4.5300000000000082</v>
      </c>
      <c r="E13" s="4">
        <f t="shared" si="1"/>
        <v>4.5300000000000082</v>
      </c>
      <c r="G13" s="4">
        <v>6.77</v>
      </c>
      <c r="H13" s="3" t="s">
        <v>138</v>
      </c>
      <c r="I13" s="3">
        <v>12</v>
      </c>
      <c r="N13" s="27"/>
      <c r="O13" s="41"/>
      <c r="P13" s="56"/>
      <c r="Q13" s="41"/>
    </row>
    <row r="14" spans="1:24" x14ac:dyDescent="0.25">
      <c r="B14" s="23">
        <v>63.57</v>
      </c>
      <c r="C14" s="23">
        <v>67.150000000000006</v>
      </c>
      <c r="D14" s="57">
        <f t="shared" si="0"/>
        <v>3.5800000000000054</v>
      </c>
      <c r="E14" s="4">
        <f t="shared" si="1"/>
        <v>3.5800000000000054</v>
      </c>
      <c r="G14" s="4">
        <v>8.08</v>
      </c>
      <c r="H14" s="3" t="s">
        <v>3</v>
      </c>
      <c r="I14" s="3">
        <v>13</v>
      </c>
      <c r="N14" s="27"/>
      <c r="O14" s="41"/>
      <c r="P14" s="56"/>
      <c r="Q14" s="41"/>
    </row>
    <row r="15" spans="1:24" x14ac:dyDescent="0.25">
      <c r="A15" s="8"/>
      <c r="B15" s="23">
        <v>61.59</v>
      </c>
      <c r="C15" s="23">
        <v>72.63</v>
      </c>
      <c r="D15" s="57">
        <f t="shared" si="0"/>
        <v>11.039999999999992</v>
      </c>
      <c r="E15" s="4">
        <f t="shared" si="1"/>
        <v>11.039999999999992</v>
      </c>
      <c r="G15" s="4">
        <v>11.04</v>
      </c>
      <c r="H15" s="3" t="s">
        <v>138</v>
      </c>
      <c r="I15" s="3">
        <v>14</v>
      </c>
      <c r="N15" s="27"/>
      <c r="O15" s="41"/>
      <c r="P15" s="56"/>
      <c r="Q15" s="41"/>
    </row>
    <row r="16" spans="1:24" ht="13" x14ac:dyDescent="0.3">
      <c r="A16" s="9"/>
      <c r="B16" s="4">
        <v>72.53</v>
      </c>
      <c r="C16" s="4">
        <v>64.45</v>
      </c>
      <c r="D16" s="57">
        <f t="shared" si="0"/>
        <v>-8.0799999999999983</v>
      </c>
      <c r="E16" s="4">
        <f t="shared" si="1"/>
        <v>8.0799999999999983</v>
      </c>
      <c r="G16" s="4">
        <v>12.03</v>
      </c>
      <c r="H16" s="3" t="s">
        <v>138</v>
      </c>
      <c r="I16" s="3">
        <v>15</v>
      </c>
      <c r="N16" s="27"/>
      <c r="O16" s="41"/>
      <c r="P16" s="56"/>
      <c r="Q16" s="41"/>
    </row>
    <row r="17" spans="1:16" x14ac:dyDescent="0.25">
      <c r="A17" s="5"/>
    </row>
    <row r="18" spans="1:16" x14ac:dyDescent="0.25">
      <c r="A18" s="5"/>
      <c r="B18" s="8"/>
      <c r="C18" s="8"/>
      <c r="D18" s="8"/>
      <c r="E18" s="41"/>
    </row>
    <row r="19" spans="1:16" x14ac:dyDescent="0.25">
      <c r="B19" s="8"/>
      <c r="C19" s="8"/>
      <c r="D19" s="8"/>
      <c r="E19" s="41"/>
    </row>
    <row r="20" spans="1:16" ht="13" x14ac:dyDescent="0.3">
      <c r="B20" s="9"/>
      <c r="C20" s="9"/>
      <c r="D20" s="9"/>
      <c r="E20" s="41"/>
      <c r="N20" s="9"/>
      <c r="O20" s="9"/>
      <c r="P20" s="9"/>
    </row>
    <row r="21" spans="1:16" x14ac:dyDescent="0.25">
      <c r="B21" s="5"/>
      <c r="C21" s="5"/>
      <c r="D21" s="5"/>
      <c r="E21" s="41"/>
      <c r="N21" s="5"/>
      <c r="O21" s="5"/>
      <c r="P21" s="5"/>
    </row>
    <row r="22" spans="1:16" x14ac:dyDescent="0.25">
      <c r="B22" s="5"/>
      <c r="C22" s="5"/>
      <c r="D22" s="5"/>
      <c r="E22" s="41"/>
      <c r="N22" s="5"/>
      <c r="O22" s="5"/>
      <c r="P22" s="5"/>
    </row>
    <row r="23" spans="1:16" x14ac:dyDescent="0.25">
      <c r="B23" s="5"/>
      <c r="C23" s="5"/>
      <c r="D23" s="5"/>
      <c r="E23" s="41"/>
      <c r="N23" s="5"/>
      <c r="O23" s="5"/>
      <c r="P23" s="5"/>
    </row>
    <row r="24" spans="1:16" x14ac:dyDescent="0.25">
      <c r="B24" s="5"/>
      <c r="C24" s="5"/>
      <c r="D24" s="5"/>
      <c r="E24" s="41"/>
      <c r="N24" s="5"/>
      <c r="O24" s="5"/>
      <c r="P24" s="5"/>
    </row>
    <row r="25" spans="1:16" x14ac:dyDescent="0.25">
      <c r="B25" s="5"/>
      <c r="C25" s="5"/>
      <c r="D25" s="5"/>
      <c r="E25" s="41"/>
      <c r="N25" s="5"/>
      <c r="O25" s="5"/>
      <c r="P25" s="5"/>
    </row>
    <row r="26" spans="1:16" x14ac:dyDescent="0.25">
      <c r="B26" s="5"/>
      <c r="C26" s="5"/>
      <c r="D26" s="5"/>
      <c r="E26" s="41"/>
      <c r="N26" s="5"/>
      <c r="O26" s="5"/>
      <c r="P26" s="5"/>
    </row>
    <row r="27" spans="1:16" x14ac:dyDescent="0.25">
      <c r="B27" s="5"/>
      <c r="C27" s="5"/>
      <c r="D27" s="5"/>
      <c r="E27" s="41"/>
      <c r="N27" s="5"/>
      <c r="O27" s="5"/>
      <c r="P27" s="5"/>
    </row>
    <row r="28" spans="1:16" x14ac:dyDescent="0.25">
      <c r="B28" s="5"/>
      <c r="C28" s="5"/>
      <c r="D28" s="5"/>
      <c r="E28" s="41"/>
      <c r="N28" s="5"/>
      <c r="O28" s="5"/>
      <c r="P28" s="5"/>
    </row>
    <row r="29" spans="1:16" x14ac:dyDescent="0.25">
      <c r="B29" s="5"/>
      <c r="C29" s="5"/>
      <c r="D29" s="5"/>
      <c r="E29" s="41"/>
      <c r="N29" s="5"/>
      <c r="O29" s="5"/>
      <c r="P29" s="5"/>
    </row>
    <row r="30" spans="1:16" x14ac:dyDescent="0.25">
      <c r="B30" s="5"/>
      <c r="C30" s="5"/>
      <c r="D30" s="5"/>
      <c r="E30" s="41"/>
      <c r="N30" s="5"/>
      <c r="O30" s="5"/>
      <c r="P30" s="5"/>
    </row>
    <row r="31" spans="1:16" x14ac:dyDescent="0.25">
      <c r="B31" s="5"/>
      <c r="C31" s="5"/>
      <c r="D31" s="5"/>
      <c r="E31" s="41"/>
      <c r="N31" s="5"/>
      <c r="O31" s="5"/>
      <c r="P31" s="5"/>
    </row>
    <row r="32" spans="1:16" x14ac:dyDescent="0.25">
      <c r="B32" s="8"/>
      <c r="C32" s="8"/>
      <c r="D32" s="41"/>
      <c r="E32" s="41"/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workbookViewId="0">
      <selection activeCell="G16" sqref="G16"/>
    </sheetView>
  </sheetViews>
  <sheetFormatPr defaultRowHeight="12.5" x14ac:dyDescent="0.25"/>
  <cols>
    <col min="4" max="4" width="4.1796875" customWidth="1"/>
    <col min="5" max="5" width="12.7265625" style="3" bestFit="1" customWidth="1"/>
    <col min="6" max="7" width="9.1796875" style="3" customWidth="1"/>
    <col min="8" max="8" width="4.1796875" customWidth="1"/>
    <col min="9" max="9" width="16.1796875" customWidth="1"/>
    <col min="10" max="10" width="8.1796875" customWidth="1"/>
  </cols>
  <sheetData>
    <row r="2" spans="2:10" ht="13" x14ac:dyDescent="0.3">
      <c r="B2" s="92" t="s">
        <v>123</v>
      </c>
      <c r="C2" s="92"/>
      <c r="E2" s="2" t="s">
        <v>149</v>
      </c>
      <c r="F2" s="2" t="s">
        <v>124</v>
      </c>
      <c r="G2" s="2" t="s">
        <v>114</v>
      </c>
    </row>
    <row r="3" spans="2:10" ht="13" x14ac:dyDescent="0.3">
      <c r="B3" s="2" t="s">
        <v>64</v>
      </c>
      <c r="C3" s="2" t="s">
        <v>65</v>
      </c>
      <c r="E3" s="3">
        <v>26.91</v>
      </c>
      <c r="F3" s="3" t="s">
        <v>65</v>
      </c>
      <c r="G3" s="3">
        <v>1</v>
      </c>
      <c r="I3" s="2" t="s">
        <v>147</v>
      </c>
    </row>
    <row r="4" spans="2:10" ht="13" x14ac:dyDescent="0.3">
      <c r="B4" s="3">
        <v>27.43</v>
      </c>
      <c r="C4" s="3">
        <v>27.01</v>
      </c>
      <c r="E4" s="3">
        <v>26.95</v>
      </c>
      <c r="F4" s="3" t="s">
        <v>65</v>
      </c>
      <c r="G4" s="3">
        <v>3</v>
      </c>
      <c r="I4" s="2" t="s">
        <v>148</v>
      </c>
      <c r="J4" s="3">
        <f>SUM(G3:G6)</f>
        <v>16</v>
      </c>
    </row>
    <row r="5" spans="2:10" x14ac:dyDescent="0.25">
      <c r="B5" s="3">
        <v>27.63</v>
      </c>
      <c r="C5" s="3">
        <v>26.91</v>
      </c>
      <c r="E5" s="3">
        <v>27.01</v>
      </c>
      <c r="F5" s="3" t="s">
        <v>65</v>
      </c>
      <c r="G5" s="3">
        <v>5</v>
      </c>
    </row>
    <row r="6" spans="2:10" ht="13" x14ac:dyDescent="0.3">
      <c r="B6" s="3">
        <v>27.36</v>
      </c>
      <c r="C6" s="3">
        <v>27.11</v>
      </c>
      <c r="E6" s="3">
        <v>27.11</v>
      </c>
      <c r="F6" s="3" t="s">
        <v>65</v>
      </c>
      <c r="G6" s="3">
        <v>7</v>
      </c>
      <c r="I6" s="2" t="s">
        <v>115</v>
      </c>
      <c r="J6" s="3">
        <v>4</v>
      </c>
    </row>
    <row r="7" spans="2:10" ht="13" x14ac:dyDescent="0.3">
      <c r="B7" s="3">
        <v>27.55</v>
      </c>
      <c r="C7" s="3">
        <v>26.95</v>
      </c>
      <c r="E7" s="3">
        <v>27.21</v>
      </c>
      <c r="F7" s="3" t="s">
        <v>125</v>
      </c>
      <c r="G7" s="3">
        <v>9</v>
      </c>
      <c r="I7" s="2" t="s">
        <v>116</v>
      </c>
      <c r="J7" s="3">
        <v>6</v>
      </c>
    </row>
    <row r="8" spans="2:10" ht="13" x14ac:dyDescent="0.3">
      <c r="B8" s="3">
        <v>27.98</v>
      </c>
      <c r="C8" s="3"/>
      <c r="E8" s="3">
        <v>27.36</v>
      </c>
      <c r="F8" s="3" t="s">
        <v>125</v>
      </c>
      <c r="G8" s="3">
        <v>10</v>
      </c>
      <c r="I8" s="1"/>
      <c r="J8" s="3"/>
    </row>
    <row r="9" spans="2:10" ht="13" x14ac:dyDescent="0.3">
      <c r="B9" s="3">
        <v>27.21</v>
      </c>
      <c r="C9" s="3"/>
      <c r="E9" s="3">
        <v>27.43</v>
      </c>
      <c r="F9" s="3" t="s">
        <v>125</v>
      </c>
      <c r="G9" s="3">
        <v>8</v>
      </c>
      <c r="I9" s="2" t="s">
        <v>106</v>
      </c>
      <c r="J9" s="58">
        <f>(ABS(J4-J6*(J6+J7+1)/2-0.5)/SQRT(J6*(J6+J7+1)*J7/12))</f>
        <v>1.3858046563114679</v>
      </c>
    </row>
    <row r="10" spans="2:10" ht="13" x14ac:dyDescent="0.3">
      <c r="E10" s="3">
        <v>27.55</v>
      </c>
      <c r="F10" s="3" t="s">
        <v>125</v>
      </c>
      <c r="G10" s="3">
        <v>6</v>
      </c>
      <c r="I10" s="2" t="s">
        <v>118</v>
      </c>
      <c r="J10" s="58">
        <f>1-NORMSDIST(J9)</f>
        <v>8.290328009700676E-2</v>
      </c>
    </row>
    <row r="11" spans="2:10" ht="13" x14ac:dyDescent="0.3">
      <c r="E11" s="3">
        <v>27.63</v>
      </c>
      <c r="F11" s="3" t="s">
        <v>125</v>
      </c>
      <c r="G11" s="3">
        <v>4</v>
      </c>
      <c r="I11" s="2" t="s">
        <v>119</v>
      </c>
      <c r="J11" s="58">
        <f>2*J10</f>
        <v>0.16580656019401352</v>
      </c>
    </row>
    <row r="12" spans="2:10" x14ac:dyDescent="0.25">
      <c r="E12" s="3">
        <v>27.98</v>
      </c>
      <c r="F12" s="3" t="s">
        <v>125</v>
      </c>
      <c r="G12" s="3">
        <v>2</v>
      </c>
    </row>
    <row r="16" spans="2:10" x14ac:dyDescent="0.25">
      <c r="B16" t="s">
        <v>61</v>
      </c>
    </row>
    <row r="17" spans="2:4" ht="13" thickBot="1" x14ac:dyDescent="0.3"/>
    <row r="18" spans="2:4" ht="13" x14ac:dyDescent="0.3">
      <c r="B18" s="7"/>
      <c r="C18" s="7" t="s">
        <v>64</v>
      </c>
      <c r="D18" s="7" t="s">
        <v>65</v>
      </c>
    </row>
    <row r="19" spans="2:4" x14ac:dyDescent="0.25">
      <c r="B19" s="5" t="s">
        <v>1</v>
      </c>
      <c r="C19" s="5">
        <v>27.526666666666667</v>
      </c>
      <c r="D19" s="5">
        <v>26.995000000000001</v>
      </c>
    </row>
    <row r="20" spans="2:4" x14ac:dyDescent="0.25">
      <c r="B20" s="5" t="s">
        <v>8</v>
      </c>
      <c r="C20" s="5">
        <v>7.0826666666653187E-2</v>
      </c>
      <c r="D20" s="5">
        <v>7.5666666666666521E-3</v>
      </c>
    </row>
    <row r="21" spans="2:4" x14ac:dyDescent="0.25">
      <c r="B21" s="5" t="s">
        <v>9</v>
      </c>
      <c r="C21" s="5">
        <v>6</v>
      </c>
      <c r="D21" s="5">
        <v>4</v>
      </c>
    </row>
    <row r="22" spans="2:4" x14ac:dyDescent="0.25">
      <c r="B22" s="5" t="s">
        <v>12</v>
      </c>
      <c r="C22" s="5">
        <v>5</v>
      </c>
      <c r="D22" s="5">
        <v>3</v>
      </c>
    </row>
    <row r="23" spans="2:4" x14ac:dyDescent="0.25">
      <c r="B23" s="5" t="s">
        <v>45</v>
      </c>
      <c r="C23" s="5">
        <v>9.3603524229057253</v>
      </c>
      <c r="D23" s="5"/>
    </row>
    <row r="24" spans="2:4" x14ac:dyDescent="0.25">
      <c r="B24" s="5" t="s">
        <v>62</v>
      </c>
      <c r="C24" s="5">
        <v>4.7506819277202426E-2</v>
      </c>
      <c r="D24" s="5"/>
    </row>
    <row r="25" spans="2:4" ht="13" thickBot="1" x14ac:dyDescent="0.3">
      <c r="B25" s="6" t="s">
        <v>63</v>
      </c>
      <c r="C25" s="6">
        <v>9.0134551675929124</v>
      </c>
      <c r="D25" s="6"/>
    </row>
  </sheetData>
  <mergeCells count="1">
    <mergeCell ref="B2:C2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workbookViewId="0">
      <selection activeCell="E18" sqref="E18:F29"/>
    </sheetView>
  </sheetViews>
  <sheetFormatPr defaultRowHeight="12.5" x14ac:dyDescent="0.25"/>
  <cols>
    <col min="2" max="2" width="12.81640625" bestFit="1" customWidth="1"/>
    <col min="3" max="3" width="13.81640625" bestFit="1" customWidth="1"/>
    <col min="4" max="4" width="10.26953125" customWidth="1"/>
    <col min="5" max="5" width="20.81640625" customWidth="1"/>
    <col min="6" max="6" width="8.81640625" customWidth="1"/>
    <col min="7" max="7" width="8.7265625" customWidth="1"/>
    <col min="9" max="9" width="12.453125" bestFit="1" customWidth="1"/>
  </cols>
  <sheetData>
    <row r="1" spans="2:9" ht="13" x14ac:dyDescent="0.3">
      <c r="B1" s="13"/>
    </row>
    <row r="2" spans="2:9" ht="13" x14ac:dyDescent="0.3">
      <c r="B2" s="92" t="s">
        <v>23</v>
      </c>
      <c r="C2" s="92"/>
      <c r="E2" t="s">
        <v>20</v>
      </c>
    </row>
    <row r="3" spans="2:9" ht="13.5" thickBot="1" x14ac:dyDescent="0.35">
      <c r="B3" s="2" t="s">
        <v>27</v>
      </c>
      <c r="C3" s="2" t="s">
        <v>28</v>
      </c>
      <c r="F3" s="11"/>
      <c r="G3" s="11"/>
      <c r="I3" s="31"/>
    </row>
    <row r="4" spans="2:9" ht="13" x14ac:dyDescent="0.3">
      <c r="B4" s="4">
        <v>69.050012901425362</v>
      </c>
      <c r="C4" s="4">
        <v>72.167010299861431</v>
      </c>
      <c r="E4" s="7"/>
      <c r="F4" s="17" t="s">
        <v>27</v>
      </c>
      <c r="G4" s="18" t="s">
        <v>28</v>
      </c>
    </row>
    <row r="5" spans="2:9" x14ac:dyDescent="0.25">
      <c r="B5" s="4">
        <v>73.45298589207232</v>
      </c>
      <c r="C5" s="4">
        <v>76.342691469588317</v>
      </c>
      <c r="E5" s="5" t="s">
        <v>1</v>
      </c>
      <c r="F5" s="5">
        <v>72.119622700362626</v>
      </c>
      <c r="G5" s="5">
        <v>76.802806544517807</v>
      </c>
    </row>
    <row r="6" spans="2:9" x14ac:dyDescent="0.25">
      <c r="B6" s="4">
        <v>73.855869307590183</v>
      </c>
      <c r="C6" s="4">
        <v>80.799251888063736</v>
      </c>
      <c r="E6" s="5" t="s">
        <v>8</v>
      </c>
      <c r="F6" s="5">
        <v>7.1074569999236701</v>
      </c>
      <c r="G6" s="5">
        <v>12.960904506854908</v>
      </c>
    </row>
    <row r="7" spans="2:9" x14ac:dyDescent="0.25">
      <c r="B7" s="4"/>
      <c r="C7" s="4">
        <v>77.902272520557744</v>
      </c>
      <c r="E7" s="5" t="s">
        <v>9</v>
      </c>
      <c r="F7" s="5">
        <v>3</v>
      </c>
      <c r="G7" s="5">
        <v>4</v>
      </c>
    </row>
    <row r="8" spans="2:9" x14ac:dyDescent="0.25">
      <c r="E8" s="5" t="s">
        <v>21</v>
      </c>
      <c r="F8" s="5">
        <v>10.619525504082413</v>
      </c>
      <c r="G8" s="5"/>
    </row>
    <row r="9" spans="2:9" x14ac:dyDescent="0.25">
      <c r="E9" s="5" t="s">
        <v>22</v>
      </c>
      <c r="F9" s="5">
        <v>0</v>
      </c>
      <c r="G9" s="5"/>
    </row>
    <row r="10" spans="2:9" x14ac:dyDescent="0.25">
      <c r="E10" s="5" t="s">
        <v>12</v>
      </c>
      <c r="F10" s="5">
        <v>5</v>
      </c>
      <c r="G10" s="5"/>
    </row>
    <row r="11" spans="2:9" x14ac:dyDescent="0.25">
      <c r="E11" s="5" t="s">
        <v>13</v>
      </c>
      <c r="F11" s="5">
        <v>-1.881612778315563</v>
      </c>
      <c r="G11" s="5"/>
    </row>
    <row r="12" spans="2:9" x14ac:dyDescent="0.25">
      <c r="E12" s="12" t="s">
        <v>14</v>
      </c>
      <c r="F12" s="12">
        <v>5.931536146726997E-2</v>
      </c>
      <c r="G12" s="5"/>
    </row>
    <row r="13" spans="2:9" x14ac:dyDescent="0.25">
      <c r="E13" s="5" t="s">
        <v>15</v>
      </c>
      <c r="F13" s="5">
        <v>2.0150483720881205</v>
      </c>
      <c r="G13" s="5"/>
    </row>
    <row r="14" spans="2:9" x14ac:dyDescent="0.25">
      <c r="E14" s="5" t="s">
        <v>16</v>
      </c>
      <c r="F14" s="5">
        <v>0.11863072293453994</v>
      </c>
      <c r="G14" s="5"/>
    </row>
    <row r="15" spans="2:9" ht="13" thickBot="1" x14ac:dyDescent="0.3">
      <c r="E15" s="6" t="s">
        <v>17</v>
      </c>
      <c r="F15" s="6">
        <v>2.5705818346975402</v>
      </c>
      <c r="G15" s="6"/>
    </row>
    <row r="17" spans="5:9" x14ac:dyDescent="0.25">
      <c r="I17" s="59"/>
    </row>
    <row r="18" spans="5:9" ht="13" x14ac:dyDescent="0.3">
      <c r="E18" s="1" t="s">
        <v>30</v>
      </c>
      <c r="I18" s="60"/>
    </row>
    <row r="19" spans="5:9" x14ac:dyDescent="0.25">
      <c r="E19" s="19" t="s">
        <v>29</v>
      </c>
      <c r="F19">
        <f>TINV(0.1,F7-1+G7-1)</f>
        <v>2.0150483733330233</v>
      </c>
      <c r="I19" s="59"/>
    </row>
    <row r="20" spans="5:9" x14ac:dyDescent="0.25">
      <c r="E20" s="19" t="s">
        <v>31</v>
      </c>
      <c r="F20">
        <f>SQRT(F8)</f>
        <v>3.2587613450638591</v>
      </c>
      <c r="I20" s="59"/>
    </row>
    <row r="21" spans="5:9" x14ac:dyDescent="0.25">
      <c r="E21" s="19" t="s">
        <v>32</v>
      </c>
      <c r="F21">
        <f>SQRT(1/F7+1/G7)</f>
        <v>0.76376261582597327</v>
      </c>
      <c r="I21" s="59"/>
    </row>
    <row r="22" spans="5:9" x14ac:dyDescent="0.25">
      <c r="E22" s="19" t="s">
        <v>34</v>
      </c>
      <c r="F22">
        <f>F19*F20*F21</f>
        <v>5.0152943772163043</v>
      </c>
      <c r="I22" s="59"/>
    </row>
    <row r="23" spans="5:9" x14ac:dyDescent="0.25">
      <c r="I23" s="59"/>
    </row>
    <row r="24" spans="5:9" ht="13" x14ac:dyDescent="0.3">
      <c r="E24" s="1" t="s">
        <v>35</v>
      </c>
      <c r="I24" s="59"/>
    </row>
    <row r="25" spans="5:9" x14ac:dyDescent="0.25">
      <c r="E25" s="19" t="s">
        <v>36</v>
      </c>
      <c r="F25">
        <f>TINV(0.2,5)</f>
        <v>1.4758840488244813</v>
      </c>
      <c r="I25" s="59"/>
    </row>
    <row r="26" spans="5:9" x14ac:dyDescent="0.25">
      <c r="E26" s="19" t="s">
        <v>31</v>
      </c>
      <c r="F26">
        <f>SQRT(F8)</f>
        <v>3.2587613450638591</v>
      </c>
      <c r="I26" s="59"/>
    </row>
    <row r="27" spans="5:9" x14ac:dyDescent="0.25">
      <c r="E27" s="19" t="s">
        <v>32</v>
      </c>
      <c r="F27">
        <f>SQRT(1/F7+1/G7)</f>
        <v>0.76376261582597327</v>
      </c>
      <c r="I27" s="59"/>
    </row>
    <row r="28" spans="5:9" x14ac:dyDescent="0.25">
      <c r="E28" s="19" t="s">
        <v>37</v>
      </c>
      <c r="F28">
        <f>F25*F26*F27</f>
        <v>3.6733574585354836</v>
      </c>
      <c r="I28" s="59"/>
    </row>
    <row r="29" spans="5:9" x14ac:dyDescent="0.25">
      <c r="E29" s="19" t="s">
        <v>33</v>
      </c>
      <c r="F29">
        <f>G5-F5-F28</f>
        <v>1.0098263856196974</v>
      </c>
      <c r="I29" s="59"/>
    </row>
    <row r="30" spans="5:9" x14ac:dyDescent="0.25">
      <c r="I30" s="59"/>
    </row>
    <row r="31" spans="5:9" x14ac:dyDescent="0.25">
      <c r="I31" s="59"/>
    </row>
    <row r="32" spans="5:9" x14ac:dyDescent="0.25">
      <c r="I32" s="59"/>
    </row>
    <row r="33" spans="9:9" x14ac:dyDescent="0.25">
      <c r="I33" s="59"/>
    </row>
    <row r="34" spans="9:9" x14ac:dyDescent="0.25">
      <c r="I34" s="59"/>
    </row>
    <row r="35" spans="9:9" x14ac:dyDescent="0.25">
      <c r="I35" s="59"/>
    </row>
    <row r="36" spans="9:9" x14ac:dyDescent="0.25">
      <c r="I36" s="59"/>
    </row>
    <row r="37" spans="9:9" x14ac:dyDescent="0.25">
      <c r="I37" s="59"/>
    </row>
    <row r="38" spans="9:9" x14ac:dyDescent="0.25">
      <c r="I38" s="59"/>
    </row>
    <row r="39" spans="9:9" x14ac:dyDescent="0.25">
      <c r="I39" s="59"/>
    </row>
    <row r="40" spans="9:9" x14ac:dyDescent="0.25">
      <c r="I40" s="59"/>
    </row>
    <row r="41" spans="9:9" x14ac:dyDescent="0.25">
      <c r="I41" s="59"/>
    </row>
    <row r="42" spans="9:9" x14ac:dyDescent="0.25">
      <c r="I42" s="59"/>
    </row>
    <row r="43" spans="9:9" x14ac:dyDescent="0.25">
      <c r="I43" s="59"/>
    </row>
    <row r="44" spans="9:9" x14ac:dyDescent="0.25">
      <c r="I44" s="59"/>
    </row>
    <row r="45" spans="9:9" x14ac:dyDescent="0.25">
      <c r="I45" s="59"/>
    </row>
    <row r="46" spans="9:9" x14ac:dyDescent="0.25">
      <c r="I46" s="59"/>
    </row>
    <row r="47" spans="9:9" x14ac:dyDescent="0.25">
      <c r="I47" s="59"/>
    </row>
    <row r="48" spans="9:9" x14ac:dyDescent="0.25">
      <c r="I48" s="59"/>
    </row>
    <row r="49" spans="9:9" x14ac:dyDescent="0.25">
      <c r="I49" s="59"/>
    </row>
    <row r="50" spans="9:9" x14ac:dyDescent="0.25">
      <c r="I50" s="59"/>
    </row>
    <row r="51" spans="9:9" x14ac:dyDescent="0.25">
      <c r="I51" s="59"/>
    </row>
    <row r="52" spans="9:9" x14ac:dyDescent="0.25">
      <c r="I52" s="59"/>
    </row>
    <row r="53" spans="9:9" x14ac:dyDescent="0.25">
      <c r="I53" s="59"/>
    </row>
    <row r="54" spans="9:9" x14ac:dyDescent="0.25">
      <c r="I54" s="59"/>
    </row>
    <row r="55" spans="9:9" x14ac:dyDescent="0.25">
      <c r="I55" s="59"/>
    </row>
    <row r="56" spans="9:9" x14ac:dyDescent="0.25">
      <c r="I56" s="59"/>
    </row>
    <row r="57" spans="9:9" x14ac:dyDescent="0.25">
      <c r="I57" s="59"/>
    </row>
    <row r="58" spans="9:9" x14ac:dyDescent="0.25">
      <c r="I58" s="59"/>
    </row>
    <row r="59" spans="9:9" x14ac:dyDescent="0.25">
      <c r="I59" s="59"/>
    </row>
    <row r="60" spans="9:9" x14ac:dyDescent="0.25">
      <c r="I60" s="59"/>
    </row>
    <row r="61" spans="9:9" x14ac:dyDescent="0.25">
      <c r="I61" s="59"/>
    </row>
    <row r="62" spans="9:9" x14ac:dyDescent="0.25">
      <c r="I62" s="59"/>
    </row>
    <row r="63" spans="9:9" x14ac:dyDescent="0.25">
      <c r="I63" s="59"/>
    </row>
    <row r="64" spans="9:9" x14ac:dyDescent="0.25">
      <c r="I64" s="59"/>
    </row>
    <row r="65" spans="9:9" x14ac:dyDescent="0.25">
      <c r="I65" s="59"/>
    </row>
  </sheetData>
  <mergeCells count="1">
    <mergeCell ref="B2:C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workbookViewId="0">
      <selection activeCell="E18" sqref="E18"/>
    </sheetView>
  </sheetViews>
  <sheetFormatPr defaultRowHeight="12.5" x14ac:dyDescent="0.25"/>
  <cols>
    <col min="2" max="3" width="9.26953125" bestFit="1" customWidth="1"/>
    <col min="4" max="4" width="6.26953125" customWidth="1"/>
    <col min="5" max="5" width="21" customWidth="1"/>
    <col min="6" max="6" width="9.7265625" customWidth="1"/>
    <col min="7" max="7" width="10.26953125" customWidth="1"/>
  </cols>
  <sheetData>
    <row r="1" spans="2:7" ht="13" x14ac:dyDescent="0.3">
      <c r="B1" s="13"/>
    </row>
    <row r="2" spans="2:7" ht="13" x14ac:dyDescent="0.3">
      <c r="B2" s="92" t="s">
        <v>26</v>
      </c>
      <c r="C2" s="92"/>
      <c r="E2" t="s">
        <v>20</v>
      </c>
    </row>
    <row r="3" spans="2:7" ht="13.5" thickBot="1" x14ac:dyDescent="0.35">
      <c r="B3" s="14" t="s">
        <v>24</v>
      </c>
      <c r="C3" s="14" t="s">
        <v>25</v>
      </c>
      <c r="E3" s="15"/>
    </row>
    <row r="4" spans="2:7" ht="13" x14ac:dyDescent="0.3">
      <c r="B4" s="4">
        <v>24.151921656448394</v>
      </c>
      <c r="C4" s="4">
        <v>24.463730535656214</v>
      </c>
      <c r="E4" s="7"/>
      <c r="F4" s="16" t="s">
        <v>24</v>
      </c>
      <c r="G4" s="16" t="s">
        <v>25</v>
      </c>
    </row>
    <row r="5" spans="2:7" x14ac:dyDescent="0.25">
      <c r="B5" s="4">
        <v>24.715827698310022</v>
      </c>
      <c r="C5" s="4">
        <v>24.99643499753147</v>
      </c>
      <c r="E5" s="5" t="s">
        <v>1</v>
      </c>
      <c r="F5" s="5">
        <v>24.908508539192553</v>
      </c>
      <c r="G5" s="5">
        <v>25.24061788584077</v>
      </c>
    </row>
    <row r="6" spans="2:7" x14ac:dyDescent="0.25">
      <c r="B6" s="4">
        <v>24.736842482889188</v>
      </c>
      <c r="C6" s="4">
        <v>25.581203028862365</v>
      </c>
      <c r="E6" s="5" t="s">
        <v>8</v>
      </c>
      <c r="F6" s="5">
        <v>0.15939847945406249</v>
      </c>
      <c r="G6" s="5">
        <v>0.2096091917880282</v>
      </c>
    </row>
    <row r="7" spans="2:7" x14ac:dyDescent="0.25">
      <c r="B7" s="4">
        <v>25.362630544259446</v>
      </c>
      <c r="C7" s="4">
        <v>24.897150235786103</v>
      </c>
      <c r="E7" s="5" t="s">
        <v>9</v>
      </c>
      <c r="F7" s="5">
        <v>10</v>
      </c>
      <c r="G7" s="5">
        <v>10</v>
      </c>
    </row>
    <row r="8" spans="2:7" x14ac:dyDescent="0.25">
      <c r="B8" s="4">
        <v>24.499267232749844</v>
      </c>
      <c r="C8" s="4">
        <v>26.021072865417228</v>
      </c>
      <c r="E8" s="5" t="s">
        <v>21</v>
      </c>
      <c r="F8" s="5">
        <v>0.18450383562104536</v>
      </c>
      <c r="G8" s="5"/>
    </row>
    <row r="9" spans="2:7" x14ac:dyDescent="0.25">
      <c r="B9" s="4">
        <v>25.250412426794355</v>
      </c>
      <c r="C9" s="4">
        <v>24.998609599363409</v>
      </c>
      <c r="E9" s="5" t="s">
        <v>22</v>
      </c>
      <c r="F9" s="5">
        <v>0</v>
      </c>
      <c r="G9" s="5"/>
    </row>
    <row r="10" spans="2:7" x14ac:dyDescent="0.25">
      <c r="B10" s="4">
        <v>24.920202753855847</v>
      </c>
      <c r="C10" s="4">
        <v>25.440372321766336</v>
      </c>
      <c r="E10" s="5" t="s">
        <v>12</v>
      </c>
      <c r="F10" s="5">
        <v>18</v>
      </c>
      <c r="G10" s="5"/>
    </row>
    <row r="11" spans="2:7" x14ac:dyDescent="0.25">
      <c r="B11" s="4">
        <v>25.408402229368221</v>
      </c>
      <c r="C11" s="4">
        <v>25.411785311673885</v>
      </c>
      <c r="E11" s="5" t="s">
        <v>13</v>
      </c>
      <c r="F11" s="5">
        <v>-1.7288742298873687</v>
      </c>
      <c r="G11" s="5"/>
    </row>
    <row r="12" spans="2:7" x14ac:dyDescent="0.25">
      <c r="B12" s="4">
        <v>24.896974827606755</v>
      </c>
      <c r="C12" s="4">
        <v>25.648546791428817</v>
      </c>
      <c r="E12" s="5" t="s">
        <v>14</v>
      </c>
      <c r="F12" s="5">
        <v>5.0472495394398617E-2</v>
      </c>
      <c r="G12" s="5"/>
    </row>
    <row r="13" spans="2:7" x14ac:dyDescent="0.25">
      <c r="B13" s="4">
        <v>25.14260353964346</v>
      </c>
      <c r="C13" s="4">
        <v>24.947273170921836</v>
      </c>
      <c r="E13" s="5" t="s">
        <v>15</v>
      </c>
      <c r="F13" s="5">
        <v>1.7340635923093939</v>
      </c>
      <c r="G13" s="5"/>
    </row>
    <row r="14" spans="2:7" x14ac:dyDescent="0.25">
      <c r="E14" s="12" t="s">
        <v>16</v>
      </c>
      <c r="F14" s="12">
        <v>0.10094499078879723</v>
      </c>
      <c r="G14" s="5"/>
    </row>
    <row r="15" spans="2:7" ht="13" thickBot="1" x14ac:dyDescent="0.3">
      <c r="E15" s="6" t="s">
        <v>17</v>
      </c>
      <c r="F15" s="6">
        <v>2.1009220368611805</v>
      </c>
      <c r="G15" s="6"/>
    </row>
    <row r="16" spans="2:7" x14ac:dyDescent="0.25">
      <c r="B16" s="59"/>
      <c r="C16" s="59"/>
    </row>
    <row r="17" spans="2:7" ht="13" x14ac:dyDescent="0.3">
      <c r="B17" s="93"/>
      <c r="C17" s="93"/>
      <c r="D17" s="59"/>
      <c r="E17" s="91" t="s">
        <v>236</v>
      </c>
      <c r="F17" s="59">
        <f>G5-F5</f>
        <v>0.33210934664821679</v>
      </c>
      <c r="G17" s="59"/>
    </row>
    <row r="18" spans="2:7" ht="13" x14ac:dyDescent="0.3">
      <c r="B18" s="61"/>
      <c r="C18" s="61"/>
      <c r="D18" s="59"/>
      <c r="E18" s="59"/>
      <c r="F18" s="59"/>
      <c r="G18" s="59"/>
    </row>
    <row r="19" spans="2:7" ht="13" x14ac:dyDescent="0.3">
      <c r="B19" s="25"/>
      <c r="C19" s="25"/>
      <c r="D19" s="59"/>
      <c r="E19" s="9"/>
      <c r="F19" s="9"/>
      <c r="G19" s="9"/>
    </row>
    <row r="20" spans="2:7" x14ac:dyDescent="0.25">
      <c r="B20" s="25"/>
      <c r="C20" s="25"/>
      <c r="D20" s="59"/>
      <c r="E20" s="5"/>
      <c r="F20" s="5"/>
      <c r="G20" s="5"/>
    </row>
    <row r="21" spans="2:7" x14ac:dyDescent="0.25">
      <c r="B21" s="25"/>
      <c r="C21" s="25"/>
      <c r="D21" s="59"/>
      <c r="E21" s="5"/>
      <c r="F21" s="5"/>
      <c r="G21" s="5"/>
    </row>
    <row r="22" spans="2:7" x14ac:dyDescent="0.25">
      <c r="B22" s="25"/>
      <c r="C22" s="25"/>
      <c r="D22" s="59"/>
      <c r="E22" s="5"/>
      <c r="F22" s="5"/>
      <c r="G22" s="5"/>
    </row>
    <row r="23" spans="2:7" x14ac:dyDescent="0.25">
      <c r="B23" s="25"/>
      <c r="C23" s="25"/>
      <c r="D23" s="59"/>
      <c r="E23" s="5"/>
      <c r="F23" s="5"/>
      <c r="G23" s="5"/>
    </row>
    <row r="24" spans="2:7" x14ac:dyDescent="0.25">
      <c r="B24" s="25"/>
      <c r="C24" s="25"/>
      <c r="D24" s="59"/>
      <c r="E24" s="5"/>
      <c r="F24" s="5"/>
      <c r="G24" s="5"/>
    </row>
    <row r="25" spans="2:7" x14ac:dyDescent="0.25">
      <c r="B25" s="25"/>
      <c r="C25" s="25"/>
      <c r="D25" s="59"/>
      <c r="E25" s="5"/>
      <c r="F25" s="5"/>
      <c r="G25" s="5"/>
    </row>
    <row r="26" spans="2:7" x14ac:dyDescent="0.25">
      <c r="B26" s="25"/>
      <c r="C26" s="25"/>
      <c r="D26" s="59"/>
      <c r="E26" s="5"/>
      <c r="F26" s="5"/>
      <c r="G26" s="5"/>
    </row>
    <row r="27" spans="2:7" x14ac:dyDescent="0.25">
      <c r="B27" s="25"/>
      <c r="C27" s="25"/>
      <c r="D27" s="59"/>
      <c r="E27" s="5"/>
      <c r="F27" s="5"/>
      <c r="G27" s="5"/>
    </row>
    <row r="28" spans="2:7" x14ac:dyDescent="0.25">
      <c r="B28" s="25"/>
      <c r="C28" s="25"/>
      <c r="D28" s="59"/>
      <c r="E28" s="5"/>
      <c r="F28" s="5"/>
      <c r="G28" s="5"/>
    </row>
    <row r="29" spans="2:7" x14ac:dyDescent="0.25">
      <c r="B29" s="59"/>
      <c r="C29" s="59"/>
      <c r="D29" s="59"/>
      <c r="E29" s="5"/>
      <c r="F29" s="5"/>
      <c r="G29" s="5"/>
    </row>
    <row r="30" spans="2:7" x14ac:dyDescent="0.25">
      <c r="B30" s="59"/>
      <c r="C30" s="59"/>
      <c r="D30" s="59"/>
      <c r="E30" s="5"/>
      <c r="F30" s="5"/>
      <c r="G30" s="5"/>
    </row>
    <row r="31" spans="2:7" x14ac:dyDescent="0.25">
      <c r="B31" s="59"/>
      <c r="C31" s="59"/>
      <c r="D31" s="59"/>
      <c r="E31" s="59"/>
      <c r="F31" s="59"/>
      <c r="G31" s="59"/>
    </row>
    <row r="32" spans="2:7" x14ac:dyDescent="0.25">
      <c r="B32" s="59"/>
      <c r="C32" s="59"/>
      <c r="D32" s="59"/>
      <c r="E32" s="59"/>
      <c r="F32" s="59"/>
      <c r="G32" s="59"/>
    </row>
    <row r="33" spans="2:7" x14ac:dyDescent="0.25">
      <c r="B33" s="59"/>
      <c r="C33" s="59"/>
      <c r="D33" s="59"/>
      <c r="E33" s="59"/>
      <c r="F33" s="59"/>
      <c r="G33" s="59"/>
    </row>
    <row r="34" spans="2:7" ht="13" x14ac:dyDescent="0.3">
      <c r="B34" s="59"/>
      <c r="C34" s="59"/>
      <c r="D34" s="59"/>
      <c r="E34" s="9"/>
      <c r="F34" s="9"/>
      <c r="G34" s="9"/>
    </row>
    <row r="35" spans="2:7" x14ac:dyDescent="0.25">
      <c r="B35" s="59"/>
      <c r="C35" s="59"/>
      <c r="D35" s="59"/>
      <c r="E35" s="5"/>
      <c r="F35" s="5"/>
      <c r="G35" s="5"/>
    </row>
    <row r="36" spans="2:7" x14ac:dyDescent="0.25">
      <c r="B36" s="59"/>
      <c r="C36" s="59"/>
      <c r="D36" s="59"/>
      <c r="E36" s="5"/>
      <c r="F36" s="5"/>
      <c r="G36" s="5"/>
    </row>
    <row r="37" spans="2:7" x14ac:dyDescent="0.25">
      <c r="B37" s="59"/>
      <c r="C37" s="59"/>
      <c r="D37" s="59"/>
      <c r="E37" s="5"/>
      <c r="F37" s="5"/>
      <c r="G37" s="5"/>
    </row>
    <row r="38" spans="2:7" x14ac:dyDescent="0.25">
      <c r="B38" s="59"/>
      <c r="C38" s="59"/>
      <c r="D38" s="59"/>
      <c r="E38" s="5"/>
      <c r="F38" s="5"/>
      <c r="G38" s="5"/>
    </row>
    <row r="39" spans="2:7" x14ac:dyDescent="0.25">
      <c r="B39" s="59"/>
      <c r="C39" s="59"/>
      <c r="D39" s="59"/>
      <c r="E39" s="5"/>
      <c r="F39" s="5"/>
      <c r="G39" s="5"/>
    </row>
    <row r="40" spans="2:7" x14ac:dyDescent="0.25">
      <c r="B40" s="59"/>
      <c r="C40" s="59"/>
      <c r="D40" s="59"/>
      <c r="E40" s="5"/>
      <c r="F40" s="5"/>
      <c r="G40" s="5"/>
    </row>
    <row r="41" spans="2:7" x14ac:dyDescent="0.25">
      <c r="B41" s="59"/>
      <c r="C41" s="59"/>
      <c r="D41" s="59"/>
      <c r="E41" s="5"/>
      <c r="F41" s="5"/>
      <c r="G41" s="5"/>
    </row>
    <row r="42" spans="2:7" x14ac:dyDescent="0.25">
      <c r="B42" s="59"/>
      <c r="C42" s="59"/>
      <c r="D42" s="59"/>
      <c r="E42" s="5"/>
      <c r="F42" s="5"/>
      <c r="G42" s="5"/>
    </row>
    <row r="43" spans="2:7" x14ac:dyDescent="0.25">
      <c r="B43" s="59"/>
      <c r="C43" s="59"/>
      <c r="D43" s="59"/>
      <c r="E43" s="5"/>
      <c r="F43" s="5"/>
      <c r="G43" s="5"/>
    </row>
    <row r="44" spans="2:7" x14ac:dyDescent="0.25">
      <c r="B44" s="59"/>
      <c r="C44" s="59"/>
      <c r="D44" s="59"/>
      <c r="E44" s="5"/>
      <c r="F44" s="5"/>
      <c r="G44" s="5"/>
    </row>
    <row r="45" spans="2:7" x14ac:dyDescent="0.25">
      <c r="B45" s="59"/>
      <c r="C45" s="59"/>
      <c r="D45" s="59"/>
      <c r="E45" s="5"/>
      <c r="F45" s="5"/>
      <c r="G45" s="5"/>
    </row>
    <row r="46" spans="2:7" x14ac:dyDescent="0.25">
      <c r="B46" s="59"/>
      <c r="C46" s="59"/>
      <c r="D46" s="59"/>
      <c r="E46" s="59"/>
      <c r="F46" s="59"/>
      <c r="G46" s="59"/>
    </row>
    <row r="47" spans="2:7" x14ac:dyDescent="0.25">
      <c r="B47" s="59"/>
      <c r="C47" s="59"/>
      <c r="D47" s="59"/>
      <c r="E47" s="59"/>
      <c r="F47" s="59"/>
      <c r="G47" s="59"/>
    </row>
    <row r="48" spans="2:7" x14ac:dyDescent="0.25">
      <c r="B48" s="59"/>
      <c r="C48" s="59"/>
      <c r="D48" s="59"/>
      <c r="E48" s="59"/>
      <c r="F48" s="59"/>
      <c r="G48" s="59"/>
    </row>
    <row r="49" spans="2:7" x14ac:dyDescent="0.25">
      <c r="B49" s="59"/>
      <c r="C49" s="59"/>
      <c r="D49" s="59"/>
      <c r="E49" s="59"/>
      <c r="F49" s="59"/>
      <c r="G49" s="59"/>
    </row>
    <row r="50" spans="2:7" x14ac:dyDescent="0.25">
      <c r="B50" s="59"/>
      <c r="C50" s="59"/>
      <c r="D50" s="59"/>
      <c r="E50" s="59"/>
      <c r="F50" s="59"/>
      <c r="G50" s="59"/>
    </row>
    <row r="51" spans="2:7" x14ac:dyDescent="0.25">
      <c r="B51" s="59"/>
      <c r="C51" s="59"/>
      <c r="D51" s="59"/>
      <c r="E51" s="59"/>
      <c r="F51" s="59"/>
      <c r="G51" s="59"/>
    </row>
    <row r="52" spans="2:7" x14ac:dyDescent="0.25">
      <c r="B52" s="59"/>
      <c r="C52" s="59"/>
      <c r="D52" s="59"/>
      <c r="E52" s="59"/>
      <c r="F52" s="59"/>
      <c r="G52" s="59"/>
    </row>
    <row r="53" spans="2:7" x14ac:dyDescent="0.25">
      <c r="B53" s="59"/>
      <c r="C53" s="59"/>
      <c r="D53" s="59"/>
      <c r="E53" s="59"/>
      <c r="F53" s="59"/>
      <c r="G53" s="59"/>
    </row>
    <row r="54" spans="2:7" x14ac:dyDescent="0.25">
      <c r="B54" s="59"/>
      <c r="C54" s="59"/>
      <c r="D54" s="59"/>
      <c r="E54" s="59"/>
      <c r="F54" s="59"/>
      <c r="G54" s="59"/>
    </row>
    <row r="55" spans="2:7" x14ac:dyDescent="0.25">
      <c r="B55" s="59"/>
      <c r="C55" s="59"/>
      <c r="D55" s="59"/>
      <c r="E55" s="59"/>
      <c r="F55" s="59"/>
      <c r="G55" s="59"/>
    </row>
    <row r="56" spans="2:7" x14ac:dyDescent="0.25">
      <c r="B56" s="59"/>
      <c r="C56" s="59"/>
      <c r="D56" s="59"/>
      <c r="E56" s="59"/>
      <c r="F56" s="59"/>
      <c r="G56" s="59"/>
    </row>
    <row r="57" spans="2:7" x14ac:dyDescent="0.25">
      <c r="B57" s="59"/>
      <c r="C57" s="59"/>
      <c r="D57" s="59"/>
      <c r="E57" s="59"/>
      <c r="F57" s="59"/>
      <c r="G57" s="59"/>
    </row>
    <row r="58" spans="2:7" x14ac:dyDescent="0.25">
      <c r="B58" s="59"/>
      <c r="C58" s="59"/>
      <c r="D58" s="59"/>
      <c r="E58" s="59"/>
      <c r="F58" s="59"/>
      <c r="G58" s="59"/>
    </row>
    <row r="59" spans="2:7" x14ac:dyDescent="0.25">
      <c r="B59" s="59"/>
      <c r="C59" s="59"/>
      <c r="D59" s="59"/>
      <c r="E59" s="59"/>
      <c r="F59" s="59"/>
      <c r="G59" s="59"/>
    </row>
    <row r="60" spans="2:7" x14ac:dyDescent="0.25">
      <c r="B60" s="59"/>
      <c r="C60" s="59"/>
      <c r="D60" s="59"/>
      <c r="E60" s="59"/>
      <c r="F60" s="59"/>
      <c r="G60" s="59"/>
    </row>
    <row r="61" spans="2:7" x14ac:dyDescent="0.25">
      <c r="B61" s="59"/>
      <c r="C61" s="59"/>
      <c r="D61" s="59"/>
      <c r="E61" s="59"/>
      <c r="F61" s="59"/>
      <c r="G61" s="59"/>
    </row>
    <row r="62" spans="2:7" x14ac:dyDescent="0.25">
      <c r="B62" s="59"/>
      <c r="C62" s="59"/>
      <c r="D62" s="59"/>
      <c r="E62" s="59"/>
      <c r="F62" s="59"/>
      <c r="G62" s="59"/>
    </row>
    <row r="63" spans="2:7" x14ac:dyDescent="0.25">
      <c r="B63" s="59"/>
      <c r="C63" s="59"/>
      <c r="D63" s="59"/>
      <c r="E63" s="59"/>
      <c r="F63" s="59"/>
      <c r="G63" s="59"/>
    </row>
    <row r="64" spans="2:7" x14ac:dyDescent="0.25">
      <c r="B64" s="59"/>
      <c r="C64" s="59"/>
      <c r="D64" s="59"/>
      <c r="E64" s="59"/>
      <c r="F64" s="59"/>
      <c r="G64" s="59"/>
    </row>
    <row r="65" spans="4:7" x14ac:dyDescent="0.25">
      <c r="D65" s="59"/>
      <c r="E65" s="59"/>
      <c r="F65" s="59"/>
      <c r="G65" s="59"/>
    </row>
  </sheetData>
  <mergeCells count="2">
    <mergeCell ref="B2:C2"/>
    <mergeCell ref="B17:C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workbookViewId="0">
      <selection activeCell="B20" sqref="B20"/>
    </sheetView>
  </sheetViews>
  <sheetFormatPr defaultRowHeight="12.5" x14ac:dyDescent="0.25"/>
  <cols>
    <col min="3" max="3" width="10.453125" bestFit="1" customWidth="1"/>
    <col min="4" max="4" width="11.26953125" bestFit="1" customWidth="1"/>
    <col min="5" max="5" width="10.26953125" bestFit="1" customWidth="1"/>
    <col min="7" max="7" width="20.81640625" customWidth="1"/>
    <col min="11" max="11" width="16.81640625" customWidth="1"/>
  </cols>
  <sheetData>
    <row r="1" spans="2:12" ht="13" x14ac:dyDescent="0.3">
      <c r="C1" s="92" t="s">
        <v>151</v>
      </c>
      <c r="D1" s="92"/>
    </row>
    <row r="2" spans="2:12" ht="13" x14ac:dyDescent="0.3">
      <c r="B2" s="2" t="s">
        <v>150</v>
      </c>
      <c r="C2" s="14" t="s">
        <v>39</v>
      </c>
      <c r="D2" s="14" t="s">
        <v>40</v>
      </c>
      <c r="E2" s="21" t="s">
        <v>134</v>
      </c>
      <c r="G2" t="s">
        <v>7</v>
      </c>
    </row>
    <row r="3" spans="2:12" ht="13.5" thickBot="1" x14ac:dyDescent="0.35">
      <c r="B3" s="3">
        <v>1</v>
      </c>
      <c r="C3" s="4">
        <v>63.33</v>
      </c>
      <c r="D3" s="4">
        <v>70.099999999999994</v>
      </c>
      <c r="E3" s="22">
        <f t="shared" ref="E3:E17" si="0">D3-C3</f>
        <v>6.769999999999996</v>
      </c>
      <c r="K3" s="86" t="s">
        <v>30</v>
      </c>
      <c r="L3" s="69"/>
    </row>
    <row r="4" spans="2:12" ht="13" x14ac:dyDescent="0.3">
      <c r="B4" s="3">
        <v>2</v>
      </c>
      <c r="C4" s="4">
        <v>85.02</v>
      </c>
      <c r="D4" s="4">
        <v>78.930000000000007</v>
      </c>
      <c r="E4" s="22">
        <f t="shared" si="0"/>
        <v>-6.0899999999999892</v>
      </c>
      <c r="G4" s="7"/>
      <c r="H4" s="7" t="s">
        <v>39</v>
      </c>
      <c r="I4" s="7" t="s">
        <v>40</v>
      </c>
      <c r="K4" s="19" t="s">
        <v>29</v>
      </c>
      <c r="L4" s="69">
        <f>TINV(0.1,H7-1)</f>
        <v>1.7613101357748921</v>
      </c>
    </row>
    <row r="5" spans="2:12" x14ac:dyDescent="0.25">
      <c r="B5" s="3">
        <v>3</v>
      </c>
      <c r="C5" s="4">
        <v>68.42</v>
      </c>
      <c r="D5" s="4">
        <v>70.98</v>
      </c>
      <c r="E5" s="22">
        <f t="shared" si="0"/>
        <v>2.5600000000000023</v>
      </c>
      <c r="G5" s="5" t="s">
        <v>1</v>
      </c>
      <c r="H5" s="5">
        <v>69.468666666666678</v>
      </c>
      <c r="I5" s="5">
        <v>71.597333333333339</v>
      </c>
      <c r="K5" s="19" t="s">
        <v>31</v>
      </c>
      <c r="L5" s="48">
        <f>E20</f>
        <v>6.0490139298739845</v>
      </c>
    </row>
    <row r="6" spans="2:12" x14ac:dyDescent="0.25">
      <c r="B6" s="3">
        <v>4</v>
      </c>
      <c r="C6" s="4">
        <v>65.709999999999994</v>
      </c>
      <c r="D6" s="4">
        <v>64.010000000000005</v>
      </c>
      <c r="E6" s="22">
        <f t="shared" si="0"/>
        <v>-1.6999999999999886</v>
      </c>
      <c r="G6" s="5" t="s">
        <v>8</v>
      </c>
      <c r="H6" s="5">
        <v>84.993855238093857</v>
      </c>
      <c r="I6" s="5">
        <v>73.959649523809532</v>
      </c>
      <c r="K6" s="19" t="s">
        <v>34</v>
      </c>
      <c r="L6" s="69">
        <f>L4*L5/SQRT(H7)</f>
        <v>2.7508999119667217</v>
      </c>
    </row>
    <row r="7" spans="2:12" x14ac:dyDescent="0.25">
      <c r="B7" s="3">
        <v>5</v>
      </c>
      <c r="C7" s="4">
        <v>74.2</v>
      </c>
      <c r="D7" s="4">
        <v>77.11</v>
      </c>
      <c r="E7" s="22">
        <f t="shared" si="0"/>
        <v>2.9099999999999966</v>
      </c>
      <c r="G7" s="5" t="s">
        <v>9</v>
      </c>
      <c r="H7" s="5">
        <v>15</v>
      </c>
      <c r="I7" s="5">
        <v>15</v>
      </c>
      <c r="K7" s="69"/>
      <c r="L7" s="69"/>
    </row>
    <row r="8" spans="2:12" ht="13" x14ac:dyDescent="0.3">
      <c r="B8" s="3">
        <v>6</v>
      </c>
      <c r="C8" s="4">
        <v>64.98</v>
      </c>
      <c r="D8" s="4">
        <v>77.010000000000005</v>
      </c>
      <c r="E8" s="22">
        <f t="shared" si="0"/>
        <v>12.030000000000001</v>
      </c>
      <c r="G8" s="5" t="s">
        <v>10</v>
      </c>
      <c r="H8" s="5">
        <v>0.77166482465166097</v>
      </c>
      <c r="I8" s="5"/>
      <c r="K8" s="86" t="s">
        <v>35</v>
      </c>
      <c r="L8" s="69"/>
    </row>
    <row r="9" spans="2:12" x14ac:dyDescent="0.25">
      <c r="B9" s="3">
        <v>7</v>
      </c>
      <c r="C9" s="4">
        <v>81.36</v>
      </c>
      <c r="D9" s="4">
        <v>86.03</v>
      </c>
      <c r="E9" s="22">
        <f t="shared" si="0"/>
        <v>4.6700000000000017</v>
      </c>
      <c r="G9" s="5" t="s">
        <v>22</v>
      </c>
      <c r="H9" s="5">
        <v>0</v>
      </c>
      <c r="I9" s="5"/>
      <c r="K9" s="19" t="s">
        <v>36</v>
      </c>
      <c r="L9" s="69">
        <f>TINV(0.2,H7-1)</f>
        <v>1.3450303744546506</v>
      </c>
    </row>
    <row r="10" spans="2:12" x14ac:dyDescent="0.25">
      <c r="B10" s="3">
        <v>8</v>
      </c>
      <c r="C10" s="4">
        <v>81.38</v>
      </c>
      <c r="D10" s="4">
        <v>86.58</v>
      </c>
      <c r="E10" s="22">
        <f t="shared" si="0"/>
        <v>5.2000000000000028</v>
      </c>
      <c r="G10" s="5" t="s">
        <v>12</v>
      </c>
      <c r="H10" s="5">
        <v>14</v>
      </c>
      <c r="I10" s="5"/>
      <c r="K10" s="19" t="s">
        <v>31</v>
      </c>
      <c r="L10" s="48">
        <f>E20</f>
        <v>6.0490139298739845</v>
      </c>
    </row>
    <row r="11" spans="2:12" x14ac:dyDescent="0.25">
      <c r="B11" s="3">
        <v>9</v>
      </c>
      <c r="C11" s="4">
        <v>76.81</v>
      </c>
      <c r="D11" s="4">
        <v>71.75</v>
      </c>
      <c r="E11" s="22">
        <f t="shared" si="0"/>
        <v>-5.0600000000000023</v>
      </c>
      <c r="G11" s="5" t="s">
        <v>13</v>
      </c>
      <c r="H11" s="5">
        <v>-1.3629147899480216</v>
      </c>
      <c r="I11" s="5"/>
      <c r="K11" s="88" t="s">
        <v>37</v>
      </c>
      <c r="L11" s="69">
        <f>L9*L10/SQRT(H7)</f>
        <v>2.1007339159222074</v>
      </c>
    </row>
    <row r="12" spans="2:12" x14ac:dyDescent="0.25">
      <c r="B12" s="3">
        <v>10</v>
      </c>
      <c r="C12" s="23">
        <v>66.25</v>
      </c>
      <c r="D12" s="23">
        <v>69.45</v>
      </c>
      <c r="E12" s="22">
        <f t="shared" si="0"/>
        <v>3.2000000000000028</v>
      </c>
      <c r="G12" s="5" t="s">
        <v>14</v>
      </c>
      <c r="H12" s="12">
        <v>9.7214982904578917E-2</v>
      </c>
      <c r="I12" s="5"/>
      <c r="K12" s="19" t="s">
        <v>33</v>
      </c>
      <c r="L12" s="90">
        <f>E19-L11</f>
        <v>2.7932750744460222E-2</v>
      </c>
    </row>
    <row r="13" spans="2:12" x14ac:dyDescent="0.25">
      <c r="B13" s="3">
        <v>11</v>
      </c>
      <c r="C13" s="23">
        <v>49.62</v>
      </c>
      <c r="D13" s="23">
        <v>55.05</v>
      </c>
      <c r="E13" s="22">
        <f t="shared" si="0"/>
        <v>5.43</v>
      </c>
      <c r="G13" s="5" t="s">
        <v>15</v>
      </c>
      <c r="H13" s="5">
        <v>1.7613101150619617</v>
      </c>
      <c r="I13" s="5"/>
    </row>
    <row r="14" spans="2:12" x14ac:dyDescent="0.25">
      <c r="B14" s="3">
        <v>12</v>
      </c>
      <c r="C14" s="23">
        <v>67.260000000000005</v>
      </c>
      <c r="D14" s="23">
        <v>62.73</v>
      </c>
      <c r="E14" s="22">
        <f t="shared" si="0"/>
        <v>-4.5300000000000082</v>
      </c>
      <c r="G14" s="5" t="s">
        <v>16</v>
      </c>
      <c r="H14" s="5">
        <v>0.19442996580915783</v>
      </c>
      <c r="I14" s="5"/>
    </row>
    <row r="15" spans="2:12" ht="13" thickBot="1" x14ac:dyDescent="0.3">
      <c r="B15" s="3">
        <v>13</v>
      </c>
      <c r="C15" s="23">
        <v>63.57</v>
      </c>
      <c r="D15" s="23">
        <v>67.150000000000006</v>
      </c>
      <c r="E15" s="22">
        <f t="shared" si="0"/>
        <v>3.5800000000000054</v>
      </c>
      <c r="G15" s="6" t="s">
        <v>17</v>
      </c>
      <c r="H15" s="6">
        <v>2.1447866812820848</v>
      </c>
      <c r="I15" s="6"/>
    </row>
    <row r="16" spans="2:12" x14ac:dyDescent="0.25">
      <c r="B16" s="3">
        <v>14</v>
      </c>
      <c r="C16" s="23">
        <v>61.59</v>
      </c>
      <c r="D16" s="23">
        <v>72.63</v>
      </c>
      <c r="E16" s="22">
        <f t="shared" si="0"/>
        <v>11.039999999999992</v>
      </c>
    </row>
    <row r="17" spans="2:9" x14ac:dyDescent="0.25">
      <c r="B17" s="3">
        <v>15</v>
      </c>
      <c r="C17" s="4">
        <v>72.53</v>
      </c>
      <c r="D17" s="4">
        <v>64.45</v>
      </c>
      <c r="E17" s="22">
        <f t="shared" si="0"/>
        <v>-8.0799999999999983</v>
      </c>
    </row>
    <row r="18" spans="2:9" x14ac:dyDescent="0.25">
      <c r="G18" t="s">
        <v>20</v>
      </c>
    </row>
    <row r="19" spans="2:9" ht="13" thickBot="1" x14ac:dyDescent="0.3">
      <c r="D19" s="19" t="s">
        <v>152</v>
      </c>
      <c r="E19" s="4">
        <f>AVERAGE(E3:E17)</f>
        <v>2.1286666666666676</v>
      </c>
    </row>
    <row r="20" spans="2:9" ht="13" x14ac:dyDescent="0.3">
      <c r="D20" s="19" t="s">
        <v>153</v>
      </c>
      <c r="E20" s="4">
        <f>STDEV(E3:E17)</f>
        <v>6.0490139298739845</v>
      </c>
      <c r="G20" s="16"/>
      <c r="H20" s="16" t="s">
        <v>39</v>
      </c>
      <c r="I20" s="16" t="s">
        <v>40</v>
      </c>
    </row>
    <row r="21" spans="2:9" x14ac:dyDescent="0.25">
      <c r="G21" s="5" t="s">
        <v>1</v>
      </c>
      <c r="H21" s="5">
        <v>69.468666666666678</v>
      </c>
      <c r="I21" s="5">
        <v>71.597333333333339</v>
      </c>
    </row>
    <row r="22" spans="2:9" x14ac:dyDescent="0.25">
      <c r="G22" s="5" t="s">
        <v>8</v>
      </c>
      <c r="H22" s="5">
        <v>84.993855238093857</v>
      </c>
      <c r="I22" s="5">
        <v>73.959649523809532</v>
      </c>
    </row>
    <row r="23" spans="2:9" x14ac:dyDescent="0.25">
      <c r="G23" s="5" t="s">
        <v>9</v>
      </c>
      <c r="H23" s="5">
        <v>15</v>
      </c>
      <c r="I23" s="5">
        <v>15</v>
      </c>
    </row>
    <row r="24" spans="2:9" x14ac:dyDescent="0.25">
      <c r="G24" s="5" t="s">
        <v>21</v>
      </c>
      <c r="H24" s="5">
        <v>79.476752380951694</v>
      </c>
      <c r="I24" s="5"/>
    </row>
    <row r="25" spans="2:9" x14ac:dyDescent="0.25">
      <c r="G25" s="5" t="s">
        <v>11</v>
      </c>
      <c r="H25" s="5">
        <v>0</v>
      </c>
      <c r="I25" s="5"/>
    </row>
    <row r="26" spans="2:9" x14ac:dyDescent="0.25">
      <c r="G26" s="5" t="s">
        <v>12</v>
      </c>
      <c r="H26" s="5">
        <v>28</v>
      </c>
      <c r="I26" s="5"/>
    </row>
    <row r="27" spans="2:9" x14ac:dyDescent="0.25">
      <c r="G27" s="5" t="s">
        <v>13</v>
      </c>
      <c r="H27" s="5">
        <v>-0.65391038552032787</v>
      </c>
      <c r="I27" s="5"/>
    </row>
    <row r="28" spans="2:9" x14ac:dyDescent="0.25">
      <c r="G28" s="5" t="s">
        <v>14</v>
      </c>
      <c r="H28" s="89">
        <v>0.25925223403313213</v>
      </c>
      <c r="I28" s="5"/>
    </row>
    <row r="29" spans="2:9" x14ac:dyDescent="0.25">
      <c r="G29" s="5" t="s">
        <v>15</v>
      </c>
      <c r="H29" s="5">
        <v>1.7011309342659326</v>
      </c>
      <c r="I29" s="5"/>
    </row>
    <row r="30" spans="2:9" x14ac:dyDescent="0.25">
      <c r="G30" s="5" t="s">
        <v>16</v>
      </c>
      <c r="H30" s="5">
        <v>0.51850446806626427</v>
      </c>
      <c r="I30" s="5"/>
    </row>
    <row r="31" spans="2:9" ht="13" thickBot="1" x14ac:dyDescent="0.3">
      <c r="G31" s="6" t="s">
        <v>17</v>
      </c>
      <c r="H31" s="6">
        <v>2.0484071417952445</v>
      </c>
      <c r="I31" s="6"/>
    </row>
  </sheetData>
  <mergeCells count="1">
    <mergeCell ref="C1:D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18" sqref="B18"/>
    </sheetView>
  </sheetViews>
  <sheetFormatPr defaultRowHeight="12.5" x14ac:dyDescent="0.25"/>
  <cols>
    <col min="4" max="4" width="10.26953125" style="3" bestFit="1" customWidth="1"/>
    <col min="6" max="6" width="25.7265625" customWidth="1"/>
  </cols>
  <sheetData>
    <row r="2" spans="2:8" ht="13" x14ac:dyDescent="0.3">
      <c r="B2" s="92" t="s">
        <v>49</v>
      </c>
      <c r="C2" s="92"/>
      <c r="F2" t="s">
        <v>7</v>
      </c>
    </row>
    <row r="3" spans="2:8" ht="13.5" thickBot="1" x14ac:dyDescent="0.35">
      <c r="B3" s="2" t="s">
        <v>47</v>
      </c>
      <c r="C3" s="2" t="s">
        <v>48</v>
      </c>
      <c r="D3" s="2" t="s">
        <v>134</v>
      </c>
    </row>
    <row r="4" spans="2:8" ht="13" x14ac:dyDescent="0.3">
      <c r="B4" s="26">
        <v>0.379</v>
      </c>
      <c r="C4" s="26">
        <v>0.41499999999999998</v>
      </c>
      <c r="D4" s="58">
        <f t="shared" ref="D4:D13" si="0">C4-B4</f>
        <v>3.5999999999999976E-2</v>
      </c>
      <c r="F4" s="7"/>
      <c r="G4" s="7" t="s">
        <v>47</v>
      </c>
      <c r="H4" s="7" t="s">
        <v>48</v>
      </c>
    </row>
    <row r="5" spans="2:8" x14ac:dyDescent="0.25">
      <c r="B5" s="26">
        <v>0.29199999999999998</v>
      </c>
      <c r="C5" s="26">
        <v>0.32</v>
      </c>
      <c r="D5" s="58">
        <f t="shared" si="0"/>
        <v>2.8000000000000025E-2</v>
      </c>
      <c r="F5" s="5" t="s">
        <v>1</v>
      </c>
      <c r="G5" s="5">
        <v>0.3528</v>
      </c>
      <c r="H5" s="5">
        <v>0.38700000000000007</v>
      </c>
    </row>
    <row r="6" spans="2:8" x14ac:dyDescent="0.25">
      <c r="B6" s="26">
        <v>0.28399999999999997</v>
      </c>
      <c r="C6" s="26">
        <v>0.317</v>
      </c>
      <c r="D6" s="58">
        <f t="shared" si="0"/>
        <v>3.3000000000000029E-2</v>
      </c>
      <c r="F6" s="5" t="s">
        <v>8</v>
      </c>
      <c r="G6" s="5">
        <v>1.3735511111111091E-2</v>
      </c>
      <c r="H6" s="5">
        <v>1.6035999999999939E-2</v>
      </c>
    </row>
    <row r="7" spans="2:8" x14ac:dyDescent="0.25">
      <c r="B7" s="26">
        <v>0.315</v>
      </c>
      <c r="C7" s="26">
        <v>0.34699999999999998</v>
      </c>
      <c r="D7" s="58">
        <f t="shared" si="0"/>
        <v>3.1999999999999973E-2</v>
      </c>
      <c r="F7" s="5" t="s">
        <v>9</v>
      </c>
      <c r="G7" s="5">
        <v>10</v>
      </c>
      <c r="H7" s="5">
        <v>10</v>
      </c>
    </row>
    <row r="8" spans="2:8" x14ac:dyDescent="0.25">
      <c r="B8" s="26">
        <v>0.39100000000000001</v>
      </c>
      <c r="C8" s="26">
        <v>0.436</v>
      </c>
      <c r="D8" s="58">
        <f t="shared" si="0"/>
        <v>4.4999999999999984E-2</v>
      </c>
      <c r="F8" s="5" t="s">
        <v>10</v>
      </c>
      <c r="G8" s="5">
        <v>0.99772977889938563</v>
      </c>
      <c r="H8" s="5"/>
    </row>
    <row r="9" spans="2:8" x14ac:dyDescent="0.25">
      <c r="B9" s="26">
        <v>0.61399999999999999</v>
      </c>
      <c r="C9" s="26">
        <v>0.66</v>
      </c>
      <c r="D9" s="58">
        <f t="shared" si="0"/>
        <v>4.6000000000000041E-2</v>
      </c>
      <c r="F9" s="5" t="s">
        <v>11</v>
      </c>
      <c r="G9" s="5">
        <v>0</v>
      </c>
      <c r="H9" s="5"/>
    </row>
    <row r="10" spans="2:8" x14ac:dyDescent="0.25">
      <c r="B10" s="26">
        <v>0.26800000000000002</v>
      </c>
      <c r="C10" s="26">
        <v>0.30299999999999999</v>
      </c>
      <c r="D10" s="58">
        <f t="shared" si="0"/>
        <v>3.4999999999999976E-2</v>
      </c>
      <c r="F10" s="5" t="s">
        <v>12</v>
      </c>
      <c r="G10" s="5">
        <v>9</v>
      </c>
      <c r="H10" s="5"/>
    </row>
    <row r="11" spans="2:8" x14ac:dyDescent="0.25">
      <c r="B11" s="26">
        <v>0.47699999999999998</v>
      </c>
      <c r="C11" s="26">
        <v>0.53100000000000003</v>
      </c>
      <c r="D11" s="58">
        <f t="shared" si="0"/>
        <v>5.4000000000000048E-2</v>
      </c>
      <c r="F11" s="5" t="s">
        <v>13</v>
      </c>
      <c r="G11" s="5">
        <v>-8.647841709953358</v>
      </c>
      <c r="H11" s="5"/>
    </row>
    <row r="12" spans="2:8" x14ac:dyDescent="0.25">
      <c r="B12" s="26">
        <v>0.22900000000000001</v>
      </c>
      <c r="C12" s="26">
        <v>0.252</v>
      </c>
      <c r="D12" s="58">
        <f t="shared" si="0"/>
        <v>2.2999999999999993E-2</v>
      </c>
      <c r="F12" s="5" t="s">
        <v>14</v>
      </c>
      <c r="G12" s="5">
        <v>5.9103786506650984E-6</v>
      </c>
      <c r="H12" s="5"/>
    </row>
    <row r="13" spans="2:8" x14ac:dyDescent="0.25">
      <c r="B13" s="26">
        <v>0.27900000000000003</v>
      </c>
      <c r="C13" s="26">
        <v>0.28899999999999998</v>
      </c>
      <c r="D13" s="58">
        <f t="shared" si="0"/>
        <v>9.9999999999999534E-3</v>
      </c>
      <c r="F13" s="5" t="s">
        <v>15</v>
      </c>
      <c r="G13" s="5">
        <v>1.83311292255007</v>
      </c>
      <c r="H13" s="5"/>
    </row>
    <row r="14" spans="2:8" x14ac:dyDescent="0.25">
      <c r="F14" s="5" t="s">
        <v>16</v>
      </c>
      <c r="G14" s="12">
        <v>1.1820757301330197E-5</v>
      </c>
      <c r="H14" s="5"/>
    </row>
    <row r="15" spans="2:8" ht="13.5" thickBot="1" x14ac:dyDescent="0.35">
      <c r="C15" s="68" t="s">
        <v>153</v>
      </c>
      <c r="D15" s="58">
        <f>STDEV(D4:D13)</f>
        <v>1.2505998560690802E-2</v>
      </c>
      <c r="F15" s="6" t="s">
        <v>17</v>
      </c>
      <c r="G15" s="6">
        <v>2.2621571581735829</v>
      </c>
      <c r="H15" s="6"/>
    </row>
    <row r="17" spans="6:7" ht="13" x14ac:dyDescent="0.3">
      <c r="F17" s="1" t="s">
        <v>158</v>
      </c>
      <c r="G17">
        <f>AVERAGE(G6:H6)</f>
        <v>1.4885755555555515E-2</v>
      </c>
    </row>
    <row r="18" spans="6:7" ht="13" x14ac:dyDescent="0.3">
      <c r="F18" s="1" t="s">
        <v>157</v>
      </c>
      <c r="G18">
        <f>SQRT(G17)</f>
        <v>0.12200719468767207</v>
      </c>
    </row>
    <row r="20" spans="6:7" ht="13" x14ac:dyDescent="0.3">
      <c r="F20" s="86" t="s">
        <v>237</v>
      </c>
      <c r="G20">
        <f>CORREL(B4:B13,C4:C13)</f>
        <v>0.99772977889938563</v>
      </c>
    </row>
  </sheetData>
  <mergeCells count="1">
    <mergeCell ref="B2:C2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/>
  </sheetViews>
  <sheetFormatPr defaultRowHeight="12.5" x14ac:dyDescent="0.25"/>
  <cols>
    <col min="5" max="5" width="20.54296875" customWidth="1"/>
    <col min="8" max="8" width="4.453125" customWidth="1"/>
    <col min="9" max="9" width="21" customWidth="1"/>
    <col min="14" max="14" width="12.08984375" customWidth="1"/>
    <col min="15" max="15" width="8.7265625" style="73"/>
  </cols>
  <sheetData>
    <row r="1" spans="1:17" ht="13" x14ac:dyDescent="0.3">
      <c r="A1" s="13"/>
      <c r="E1" s="86" t="s">
        <v>238</v>
      </c>
      <c r="N1" s="86" t="s">
        <v>239</v>
      </c>
    </row>
    <row r="2" spans="1:17" s="69" customFormat="1" ht="13" x14ac:dyDescent="0.3">
      <c r="A2" s="13"/>
      <c r="O2" s="73"/>
    </row>
    <row r="3" spans="1:17" ht="13" x14ac:dyDescent="0.3">
      <c r="B3" s="2" t="s">
        <v>47</v>
      </c>
      <c r="C3" s="2" t="s">
        <v>48</v>
      </c>
      <c r="E3" t="s">
        <v>7</v>
      </c>
      <c r="I3" t="s">
        <v>7</v>
      </c>
      <c r="N3" s="62" t="s">
        <v>240</v>
      </c>
      <c r="O3" s="58">
        <f>SQRT((J7+K7)/2)</f>
        <v>0.12200719468767207</v>
      </c>
    </row>
    <row r="4" spans="1:17" ht="13.5" thickBot="1" x14ac:dyDescent="0.35">
      <c r="B4" s="26">
        <v>0.379</v>
      </c>
      <c r="C4" s="26">
        <v>0.41499999999999998</v>
      </c>
      <c r="N4" s="62" t="s">
        <v>162</v>
      </c>
      <c r="O4" s="73">
        <v>95</v>
      </c>
      <c r="P4" s="15" t="s">
        <v>242</v>
      </c>
    </row>
    <row r="5" spans="1:17" ht="13" x14ac:dyDescent="0.3">
      <c r="B5" s="26">
        <v>0.29199999999999998</v>
      </c>
      <c r="C5" s="26">
        <v>0.32</v>
      </c>
      <c r="E5" s="7"/>
      <c r="F5" s="7" t="s">
        <v>47</v>
      </c>
      <c r="G5" s="7" t="s">
        <v>48</v>
      </c>
      <c r="I5" s="7"/>
      <c r="J5" s="7" t="s">
        <v>48</v>
      </c>
      <c r="K5" s="7" t="s">
        <v>47</v>
      </c>
    </row>
    <row r="6" spans="1:17" x14ac:dyDescent="0.25">
      <c r="B6" s="26">
        <v>0.28399999999999997</v>
      </c>
      <c r="C6" s="26">
        <v>0.317</v>
      </c>
      <c r="E6" s="5" t="s">
        <v>1</v>
      </c>
      <c r="F6" s="5">
        <v>0.3528</v>
      </c>
      <c r="G6" s="5">
        <v>0.38700000000000007</v>
      </c>
      <c r="I6" s="5" t="s">
        <v>1</v>
      </c>
      <c r="J6" s="5">
        <v>0.38700000000000007</v>
      </c>
      <c r="K6" s="5">
        <v>0.3528</v>
      </c>
      <c r="N6" s="62" t="s">
        <v>134</v>
      </c>
      <c r="O6" s="73">
        <f>J6-K6</f>
        <v>3.4200000000000064E-2</v>
      </c>
    </row>
    <row r="7" spans="1:17" ht="13" x14ac:dyDescent="0.3">
      <c r="B7" s="26">
        <v>0.315</v>
      </c>
      <c r="C7" s="26">
        <v>0.34699999999999998</v>
      </c>
      <c r="E7" s="5" t="s">
        <v>8</v>
      </c>
      <c r="F7" s="5">
        <v>1.3735511111111091E-2</v>
      </c>
      <c r="G7" s="5">
        <v>1.6035999999999939E-2</v>
      </c>
      <c r="I7" s="5" t="s">
        <v>8</v>
      </c>
      <c r="J7" s="5">
        <v>1.6035999999999939E-2</v>
      </c>
      <c r="K7" s="5">
        <v>1.3735511111111091E-2</v>
      </c>
      <c r="N7" s="62" t="s">
        <v>241</v>
      </c>
      <c r="O7" s="58">
        <f>TINV(1-O4/100,J8-1+K8-1)*O3*SQRT(1/J8+1/K8)</f>
        <v>0.11463318958393948</v>
      </c>
    </row>
    <row r="8" spans="1:17" x14ac:dyDescent="0.25">
      <c r="B8" s="26">
        <v>0.39100000000000001</v>
      </c>
      <c r="C8" s="26">
        <v>0.436</v>
      </c>
      <c r="E8" s="5" t="s">
        <v>9</v>
      </c>
      <c r="F8" s="5">
        <v>10</v>
      </c>
      <c r="G8" s="5">
        <v>10</v>
      </c>
      <c r="I8" s="5" t="s">
        <v>9</v>
      </c>
      <c r="J8" s="5">
        <v>10</v>
      </c>
      <c r="K8" s="5">
        <v>10</v>
      </c>
      <c r="N8" s="62" t="s">
        <v>243</v>
      </c>
      <c r="O8" s="58">
        <f>O6-O7</f>
        <v>-8.0433189583939413E-2</v>
      </c>
    </row>
    <row r="9" spans="1:17" x14ac:dyDescent="0.25">
      <c r="B9" s="26">
        <v>0.61399999999999999</v>
      </c>
      <c r="C9" s="26">
        <v>0.66</v>
      </c>
      <c r="E9" s="5" t="s">
        <v>10</v>
      </c>
      <c r="F9" s="5">
        <v>0.99772977889938563</v>
      </c>
      <c r="G9" s="5"/>
      <c r="I9" s="5" t="s">
        <v>10</v>
      </c>
      <c r="J9" s="5">
        <v>0.99772977889938563</v>
      </c>
      <c r="K9" s="5"/>
      <c r="N9" s="62" t="s">
        <v>244</v>
      </c>
      <c r="O9" s="58">
        <f>O6+O7</f>
        <v>0.14883318958393954</v>
      </c>
    </row>
    <row r="10" spans="1:17" x14ac:dyDescent="0.25">
      <c r="B10" s="26">
        <v>0.26800000000000002</v>
      </c>
      <c r="C10" s="26">
        <v>0.30299999999999999</v>
      </c>
      <c r="E10" s="5" t="s">
        <v>22</v>
      </c>
      <c r="F10" s="5">
        <v>0.05</v>
      </c>
      <c r="G10" s="5"/>
      <c r="I10" s="5" t="s">
        <v>22</v>
      </c>
      <c r="J10" s="5">
        <v>0.05</v>
      </c>
      <c r="K10" s="5"/>
      <c r="N10" s="8"/>
      <c r="O10" s="8"/>
      <c r="P10" s="8"/>
      <c r="Q10" s="8"/>
    </row>
    <row r="11" spans="1:17" x14ac:dyDescent="0.25">
      <c r="B11" s="26">
        <v>0.47699999999999998</v>
      </c>
      <c r="C11" s="26">
        <v>0.53100000000000003</v>
      </c>
      <c r="E11" s="5" t="s">
        <v>12</v>
      </c>
      <c r="F11" s="5">
        <v>9</v>
      </c>
      <c r="G11" s="5"/>
      <c r="I11" s="5" t="s">
        <v>12</v>
      </c>
      <c r="J11" s="5">
        <v>9</v>
      </c>
      <c r="K11" s="5"/>
      <c r="N11" s="8"/>
      <c r="O11" s="8"/>
      <c r="P11" s="8"/>
      <c r="Q11" s="8"/>
    </row>
    <row r="12" spans="1:17" ht="13" x14ac:dyDescent="0.3">
      <c r="B12" s="26">
        <v>0.22900000000000001</v>
      </c>
      <c r="C12" s="26">
        <v>0.252</v>
      </c>
      <c r="E12" s="5" t="s">
        <v>13</v>
      </c>
      <c r="F12" s="5">
        <v>-21.290885145557681</v>
      </c>
      <c r="G12" s="5"/>
      <c r="I12" s="5" t="s">
        <v>13</v>
      </c>
      <c r="J12" s="5">
        <v>-3.9952017256509671</v>
      </c>
      <c r="K12" s="5"/>
      <c r="N12" s="95"/>
      <c r="O12" s="95"/>
      <c r="P12" s="95"/>
      <c r="Q12" s="8"/>
    </row>
    <row r="13" spans="1:17" x14ac:dyDescent="0.25">
      <c r="B13" s="26">
        <v>0.27900000000000003</v>
      </c>
      <c r="C13" s="26">
        <v>0.28899999999999998</v>
      </c>
      <c r="E13" s="5" t="s">
        <v>14</v>
      </c>
      <c r="F13" s="89">
        <v>2.6131468045473125E-9</v>
      </c>
      <c r="G13" s="5"/>
      <c r="I13" s="5" t="s">
        <v>14</v>
      </c>
      <c r="J13" s="89">
        <v>1.5665156681699574E-3</v>
      </c>
      <c r="K13" s="5"/>
      <c r="N13" s="5"/>
      <c r="O13" s="5"/>
      <c r="P13" s="5"/>
      <c r="Q13" s="8"/>
    </row>
    <row r="14" spans="1:17" x14ac:dyDescent="0.25">
      <c r="E14" s="5" t="s">
        <v>15</v>
      </c>
      <c r="F14" s="5">
        <v>1.83311292255007</v>
      </c>
      <c r="G14" s="5"/>
      <c r="I14" s="5" t="s">
        <v>15</v>
      </c>
      <c r="J14" s="5">
        <v>1.83311292255007</v>
      </c>
      <c r="K14" s="5"/>
      <c r="N14" s="5"/>
      <c r="O14" s="5"/>
      <c r="P14" s="5"/>
      <c r="Q14" s="8"/>
    </row>
    <row r="15" spans="1:17" x14ac:dyDescent="0.25">
      <c r="E15" s="5" t="s">
        <v>16</v>
      </c>
      <c r="F15" s="5">
        <v>5.2262936090946251E-9</v>
      </c>
      <c r="G15" s="5"/>
      <c r="I15" s="5" t="s">
        <v>16</v>
      </c>
      <c r="J15" s="5">
        <v>3.1330313363399148E-3</v>
      </c>
      <c r="K15" s="5"/>
      <c r="N15" s="5"/>
      <c r="O15" s="5"/>
      <c r="P15" s="5"/>
      <c r="Q15" s="8"/>
    </row>
    <row r="16" spans="1:17" ht="13" thickBot="1" x14ac:dyDescent="0.3">
      <c r="E16" s="6" t="s">
        <v>17</v>
      </c>
      <c r="F16" s="6">
        <v>2.2621571581735829</v>
      </c>
      <c r="G16" s="6"/>
      <c r="I16" s="6" t="s">
        <v>17</v>
      </c>
      <c r="J16" s="6">
        <v>2.2621571581735829</v>
      </c>
      <c r="K16" s="6"/>
      <c r="N16" s="5"/>
      <c r="O16" s="5"/>
      <c r="P16" s="5"/>
      <c r="Q16" s="8"/>
    </row>
    <row r="17" spans="2:17" x14ac:dyDescent="0.25">
      <c r="B17" s="29"/>
      <c r="N17" s="5"/>
      <c r="O17" s="5"/>
      <c r="P17" s="5"/>
      <c r="Q17" s="8"/>
    </row>
    <row r="18" spans="2:17" x14ac:dyDescent="0.25">
      <c r="B18" s="33"/>
      <c r="N18" s="5"/>
      <c r="O18" s="5"/>
      <c r="P18" s="5"/>
      <c r="Q18" s="8"/>
    </row>
    <row r="19" spans="2:17" x14ac:dyDescent="0.25">
      <c r="N19" s="5"/>
      <c r="O19" s="5"/>
      <c r="P19" s="5"/>
      <c r="Q19" s="8"/>
    </row>
    <row r="20" spans="2:17" x14ac:dyDescent="0.25">
      <c r="N20" s="5"/>
      <c r="O20" s="5"/>
      <c r="P20" s="5"/>
      <c r="Q20" s="8"/>
    </row>
    <row r="21" spans="2:17" x14ac:dyDescent="0.25">
      <c r="N21" s="5"/>
      <c r="O21" s="5"/>
      <c r="P21" s="5"/>
      <c r="Q21" s="8"/>
    </row>
    <row r="22" spans="2:17" x14ac:dyDescent="0.25">
      <c r="N22" s="5"/>
      <c r="O22" s="5"/>
      <c r="P22" s="5"/>
      <c r="Q22" s="8"/>
    </row>
    <row r="23" spans="2:17" x14ac:dyDescent="0.25">
      <c r="N23" s="5"/>
      <c r="O23" s="5"/>
      <c r="P23" s="5"/>
      <c r="Q23" s="8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E25" sqref="E25"/>
    </sheetView>
  </sheetViews>
  <sheetFormatPr defaultRowHeight="12.5" x14ac:dyDescent="0.25"/>
  <cols>
    <col min="1" max="1" width="8.453125" customWidth="1"/>
    <col min="2" max="2" width="8.26953125" bestFit="1" customWidth="1"/>
    <col min="3" max="3" width="10.1796875" bestFit="1" customWidth="1"/>
    <col min="4" max="4" width="9" customWidth="1"/>
    <col min="5" max="5" width="14.453125" customWidth="1"/>
    <col min="9" max="9" width="14.26953125" customWidth="1"/>
  </cols>
  <sheetData>
    <row r="1" spans="1:16" ht="13" x14ac:dyDescent="0.3">
      <c r="A1" s="13"/>
      <c r="B1" s="2" t="s">
        <v>51</v>
      </c>
      <c r="C1" s="2" t="s">
        <v>52</v>
      </c>
    </row>
    <row r="2" spans="1:16" ht="13" x14ac:dyDescent="0.3">
      <c r="A2" s="20"/>
      <c r="B2" s="27">
        <v>380</v>
      </c>
      <c r="C2" s="3">
        <v>240</v>
      </c>
      <c r="E2" t="s">
        <v>20</v>
      </c>
      <c r="I2" t="s">
        <v>53</v>
      </c>
    </row>
    <row r="3" spans="1:16" ht="13.5" thickBot="1" x14ac:dyDescent="0.35">
      <c r="A3" s="20"/>
      <c r="B3" s="27">
        <v>290</v>
      </c>
      <c r="C3" s="3">
        <v>290</v>
      </c>
      <c r="F3" s="11"/>
      <c r="G3" s="11"/>
      <c r="J3" s="11"/>
      <c r="K3" s="11"/>
    </row>
    <row r="4" spans="1:16" ht="13" x14ac:dyDescent="0.3">
      <c r="A4" s="20"/>
      <c r="B4" s="27">
        <v>240</v>
      </c>
      <c r="C4" s="3">
        <v>310</v>
      </c>
      <c r="E4" s="7"/>
      <c r="F4" s="28" t="s">
        <v>51</v>
      </c>
      <c r="G4" s="28" t="s">
        <v>52</v>
      </c>
      <c r="I4" s="7"/>
      <c r="J4" s="28" t="s">
        <v>51</v>
      </c>
      <c r="K4" s="28" t="s">
        <v>52</v>
      </c>
      <c r="M4" s="24"/>
      <c r="N4" s="24"/>
      <c r="O4" s="24"/>
      <c r="P4" s="24"/>
    </row>
    <row r="5" spans="1:16" x14ac:dyDescent="0.25">
      <c r="B5" s="27">
        <v>250</v>
      </c>
      <c r="C5" s="3">
        <v>220</v>
      </c>
      <c r="E5" s="5" t="s">
        <v>1</v>
      </c>
      <c r="F5" s="5">
        <v>322</v>
      </c>
      <c r="G5" s="5">
        <v>260</v>
      </c>
      <c r="I5" s="5" t="s">
        <v>1</v>
      </c>
      <c r="J5" s="5">
        <v>322</v>
      </c>
      <c r="K5" s="5">
        <v>260</v>
      </c>
      <c r="M5" s="24"/>
      <c r="N5" s="24"/>
      <c r="O5" s="24"/>
      <c r="P5" s="24"/>
    </row>
    <row r="6" spans="1:16" x14ac:dyDescent="0.25">
      <c r="B6" s="27">
        <v>190</v>
      </c>
      <c r="C6" s="3">
        <v>240</v>
      </c>
      <c r="E6" s="5" t="s">
        <v>8</v>
      </c>
      <c r="F6" s="5">
        <v>14888.571428571429</v>
      </c>
      <c r="G6" s="5">
        <v>1800</v>
      </c>
      <c r="I6" s="5" t="s">
        <v>8</v>
      </c>
      <c r="J6" s="5">
        <v>14888.571428571429</v>
      </c>
      <c r="K6" s="5">
        <v>1800</v>
      </c>
      <c r="M6" s="24"/>
      <c r="N6" s="24"/>
      <c r="O6" s="24"/>
      <c r="P6" s="24"/>
    </row>
    <row r="7" spans="1:16" x14ac:dyDescent="0.25">
      <c r="B7" s="27">
        <v>330</v>
      </c>
      <c r="C7" s="3">
        <v>290</v>
      </c>
      <c r="E7" s="5" t="s">
        <v>9</v>
      </c>
      <c r="F7" s="5">
        <v>15</v>
      </c>
      <c r="G7" s="5">
        <v>15</v>
      </c>
      <c r="I7" s="5" t="s">
        <v>9</v>
      </c>
      <c r="J7" s="5">
        <v>15</v>
      </c>
      <c r="K7" s="5">
        <v>15</v>
      </c>
      <c r="M7" s="24"/>
      <c r="N7" s="24"/>
      <c r="O7" s="24"/>
      <c r="P7" s="24"/>
    </row>
    <row r="8" spans="1:16" x14ac:dyDescent="0.25">
      <c r="B8" s="27">
        <v>410</v>
      </c>
      <c r="C8" s="3">
        <v>270</v>
      </c>
      <c r="E8" s="5" t="s">
        <v>21</v>
      </c>
      <c r="F8" s="5">
        <v>8344.2857142857138</v>
      </c>
      <c r="G8" s="5"/>
      <c r="I8" s="5" t="s">
        <v>50</v>
      </c>
      <c r="J8" s="5">
        <v>0</v>
      </c>
      <c r="K8" s="5"/>
      <c r="M8" s="24"/>
      <c r="N8" s="24"/>
      <c r="O8" s="24"/>
      <c r="P8" s="24"/>
    </row>
    <row r="9" spans="1:16" x14ac:dyDescent="0.25">
      <c r="B9" s="27">
        <v>540</v>
      </c>
      <c r="C9" s="3">
        <v>270</v>
      </c>
      <c r="E9" s="5" t="s">
        <v>50</v>
      </c>
      <c r="F9" s="5">
        <v>0</v>
      </c>
      <c r="G9" s="5"/>
      <c r="I9" s="5" t="s">
        <v>12</v>
      </c>
      <c r="J9" s="5">
        <v>17</v>
      </c>
      <c r="K9" s="5"/>
      <c r="M9" s="30"/>
      <c r="N9" s="24"/>
      <c r="O9" s="24"/>
      <c r="P9" s="24"/>
    </row>
    <row r="10" spans="1:16" x14ac:dyDescent="0.25">
      <c r="B10" s="27">
        <v>520</v>
      </c>
      <c r="C10" s="3">
        <v>250</v>
      </c>
      <c r="E10" s="5" t="s">
        <v>12</v>
      </c>
      <c r="F10" s="5">
        <v>28</v>
      </c>
      <c r="G10" s="5"/>
      <c r="I10" s="5" t="s">
        <v>13</v>
      </c>
      <c r="J10" s="5">
        <v>1.8587789177921501</v>
      </c>
      <c r="K10" s="5"/>
      <c r="M10" s="30"/>
      <c r="N10" s="24"/>
      <c r="O10" s="24"/>
      <c r="P10" s="24"/>
    </row>
    <row r="11" spans="1:16" x14ac:dyDescent="0.25">
      <c r="B11" s="27">
        <v>490</v>
      </c>
      <c r="C11" s="3">
        <v>210</v>
      </c>
      <c r="E11" s="5" t="s">
        <v>13</v>
      </c>
      <c r="F11" s="5">
        <v>1.8587789177921503</v>
      </c>
      <c r="G11" s="5"/>
      <c r="I11" s="5" t="s">
        <v>14</v>
      </c>
      <c r="J11" s="5">
        <v>4.0229628862524708E-2</v>
      </c>
      <c r="K11" s="5"/>
      <c r="M11" s="30"/>
      <c r="N11" s="24"/>
      <c r="O11" s="24"/>
      <c r="P11" s="24"/>
    </row>
    <row r="12" spans="1:16" x14ac:dyDescent="0.25">
      <c r="B12" s="27">
        <v>330</v>
      </c>
      <c r="C12" s="3">
        <v>340</v>
      </c>
      <c r="E12" s="5" t="s">
        <v>14</v>
      </c>
      <c r="F12" s="5">
        <v>3.6799701081453175E-2</v>
      </c>
      <c r="G12" s="5"/>
      <c r="I12" s="5" t="s">
        <v>15</v>
      </c>
      <c r="J12" s="5">
        <v>1.7396067156488346</v>
      </c>
      <c r="K12" s="5"/>
      <c r="M12" s="30"/>
      <c r="N12" s="24"/>
      <c r="O12" s="24"/>
      <c r="P12" s="24"/>
    </row>
    <row r="13" spans="1:16" x14ac:dyDescent="0.25">
      <c r="B13" s="27">
        <v>280</v>
      </c>
      <c r="C13" s="3">
        <v>290</v>
      </c>
      <c r="E13" s="5" t="s">
        <v>15</v>
      </c>
      <c r="F13" s="5">
        <v>1.7011309076118102</v>
      </c>
      <c r="G13" s="5"/>
      <c r="I13" s="5" t="s">
        <v>16</v>
      </c>
      <c r="J13" s="12">
        <v>8.0459257725049416E-2</v>
      </c>
      <c r="K13" s="5"/>
      <c r="M13" s="30"/>
      <c r="N13" s="24"/>
      <c r="O13" s="24"/>
      <c r="P13" s="24"/>
    </row>
    <row r="14" spans="1:16" ht="13" thickBot="1" x14ac:dyDescent="0.3">
      <c r="B14" s="27">
        <v>210</v>
      </c>
      <c r="C14" s="3">
        <v>220</v>
      </c>
      <c r="E14" s="5" t="s">
        <v>16</v>
      </c>
      <c r="F14" s="12">
        <v>7.3599402162906349E-2</v>
      </c>
      <c r="G14" s="5"/>
      <c r="I14" s="6" t="s">
        <v>17</v>
      </c>
      <c r="J14" s="6">
        <v>2.1098155585926612</v>
      </c>
      <c r="K14" s="6"/>
      <c r="M14" s="30"/>
      <c r="N14" s="24"/>
      <c r="O14" s="24"/>
      <c r="P14" s="24"/>
    </row>
    <row r="15" spans="1:16" ht="13" thickBot="1" x14ac:dyDescent="0.3">
      <c r="A15" s="8"/>
      <c r="B15" s="27">
        <v>180</v>
      </c>
      <c r="C15" s="3">
        <v>180</v>
      </c>
      <c r="E15" s="6" t="s">
        <v>17</v>
      </c>
      <c r="F15" s="6">
        <v>2.0484071146628864</v>
      </c>
      <c r="G15" s="6"/>
      <c r="M15" s="30"/>
      <c r="N15" s="24"/>
      <c r="O15" s="24"/>
      <c r="P15" s="24"/>
    </row>
    <row r="16" spans="1:16" ht="13" x14ac:dyDescent="0.3">
      <c r="A16" s="9"/>
      <c r="B16" s="27">
        <v>190</v>
      </c>
      <c r="C16" s="3">
        <v>280</v>
      </c>
      <c r="M16" s="24"/>
      <c r="N16" s="24"/>
      <c r="O16" s="24"/>
      <c r="P16" s="24"/>
    </row>
    <row r="17" spans="1:16" x14ac:dyDescent="0.25">
      <c r="A17" s="5"/>
      <c r="M17" s="24"/>
      <c r="N17" s="24"/>
      <c r="O17" s="24"/>
      <c r="P17" s="24"/>
    </row>
    <row r="18" spans="1:16" ht="13" x14ac:dyDescent="0.3">
      <c r="A18" s="5"/>
      <c r="F18" s="1"/>
      <c r="M18" s="24"/>
      <c r="N18" s="24"/>
      <c r="O18" s="24"/>
      <c r="P18" s="24"/>
    </row>
    <row r="19" spans="1:16" x14ac:dyDescent="0.25">
      <c r="E19" s="8"/>
      <c r="F19" s="8"/>
      <c r="G19" s="8"/>
      <c r="M19" s="24"/>
      <c r="N19" s="24"/>
      <c r="O19" s="24"/>
      <c r="P19" s="24"/>
    </row>
    <row r="20" spans="1:16" ht="13" x14ac:dyDescent="0.3">
      <c r="B20" s="1"/>
      <c r="E20" s="8"/>
      <c r="F20" s="8"/>
      <c r="G20" s="8"/>
      <c r="M20" s="24"/>
      <c r="N20" s="24"/>
      <c r="O20" s="24"/>
      <c r="P20" s="24"/>
    </row>
    <row r="21" spans="1:16" x14ac:dyDescent="0.25">
      <c r="E21" s="8"/>
      <c r="F21" s="8"/>
      <c r="G21" s="8"/>
      <c r="M21" s="30"/>
      <c r="N21" s="24"/>
      <c r="O21" s="24"/>
      <c r="P21" s="24"/>
    </row>
    <row r="22" spans="1:16" ht="13" x14ac:dyDescent="0.3">
      <c r="E22" s="9"/>
      <c r="F22" s="29"/>
      <c r="G22" s="29"/>
      <c r="M22" s="30"/>
      <c r="N22" s="24"/>
      <c r="O22" s="24"/>
      <c r="P22" s="24"/>
    </row>
    <row r="23" spans="1:16" x14ac:dyDescent="0.25">
      <c r="E23" s="5"/>
      <c r="F23" s="5"/>
      <c r="G23" s="5"/>
      <c r="M23" s="30"/>
      <c r="N23" s="24"/>
      <c r="O23" s="24"/>
      <c r="P23" s="24"/>
    </row>
    <row r="24" spans="1:16" x14ac:dyDescent="0.25">
      <c r="E24" s="5"/>
      <c r="F24" s="5"/>
      <c r="G24" s="5"/>
      <c r="M24" s="30"/>
      <c r="N24" s="24"/>
      <c r="O24" s="24"/>
      <c r="P24" s="24"/>
    </row>
    <row r="25" spans="1:16" x14ac:dyDescent="0.25">
      <c r="E25" s="5"/>
      <c r="F25" s="5"/>
      <c r="G25" s="5"/>
      <c r="M25" s="30"/>
      <c r="N25" s="24"/>
      <c r="O25" s="24"/>
      <c r="P25" s="24"/>
    </row>
    <row r="26" spans="1:16" x14ac:dyDescent="0.25">
      <c r="E26" s="5"/>
      <c r="F26" s="5"/>
      <c r="G26" s="5"/>
      <c r="M26" s="30"/>
      <c r="N26" s="24"/>
      <c r="O26" s="24"/>
      <c r="P26" s="24"/>
    </row>
    <row r="27" spans="1:16" x14ac:dyDescent="0.25">
      <c r="E27" s="5"/>
      <c r="F27" s="5"/>
      <c r="G27" s="5"/>
      <c r="M27" s="30"/>
      <c r="N27" s="24"/>
      <c r="O27" s="24"/>
      <c r="P27" s="24"/>
    </row>
    <row r="28" spans="1:16" x14ac:dyDescent="0.25">
      <c r="E28" s="5"/>
      <c r="F28" s="5"/>
      <c r="G28" s="5"/>
      <c r="M28" s="24"/>
      <c r="N28" s="24"/>
      <c r="O28" s="24"/>
      <c r="P28" s="24"/>
    </row>
    <row r="29" spans="1:16" x14ac:dyDescent="0.25">
      <c r="E29" s="5"/>
      <c r="F29" s="5"/>
      <c r="G29" s="5"/>
      <c r="M29" s="30"/>
      <c r="N29" s="24"/>
      <c r="O29" s="24"/>
      <c r="P29" s="24"/>
    </row>
    <row r="30" spans="1:16" x14ac:dyDescent="0.25">
      <c r="E30" s="5"/>
      <c r="F30" s="5"/>
      <c r="G30" s="5"/>
      <c r="M30" s="30"/>
      <c r="N30" s="24"/>
      <c r="O30" s="24"/>
      <c r="P30" s="24"/>
    </row>
    <row r="31" spans="1:16" x14ac:dyDescent="0.25">
      <c r="E31" s="5"/>
      <c r="F31" s="5"/>
      <c r="G31" s="5"/>
      <c r="M31" s="30"/>
      <c r="N31" s="24"/>
      <c r="O31" s="24"/>
      <c r="P31" s="24"/>
    </row>
    <row r="32" spans="1:16" x14ac:dyDescent="0.25">
      <c r="E32" s="5"/>
      <c r="F32" s="5"/>
      <c r="G32" s="5"/>
      <c r="M32" s="30"/>
      <c r="N32" s="24"/>
      <c r="O32" s="24"/>
      <c r="P32" s="24"/>
    </row>
    <row r="33" spans="5:16" x14ac:dyDescent="0.25">
      <c r="E33" s="5"/>
      <c r="F33" s="5"/>
      <c r="G33" s="5"/>
      <c r="M33" s="30"/>
      <c r="N33" s="24"/>
      <c r="O33" s="24"/>
      <c r="P33" s="24"/>
    </row>
    <row r="34" spans="5:16" x14ac:dyDescent="0.25">
      <c r="E34" s="8"/>
      <c r="F34" s="8"/>
      <c r="G34" s="8"/>
      <c r="M34" s="30"/>
      <c r="N34" s="24"/>
      <c r="O34" s="24"/>
      <c r="P34" s="24"/>
    </row>
    <row r="35" spans="5:16" x14ac:dyDescent="0.25">
      <c r="E35" s="8"/>
      <c r="F35" s="8"/>
      <c r="G35" s="8"/>
      <c r="M35" s="30"/>
      <c r="N35" s="24"/>
      <c r="O35" s="24"/>
      <c r="P35" s="24"/>
    </row>
    <row r="36" spans="5:16" x14ac:dyDescent="0.25">
      <c r="E36" s="8"/>
      <c r="F36" s="8"/>
      <c r="G36" s="8"/>
      <c r="M36" s="24"/>
      <c r="N36" s="24"/>
      <c r="O36" s="24"/>
      <c r="P36" s="24"/>
    </row>
    <row r="37" spans="5:16" x14ac:dyDescent="0.25">
      <c r="M37" s="24"/>
      <c r="N37" s="24"/>
      <c r="O37" s="24"/>
      <c r="P37" s="24"/>
    </row>
    <row r="38" spans="5:16" x14ac:dyDescent="0.25">
      <c r="M38" s="24"/>
      <c r="N38" s="24"/>
      <c r="O38" s="24"/>
      <c r="P38" s="24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8" sqref="G8"/>
    </sheetView>
  </sheetViews>
  <sheetFormatPr defaultRowHeight="12.5" x14ac:dyDescent="0.25"/>
  <cols>
    <col min="1" max="1" width="12.26953125" bestFit="1" customWidth="1"/>
    <col min="2" max="2" width="8.453125" customWidth="1"/>
    <col min="3" max="3" width="14.81640625" customWidth="1"/>
    <col min="5" max="5" width="9.81640625" customWidth="1"/>
    <col min="10" max="10" width="10.7265625" customWidth="1"/>
    <col min="11" max="11" width="9.1796875" style="3" customWidth="1"/>
  </cols>
  <sheetData>
    <row r="1" spans="1:11" ht="13" x14ac:dyDescent="0.3">
      <c r="A1" s="13" t="s">
        <v>140</v>
      </c>
      <c r="B1" s="13"/>
      <c r="C1" s="86" t="s">
        <v>159</v>
      </c>
      <c r="D1" s="70">
        <v>2</v>
      </c>
      <c r="E1" s="69"/>
      <c r="F1" s="69"/>
      <c r="G1" s="69"/>
      <c r="J1" s="13" t="s">
        <v>181</v>
      </c>
    </row>
    <row r="2" spans="1:11" ht="13" x14ac:dyDescent="0.3">
      <c r="A2" s="13" t="s">
        <v>160</v>
      </c>
      <c r="B2" s="13"/>
      <c r="C2" s="86" t="s">
        <v>161</v>
      </c>
      <c r="D2" s="70">
        <v>2</v>
      </c>
      <c r="E2" s="69"/>
      <c r="G2" s="71"/>
    </row>
    <row r="3" spans="1:11" ht="13" x14ac:dyDescent="0.3">
      <c r="C3" s="86" t="s">
        <v>162</v>
      </c>
      <c r="D3" s="70">
        <v>95</v>
      </c>
      <c r="E3" s="87" t="s">
        <v>235</v>
      </c>
      <c r="G3" s="69" t="s">
        <v>163</v>
      </c>
      <c r="H3" s="3"/>
      <c r="J3" t="s">
        <v>59</v>
      </c>
      <c r="K3" s="3">
        <v>0.05</v>
      </c>
    </row>
    <row r="4" spans="1:11" ht="13" x14ac:dyDescent="0.3">
      <c r="C4" s="86" t="s">
        <v>164</v>
      </c>
      <c r="D4" s="70">
        <v>90</v>
      </c>
      <c r="E4" s="87" t="s">
        <v>234</v>
      </c>
      <c r="F4" s="69"/>
      <c r="G4" s="69"/>
      <c r="J4" t="s">
        <v>55</v>
      </c>
      <c r="K4" s="3">
        <v>0.1</v>
      </c>
    </row>
    <row r="5" spans="1:11" ht="13" x14ac:dyDescent="0.3">
      <c r="C5" s="86" t="s">
        <v>83</v>
      </c>
      <c r="D5" s="70">
        <v>0.2</v>
      </c>
      <c r="E5" s="69"/>
      <c r="F5" s="69"/>
      <c r="G5" s="69"/>
      <c r="J5" t="s">
        <v>183</v>
      </c>
      <c r="K5" s="3">
        <v>1.96</v>
      </c>
    </row>
    <row r="6" spans="1:11" ht="13" x14ac:dyDescent="0.3">
      <c r="C6" s="86" t="s">
        <v>165</v>
      </c>
      <c r="D6" s="70">
        <v>0.3</v>
      </c>
      <c r="E6" s="69"/>
      <c r="F6" s="69"/>
      <c r="G6" s="69"/>
      <c r="J6" t="s">
        <v>184</v>
      </c>
      <c r="K6" s="3">
        <v>1.28</v>
      </c>
    </row>
    <row r="7" spans="1:11" ht="13" x14ac:dyDescent="0.3">
      <c r="C7" s="86" t="s">
        <v>166</v>
      </c>
      <c r="D7" s="72">
        <f>NORMSINV(1-((1-D3/100)/D2))</f>
        <v>1.9599639845400536</v>
      </c>
      <c r="E7" s="69"/>
      <c r="F7" s="69"/>
      <c r="G7" s="69"/>
      <c r="J7" t="s">
        <v>58</v>
      </c>
      <c r="K7" s="3">
        <v>0.2</v>
      </c>
    </row>
    <row r="8" spans="1:11" ht="13" x14ac:dyDescent="0.3">
      <c r="C8" s="86" t="s">
        <v>167</v>
      </c>
      <c r="D8" s="73">
        <f>NORMSINV(1-(1-D4/100))</f>
        <v>1.2815515655446006</v>
      </c>
      <c r="E8" s="69"/>
      <c r="F8" s="69"/>
      <c r="G8" s="69"/>
      <c r="J8" t="s">
        <v>186</v>
      </c>
      <c r="K8" s="3">
        <v>0.3</v>
      </c>
    </row>
    <row r="9" spans="1:11" ht="13" x14ac:dyDescent="0.3">
      <c r="C9" s="86" t="s">
        <v>168</v>
      </c>
      <c r="D9" s="73">
        <f>D1*(D7+D8)^2*D6^2/D5^2</f>
        <v>47.283403776482764</v>
      </c>
      <c r="E9" s="69"/>
      <c r="F9" s="69"/>
      <c r="G9" s="69"/>
      <c r="J9" t="s">
        <v>185</v>
      </c>
      <c r="K9" s="3">
        <f>2*(K5+K6)^2*K8^2/K7^2</f>
        <v>47.239199999999997</v>
      </c>
    </row>
    <row r="10" spans="1:11" ht="13" x14ac:dyDescent="0.3">
      <c r="C10" s="86" t="s">
        <v>169</v>
      </c>
      <c r="D10" s="73">
        <f>ROUNDUP(D9,0)</f>
        <v>48</v>
      </c>
      <c r="E10" s="69"/>
      <c r="F10" s="69"/>
      <c r="G10" s="69"/>
      <c r="J10" t="s">
        <v>185</v>
      </c>
      <c r="K10" s="3">
        <f>ROUNDUP(K9,0)</f>
        <v>48</v>
      </c>
    </row>
    <row r="11" spans="1:11" ht="13" x14ac:dyDescent="0.3">
      <c r="C11" s="86" t="s">
        <v>170</v>
      </c>
      <c r="D11" s="73">
        <f>IF(D1=1,D10-1,2*D10-2)</f>
        <v>94</v>
      </c>
      <c r="E11" s="69"/>
      <c r="F11" s="69"/>
      <c r="G11" s="69"/>
      <c r="J11" t="s">
        <v>187</v>
      </c>
      <c r="K11" s="3">
        <f>2*(K10-1)</f>
        <v>94</v>
      </c>
    </row>
    <row r="12" spans="1:11" ht="13" x14ac:dyDescent="0.3">
      <c r="C12" s="86" t="s">
        <v>171</v>
      </c>
      <c r="D12" s="74">
        <f>ROUNDUP(D10*(D11+3)/(D11+1),0)</f>
        <v>50</v>
      </c>
      <c r="E12" s="69"/>
      <c r="F12" s="69"/>
      <c r="G12" s="69"/>
      <c r="J12" t="s">
        <v>188</v>
      </c>
      <c r="K12" s="3">
        <f>ROUNDUP(K10*(K11+3)/(K11+1),0)</f>
        <v>50</v>
      </c>
    </row>
    <row r="13" spans="1:11" ht="13" x14ac:dyDescent="0.3">
      <c r="C13" s="86" t="s">
        <v>172</v>
      </c>
      <c r="D13" s="75">
        <f>1-D3/100</f>
        <v>5.0000000000000044E-2</v>
      </c>
      <c r="E13" s="69" t="s">
        <v>173</v>
      </c>
      <c r="F13" s="69"/>
      <c r="G13" s="69"/>
    </row>
    <row r="14" spans="1:11" ht="13" x14ac:dyDescent="0.3">
      <c r="C14" s="86" t="s">
        <v>174</v>
      </c>
      <c r="D14" s="75">
        <f>1-D4/100</f>
        <v>9.9999999999999978E-2</v>
      </c>
      <c r="E14" s="69" t="s">
        <v>175</v>
      </c>
      <c r="F14" s="69"/>
      <c r="G14" s="69"/>
    </row>
    <row r="15" spans="1:11" x14ac:dyDescent="0.25">
      <c r="C15" s="69"/>
      <c r="D15" s="69"/>
      <c r="E15" s="69"/>
      <c r="F15" s="69"/>
      <c r="G15" s="69"/>
    </row>
    <row r="16" spans="1:11" x14ac:dyDescent="0.25">
      <c r="C16" s="69"/>
      <c r="D16" s="69"/>
      <c r="E16" s="69"/>
      <c r="F16" s="69"/>
      <c r="G16" s="69"/>
    </row>
    <row r="17" spans="3:7" ht="14.5" x14ac:dyDescent="0.35">
      <c r="C17" s="76" t="s">
        <v>176</v>
      </c>
      <c r="D17" s="69"/>
      <c r="E17" s="69"/>
      <c r="F17" s="69"/>
      <c r="G17" s="69"/>
    </row>
    <row r="18" spans="3:7" ht="14.5" x14ac:dyDescent="0.35">
      <c r="C18" s="76" t="s">
        <v>177</v>
      </c>
      <c r="D18" s="69"/>
      <c r="E18" s="69"/>
      <c r="F18" s="69"/>
      <c r="G18" s="69"/>
    </row>
    <row r="19" spans="3:7" ht="14.5" x14ac:dyDescent="0.35">
      <c r="C19" s="77" t="s">
        <v>178</v>
      </c>
    </row>
    <row r="20" spans="3:7" ht="14.5" x14ac:dyDescent="0.35">
      <c r="C20" s="77" t="s">
        <v>179</v>
      </c>
    </row>
    <row r="21" spans="3:7" ht="14.5" x14ac:dyDescent="0.35">
      <c r="C21" s="77" t="s">
        <v>180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Ex.4.1</vt:lpstr>
      <vt:lpstr>Ex.4.2</vt:lpstr>
      <vt:lpstr>Ex.4.3</vt:lpstr>
      <vt:lpstr>Ex.4.4</vt:lpstr>
      <vt:lpstr>Ex.4.5</vt:lpstr>
      <vt:lpstr>Ex.4.6</vt:lpstr>
      <vt:lpstr>Ex.4.7</vt:lpstr>
      <vt:lpstr>Ex.4.8</vt:lpstr>
      <vt:lpstr>Ex.4.9</vt:lpstr>
      <vt:lpstr>Ex.4.10</vt:lpstr>
      <vt:lpstr>Ex.4.12</vt:lpstr>
      <vt:lpstr>Ex.4.13</vt:lpstr>
      <vt:lpstr>Exs.4.14,4.15</vt:lpstr>
      <vt:lpstr>Ex.4.16A</vt:lpstr>
      <vt:lpstr>Ex.4.17</vt:lpstr>
      <vt:lpstr>Ex.4.18</vt:lpstr>
      <vt:lpstr>Ex.4.19</vt:lpstr>
      <vt:lpstr>Ex.4.20</vt:lpstr>
      <vt:lpstr>Ex.4.21</vt:lpstr>
      <vt:lpstr>Ex.4.22</vt:lpstr>
      <vt:lpstr>Ex.4.23</vt:lpstr>
      <vt:lpstr>Ex.4.24</vt:lpstr>
      <vt:lpstr>Ex.4.25</vt:lpstr>
    </vt:vector>
  </TitlesOfParts>
  <Company>The University of Queensland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TJNM</dc:creator>
  <cp:lastModifiedBy>Tim Napier-Munn</cp:lastModifiedBy>
  <dcterms:created xsi:type="dcterms:W3CDTF">2010-03-26T04:57:56Z</dcterms:created>
  <dcterms:modified xsi:type="dcterms:W3CDTF">2015-10-01T04:30:12Z</dcterms:modified>
</cp:coreProperties>
</file>