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070" windowHeight="8790" tabRatio="668" activeTab="4"/>
  </bookViews>
  <sheets>
    <sheet name="Ex.5.1" sheetId="13" r:id="rId1"/>
    <sheet name="Ex.5.2" sheetId="4" r:id="rId2"/>
    <sheet name="Ex.5.3" sheetId="20" r:id="rId3"/>
    <sheet name="Ex.5.4" sheetId="21" r:id="rId4"/>
    <sheet name="Ex.5.5" sheetId="22" r:id="rId5"/>
  </sheets>
  <calcPr calcId="145621"/>
</workbook>
</file>

<file path=xl/calcChain.xml><?xml version="1.0" encoding="utf-8"?>
<calcChain xmlns="http://schemas.openxmlformats.org/spreadsheetml/2006/main">
  <c r="BB9" i="22" l="1"/>
  <c r="BB2" i="22" l="1"/>
  <c r="BB20" i="22" s="1"/>
  <c r="BB19" i="22" s="1"/>
  <c r="BB3" i="22"/>
  <c r="BG4" i="22"/>
  <c r="BB5" i="22"/>
  <c r="BJ4" i="22"/>
  <c r="BF5" i="22"/>
  <c r="BJ5" i="22" s="1"/>
  <c r="M41" i="22"/>
  <c r="M42" i="22" s="1"/>
  <c r="AS2" i="21"/>
  <c r="AS20" i="21" s="1"/>
  <c r="AS19" i="21" s="1"/>
  <c r="AS3" i="21"/>
  <c r="AS4" i="21" s="1"/>
  <c r="AS5" i="21"/>
  <c r="AW5" i="21"/>
  <c r="AW6" i="21" s="1"/>
  <c r="AW7" i="21" s="1"/>
  <c r="AW8" i="21" s="1"/>
  <c r="AW9" i="21" s="1"/>
  <c r="AW10" i="21" s="1"/>
  <c r="AW11" i="21" s="1"/>
  <c r="AW12" i="21" s="1"/>
  <c r="AW13" i="21" s="1"/>
  <c r="AW14" i="21" s="1"/>
  <c r="AW15" i="21" s="1"/>
  <c r="AW16" i="21" s="1"/>
  <c r="AU13" i="21"/>
  <c r="F18" i="21"/>
  <c r="F20" i="21" s="1"/>
  <c r="F21" i="21" s="1"/>
  <c r="X18" i="21"/>
  <c r="X20" i="21"/>
  <c r="X21" i="21" s="1"/>
  <c r="Y20" i="20"/>
  <c r="Y21" i="20" s="1"/>
  <c r="G20" i="20"/>
  <c r="G21" i="20"/>
  <c r="C16" i="13"/>
  <c r="C17" i="13"/>
  <c r="AS9" i="21" l="1" a="1"/>
  <c r="AS9" i="21" s="1"/>
  <c r="AS13" i="21" s="1"/>
  <c r="AS14" i="21" s="1"/>
  <c r="AU14" i="21" s="1"/>
  <c r="BG5" i="22"/>
  <c r="AS8" i="21" a="1"/>
  <c r="AS8" i="21" s="1"/>
  <c r="AS6" i="21"/>
  <c r="AS7" i="21" a="1"/>
  <c r="AS7" i="21" s="1"/>
  <c r="BD13" i="22"/>
  <c r="BB4" i="22"/>
  <c r="BF6" i="22"/>
  <c r="BB6" i="22"/>
  <c r="BB7" i="22" a="1"/>
  <c r="BB7" i="22" s="1"/>
  <c r="BB12" i="22" s="1"/>
  <c r="BB8" i="22" a="1"/>
  <c r="BB8" i="22" s="1"/>
  <c r="AS12" i="21" l="1"/>
  <c r="AS11" i="21" s="1"/>
  <c r="AT20" i="21"/>
  <c r="AT19" i="21"/>
  <c r="AU19" i="21" s="1"/>
  <c r="BB11" i="22"/>
  <c r="BG6" i="22"/>
  <c r="BJ6" i="22"/>
  <c r="BF7" i="22"/>
  <c r="BB13" i="22"/>
  <c r="BB14" i="22" s="1"/>
  <c r="BD14" i="22" s="1"/>
  <c r="BC20" i="22"/>
  <c r="BC19" i="22"/>
  <c r="BD19" i="22" s="1"/>
  <c r="AT18" i="21" l="1"/>
  <c r="AU18" i="21" s="1"/>
  <c r="AV18" i="21" s="1"/>
  <c r="AV19" i="21" s="1"/>
  <c r="AX8" i="21"/>
  <c r="BA16" i="21"/>
  <c r="AX12" i="21"/>
  <c r="AX14" i="21"/>
  <c r="BA14" i="21"/>
  <c r="BA8" i="21"/>
  <c r="AX15" i="21"/>
  <c r="BA5" i="21"/>
  <c r="AX9" i="21"/>
  <c r="AX4" i="21"/>
  <c r="BA13" i="21"/>
  <c r="BA10" i="21"/>
  <c r="BA17" i="21"/>
  <c r="BA9" i="21"/>
  <c r="AX6" i="21"/>
  <c r="AX11" i="21"/>
  <c r="BA4" i="21"/>
  <c r="BA15" i="21"/>
  <c r="AX17" i="21"/>
  <c r="BA6" i="21"/>
  <c r="BA11" i="21"/>
  <c r="AX16" i="21"/>
  <c r="BA12" i="21"/>
  <c r="BA7" i="21"/>
  <c r="AX5" i="21"/>
  <c r="AX13" i="21"/>
  <c r="AX7" i="21"/>
  <c r="AX10" i="21"/>
  <c r="AU12" i="21"/>
  <c r="AV12" i="21" s="1"/>
  <c r="AR23" i="21"/>
  <c r="AU11" i="21"/>
  <c r="AV11" i="21" s="1"/>
  <c r="BC18" i="22"/>
  <c r="BD18" i="22" s="1"/>
  <c r="BE18" i="22" s="1"/>
  <c r="BE19" i="22" s="1"/>
  <c r="BI6" i="22"/>
  <c r="BH6" i="22"/>
  <c r="BJ7" i="22"/>
  <c r="BF8" i="22"/>
  <c r="BG7" i="22"/>
  <c r="BA23" i="22"/>
  <c r="BD12" i="22"/>
  <c r="BE12" i="22" s="1"/>
  <c r="BH4" i="22"/>
  <c r="BD11" i="22"/>
  <c r="BE11" i="22" s="1"/>
  <c r="BK5" i="22"/>
  <c r="BI5" i="22"/>
  <c r="BI4" i="22"/>
  <c r="BL4" i="22"/>
  <c r="BK4" i="22"/>
  <c r="BH5" i="22"/>
  <c r="BL5" i="22"/>
  <c r="BL6" i="22"/>
  <c r="BK6" i="22"/>
  <c r="AZ13" i="21" l="1"/>
  <c r="AY13" i="21"/>
  <c r="AZ16" i="21"/>
  <c r="AY16" i="21"/>
  <c r="BC15" i="21"/>
  <c r="BB15" i="21"/>
  <c r="BB9" i="21"/>
  <c r="BC9" i="21"/>
  <c r="AZ4" i="21"/>
  <c r="AY4" i="21"/>
  <c r="BB8" i="21"/>
  <c r="BC8" i="21"/>
  <c r="BC16" i="21"/>
  <c r="BB16" i="21"/>
  <c r="AY5" i="21"/>
  <c r="AZ5" i="21"/>
  <c r="BB11" i="21"/>
  <c r="BC11" i="21"/>
  <c r="BC4" i="21"/>
  <c r="BB4" i="21"/>
  <c r="BB17" i="21"/>
  <c r="BC17" i="21"/>
  <c r="AZ9" i="21"/>
  <c r="AY9" i="21"/>
  <c r="BC14" i="21"/>
  <c r="BB14" i="21"/>
  <c r="AY8" i="21"/>
  <c r="AZ8" i="21"/>
  <c r="AY10" i="21"/>
  <c r="AZ10" i="21"/>
  <c r="BB7" i="21"/>
  <c r="BC7" i="21"/>
  <c r="BB6" i="21"/>
  <c r="BC6" i="21"/>
  <c r="AY11" i="21"/>
  <c r="AZ11" i="21"/>
  <c r="BC10" i="21"/>
  <c r="BB10" i="21"/>
  <c r="BB5" i="21"/>
  <c r="BC5" i="21"/>
  <c r="AY14" i="21"/>
  <c r="AZ14" i="21"/>
  <c r="AY7" i="21"/>
  <c r="AZ7" i="21"/>
  <c r="BB12" i="21"/>
  <c r="BC12" i="21"/>
  <c r="AY17" i="21"/>
  <c r="AZ17" i="21"/>
  <c r="AZ6" i="21"/>
  <c r="AY6" i="21"/>
  <c r="BB13" i="21"/>
  <c r="BC13" i="21"/>
  <c r="AZ15" i="21"/>
  <c r="AY15" i="21"/>
  <c r="AY12" i="21"/>
  <c r="AZ12" i="21"/>
  <c r="BF9" i="22"/>
  <c r="BG8" i="22"/>
  <c r="BJ8" i="22"/>
  <c r="BK7" i="22"/>
  <c r="BL7" i="22"/>
  <c r="BI7" i="22"/>
  <c r="BH7" i="22"/>
  <c r="BK8" i="22" l="1"/>
  <c r="BL8" i="22"/>
  <c r="BH8" i="22"/>
  <c r="BI8" i="22"/>
  <c r="BJ9" i="22"/>
  <c r="BF10" i="22"/>
  <c r="BG9" i="22"/>
  <c r="BH9" i="22" l="1"/>
  <c r="BI9" i="22"/>
  <c r="BF11" i="22"/>
  <c r="BJ10" i="22"/>
  <c r="BG10" i="22"/>
  <c r="BL9" i="22"/>
  <c r="BK9" i="22"/>
  <c r="BL10" i="22" l="1"/>
  <c r="BK10" i="22"/>
  <c r="BG11" i="22"/>
  <c r="BF12" i="22"/>
  <c r="BJ11" i="22"/>
  <c r="BI10" i="22"/>
  <c r="BH10" i="22"/>
  <c r="BJ12" i="22" l="1"/>
  <c r="BG12" i="22"/>
  <c r="BF13" i="22"/>
  <c r="BH11" i="22"/>
  <c r="BI11" i="22"/>
  <c r="BL11" i="22"/>
  <c r="BK11" i="22"/>
  <c r="BG13" i="22" l="1"/>
  <c r="BF14" i="22"/>
  <c r="BJ13" i="22"/>
  <c r="BI12" i="22"/>
  <c r="BH12" i="22"/>
  <c r="BL12" i="22"/>
  <c r="BK12" i="22"/>
  <c r="BK13" i="22" l="1"/>
  <c r="BL13" i="22"/>
  <c r="BG14" i="22"/>
  <c r="BJ14" i="22"/>
  <c r="BF15" i="22"/>
  <c r="BH13" i="22"/>
  <c r="BI13" i="22"/>
  <c r="BL14" i="22" l="1"/>
  <c r="BK14" i="22"/>
  <c r="BH14" i="22"/>
  <c r="BI14" i="22"/>
  <c r="BG15" i="22"/>
  <c r="BJ15" i="22"/>
  <c r="BF16" i="22"/>
  <c r="BJ16" i="22" l="1"/>
  <c r="BG16" i="22"/>
  <c r="BK15" i="22"/>
  <c r="BL15" i="22"/>
  <c r="BI15" i="22"/>
  <c r="BH15" i="22"/>
  <c r="BK16" i="22" l="1"/>
  <c r="BL16" i="22"/>
  <c r="BI16" i="22"/>
  <c r="BH16" i="22"/>
</calcChain>
</file>

<file path=xl/sharedStrings.xml><?xml version="1.0" encoding="utf-8"?>
<sst xmlns="http://schemas.openxmlformats.org/spreadsheetml/2006/main" count="350" uniqueCount="101">
  <si>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</si>
  <si>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</si>
  <si>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</si>
  <si>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</si>
  <si>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</si>
  <si>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</si>
  <si>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</si>
  <si>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</si>
  <si>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</si>
  <si>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</si>
  <si>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</si>
  <si>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</si>
  <si>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</si>
  <si>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</si>
  <si>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</si>
  <si>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</si>
  <si>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</si>
  <si>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</si>
  <si>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</si>
  <si>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</si>
  <si>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</si>
  <si>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</si>
  <si>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RESIDUAL OUTPUT</t>
  </si>
  <si>
    <t>Observation</t>
  </si>
  <si>
    <t>Residuals</t>
  </si>
  <si>
    <t>Standard Residuals</t>
  </si>
  <si>
    <t>Lower 90.0%</t>
  </si>
  <si>
    <t>Upper 90.0%</t>
  </si>
  <si>
    <t>Downtime (%)</t>
  </si>
  <si>
    <t>Medium loss (g/t)</t>
  </si>
  <si>
    <t xml:space="preserve">t = </t>
  </si>
  <si>
    <t>P(t)</t>
  </si>
  <si>
    <t>Fe:SiO2</t>
  </si>
  <si>
    <t>BWi</t>
  </si>
  <si>
    <t>Predicted BWi</t>
  </si>
  <si>
    <t>Statistic</t>
  </si>
  <si>
    <t>N</t>
  </si>
  <si>
    <t>Mean X</t>
  </si>
  <si>
    <t>Mean Y</t>
  </si>
  <si>
    <t>Ao =</t>
  </si>
  <si>
    <t>A1 =</t>
  </si>
  <si>
    <t>Source</t>
  </si>
  <si>
    <t>D.F</t>
  </si>
  <si>
    <t>F (p)</t>
  </si>
  <si>
    <t>Regre</t>
  </si>
  <si>
    <t>-</t>
  </si>
  <si>
    <t>Value</t>
  </si>
  <si>
    <t>Analysis of Variance for Regression</t>
  </si>
  <si>
    <t>V(A1) =</t>
  </si>
  <si>
    <t xml:space="preserve">V(Ao) = </t>
  </si>
  <si>
    <t>Residual Standard Error</t>
  </si>
  <si>
    <t>R =</t>
  </si>
  <si>
    <t>D.f.(R) =</t>
  </si>
  <si>
    <t>t(R) =</t>
  </si>
  <si>
    <t>p(t{R}) =</t>
  </si>
  <si>
    <t>Prediction of Line</t>
  </si>
  <si>
    <t>Pred. Y</t>
  </si>
  <si>
    <t>Lower Y</t>
  </si>
  <si>
    <t>Upper Y</t>
  </si>
  <si>
    <t>Prediction of Values Y</t>
  </si>
  <si>
    <t>Choose X</t>
  </si>
  <si>
    <t>Conf. Level %</t>
  </si>
  <si>
    <r>
      <t>å</t>
    </r>
    <r>
      <rPr>
        <sz val="8"/>
        <rFont val="Geneva"/>
      </rPr>
      <t xml:space="preserve"> X</t>
    </r>
  </si>
  <si>
    <r>
      <t>å</t>
    </r>
    <r>
      <rPr>
        <sz val="8"/>
        <rFont val="Geneva"/>
      </rPr>
      <t xml:space="preserve"> Y</t>
    </r>
  </si>
  <si>
    <r>
      <t>å</t>
    </r>
    <r>
      <rPr>
        <sz val="8"/>
        <rFont val="Geneva"/>
      </rPr>
      <t xml:space="preserve"> x^2</t>
    </r>
  </si>
  <si>
    <r>
      <t>å</t>
    </r>
    <r>
      <rPr>
        <sz val="8"/>
        <rFont val="Geneva"/>
      </rPr>
      <t xml:space="preserve"> y^2</t>
    </r>
  </si>
  <si>
    <r>
      <t>å</t>
    </r>
    <r>
      <rPr>
        <sz val="8"/>
        <rFont val="Geneva"/>
      </rPr>
      <t xml:space="preserve"> xy</t>
    </r>
  </si>
  <si>
    <t>Recovery  (%)</t>
  </si>
  <si>
    <t>Depth</t>
  </si>
  <si>
    <t>Grind time</t>
  </si>
  <si>
    <t>Rec</t>
  </si>
  <si>
    <t>1/S</t>
  </si>
  <si>
    <t>Predicted Rec</t>
  </si>
  <si>
    <t xml:space="preserve">Test for gradient: t = </t>
  </si>
  <si>
    <t>So gradient significantly different to 1 and there is a bias of scale.</t>
  </si>
  <si>
    <t>Ref</t>
  </si>
  <si>
    <t>Non-ref</t>
  </si>
  <si>
    <t>Predicted Non-ref</t>
  </si>
  <si>
    <t>Reference</t>
  </si>
  <si>
    <t xml:space="preserve">t(R) = </t>
  </si>
  <si>
    <t xml:space="preserve">P(t) = </t>
  </si>
  <si>
    <t>Plant Downtime (%)</t>
  </si>
  <si>
    <t>Medium Consumption (g/t)</t>
  </si>
  <si>
    <t>Outlier</t>
  </si>
  <si>
    <t>All data:</t>
  </si>
  <si>
    <t>Without outlier:</t>
  </si>
  <si>
    <t>Exclude highFe:SiO2 data:</t>
  </si>
  <si>
    <t xml:space="preserve">R = </t>
  </si>
  <si>
    <t>P(t) =</t>
  </si>
  <si>
    <t>t [R] =</t>
  </si>
  <si>
    <t>n =</t>
  </si>
  <si>
    <t>Calculation of confidence intervals:</t>
  </si>
  <si>
    <t>Recovery</t>
  </si>
  <si>
    <t>Without grind time:</t>
  </si>
  <si>
    <t>Pred. rec.</t>
  </si>
  <si>
    <t>Data &gt; Data Analysis &gt; Correlation</t>
  </si>
  <si>
    <r>
      <t>å</t>
    </r>
    <r>
      <rPr>
        <sz val="10"/>
        <rFont val="Geneva"/>
      </rPr>
      <t xml:space="preserve"> X</t>
    </r>
  </si>
  <si>
    <r>
      <t>å</t>
    </r>
    <r>
      <rPr>
        <sz val="10"/>
        <rFont val="Geneva"/>
      </rPr>
      <t xml:space="preserve"> Y</t>
    </r>
  </si>
  <si>
    <r>
      <t>å</t>
    </r>
    <r>
      <rPr>
        <sz val="10"/>
        <rFont val="Geneva"/>
      </rPr>
      <t xml:space="preserve"> x^2</t>
    </r>
  </si>
  <si>
    <r>
      <t>å</t>
    </r>
    <r>
      <rPr>
        <sz val="10"/>
        <rFont val="Geneva"/>
      </rPr>
      <t xml:space="preserve"> y^2</t>
    </r>
  </si>
  <si>
    <r>
      <t>å</t>
    </r>
    <r>
      <rPr>
        <sz val="10"/>
        <rFont val="Geneva"/>
      </rPr>
      <t xml:space="preserve"> xy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</si>
</sst>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0"/>
    <numFmt numFmtId="167" formatCode="0.0000"/>
  </numFmts>
  <fonts count="15">
    <font>
      <sz val="10"/>
      <name val="Arial"/>
    </font>
    <font>
      <b/>
      <i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Geneva"/>
    </font>
    <font>
      <sz val="8"/>
      <name val="Geneva"/>
    </font>
    <font>
      <sz val="8"/>
      <name val="Symbol"/>
      <family val="1"/>
      <charset val="2"/>
    </font>
    <font>
      <i/>
      <sz val="8"/>
      <name val="Geneva"/>
    </font>
    <font>
      <i/>
      <sz val="10"/>
      <name val="Arial"/>
      <family val="2"/>
    </font>
    <font>
      <b/>
      <sz val="10"/>
      <name val="Geneva"/>
    </font>
    <font>
      <sz val="10"/>
      <name val="Geneva"/>
    </font>
    <font>
      <sz val="10"/>
      <name val="Symbol"/>
      <family val="1"/>
      <charset val="2"/>
    </font>
    <font>
      <i/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8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2" fontId="7" fillId="0" borderId="0" xfId="0" applyNumberFormat="1" applyFont="1"/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Fill="1" applyBorder="1" applyAlignment="1"/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6" xfId="0" applyBorder="1"/>
    <xf numFmtId="0" fontId="6" fillId="0" borderId="0" xfId="0" applyFont="1" applyAlignment="1">
      <alignment horizontal="left"/>
    </xf>
    <xf numFmtId="0" fontId="7" fillId="0" borderId="0" xfId="0" applyFont="1" applyFill="1" applyBorder="1" applyAlignment="1"/>
    <xf numFmtId="0" fontId="7" fillId="0" borderId="6" xfId="0" applyFont="1" applyFill="1" applyBorder="1" applyAlignment="1"/>
    <xf numFmtId="0" fontId="7" fillId="0" borderId="5" xfId="0" applyFont="1" applyBorder="1"/>
    <xf numFmtId="0" fontId="9" fillId="0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Border="1"/>
    <xf numFmtId="165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165" fontId="0" fillId="0" borderId="0" xfId="0" applyNumberFormat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0" fillId="2" borderId="0" xfId="0" applyFill="1" applyAlignment="1">
      <alignment horizontal="center"/>
    </xf>
    <xf numFmtId="166" fontId="0" fillId="0" borderId="0" xfId="0" applyNumberForma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/>
    <xf numFmtId="2" fontId="3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/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4" fillId="0" borderId="0" xfId="0" applyFont="1" applyBorder="1"/>
    <xf numFmtId="0" fontId="10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2" fontId="4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6" xfId="0" applyFont="1" applyBorder="1"/>
    <xf numFmtId="0" fontId="13" fillId="0" borderId="0" xfId="0" applyFont="1" applyAlignment="1">
      <alignment horizontal="center"/>
    </xf>
    <xf numFmtId="2" fontId="12" fillId="0" borderId="0" xfId="0" applyNumberFormat="1" applyFont="1"/>
    <xf numFmtId="0" fontId="12" fillId="0" borderId="0" xfId="0" applyFont="1" applyAlignment="1">
      <alignment horizontal="left"/>
    </xf>
    <xf numFmtId="0" fontId="12" fillId="0" borderId="6" xfId="0" applyFont="1" applyBorder="1" applyAlignment="1">
      <alignment horizontal="center"/>
    </xf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right"/>
    </xf>
    <xf numFmtId="0" fontId="5" fillId="0" borderId="6" xfId="0" applyFont="1" applyBorder="1"/>
    <xf numFmtId="0" fontId="5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Fill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1" fillId="0" borderId="0" xfId="0" applyFont="1" applyBorder="1"/>
    <xf numFmtId="0" fontId="11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0" borderId="5" xfId="0" applyFont="1" applyFill="1" applyBorder="1" applyAlignment="1"/>
    <xf numFmtId="0" fontId="12" fillId="0" borderId="0" xfId="0" applyFont="1" applyFill="1" applyBorder="1" applyAlignment="1"/>
    <xf numFmtId="0" fontId="12" fillId="0" borderId="6" xfId="0" applyFont="1" applyFill="1" applyBorder="1" applyAlignment="1"/>
    <xf numFmtId="0" fontId="5" fillId="0" borderId="6" xfId="0" applyFont="1" applyFill="1" applyBorder="1" applyAlignment="1"/>
    <xf numFmtId="0" fontId="12" fillId="0" borderId="5" xfId="0" applyFont="1" applyBorder="1"/>
    <xf numFmtId="0" fontId="5" fillId="0" borderId="0" xfId="0" applyFont="1" applyBorder="1"/>
    <xf numFmtId="0" fontId="14" fillId="0" borderId="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429957720223331"/>
          <c:y val="9.2964995199990186E-2"/>
          <c:w val="0.7121511576170908"/>
          <c:h val="0.6507549663999312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5"/>
            <c:backward val="12"/>
            <c:dispRSqr val="1"/>
            <c:dispEq val="1"/>
            <c:trendlineLbl>
              <c:layout>
                <c:manualLayout>
                  <c:x val="0.17570961557531586"/>
                  <c:y val="0.44221209562400654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'Ex.5.2'!$A$2:$A$13</c:f>
              <c:numCache>
                <c:formatCode>0.0</c:formatCode>
                <c:ptCount val="12"/>
                <c:pt idx="0">
                  <c:v>14.8</c:v>
                </c:pt>
                <c:pt idx="1">
                  <c:v>13.8</c:v>
                </c:pt>
                <c:pt idx="2">
                  <c:v>21.8</c:v>
                </c:pt>
                <c:pt idx="3">
                  <c:v>26.8</c:v>
                </c:pt>
                <c:pt idx="4">
                  <c:v>12.1</c:v>
                </c:pt>
                <c:pt idx="5">
                  <c:v>15.6</c:v>
                </c:pt>
                <c:pt idx="6">
                  <c:v>16.399999999999999</c:v>
                </c:pt>
                <c:pt idx="7">
                  <c:v>20.8</c:v>
                </c:pt>
                <c:pt idx="8">
                  <c:v>12.5</c:v>
                </c:pt>
                <c:pt idx="9">
                  <c:v>18</c:v>
                </c:pt>
                <c:pt idx="10">
                  <c:v>13.9</c:v>
                </c:pt>
                <c:pt idx="11">
                  <c:v>13.9</c:v>
                </c:pt>
              </c:numCache>
            </c:numRef>
          </c:xVal>
          <c:yVal>
            <c:numRef>
              <c:f>'Ex.5.2'!$B$2:$B$13</c:f>
              <c:numCache>
                <c:formatCode>0</c:formatCode>
                <c:ptCount val="12"/>
                <c:pt idx="0">
                  <c:v>317.6449534717251</c:v>
                </c:pt>
                <c:pt idx="1">
                  <c:v>492.12598425196853</c:v>
                </c:pt>
                <c:pt idx="2">
                  <c:v>469.75662133142441</c:v>
                </c:pt>
                <c:pt idx="3">
                  <c:v>863.45740873299917</c:v>
                </c:pt>
                <c:pt idx="4">
                  <c:v>152.11166785969934</c:v>
                </c:pt>
                <c:pt idx="5">
                  <c:v>527.91696492483891</c:v>
                </c:pt>
                <c:pt idx="6">
                  <c:v>407.12240515390113</c:v>
                </c:pt>
                <c:pt idx="7">
                  <c:v>586.07730851825329</c:v>
                </c:pt>
                <c:pt idx="8">
                  <c:v>420.54402290622755</c:v>
                </c:pt>
                <c:pt idx="9">
                  <c:v>541.33858267716528</c:v>
                </c:pt>
                <c:pt idx="10">
                  <c:v>469.75662133142441</c:v>
                </c:pt>
                <c:pt idx="11">
                  <c:v>478.70436649964205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43168"/>
        <c:axId val="94749440"/>
      </c:scatterChart>
      <c:valAx>
        <c:axId val="9474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Plant downtime (%)</a:t>
                </a:r>
              </a:p>
            </c:rich>
          </c:tx>
          <c:layout>
            <c:manualLayout>
              <c:xMode val="edge"/>
              <c:yMode val="edge"/>
              <c:x val="0.40373920082419607"/>
              <c:y val="0.8567855023147231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749440"/>
        <c:crosses val="autoZero"/>
        <c:crossBetween val="midCat"/>
      </c:valAx>
      <c:valAx>
        <c:axId val="947494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Medium consumption (g/t)</a:t>
                </a:r>
              </a:p>
            </c:rich>
          </c:tx>
          <c:layout>
            <c:manualLayout>
              <c:xMode val="edge"/>
              <c:yMode val="edge"/>
              <c:x val="4.1121495327102804E-2"/>
              <c:y val="9.7989949748743713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743168"/>
        <c:crosses val="autoZero"/>
        <c:crossBetween val="midCat"/>
        <c:majorUnit val="20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46439831874321"/>
          <c:y val="9.2732056537967331E-2"/>
          <c:w val="0.71322387130065534"/>
          <c:h val="0.6516306675640947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4"/>
            <c:backward val="12"/>
            <c:intercept val="0"/>
            <c:dispRSqr val="1"/>
            <c:dispEq val="1"/>
            <c:trendlineLbl>
              <c:layout>
                <c:manualLayout>
                  <c:x val="0.13621937416450983"/>
                  <c:y val="0.41102848081152721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'Ex.5.2'!$A$2:$A$13</c:f>
              <c:numCache>
                <c:formatCode>0.0</c:formatCode>
                <c:ptCount val="12"/>
                <c:pt idx="0">
                  <c:v>14.8</c:v>
                </c:pt>
                <c:pt idx="1">
                  <c:v>13.8</c:v>
                </c:pt>
                <c:pt idx="2">
                  <c:v>21.8</c:v>
                </c:pt>
                <c:pt idx="3">
                  <c:v>26.8</c:v>
                </c:pt>
                <c:pt idx="4">
                  <c:v>12.1</c:v>
                </c:pt>
                <c:pt idx="5">
                  <c:v>15.6</c:v>
                </c:pt>
                <c:pt idx="6">
                  <c:v>16.399999999999999</c:v>
                </c:pt>
                <c:pt idx="7">
                  <c:v>20.8</c:v>
                </c:pt>
                <c:pt idx="8">
                  <c:v>12.5</c:v>
                </c:pt>
                <c:pt idx="9">
                  <c:v>18</c:v>
                </c:pt>
                <c:pt idx="10">
                  <c:v>13.9</c:v>
                </c:pt>
                <c:pt idx="11">
                  <c:v>13.9</c:v>
                </c:pt>
              </c:numCache>
            </c:numRef>
          </c:xVal>
          <c:yVal>
            <c:numRef>
              <c:f>'Ex.5.2'!$B$2:$B$13</c:f>
              <c:numCache>
                <c:formatCode>0</c:formatCode>
                <c:ptCount val="12"/>
                <c:pt idx="0">
                  <c:v>317.6449534717251</c:v>
                </c:pt>
                <c:pt idx="1">
                  <c:v>492.12598425196853</c:v>
                </c:pt>
                <c:pt idx="2">
                  <c:v>469.75662133142441</c:v>
                </c:pt>
                <c:pt idx="3">
                  <c:v>863.45740873299917</c:v>
                </c:pt>
                <c:pt idx="4">
                  <c:v>152.11166785969934</c:v>
                </c:pt>
                <c:pt idx="5">
                  <c:v>527.91696492483891</c:v>
                </c:pt>
                <c:pt idx="6">
                  <c:v>407.12240515390113</c:v>
                </c:pt>
                <c:pt idx="7">
                  <c:v>586.07730851825329</c:v>
                </c:pt>
                <c:pt idx="8">
                  <c:v>420.54402290622755</c:v>
                </c:pt>
                <c:pt idx="9">
                  <c:v>541.33858267716528</c:v>
                </c:pt>
                <c:pt idx="10">
                  <c:v>469.75662133142441</c:v>
                </c:pt>
                <c:pt idx="11">
                  <c:v>478.70436649964205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07168"/>
        <c:axId val="94809088"/>
      </c:scatterChart>
      <c:valAx>
        <c:axId val="9480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Plant downtime (%)</a:t>
                </a:r>
              </a:p>
            </c:rich>
          </c:tx>
          <c:layout>
            <c:manualLayout>
              <c:xMode val="edge"/>
              <c:yMode val="edge"/>
              <c:x val="0.40409800730215983"/>
              <c:y val="0.857144830580388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09088"/>
        <c:crosses val="autoZero"/>
        <c:crossBetween val="midCat"/>
      </c:valAx>
      <c:valAx>
        <c:axId val="948090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Medium consumption (g/t)</a:t>
                </a:r>
              </a:p>
            </c:rich>
          </c:tx>
          <c:layout>
            <c:manualLayout>
              <c:xMode val="edge"/>
              <c:yMode val="edge"/>
              <c:x val="4.0968342644320296E-2"/>
              <c:y val="0.100251021253922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07168"/>
        <c:crosses val="autoZero"/>
        <c:crossBetween val="midCat"/>
        <c:majorUnit val="20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78594550338156"/>
          <c:y val="9.0164355435723015E-2"/>
          <c:w val="0.75892956402966838"/>
          <c:h val="0.6284182348550391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'Ex.5.3'!$B$2:$B$31</c:f>
              <c:numCache>
                <c:formatCode>General</c:formatCode>
                <c:ptCount val="30"/>
                <c:pt idx="0">
                  <c:v>8.1999999999999993</c:v>
                </c:pt>
                <c:pt idx="1">
                  <c:v>8.3800000000000008</c:v>
                </c:pt>
                <c:pt idx="2">
                  <c:v>7.91</c:v>
                </c:pt>
                <c:pt idx="3">
                  <c:v>4.58</c:v>
                </c:pt>
                <c:pt idx="4">
                  <c:v>7.6</c:v>
                </c:pt>
                <c:pt idx="5">
                  <c:v>8.86</c:v>
                </c:pt>
                <c:pt idx="6">
                  <c:v>6.42</c:v>
                </c:pt>
                <c:pt idx="7">
                  <c:v>7.32</c:v>
                </c:pt>
                <c:pt idx="8">
                  <c:v>8.14</c:v>
                </c:pt>
                <c:pt idx="9">
                  <c:v>8.5399999999999991</c:v>
                </c:pt>
                <c:pt idx="10">
                  <c:v>7.31</c:v>
                </c:pt>
                <c:pt idx="11">
                  <c:v>7.38</c:v>
                </c:pt>
                <c:pt idx="12">
                  <c:v>8.2100000000000009</c:v>
                </c:pt>
                <c:pt idx="13">
                  <c:v>8.15</c:v>
                </c:pt>
                <c:pt idx="14">
                  <c:v>8.4700000000000006</c:v>
                </c:pt>
                <c:pt idx="15">
                  <c:v>8.6</c:v>
                </c:pt>
                <c:pt idx="16">
                  <c:v>11.9</c:v>
                </c:pt>
                <c:pt idx="17">
                  <c:v>8.81</c:v>
                </c:pt>
                <c:pt idx="18">
                  <c:v>11.74</c:v>
                </c:pt>
                <c:pt idx="19">
                  <c:v>11.7</c:v>
                </c:pt>
                <c:pt idx="20">
                  <c:v>8.44</c:v>
                </c:pt>
                <c:pt idx="21">
                  <c:v>2.64</c:v>
                </c:pt>
                <c:pt idx="22">
                  <c:v>8.52</c:v>
                </c:pt>
                <c:pt idx="23">
                  <c:v>9.43</c:v>
                </c:pt>
                <c:pt idx="24">
                  <c:v>7.31</c:v>
                </c:pt>
                <c:pt idx="25">
                  <c:v>9.82</c:v>
                </c:pt>
                <c:pt idx="26">
                  <c:v>6.97</c:v>
                </c:pt>
                <c:pt idx="27">
                  <c:v>10.79</c:v>
                </c:pt>
                <c:pt idx="28">
                  <c:v>9.3800000000000008</c:v>
                </c:pt>
                <c:pt idx="29">
                  <c:v>8.44</c:v>
                </c:pt>
              </c:numCache>
            </c:numRef>
          </c:xVal>
          <c:yVal>
            <c:numRef>
              <c:f>'Ex.5.3'!$C$2:$C$31</c:f>
              <c:numCache>
                <c:formatCode>General</c:formatCode>
                <c:ptCount val="30"/>
                <c:pt idx="0">
                  <c:v>8.94</c:v>
                </c:pt>
                <c:pt idx="1">
                  <c:v>8.4700000000000006</c:v>
                </c:pt>
                <c:pt idx="2">
                  <c:v>7.84</c:v>
                </c:pt>
                <c:pt idx="3">
                  <c:v>5.31</c:v>
                </c:pt>
                <c:pt idx="4">
                  <c:v>8.48</c:v>
                </c:pt>
                <c:pt idx="5">
                  <c:v>9.51</c:v>
                </c:pt>
                <c:pt idx="6">
                  <c:v>6.5</c:v>
                </c:pt>
                <c:pt idx="7">
                  <c:v>7.86</c:v>
                </c:pt>
                <c:pt idx="8">
                  <c:v>8.3000000000000007</c:v>
                </c:pt>
                <c:pt idx="9">
                  <c:v>8.6</c:v>
                </c:pt>
                <c:pt idx="10">
                  <c:v>8.0500000000000007</c:v>
                </c:pt>
                <c:pt idx="11">
                  <c:v>7.89</c:v>
                </c:pt>
                <c:pt idx="12">
                  <c:v>8.43</c:v>
                </c:pt>
                <c:pt idx="13">
                  <c:v>8.2799999999999994</c:v>
                </c:pt>
                <c:pt idx="14">
                  <c:v>8.82</c:v>
                </c:pt>
                <c:pt idx="15">
                  <c:v>9.39</c:v>
                </c:pt>
                <c:pt idx="16">
                  <c:v>11.81</c:v>
                </c:pt>
                <c:pt idx="17">
                  <c:v>9.64</c:v>
                </c:pt>
                <c:pt idx="18">
                  <c:v>11.81</c:v>
                </c:pt>
                <c:pt idx="19">
                  <c:v>11.17</c:v>
                </c:pt>
                <c:pt idx="20">
                  <c:v>9.1199999999999992</c:v>
                </c:pt>
                <c:pt idx="21">
                  <c:v>4.62</c:v>
                </c:pt>
                <c:pt idx="22">
                  <c:v>8.67</c:v>
                </c:pt>
                <c:pt idx="23">
                  <c:v>9.92</c:v>
                </c:pt>
                <c:pt idx="24">
                  <c:v>7.46</c:v>
                </c:pt>
                <c:pt idx="25">
                  <c:v>10.45</c:v>
                </c:pt>
                <c:pt idx="26">
                  <c:v>6.84</c:v>
                </c:pt>
                <c:pt idx="27">
                  <c:v>10.85</c:v>
                </c:pt>
                <c:pt idx="28">
                  <c:v>9.89</c:v>
                </c:pt>
                <c:pt idx="29">
                  <c:v>8.35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48736"/>
        <c:axId val="94950912"/>
      </c:scatterChart>
      <c:valAx>
        <c:axId val="94948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Reference moisture (%)</a:t>
                </a:r>
              </a:p>
            </c:rich>
          </c:tx>
          <c:layout>
            <c:manualLayout>
              <c:xMode val="edge"/>
              <c:yMode val="edge"/>
              <c:x val="0.35178627671541057"/>
              <c:y val="0.841533927111570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50912"/>
        <c:crosses val="autoZero"/>
        <c:crossBetween val="midCat"/>
        <c:majorUnit val="2"/>
      </c:valAx>
      <c:valAx>
        <c:axId val="949509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Non-reference moisture (%)</a:t>
                </a:r>
              </a:p>
            </c:rich>
          </c:tx>
          <c:layout>
            <c:manualLayout>
              <c:xMode val="edge"/>
              <c:yMode val="edge"/>
              <c:x val="4.1071428571428571E-2"/>
              <c:y val="4.0983606557377046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48736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4910505576958"/>
          <c:y val="0.11232921793082967"/>
          <c:w val="0.77639928152738358"/>
          <c:h val="0.61918056713091474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'Ex.5.4'!$C$1</c:f>
              <c:strCache>
                <c:ptCount val="1"/>
                <c:pt idx="0">
                  <c:v>BWi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6987823527399235"/>
                  <c:y val="0.22560287266973883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'Ex.5.4'!$B$2:$B$44</c:f>
              <c:numCache>
                <c:formatCode>General</c:formatCode>
                <c:ptCount val="43"/>
                <c:pt idx="0">
                  <c:v>0.51</c:v>
                </c:pt>
                <c:pt idx="1">
                  <c:v>0.26</c:v>
                </c:pt>
                <c:pt idx="2">
                  <c:v>0.75</c:v>
                </c:pt>
                <c:pt idx="3">
                  <c:v>0.7</c:v>
                </c:pt>
                <c:pt idx="4">
                  <c:v>0.56000000000000005</c:v>
                </c:pt>
                <c:pt idx="5">
                  <c:v>0.26</c:v>
                </c:pt>
                <c:pt idx="6">
                  <c:v>0.41</c:v>
                </c:pt>
                <c:pt idx="7">
                  <c:v>0.51</c:v>
                </c:pt>
                <c:pt idx="8">
                  <c:v>0.82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0.56000000000000005</c:v>
                </c:pt>
                <c:pt idx="13">
                  <c:v>0.1</c:v>
                </c:pt>
                <c:pt idx="14">
                  <c:v>0.79</c:v>
                </c:pt>
                <c:pt idx="15">
                  <c:v>1.01</c:v>
                </c:pt>
                <c:pt idx="16">
                  <c:v>2.2000000000000002</c:v>
                </c:pt>
                <c:pt idx="17">
                  <c:v>0.45</c:v>
                </c:pt>
                <c:pt idx="18">
                  <c:v>1.18</c:v>
                </c:pt>
                <c:pt idx="19">
                  <c:v>2.2400000000000002</c:v>
                </c:pt>
                <c:pt idx="20">
                  <c:v>0.37</c:v>
                </c:pt>
                <c:pt idx="21">
                  <c:v>0.35</c:v>
                </c:pt>
                <c:pt idx="22">
                  <c:v>0.54</c:v>
                </c:pt>
                <c:pt idx="23">
                  <c:v>2.12</c:v>
                </c:pt>
                <c:pt idx="24">
                  <c:v>0.55000000000000004</c:v>
                </c:pt>
                <c:pt idx="25">
                  <c:v>0.41</c:v>
                </c:pt>
                <c:pt idx="26">
                  <c:v>0.25</c:v>
                </c:pt>
                <c:pt idx="27">
                  <c:v>0.12</c:v>
                </c:pt>
                <c:pt idx="28">
                  <c:v>0.79</c:v>
                </c:pt>
                <c:pt idx="29">
                  <c:v>0.91</c:v>
                </c:pt>
                <c:pt idx="30">
                  <c:v>1.1000000000000001</c:v>
                </c:pt>
                <c:pt idx="31">
                  <c:v>1.96</c:v>
                </c:pt>
                <c:pt idx="32">
                  <c:v>0.74</c:v>
                </c:pt>
                <c:pt idx="33">
                  <c:v>0.81</c:v>
                </c:pt>
                <c:pt idx="34">
                  <c:v>0.6</c:v>
                </c:pt>
                <c:pt idx="35">
                  <c:v>0.48</c:v>
                </c:pt>
                <c:pt idx="36">
                  <c:v>0.54</c:v>
                </c:pt>
                <c:pt idx="37">
                  <c:v>1.1599999999999999</c:v>
                </c:pt>
                <c:pt idx="38">
                  <c:v>0.52</c:v>
                </c:pt>
                <c:pt idx="39">
                  <c:v>0.63</c:v>
                </c:pt>
                <c:pt idx="40">
                  <c:v>0.4</c:v>
                </c:pt>
                <c:pt idx="41">
                  <c:v>0.55000000000000004</c:v>
                </c:pt>
                <c:pt idx="42">
                  <c:v>0.5</c:v>
                </c:pt>
              </c:numCache>
            </c:numRef>
          </c:xVal>
          <c:yVal>
            <c:numRef>
              <c:f>'Ex.5.4'!$C$2:$C$44</c:f>
              <c:numCache>
                <c:formatCode>General</c:formatCode>
                <c:ptCount val="43"/>
                <c:pt idx="0">
                  <c:v>19.399999999999999</c:v>
                </c:pt>
                <c:pt idx="1">
                  <c:v>20.100000000000001</c:v>
                </c:pt>
                <c:pt idx="2">
                  <c:v>18.100000000000001</c:v>
                </c:pt>
                <c:pt idx="3">
                  <c:v>18.399999999999999</c:v>
                </c:pt>
                <c:pt idx="4">
                  <c:v>18.5</c:v>
                </c:pt>
                <c:pt idx="5">
                  <c:v>20.8</c:v>
                </c:pt>
                <c:pt idx="6">
                  <c:v>19.399999999999999</c:v>
                </c:pt>
                <c:pt idx="7">
                  <c:v>18.7</c:v>
                </c:pt>
                <c:pt idx="8">
                  <c:v>19.2</c:v>
                </c:pt>
                <c:pt idx="9">
                  <c:v>17</c:v>
                </c:pt>
                <c:pt idx="10">
                  <c:v>18.399999999999999</c:v>
                </c:pt>
                <c:pt idx="11">
                  <c:v>18.899999999999999</c:v>
                </c:pt>
                <c:pt idx="12">
                  <c:v>16.600000000000001</c:v>
                </c:pt>
                <c:pt idx="13">
                  <c:v>19.7</c:v>
                </c:pt>
                <c:pt idx="14">
                  <c:v>19.2</c:v>
                </c:pt>
                <c:pt idx="15">
                  <c:v>16.5</c:v>
                </c:pt>
                <c:pt idx="16">
                  <c:v>13.7</c:v>
                </c:pt>
                <c:pt idx="17">
                  <c:v>17.899999999999999</c:v>
                </c:pt>
                <c:pt idx="18">
                  <c:v>15.9</c:v>
                </c:pt>
                <c:pt idx="19">
                  <c:v>14.8</c:v>
                </c:pt>
                <c:pt idx="20">
                  <c:v>20.5</c:v>
                </c:pt>
                <c:pt idx="21">
                  <c:v>21.1</c:v>
                </c:pt>
                <c:pt idx="22">
                  <c:v>20.3</c:v>
                </c:pt>
                <c:pt idx="23">
                  <c:v>16</c:v>
                </c:pt>
                <c:pt idx="24">
                  <c:v>18.2</c:v>
                </c:pt>
                <c:pt idx="25">
                  <c:v>19.3</c:v>
                </c:pt>
                <c:pt idx="26">
                  <c:v>18.3</c:v>
                </c:pt>
                <c:pt idx="27">
                  <c:v>20.7</c:v>
                </c:pt>
                <c:pt idx="28">
                  <c:v>17.899999999999999</c:v>
                </c:pt>
                <c:pt idx="29">
                  <c:v>17.2</c:v>
                </c:pt>
                <c:pt idx="30">
                  <c:v>19.7</c:v>
                </c:pt>
                <c:pt idx="31">
                  <c:v>15.8</c:v>
                </c:pt>
                <c:pt idx="32">
                  <c:v>20.5</c:v>
                </c:pt>
                <c:pt idx="33">
                  <c:v>18.3</c:v>
                </c:pt>
                <c:pt idx="34">
                  <c:v>18.8</c:v>
                </c:pt>
                <c:pt idx="35">
                  <c:v>20.100000000000001</c:v>
                </c:pt>
                <c:pt idx="36">
                  <c:v>18.399999999999999</c:v>
                </c:pt>
                <c:pt idx="37">
                  <c:v>19.399999999999999</c:v>
                </c:pt>
                <c:pt idx="38">
                  <c:v>21.5</c:v>
                </c:pt>
                <c:pt idx="39">
                  <c:v>19.600000000000001</c:v>
                </c:pt>
                <c:pt idx="40">
                  <c:v>18.8</c:v>
                </c:pt>
                <c:pt idx="41">
                  <c:v>17.5</c:v>
                </c:pt>
                <c:pt idx="42">
                  <c:v>18.7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64736"/>
        <c:axId val="94971008"/>
      </c:scatterChart>
      <c:valAx>
        <c:axId val="9496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Fe:SiO2 ratio</a:t>
                </a:r>
              </a:p>
            </c:rich>
          </c:tx>
          <c:layout>
            <c:manualLayout>
              <c:xMode val="edge"/>
              <c:yMode val="edge"/>
              <c:x val="0.43323079180319846"/>
              <c:y val="0.8602774242260813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71008"/>
        <c:crosses val="autoZero"/>
        <c:crossBetween val="midCat"/>
      </c:valAx>
      <c:valAx>
        <c:axId val="94971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Bond Work Index (kWh/t)</a:t>
                </a:r>
              </a:p>
            </c:rich>
          </c:tx>
          <c:layout>
            <c:manualLayout>
              <c:xMode val="edge"/>
              <c:yMode val="edge"/>
              <c:x val="3.5714285714285712E-2"/>
              <c:y val="6.5753856110451953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9647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92963665824463"/>
          <c:y val="0.10655787460585446"/>
          <c:w val="0.78403785824020777"/>
          <c:h val="0.644811754025170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'Ex.5.4'!$U$1</c:f>
              <c:strCache>
                <c:ptCount val="1"/>
                <c:pt idx="0">
                  <c:v>BWi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-0.26820774176025314"/>
                  <c:y val="0.3021331717577308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'Ex.5.4'!$T$2:$T$40</c:f>
              <c:numCache>
                <c:formatCode>0.00</c:formatCode>
                <c:ptCount val="39"/>
                <c:pt idx="0">
                  <c:v>0.51</c:v>
                </c:pt>
                <c:pt idx="1">
                  <c:v>0.26</c:v>
                </c:pt>
                <c:pt idx="2">
                  <c:v>0.75</c:v>
                </c:pt>
                <c:pt idx="3">
                  <c:v>0.7</c:v>
                </c:pt>
                <c:pt idx="4">
                  <c:v>0.56000000000000005</c:v>
                </c:pt>
                <c:pt idx="5">
                  <c:v>0.26</c:v>
                </c:pt>
                <c:pt idx="6">
                  <c:v>0.41</c:v>
                </c:pt>
                <c:pt idx="7">
                  <c:v>0.51</c:v>
                </c:pt>
                <c:pt idx="8">
                  <c:v>0.82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0.56000000000000005</c:v>
                </c:pt>
                <c:pt idx="13">
                  <c:v>0.1</c:v>
                </c:pt>
                <c:pt idx="14">
                  <c:v>0.79</c:v>
                </c:pt>
                <c:pt idx="15">
                  <c:v>1.01</c:v>
                </c:pt>
                <c:pt idx="16">
                  <c:v>0.45</c:v>
                </c:pt>
                <c:pt idx="17">
                  <c:v>1.18</c:v>
                </c:pt>
                <c:pt idx="18">
                  <c:v>0.37</c:v>
                </c:pt>
                <c:pt idx="19">
                  <c:v>0.35</c:v>
                </c:pt>
                <c:pt idx="20">
                  <c:v>0.54</c:v>
                </c:pt>
                <c:pt idx="21">
                  <c:v>0.55000000000000004</c:v>
                </c:pt>
                <c:pt idx="22">
                  <c:v>0.41</c:v>
                </c:pt>
                <c:pt idx="23">
                  <c:v>0.25</c:v>
                </c:pt>
                <c:pt idx="24">
                  <c:v>0.12</c:v>
                </c:pt>
                <c:pt idx="25">
                  <c:v>0.79</c:v>
                </c:pt>
                <c:pt idx="26">
                  <c:v>0.91</c:v>
                </c:pt>
                <c:pt idx="27">
                  <c:v>1.1000000000000001</c:v>
                </c:pt>
                <c:pt idx="28">
                  <c:v>0.74</c:v>
                </c:pt>
                <c:pt idx="29">
                  <c:v>0.81</c:v>
                </c:pt>
                <c:pt idx="30">
                  <c:v>0.6</c:v>
                </c:pt>
                <c:pt idx="31">
                  <c:v>0.48</c:v>
                </c:pt>
                <c:pt idx="32">
                  <c:v>0.54</c:v>
                </c:pt>
                <c:pt idx="33">
                  <c:v>1.1599999999999999</c:v>
                </c:pt>
                <c:pt idx="34">
                  <c:v>0.52</c:v>
                </c:pt>
                <c:pt idx="35">
                  <c:v>0.63</c:v>
                </c:pt>
                <c:pt idx="36">
                  <c:v>0.4</c:v>
                </c:pt>
                <c:pt idx="37">
                  <c:v>0.55000000000000004</c:v>
                </c:pt>
                <c:pt idx="38">
                  <c:v>0.5</c:v>
                </c:pt>
              </c:numCache>
            </c:numRef>
          </c:xVal>
          <c:yVal>
            <c:numRef>
              <c:f>'Ex.5.4'!$U$2:$U$40</c:f>
              <c:numCache>
                <c:formatCode>0.0</c:formatCode>
                <c:ptCount val="39"/>
                <c:pt idx="0">
                  <c:v>19.399999999999999</c:v>
                </c:pt>
                <c:pt idx="1">
                  <c:v>20.100000000000001</c:v>
                </c:pt>
                <c:pt idx="2">
                  <c:v>18.100000000000001</c:v>
                </c:pt>
                <c:pt idx="3">
                  <c:v>18.399999999999999</c:v>
                </c:pt>
                <c:pt idx="4">
                  <c:v>18.5</c:v>
                </c:pt>
                <c:pt idx="5">
                  <c:v>20.8</c:v>
                </c:pt>
                <c:pt idx="6">
                  <c:v>19.399999999999999</c:v>
                </c:pt>
                <c:pt idx="7">
                  <c:v>18.7</c:v>
                </c:pt>
                <c:pt idx="8">
                  <c:v>19.2</c:v>
                </c:pt>
                <c:pt idx="9">
                  <c:v>17</c:v>
                </c:pt>
                <c:pt idx="10">
                  <c:v>18.399999999999999</c:v>
                </c:pt>
                <c:pt idx="11">
                  <c:v>18.899999999999999</c:v>
                </c:pt>
                <c:pt idx="12">
                  <c:v>16.600000000000001</c:v>
                </c:pt>
                <c:pt idx="13">
                  <c:v>19.7</c:v>
                </c:pt>
                <c:pt idx="14">
                  <c:v>19.2</c:v>
                </c:pt>
                <c:pt idx="15">
                  <c:v>16.5</c:v>
                </c:pt>
                <c:pt idx="16">
                  <c:v>17.899999999999999</c:v>
                </c:pt>
                <c:pt idx="17">
                  <c:v>15.9</c:v>
                </c:pt>
                <c:pt idx="18">
                  <c:v>20.5</c:v>
                </c:pt>
                <c:pt idx="19">
                  <c:v>21.1</c:v>
                </c:pt>
                <c:pt idx="20">
                  <c:v>20.3</c:v>
                </c:pt>
                <c:pt idx="21">
                  <c:v>18.2</c:v>
                </c:pt>
                <c:pt idx="22">
                  <c:v>19.3</c:v>
                </c:pt>
                <c:pt idx="23">
                  <c:v>18.3</c:v>
                </c:pt>
                <c:pt idx="24">
                  <c:v>20.7</c:v>
                </c:pt>
                <c:pt idx="25">
                  <c:v>17.899999999999999</c:v>
                </c:pt>
                <c:pt idx="26">
                  <c:v>17.2</c:v>
                </c:pt>
                <c:pt idx="27">
                  <c:v>19.7</c:v>
                </c:pt>
                <c:pt idx="28">
                  <c:v>20.5</c:v>
                </c:pt>
                <c:pt idx="29">
                  <c:v>18.3</c:v>
                </c:pt>
                <c:pt idx="30">
                  <c:v>18.8</c:v>
                </c:pt>
                <c:pt idx="31">
                  <c:v>20.100000000000001</c:v>
                </c:pt>
                <c:pt idx="32">
                  <c:v>18.399999999999999</c:v>
                </c:pt>
                <c:pt idx="33">
                  <c:v>19.399999999999999</c:v>
                </c:pt>
                <c:pt idx="34">
                  <c:v>21.5</c:v>
                </c:pt>
                <c:pt idx="35">
                  <c:v>19.600000000000001</c:v>
                </c:pt>
                <c:pt idx="36">
                  <c:v>18.8</c:v>
                </c:pt>
                <c:pt idx="37">
                  <c:v>17.5</c:v>
                </c:pt>
                <c:pt idx="38">
                  <c:v>18.7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16448"/>
        <c:axId val="95018368"/>
      </c:scatterChart>
      <c:valAx>
        <c:axId val="9501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Fe:SiO2 ratio</a:t>
                </a:r>
              </a:p>
            </c:rich>
          </c:tx>
          <c:layout>
            <c:manualLayout>
              <c:xMode val="edge"/>
              <c:yMode val="edge"/>
              <c:x val="0.43349007430409225"/>
              <c:y val="0.8633918506088378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18368"/>
        <c:crosses val="autoZero"/>
        <c:crossBetween val="midCat"/>
      </c:valAx>
      <c:valAx>
        <c:axId val="95018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Bond Work Index (kWh/t)</a:t>
                </a:r>
              </a:p>
            </c:rich>
          </c:tx>
          <c:layout>
            <c:manualLayout>
              <c:xMode val="edge"/>
              <c:yMode val="edge"/>
              <c:x val="3.5993740219092331E-2"/>
              <c:y val="9.5628845574631041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0164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1720490663663"/>
          <c:y val="9.1335155721569111E-2"/>
          <c:w val="0.81901993831318731"/>
          <c:h val="0.70960390214449853"/>
        </c:manualLayout>
      </c:layout>
      <c:scatterChart>
        <c:scatterStyle val="lineMarker"/>
        <c:varyColors val="0"/>
        <c:ser>
          <c:idx val="1"/>
          <c:order val="0"/>
          <c:tx>
            <c:v>Lower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Lit>
              <c:formatCode>General</c:formatCode>
              <c:ptCount val="997"/>
              <c:pt idx="0">
                <c:v>0.2</c:v>
              </c:pt>
              <c:pt idx="1">
                <c:v>0.25</c:v>
              </c:pt>
              <c:pt idx="2">
                <c:v>0.3</c:v>
              </c:pt>
              <c:pt idx="3">
                <c:v>0.35</c:v>
              </c:pt>
              <c:pt idx="4">
                <c:v>0.39999999999999997</c:v>
              </c:pt>
              <c:pt idx="5">
                <c:v>0.44999999999999996</c:v>
              </c:pt>
              <c:pt idx="6">
                <c:v>0.49999999999999994</c:v>
              </c:pt>
              <c:pt idx="7">
                <c:v>0.54999999999999993</c:v>
              </c:pt>
              <c:pt idx="8">
                <c:v>0.6</c:v>
              </c:pt>
              <c:pt idx="9">
                <c:v>0.65</c:v>
              </c:pt>
              <c:pt idx="10">
                <c:v>0.70000000000000007</c:v>
              </c:pt>
              <c:pt idx="11">
                <c:v>0.75000000000000011</c:v>
              </c:pt>
              <c:pt idx="12">
                <c:v>0.80000000000000016</c:v>
              </c:pt>
            </c:numLit>
          </c:xVal>
          <c:yVal>
            <c:numLit>
              <c:formatCode>General</c:formatCode>
              <c:ptCount val="997"/>
              <c:pt idx="0">
                <c:v>55.472856871442076</c:v>
              </c:pt>
              <c:pt idx="1">
                <c:v>57.824735859350767</c:v>
              </c:pt>
              <c:pt idx="2">
                <c:v>60.161608906922645</c:v>
              </c:pt>
              <c:pt idx="3">
                <c:v>62.470308119614316</c:v>
              </c:pt>
              <c:pt idx="4">
                <c:v>64.719696753660358</c:v>
              </c:pt>
              <c:pt idx="5">
                <c:v>66.833798703922128</c:v>
              </c:pt>
              <c:pt idx="6">
                <c:v>68.685019657256632</c:v>
              </c:pt>
              <c:pt idx="7">
                <c:v>70.249338534779639</c:v>
              </c:pt>
              <c:pt idx="8">
                <c:v>71.649385865122142</c:v>
              </c:pt>
              <c:pt idx="9">
                <c:v>72.977035397366393</c:v>
              </c:pt>
              <c:pt idx="10">
                <c:v>74.271223674912378</c:v>
              </c:pt>
              <c:pt idx="11">
                <c:v>75.548064339517921</c:v>
              </c:pt>
              <c:pt idx="12">
                <c:v>76.814951345635279</c:v>
              </c:pt>
            </c:numLit>
          </c:yVal>
          <c:smooth val="0"/>
        </c:ser>
        <c:ser>
          <c:idx val="2"/>
          <c:order val="1"/>
          <c:tx>
            <c:v>Upper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Lit>
              <c:formatCode>General</c:formatCode>
              <c:ptCount val="997"/>
              <c:pt idx="0">
                <c:v>0.2</c:v>
              </c:pt>
              <c:pt idx="1">
                <c:v>0.25</c:v>
              </c:pt>
              <c:pt idx="2">
                <c:v>0.3</c:v>
              </c:pt>
              <c:pt idx="3">
                <c:v>0.35</c:v>
              </c:pt>
              <c:pt idx="4">
                <c:v>0.39999999999999997</c:v>
              </c:pt>
              <c:pt idx="5">
                <c:v>0.44999999999999996</c:v>
              </c:pt>
              <c:pt idx="6">
                <c:v>0.49999999999999994</c:v>
              </c:pt>
              <c:pt idx="7">
                <c:v>0.54999999999999993</c:v>
              </c:pt>
              <c:pt idx="8">
                <c:v>0.6</c:v>
              </c:pt>
              <c:pt idx="9">
                <c:v>0.65</c:v>
              </c:pt>
              <c:pt idx="10">
                <c:v>0.70000000000000007</c:v>
              </c:pt>
              <c:pt idx="11">
                <c:v>0.75000000000000011</c:v>
              </c:pt>
              <c:pt idx="12">
                <c:v>0.80000000000000016</c:v>
              </c:pt>
            </c:numLit>
          </c:xVal>
          <c:yVal>
            <c:numLit>
              <c:formatCode>General</c:formatCode>
              <c:ptCount val="997"/>
              <c:pt idx="0">
                <c:v>62.18633500971157</c:v>
              </c:pt>
              <c:pt idx="1">
                <c:v>63.460234904727798</c:v>
              </c:pt>
              <c:pt idx="2">
                <c:v>64.749140740080833</c:v>
              </c:pt>
              <c:pt idx="3">
                <c:v>66.06622041031406</c:v>
              </c:pt>
              <c:pt idx="4">
                <c:v>67.442610659192937</c:v>
              </c:pt>
              <c:pt idx="5">
                <c:v>68.954287591856087</c:v>
              </c:pt>
              <c:pt idx="6">
                <c:v>70.728845521446502</c:v>
              </c:pt>
              <c:pt idx="7">
                <c:v>72.790305526848385</c:v>
              </c:pt>
              <c:pt idx="8">
                <c:v>75.016037079430802</c:v>
              </c:pt>
              <c:pt idx="9">
                <c:v>77.31416643011147</c:v>
              </c:pt>
              <c:pt idx="10">
                <c:v>79.645757035490405</c:v>
              </c:pt>
              <c:pt idx="11">
                <c:v>81.99469525380978</c:v>
              </c:pt>
              <c:pt idx="12">
                <c:v>84.353587130617342</c:v>
              </c:pt>
            </c:numLit>
          </c:yVal>
          <c:smooth val="0"/>
        </c:ser>
        <c:ser>
          <c:idx val="0"/>
          <c:order val="2"/>
          <c:tx>
            <c:v>Fitted trendline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forward val="0.3"/>
            <c:backward val="0.1"/>
            <c:dispRSqr val="0"/>
            <c:dispEq val="0"/>
          </c:trendline>
          <c:xVal>
            <c:numRef>
              <c:f>'Ex.5.4'!$AO$2:$AO$44</c:f>
              <c:numCache>
                <c:formatCode>General</c:formatCode>
                <c:ptCount val="43"/>
                <c:pt idx="0">
                  <c:v>0.51</c:v>
                </c:pt>
                <c:pt idx="1">
                  <c:v>0.26</c:v>
                </c:pt>
                <c:pt idx="2">
                  <c:v>0.75</c:v>
                </c:pt>
                <c:pt idx="3">
                  <c:v>0.7</c:v>
                </c:pt>
                <c:pt idx="4">
                  <c:v>0.56000000000000005</c:v>
                </c:pt>
                <c:pt idx="5">
                  <c:v>0.26</c:v>
                </c:pt>
                <c:pt idx="6">
                  <c:v>0.41</c:v>
                </c:pt>
                <c:pt idx="7">
                  <c:v>0.51</c:v>
                </c:pt>
                <c:pt idx="8">
                  <c:v>0.82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0.56000000000000005</c:v>
                </c:pt>
                <c:pt idx="13">
                  <c:v>0.1</c:v>
                </c:pt>
                <c:pt idx="14">
                  <c:v>0.79</c:v>
                </c:pt>
                <c:pt idx="15">
                  <c:v>1.01</c:v>
                </c:pt>
                <c:pt idx="16">
                  <c:v>2.2000000000000002</c:v>
                </c:pt>
                <c:pt idx="17">
                  <c:v>0.45</c:v>
                </c:pt>
                <c:pt idx="18">
                  <c:v>1.18</c:v>
                </c:pt>
                <c:pt idx="19">
                  <c:v>2.2400000000000002</c:v>
                </c:pt>
                <c:pt idx="20">
                  <c:v>0.37</c:v>
                </c:pt>
                <c:pt idx="21">
                  <c:v>0.35</c:v>
                </c:pt>
                <c:pt idx="22">
                  <c:v>0.54</c:v>
                </c:pt>
                <c:pt idx="23">
                  <c:v>2.12</c:v>
                </c:pt>
                <c:pt idx="24">
                  <c:v>0.55000000000000004</c:v>
                </c:pt>
                <c:pt idx="25">
                  <c:v>0.41</c:v>
                </c:pt>
                <c:pt idx="26">
                  <c:v>0.25</c:v>
                </c:pt>
                <c:pt idx="27">
                  <c:v>0.12</c:v>
                </c:pt>
                <c:pt idx="28">
                  <c:v>0.79</c:v>
                </c:pt>
                <c:pt idx="29">
                  <c:v>0.91</c:v>
                </c:pt>
                <c:pt idx="30">
                  <c:v>1.1000000000000001</c:v>
                </c:pt>
                <c:pt idx="31">
                  <c:v>1.96</c:v>
                </c:pt>
                <c:pt idx="32">
                  <c:v>0.74</c:v>
                </c:pt>
                <c:pt idx="33">
                  <c:v>0.81</c:v>
                </c:pt>
                <c:pt idx="34">
                  <c:v>0.6</c:v>
                </c:pt>
                <c:pt idx="35">
                  <c:v>0.48</c:v>
                </c:pt>
                <c:pt idx="36">
                  <c:v>0.54</c:v>
                </c:pt>
                <c:pt idx="37">
                  <c:v>1.1599999999999999</c:v>
                </c:pt>
                <c:pt idx="38">
                  <c:v>0.52</c:v>
                </c:pt>
                <c:pt idx="39">
                  <c:v>0.63</c:v>
                </c:pt>
                <c:pt idx="40">
                  <c:v>0.4</c:v>
                </c:pt>
                <c:pt idx="41">
                  <c:v>0.55000000000000004</c:v>
                </c:pt>
                <c:pt idx="42">
                  <c:v>0.5</c:v>
                </c:pt>
              </c:numCache>
            </c:numRef>
          </c:xVal>
          <c:yVal>
            <c:numRef>
              <c:f>'Ex.5.4'!$AP$2:$AP$44</c:f>
              <c:numCache>
                <c:formatCode>General</c:formatCode>
                <c:ptCount val="43"/>
                <c:pt idx="0">
                  <c:v>19.399999999999999</c:v>
                </c:pt>
                <c:pt idx="1">
                  <c:v>20.100000000000001</c:v>
                </c:pt>
                <c:pt idx="2">
                  <c:v>18.100000000000001</c:v>
                </c:pt>
                <c:pt idx="3">
                  <c:v>18.399999999999999</c:v>
                </c:pt>
                <c:pt idx="4">
                  <c:v>18.5</c:v>
                </c:pt>
                <c:pt idx="5">
                  <c:v>20.8</c:v>
                </c:pt>
                <c:pt idx="6">
                  <c:v>19.399999999999999</c:v>
                </c:pt>
                <c:pt idx="7">
                  <c:v>18.7</c:v>
                </c:pt>
                <c:pt idx="8">
                  <c:v>19.2</c:v>
                </c:pt>
                <c:pt idx="9">
                  <c:v>17</c:v>
                </c:pt>
                <c:pt idx="10">
                  <c:v>18.399999999999999</c:v>
                </c:pt>
                <c:pt idx="11">
                  <c:v>18.899999999999999</c:v>
                </c:pt>
                <c:pt idx="12">
                  <c:v>16.600000000000001</c:v>
                </c:pt>
                <c:pt idx="13">
                  <c:v>19.7</c:v>
                </c:pt>
                <c:pt idx="14">
                  <c:v>19.2</c:v>
                </c:pt>
                <c:pt idx="15">
                  <c:v>16.5</c:v>
                </c:pt>
                <c:pt idx="16">
                  <c:v>13.7</c:v>
                </c:pt>
                <c:pt idx="17">
                  <c:v>17.899999999999999</c:v>
                </c:pt>
                <c:pt idx="18">
                  <c:v>15.9</c:v>
                </c:pt>
                <c:pt idx="19">
                  <c:v>14.8</c:v>
                </c:pt>
                <c:pt idx="20">
                  <c:v>20.5</c:v>
                </c:pt>
                <c:pt idx="21">
                  <c:v>21.1</c:v>
                </c:pt>
                <c:pt idx="22">
                  <c:v>20.3</c:v>
                </c:pt>
                <c:pt idx="23">
                  <c:v>16</c:v>
                </c:pt>
                <c:pt idx="24">
                  <c:v>18.2</c:v>
                </c:pt>
                <c:pt idx="25">
                  <c:v>19.3</c:v>
                </c:pt>
                <c:pt idx="26">
                  <c:v>18.3</c:v>
                </c:pt>
                <c:pt idx="27">
                  <c:v>20.7</c:v>
                </c:pt>
                <c:pt idx="28">
                  <c:v>17.899999999999999</c:v>
                </c:pt>
                <c:pt idx="29">
                  <c:v>17.2</c:v>
                </c:pt>
                <c:pt idx="30">
                  <c:v>19.7</c:v>
                </c:pt>
                <c:pt idx="31">
                  <c:v>15.8</c:v>
                </c:pt>
                <c:pt idx="32">
                  <c:v>20.5</c:v>
                </c:pt>
                <c:pt idx="33">
                  <c:v>18.3</c:v>
                </c:pt>
                <c:pt idx="34">
                  <c:v>18.8</c:v>
                </c:pt>
                <c:pt idx="35">
                  <c:v>20.100000000000001</c:v>
                </c:pt>
                <c:pt idx="36">
                  <c:v>18.399999999999999</c:v>
                </c:pt>
                <c:pt idx="37">
                  <c:v>19.399999999999999</c:v>
                </c:pt>
                <c:pt idx="38">
                  <c:v>21.5</c:v>
                </c:pt>
                <c:pt idx="39">
                  <c:v>19.600000000000001</c:v>
                </c:pt>
                <c:pt idx="40">
                  <c:v>18.8</c:v>
                </c:pt>
                <c:pt idx="41">
                  <c:v>17.5</c:v>
                </c:pt>
                <c:pt idx="42">
                  <c:v>18.7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'Ex.5.4'!$AW$4:$AW$17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2.5</c:v>
                </c:pt>
              </c:numCache>
            </c:numRef>
          </c:xVal>
          <c:yVal>
            <c:numRef>
              <c:f>'Ex.5.4'!$AY$4:$AY$17</c:f>
              <c:numCache>
                <c:formatCode>General</c:formatCode>
                <c:ptCount val="14"/>
                <c:pt idx="0">
                  <c:v>19.616813452622864</c:v>
                </c:pt>
                <c:pt idx="1">
                  <c:v>19.252764334572383</c:v>
                </c:pt>
                <c:pt idx="2">
                  <c:v>18.868849183617755</c:v>
                </c:pt>
                <c:pt idx="3">
                  <c:v>18.450890422859281</c:v>
                </c:pt>
                <c:pt idx="4">
                  <c:v>17.983932258716891</c:v>
                </c:pt>
                <c:pt idx="5">
                  <c:v>17.466596231330946</c:v>
                </c:pt>
                <c:pt idx="6">
                  <c:v>16.912795246310012</c:v>
                </c:pt>
                <c:pt idx="7">
                  <c:v>16.337404979418402</c:v>
                </c:pt>
                <c:pt idx="8">
                  <c:v>15.749776903961424</c:v>
                </c:pt>
                <c:pt idx="9">
                  <c:v>15.154979674204878</c:v>
                </c:pt>
                <c:pt idx="10">
                  <c:v>14.555752871638042</c:v>
                </c:pt>
                <c:pt idx="11">
                  <c:v>13.953642130737244</c:v>
                </c:pt>
                <c:pt idx="12">
                  <c:v>13.349565778777404</c:v>
                </c:pt>
                <c:pt idx="13">
                  <c:v>13.046978502081533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'Ex.5.4'!$AW$4:$AW$17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2.5</c:v>
                </c:pt>
              </c:numCache>
            </c:numRef>
          </c:xVal>
          <c:yVal>
            <c:numRef>
              <c:f>'Ex.5.4'!$AZ$4:$AZ$17</c:f>
              <c:numCache>
                <c:formatCode>General</c:formatCode>
                <c:ptCount val="14"/>
                <c:pt idx="0">
                  <c:v>20.855058424598354</c:v>
                </c:pt>
                <c:pt idx="1">
                  <c:v>20.277418699690735</c:v>
                </c:pt>
                <c:pt idx="2">
                  <c:v>19.719645007687255</c:v>
                </c:pt>
                <c:pt idx="3">
                  <c:v>19.195914925487628</c:v>
                </c:pt>
                <c:pt idx="4">
                  <c:v>18.721184246671911</c:v>
                </c:pt>
                <c:pt idx="5">
                  <c:v>18.296831431099754</c:v>
                </c:pt>
                <c:pt idx="6">
                  <c:v>17.908943573162588</c:v>
                </c:pt>
                <c:pt idx="7">
                  <c:v>17.54264499709609</c:v>
                </c:pt>
                <c:pt idx="8">
                  <c:v>17.188584229594969</c:v>
                </c:pt>
                <c:pt idx="9">
                  <c:v>16.841692616393409</c:v>
                </c:pt>
                <c:pt idx="10">
                  <c:v>16.499230576002141</c:v>
                </c:pt>
                <c:pt idx="11">
                  <c:v>16.159652473944838</c:v>
                </c:pt>
                <c:pt idx="12">
                  <c:v>15.822039982946571</c:v>
                </c:pt>
                <c:pt idx="13">
                  <c:v>15.653782838163391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65984"/>
        <c:axId val="98667904"/>
      </c:scatterChart>
      <c:valAx>
        <c:axId val="98665984"/>
        <c:scaling>
          <c:orientation val="minMax"/>
          <c:max val="2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Fe:SiO2 ratio</a:t>
                </a:r>
              </a:p>
            </c:rich>
          </c:tx>
          <c:layout>
            <c:manualLayout>
              <c:xMode val="edge"/>
              <c:yMode val="edge"/>
              <c:x val="0.45398869619825127"/>
              <c:y val="0.8993000055320954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667904"/>
        <c:crosses val="autoZero"/>
        <c:crossBetween val="midCat"/>
      </c:valAx>
      <c:valAx>
        <c:axId val="98667904"/>
        <c:scaling>
          <c:orientation val="minMax"/>
          <c:max val="2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Bond Work Index (kWh/t)</a:t>
                </a:r>
              </a:p>
            </c:rich>
          </c:tx>
          <c:layout>
            <c:manualLayout>
              <c:xMode val="edge"/>
              <c:yMode val="edge"/>
              <c:x val="2.7607361963190184E-2"/>
              <c:y val="0.159250954286451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6659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1200" verticalDpi="120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10455866069893"/>
          <c:y val="9.0909453060221024E-2"/>
          <c:w val="0.82208742871885465"/>
          <c:h val="0.71562056639712446"/>
        </c:manualLayout>
      </c:layout>
      <c:scatterChart>
        <c:scatterStyle val="lineMarker"/>
        <c:varyColors val="0"/>
        <c:ser>
          <c:idx val="1"/>
          <c:order val="0"/>
          <c:tx>
            <c:v>Lower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Lit>
              <c:formatCode>General</c:formatCode>
              <c:ptCount val="997"/>
              <c:pt idx="0">
                <c:v>0.2</c:v>
              </c:pt>
              <c:pt idx="1">
                <c:v>0.25</c:v>
              </c:pt>
              <c:pt idx="2">
                <c:v>0.3</c:v>
              </c:pt>
              <c:pt idx="3">
                <c:v>0.35</c:v>
              </c:pt>
              <c:pt idx="4">
                <c:v>0.39999999999999997</c:v>
              </c:pt>
              <c:pt idx="5">
                <c:v>0.44999999999999996</c:v>
              </c:pt>
              <c:pt idx="6">
                <c:v>0.49999999999999994</c:v>
              </c:pt>
              <c:pt idx="7">
                <c:v>0.54999999999999993</c:v>
              </c:pt>
              <c:pt idx="8">
                <c:v>0.6</c:v>
              </c:pt>
              <c:pt idx="9">
                <c:v>0.65</c:v>
              </c:pt>
              <c:pt idx="10">
                <c:v>0.70000000000000007</c:v>
              </c:pt>
              <c:pt idx="11">
                <c:v>0.75000000000000011</c:v>
              </c:pt>
              <c:pt idx="12">
                <c:v>0.80000000000000016</c:v>
              </c:pt>
            </c:numLit>
          </c:xVal>
          <c:yVal>
            <c:numLit>
              <c:formatCode>General</c:formatCode>
              <c:ptCount val="997"/>
              <c:pt idx="0">
                <c:v>55.472856871442076</c:v>
              </c:pt>
              <c:pt idx="1">
                <c:v>57.824735859350767</c:v>
              </c:pt>
              <c:pt idx="2">
                <c:v>60.161608906922645</c:v>
              </c:pt>
              <c:pt idx="3">
                <c:v>62.470308119614316</c:v>
              </c:pt>
              <c:pt idx="4">
                <c:v>64.719696753660358</c:v>
              </c:pt>
              <c:pt idx="5">
                <c:v>66.833798703922128</c:v>
              </c:pt>
              <c:pt idx="6">
                <c:v>68.685019657256632</c:v>
              </c:pt>
              <c:pt idx="7">
                <c:v>70.249338534779639</c:v>
              </c:pt>
              <c:pt idx="8">
                <c:v>71.649385865122142</c:v>
              </c:pt>
              <c:pt idx="9">
                <c:v>72.977035397366393</c:v>
              </c:pt>
              <c:pt idx="10">
                <c:v>74.271223674912378</c:v>
              </c:pt>
              <c:pt idx="11">
                <c:v>75.548064339517921</c:v>
              </c:pt>
              <c:pt idx="12">
                <c:v>76.814951345635279</c:v>
              </c:pt>
            </c:numLit>
          </c:yVal>
          <c:smooth val="0"/>
        </c:ser>
        <c:ser>
          <c:idx val="2"/>
          <c:order val="1"/>
          <c:tx>
            <c:v>Upper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0"/>
          </c:trendline>
          <c:xVal>
            <c:numLit>
              <c:formatCode>General</c:formatCode>
              <c:ptCount val="997"/>
              <c:pt idx="0">
                <c:v>0.2</c:v>
              </c:pt>
              <c:pt idx="1">
                <c:v>0.25</c:v>
              </c:pt>
              <c:pt idx="2">
                <c:v>0.3</c:v>
              </c:pt>
              <c:pt idx="3">
                <c:v>0.35</c:v>
              </c:pt>
              <c:pt idx="4">
                <c:v>0.39999999999999997</c:v>
              </c:pt>
              <c:pt idx="5">
                <c:v>0.44999999999999996</c:v>
              </c:pt>
              <c:pt idx="6">
                <c:v>0.49999999999999994</c:v>
              </c:pt>
              <c:pt idx="7">
                <c:v>0.54999999999999993</c:v>
              </c:pt>
              <c:pt idx="8">
                <c:v>0.6</c:v>
              </c:pt>
              <c:pt idx="9">
                <c:v>0.65</c:v>
              </c:pt>
              <c:pt idx="10">
                <c:v>0.70000000000000007</c:v>
              </c:pt>
              <c:pt idx="11">
                <c:v>0.75000000000000011</c:v>
              </c:pt>
              <c:pt idx="12">
                <c:v>0.80000000000000016</c:v>
              </c:pt>
            </c:numLit>
          </c:xVal>
          <c:yVal>
            <c:numLit>
              <c:formatCode>General</c:formatCode>
              <c:ptCount val="997"/>
              <c:pt idx="0">
                <c:v>62.18633500971157</c:v>
              </c:pt>
              <c:pt idx="1">
                <c:v>63.460234904727798</c:v>
              </c:pt>
              <c:pt idx="2">
                <c:v>64.749140740080833</c:v>
              </c:pt>
              <c:pt idx="3">
                <c:v>66.06622041031406</c:v>
              </c:pt>
              <c:pt idx="4">
                <c:v>67.442610659192937</c:v>
              </c:pt>
              <c:pt idx="5">
                <c:v>68.954287591856087</c:v>
              </c:pt>
              <c:pt idx="6">
                <c:v>70.728845521446502</c:v>
              </c:pt>
              <c:pt idx="7">
                <c:v>72.790305526848385</c:v>
              </c:pt>
              <c:pt idx="8">
                <c:v>75.016037079430802</c:v>
              </c:pt>
              <c:pt idx="9">
                <c:v>77.31416643011147</c:v>
              </c:pt>
              <c:pt idx="10">
                <c:v>79.645757035490405</c:v>
              </c:pt>
              <c:pt idx="11">
                <c:v>81.99469525380978</c:v>
              </c:pt>
              <c:pt idx="12">
                <c:v>84.353587130617342</c:v>
              </c:pt>
            </c:numLit>
          </c:yVal>
          <c:smooth val="0"/>
        </c:ser>
        <c:ser>
          <c:idx val="0"/>
          <c:order val="2"/>
          <c:tx>
            <c:v>Fitted trendline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forward val="0.3"/>
            <c:backward val="0.1"/>
            <c:dispRSqr val="0"/>
            <c:dispEq val="0"/>
          </c:trendline>
          <c:xVal>
            <c:numRef>
              <c:f>'Ex.5.4'!$AO$2:$AO$44</c:f>
              <c:numCache>
                <c:formatCode>General</c:formatCode>
                <c:ptCount val="43"/>
                <c:pt idx="0">
                  <c:v>0.51</c:v>
                </c:pt>
                <c:pt idx="1">
                  <c:v>0.26</c:v>
                </c:pt>
                <c:pt idx="2">
                  <c:v>0.75</c:v>
                </c:pt>
                <c:pt idx="3">
                  <c:v>0.7</c:v>
                </c:pt>
                <c:pt idx="4">
                  <c:v>0.56000000000000005</c:v>
                </c:pt>
                <c:pt idx="5">
                  <c:v>0.26</c:v>
                </c:pt>
                <c:pt idx="6">
                  <c:v>0.41</c:v>
                </c:pt>
                <c:pt idx="7">
                  <c:v>0.51</c:v>
                </c:pt>
                <c:pt idx="8">
                  <c:v>0.82</c:v>
                </c:pt>
                <c:pt idx="9">
                  <c:v>0.34</c:v>
                </c:pt>
                <c:pt idx="10">
                  <c:v>0.34</c:v>
                </c:pt>
                <c:pt idx="11">
                  <c:v>0.34</c:v>
                </c:pt>
                <c:pt idx="12">
                  <c:v>0.56000000000000005</c:v>
                </c:pt>
                <c:pt idx="13">
                  <c:v>0.1</c:v>
                </c:pt>
                <c:pt idx="14">
                  <c:v>0.79</c:v>
                </c:pt>
                <c:pt idx="15">
                  <c:v>1.01</c:v>
                </c:pt>
                <c:pt idx="16">
                  <c:v>2.2000000000000002</c:v>
                </c:pt>
                <c:pt idx="17">
                  <c:v>0.45</c:v>
                </c:pt>
                <c:pt idx="18">
                  <c:v>1.18</c:v>
                </c:pt>
                <c:pt idx="19">
                  <c:v>2.2400000000000002</c:v>
                </c:pt>
                <c:pt idx="20">
                  <c:v>0.37</c:v>
                </c:pt>
                <c:pt idx="21">
                  <c:v>0.35</c:v>
                </c:pt>
                <c:pt idx="22">
                  <c:v>0.54</c:v>
                </c:pt>
                <c:pt idx="23">
                  <c:v>2.12</c:v>
                </c:pt>
                <c:pt idx="24">
                  <c:v>0.55000000000000004</c:v>
                </c:pt>
                <c:pt idx="25">
                  <c:v>0.41</c:v>
                </c:pt>
                <c:pt idx="26">
                  <c:v>0.25</c:v>
                </c:pt>
                <c:pt idx="27">
                  <c:v>0.12</c:v>
                </c:pt>
                <c:pt idx="28">
                  <c:v>0.79</c:v>
                </c:pt>
                <c:pt idx="29">
                  <c:v>0.91</c:v>
                </c:pt>
                <c:pt idx="30">
                  <c:v>1.1000000000000001</c:v>
                </c:pt>
                <c:pt idx="31">
                  <c:v>1.96</c:v>
                </c:pt>
                <c:pt idx="32">
                  <c:v>0.74</c:v>
                </c:pt>
                <c:pt idx="33">
                  <c:v>0.81</c:v>
                </c:pt>
                <c:pt idx="34">
                  <c:v>0.6</c:v>
                </c:pt>
                <c:pt idx="35">
                  <c:v>0.48</c:v>
                </c:pt>
                <c:pt idx="36">
                  <c:v>0.54</c:v>
                </c:pt>
                <c:pt idx="37">
                  <c:v>1.1599999999999999</c:v>
                </c:pt>
                <c:pt idx="38">
                  <c:v>0.52</c:v>
                </c:pt>
                <c:pt idx="39">
                  <c:v>0.63</c:v>
                </c:pt>
                <c:pt idx="40">
                  <c:v>0.4</c:v>
                </c:pt>
                <c:pt idx="41">
                  <c:v>0.55000000000000004</c:v>
                </c:pt>
                <c:pt idx="42">
                  <c:v>0.5</c:v>
                </c:pt>
              </c:numCache>
            </c:numRef>
          </c:xVal>
          <c:yVal>
            <c:numRef>
              <c:f>'Ex.5.4'!$AP$2:$AP$44</c:f>
              <c:numCache>
                <c:formatCode>General</c:formatCode>
                <c:ptCount val="43"/>
                <c:pt idx="0">
                  <c:v>19.399999999999999</c:v>
                </c:pt>
                <c:pt idx="1">
                  <c:v>20.100000000000001</c:v>
                </c:pt>
                <c:pt idx="2">
                  <c:v>18.100000000000001</c:v>
                </c:pt>
                <c:pt idx="3">
                  <c:v>18.399999999999999</c:v>
                </c:pt>
                <c:pt idx="4">
                  <c:v>18.5</c:v>
                </c:pt>
                <c:pt idx="5">
                  <c:v>20.8</c:v>
                </c:pt>
                <c:pt idx="6">
                  <c:v>19.399999999999999</c:v>
                </c:pt>
                <c:pt idx="7">
                  <c:v>18.7</c:v>
                </c:pt>
                <c:pt idx="8">
                  <c:v>19.2</c:v>
                </c:pt>
                <c:pt idx="9">
                  <c:v>17</c:v>
                </c:pt>
                <c:pt idx="10">
                  <c:v>18.399999999999999</c:v>
                </c:pt>
                <c:pt idx="11">
                  <c:v>18.899999999999999</c:v>
                </c:pt>
                <c:pt idx="12">
                  <c:v>16.600000000000001</c:v>
                </c:pt>
                <c:pt idx="13">
                  <c:v>19.7</c:v>
                </c:pt>
                <c:pt idx="14">
                  <c:v>19.2</c:v>
                </c:pt>
                <c:pt idx="15">
                  <c:v>16.5</c:v>
                </c:pt>
                <c:pt idx="16">
                  <c:v>13.7</c:v>
                </c:pt>
                <c:pt idx="17">
                  <c:v>17.899999999999999</c:v>
                </c:pt>
                <c:pt idx="18">
                  <c:v>15.9</c:v>
                </c:pt>
                <c:pt idx="19">
                  <c:v>14.8</c:v>
                </c:pt>
                <c:pt idx="20">
                  <c:v>20.5</c:v>
                </c:pt>
                <c:pt idx="21">
                  <c:v>21.1</c:v>
                </c:pt>
                <c:pt idx="22">
                  <c:v>20.3</c:v>
                </c:pt>
                <c:pt idx="23">
                  <c:v>16</c:v>
                </c:pt>
                <c:pt idx="24">
                  <c:v>18.2</c:v>
                </c:pt>
                <c:pt idx="25">
                  <c:v>19.3</c:v>
                </c:pt>
                <c:pt idx="26">
                  <c:v>18.3</c:v>
                </c:pt>
                <c:pt idx="27">
                  <c:v>20.7</c:v>
                </c:pt>
                <c:pt idx="28">
                  <c:v>17.899999999999999</c:v>
                </c:pt>
                <c:pt idx="29">
                  <c:v>17.2</c:v>
                </c:pt>
                <c:pt idx="30">
                  <c:v>19.7</c:v>
                </c:pt>
                <c:pt idx="31">
                  <c:v>15.8</c:v>
                </c:pt>
                <c:pt idx="32">
                  <c:v>20.5</c:v>
                </c:pt>
                <c:pt idx="33">
                  <c:v>18.3</c:v>
                </c:pt>
                <c:pt idx="34">
                  <c:v>18.8</c:v>
                </c:pt>
                <c:pt idx="35">
                  <c:v>20.100000000000001</c:v>
                </c:pt>
                <c:pt idx="36">
                  <c:v>18.399999999999999</c:v>
                </c:pt>
                <c:pt idx="37">
                  <c:v>19.399999999999999</c:v>
                </c:pt>
                <c:pt idx="38">
                  <c:v>21.5</c:v>
                </c:pt>
                <c:pt idx="39">
                  <c:v>19.600000000000001</c:v>
                </c:pt>
                <c:pt idx="40">
                  <c:v>18.8</c:v>
                </c:pt>
                <c:pt idx="41">
                  <c:v>17.5</c:v>
                </c:pt>
                <c:pt idx="42">
                  <c:v>18.7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'Ex.5.4'!$AW$4:$AW$17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2.5</c:v>
                </c:pt>
              </c:numCache>
            </c:numRef>
          </c:xVal>
          <c:yVal>
            <c:numRef>
              <c:f>'Ex.5.4'!$BB$4:$BB$17</c:f>
              <c:numCache>
                <c:formatCode>General</c:formatCode>
                <c:ptCount val="14"/>
                <c:pt idx="0">
                  <c:v>17.77170601794111</c:v>
                </c:pt>
                <c:pt idx="1">
                  <c:v>17.325502291205154</c:v>
                </c:pt>
                <c:pt idx="2">
                  <c:v>16.87142233252359</c:v>
                </c:pt>
                <c:pt idx="3">
                  <c:v>16.409302049376237</c:v>
                </c:pt>
                <c:pt idx="4">
                  <c:v>15.939054249651713</c:v>
                </c:pt>
                <c:pt idx="5">
                  <c:v>15.46067292470407</c:v>
                </c:pt>
                <c:pt idx="6">
                  <c:v>14.974233548237917</c:v>
                </c:pt>
                <c:pt idx="7">
                  <c:v>14.47988935697183</c:v>
                </c:pt>
                <c:pt idx="8">
                  <c:v>13.977864031421568</c:v>
                </c:pt>
                <c:pt idx="9">
                  <c:v>13.468441565162703</c:v>
                </c:pt>
                <c:pt idx="10">
                  <c:v>12.951954334049317</c:v>
                </c:pt>
                <c:pt idx="11">
                  <c:v>12.428770429682832</c:v>
                </c:pt>
                <c:pt idx="12">
                  <c:v>11.899281222315819</c:v>
                </c:pt>
                <c:pt idx="13">
                  <c:v>11.632297952300769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'Ex.5.4'!$AW$4:$AW$17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2.5</c:v>
                </c:pt>
              </c:numCache>
            </c:numRef>
          </c:xVal>
          <c:yVal>
            <c:numRef>
              <c:f>'Ex.5.4'!$BC$4:$BC$17</c:f>
              <c:numCache>
                <c:formatCode>General</c:formatCode>
                <c:ptCount val="14"/>
                <c:pt idx="0">
                  <c:v>22.700165859280109</c:v>
                </c:pt>
                <c:pt idx="1">
                  <c:v>22.204680743057963</c:v>
                </c:pt>
                <c:pt idx="2">
                  <c:v>21.71707185878142</c:v>
                </c:pt>
                <c:pt idx="3">
                  <c:v>21.237503298970672</c:v>
                </c:pt>
                <c:pt idx="4">
                  <c:v>20.766062255737086</c:v>
                </c:pt>
                <c:pt idx="5">
                  <c:v>20.30275473772663</c:v>
                </c:pt>
                <c:pt idx="6">
                  <c:v>19.847505271234681</c:v>
                </c:pt>
                <c:pt idx="7">
                  <c:v>19.400160619542664</c:v>
                </c:pt>
                <c:pt idx="8">
                  <c:v>18.960497102134823</c:v>
                </c:pt>
                <c:pt idx="9">
                  <c:v>18.528230725435584</c:v>
                </c:pt>
                <c:pt idx="10">
                  <c:v>18.103029113590864</c:v>
                </c:pt>
                <c:pt idx="11">
                  <c:v>17.68452417499925</c:v>
                </c:pt>
                <c:pt idx="12">
                  <c:v>17.272324539408157</c:v>
                </c:pt>
                <c:pt idx="13">
                  <c:v>17.068463387944156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57632"/>
        <c:axId val="193279104"/>
      </c:scatterChart>
      <c:valAx>
        <c:axId val="98757632"/>
        <c:scaling>
          <c:orientation val="minMax"/>
          <c:max val="2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Fe:SiO2 ratio</a:t>
                </a:r>
              </a:p>
            </c:rich>
          </c:tx>
          <c:layout>
            <c:manualLayout>
              <c:xMode val="edge"/>
              <c:yMode val="edge"/>
              <c:x val="0.45245495386696288"/>
              <c:y val="0.899770570636712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279104"/>
        <c:crosses val="autoZero"/>
        <c:crossBetween val="midCat"/>
      </c:valAx>
      <c:valAx>
        <c:axId val="193279104"/>
        <c:scaling>
          <c:orientation val="minMax"/>
          <c:max val="2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Bond Work Index (kWh/t)</a:t>
                </a:r>
              </a:p>
            </c:rich>
          </c:tx>
          <c:layout>
            <c:manualLayout>
              <c:xMode val="edge"/>
              <c:yMode val="edge"/>
              <c:x val="2.4539877300613498E-2"/>
              <c:y val="0.16317089734412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7576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95198318601711E-2"/>
          <c:y val="8.6854659199537845E-2"/>
          <c:w val="0.78360802095504256"/>
          <c:h val="0.828640397228023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'Ex.5.4'!$N$25:$N$67</c:f>
              <c:numCache>
                <c:formatCode>General</c:formatCode>
                <c:ptCount val="43"/>
                <c:pt idx="0">
                  <c:v>0.36471733616096813</c:v>
                </c:pt>
                <c:pt idx="1">
                  <c:v>0.47616180931215624</c:v>
                </c:pt>
                <c:pt idx="2">
                  <c:v>-0.37026935806416361</c:v>
                </c:pt>
                <c:pt idx="3">
                  <c:v>-0.18798046343393082</c:v>
                </c:pt>
                <c:pt idx="4">
                  <c:v>-0.41757155846926608</c:v>
                </c:pt>
                <c:pt idx="5">
                  <c:v>1.1761618093121555</c:v>
                </c:pt>
                <c:pt idx="6">
                  <c:v>0.12929512542144295</c:v>
                </c:pt>
                <c:pt idx="7">
                  <c:v>-0.33528266383903116</c:v>
                </c:pt>
                <c:pt idx="8">
                  <c:v>0.89452618945350082</c:v>
                </c:pt>
                <c:pt idx="9">
                  <c:v>-2.4355004220962222</c:v>
                </c:pt>
                <c:pt idx="10">
                  <c:v>-1.0355004220962236</c:v>
                </c:pt>
                <c:pt idx="11">
                  <c:v>-0.53550042209622362</c:v>
                </c:pt>
                <c:pt idx="12">
                  <c:v>-2.3175715584692647</c:v>
                </c:pt>
                <c:pt idx="13">
                  <c:v>-0.30051372787108832</c:v>
                </c:pt>
                <c:pt idx="14">
                  <c:v>0.8238995262316422</c:v>
                </c:pt>
                <c:pt idx="15">
                  <c:v>-1.3581716101413974</c:v>
                </c:pt>
                <c:pt idx="16">
                  <c:v>-1.3566473023410381</c:v>
                </c:pt>
                <c:pt idx="17">
                  <c:v>-1.2765359902827456</c:v>
                </c:pt>
                <c:pt idx="18">
                  <c:v>-1.5579538518842053</c:v>
                </c:pt>
                <c:pt idx="19">
                  <c:v>-0.16247841804522523</c:v>
                </c:pt>
                <c:pt idx="20">
                  <c:v>1.1351262411256329</c:v>
                </c:pt>
                <c:pt idx="21">
                  <c:v>1.6880417989777285</c:v>
                </c:pt>
                <c:pt idx="22">
                  <c:v>1.3353439993828289</c:v>
                </c:pt>
                <c:pt idx="23">
                  <c:v>0.75501492906734313</c:v>
                </c:pt>
                <c:pt idx="24">
                  <c:v>-0.74111377954321966</c:v>
                </c:pt>
                <c:pt idx="25">
                  <c:v>2.9295125421445078E-2</c:v>
                </c:pt>
                <c:pt idx="26">
                  <c:v>-1.3473804117617973</c:v>
                </c:pt>
                <c:pt idx="27">
                  <c:v>0.74657071427681743</c:v>
                </c:pt>
                <c:pt idx="28">
                  <c:v>-0.47610047376835851</c:v>
                </c:pt>
                <c:pt idx="29">
                  <c:v>-0.89359382088092687</c:v>
                </c:pt>
                <c:pt idx="30">
                  <c:v>2.0537083795241742</c:v>
                </c:pt>
                <c:pt idx="31">
                  <c:v>0.17833939188410142</c:v>
                </c:pt>
                <c:pt idx="32">
                  <c:v>2.0061884208618821</c:v>
                </c:pt>
                <c:pt idx="33">
                  <c:v>-2.9016031620450633E-2</c:v>
                </c:pt>
                <c:pt idx="34">
                  <c:v>-2.3402674173453875E-2</c:v>
                </c:pt>
                <c:pt idx="35">
                  <c:v>0.9940906729391159</c:v>
                </c:pt>
                <c:pt idx="36">
                  <c:v>-0.56465600061717325</c:v>
                </c:pt>
                <c:pt idx="37">
                  <c:v>1.8949617059678872</c:v>
                </c:pt>
                <c:pt idx="38">
                  <c:v>2.4882595572349224</c:v>
                </c:pt>
                <c:pt idx="39">
                  <c:v>0.8472239890484019</c:v>
                </c:pt>
                <c:pt idx="40">
                  <c:v>-0.4942470956525078</c:v>
                </c:pt>
                <c:pt idx="41">
                  <c:v>-1.441113779543219</c:v>
                </c:pt>
                <c:pt idx="42">
                  <c:v>-0.35882488491298403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08544"/>
        <c:axId val="193323392"/>
      </c:scatterChart>
      <c:valAx>
        <c:axId val="19330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323392"/>
        <c:crosses val="autoZero"/>
        <c:crossBetween val="midCat"/>
      </c:valAx>
      <c:valAx>
        <c:axId val="193323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3085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7869024568650234"/>
          <c:y val="0.46713725925104432"/>
          <c:w val="0.98798003528247491"/>
          <c:h val="0.537559794462311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2517455116438"/>
          <c:y val="0.10354278537330432"/>
          <c:w val="0.8331168320638751"/>
          <c:h val="0.6158070919570203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'Ex.5.5'!$K$27:$K$92</c:f>
              <c:numCache>
                <c:formatCode>General</c:formatCode>
                <c:ptCount val="66"/>
                <c:pt idx="0">
                  <c:v>-1.0172805888421128</c:v>
                </c:pt>
                <c:pt idx="1">
                  <c:v>-0.72090670425322922</c:v>
                </c:pt>
                <c:pt idx="2">
                  <c:v>-2.0605941140687616</c:v>
                </c:pt>
                <c:pt idx="3">
                  <c:v>-0.64037720299915346</c:v>
                </c:pt>
                <c:pt idx="4">
                  <c:v>-1.2350002108839555</c:v>
                </c:pt>
                <c:pt idx="5">
                  <c:v>-2.9876569084682232E-2</c:v>
                </c:pt>
                <c:pt idx="6">
                  <c:v>0.80107677352652373</c:v>
                </c:pt>
                <c:pt idx="7">
                  <c:v>-0.48031783730427879</c:v>
                </c:pt>
                <c:pt idx="8">
                  <c:v>-2.3169854207047784</c:v>
                </c:pt>
                <c:pt idx="9">
                  <c:v>0.27226518913188147</c:v>
                </c:pt>
                <c:pt idx="10">
                  <c:v>1.5651005049816473</c:v>
                </c:pt>
                <c:pt idx="11">
                  <c:v>0.58104240644693561</c:v>
                </c:pt>
                <c:pt idx="12">
                  <c:v>1.5751303312615323</c:v>
                </c:pt>
                <c:pt idx="13">
                  <c:v>0.94606811492315634</c:v>
                </c:pt>
                <c:pt idx="14">
                  <c:v>-4.5612626221122703</c:v>
                </c:pt>
                <c:pt idx="15">
                  <c:v>0.96199180036405507</c:v>
                </c:pt>
                <c:pt idx="16">
                  <c:v>0.38333745661419311</c:v>
                </c:pt>
                <c:pt idx="17">
                  <c:v>-0.69211669205066162</c:v>
                </c:pt>
                <c:pt idx="18">
                  <c:v>1.0364517109755795</c:v>
                </c:pt>
                <c:pt idx="19">
                  <c:v>-0.15000833399864574</c:v>
                </c:pt>
                <c:pt idx="20">
                  <c:v>0.1162989696317598</c:v>
                </c:pt>
                <c:pt idx="21">
                  <c:v>0.91338243748902981</c:v>
                </c:pt>
                <c:pt idx="22">
                  <c:v>-0.45595011731604773</c:v>
                </c:pt>
                <c:pt idx="23">
                  <c:v>-0.67886577473256093</c:v>
                </c:pt>
                <c:pt idx="24">
                  <c:v>-0.12217203958934765</c:v>
                </c:pt>
                <c:pt idx="25">
                  <c:v>1.0576626372165887</c:v>
                </c:pt>
                <c:pt idx="26">
                  <c:v>-5.5664355345402957E-4</c:v>
                </c:pt>
                <c:pt idx="27">
                  <c:v>-1.6525015476365967</c:v>
                </c:pt>
                <c:pt idx="28">
                  <c:v>0.2538778339819982</c:v>
                </c:pt>
                <c:pt idx="29">
                  <c:v>0.81283205647325363</c:v>
                </c:pt>
                <c:pt idx="30">
                  <c:v>-0.64569587746495449</c:v>
                </c:pt>
                <c:pt idx="31">
                  <c:v>-0.7457527275373611</c:v>
                </c:pt>
                <c:pt idx="32">
                  <c:v>1.2520600008847826</c:v>
                </c:pt>
                <c:pt idx="33">
                  <c:v>0.13041096036670732</c:v>
                </c:pt>
                <c:pt idx="34">
                  <c:v>0.38544083933775541</c:v>
                </c:pt>
                <c:pt idx="35">
                  <c:v>-0.22807798572940122</c:v>
                </c:pt>
                <c:pt idx="36">
                  <c:v>1.0630096937128097</c:v>
                </c:pt>
                <c:pt idx="37">
                  <c:v>-0.19717364027002673</c:v>
                </c:pt>
                <c:pt idx="38">
                  <c:v>0.84254750126432598</c:v>
                </c:pt>
                <c:pt idx="39">
                  <c:v>0.68876241939811644</c:v>
                </c:pt>
                <c:pt idx="40">
                  <c:v>-7.1444150174601956E-2</c:v>
                </c:pt>
                <c:pt idx="41">
                  <c:v>0.28648144153998711</c:v>
                </c:pt>
                <c:pt idx="42">
                  <c:v>-1.2421060141150589E-2</c:v>
                </c:pt>
                <c:pt idx="43">
                  <c:v>-0.90625781311413189</c:v>
                </c:pt>
                <c:pt idx="44">
                  <c:v>0.30347403982036297</c:v>
                </c:pt>
                <c:pt idx="45">
                  <c:v>-0.26948673359408193</c:v>
                </c:pt>
                <c:pt idx="46">
                  <c:v>0.70339473006750386</c:v>
                </c:pt>
                <c:pt idx="47">
                  <c:v>-0.70335261398731497</c:v>
                </c:pt>
                <c:pt idx="48">
                  <c:v>1.4346822492331566</c:v>
                </c:pt>
                <c:pt idx="49">
                  <c:v>-0.26024392143259051</c:v>
                </c:pt>
                <c:pt idx="50">
                  <c:v>-0.17276291669015814</c:v>
                </c:pt>
                <c:pt idx="51">
                  <c:v>0.96346999261606181</c:v>
                </c:pt>
                <c:pt idx="52">
                  <c:v>0.756596448006704</c:v>
                </c:pt>
                <c:pt idx="53">
                  <c:v>-0.10870772080557495</c:v>
                </c:pt>
                <c:pt idx="54">
                  <c:v>-9.6225584535270275E-2</c:v>
                </c:pt>
                <c:pt idx="55">
                  <c:v>0.60147182659072307</c:v>
                </c:pt>
                <c:pt idx="56">
                  <c:v>0.19255749503854214</c:v>
                </c:pt>
                <c:pt idx="57">
                  <c:v>0.42430100872044257</c:v>
                </c:pt>
                <c:pt idx="58">
                  <c:v>0.37549435657318009</c:v>
                </c:pt>
                <c:pt idx="59">
                  <c:v>-1.5265225475491515</c:v>
                </c:pt>
                <c:pt idx="60">
                  <c:v>0.18181238202189959</c:v>
                </c:pt>
                <c:pt idx="61">
                  <c:v>-1.103231531951872E-2</c:v>
                </c:pt>
                <c:pt idx="62">
                  <c:v>7.8725190248637944E-2</c:v>
                </c:pt>
                <c:pt idx="63">
                  <c:v>1.1110452824274326</c:v>
                </c:pt>
                <c:pt idx="64">
                  <c:v>-0.2116447557065072</c:v>
                </c:pt>
                <c:pt idx="65">
                  <c:v>-7.0681297705036894E-2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3168"/>
        <c:axId val="98425472"/>
      </c:scatterChart>
      <c:valAx>
        <c:axId val="98423168"/>
        <c:scaling>
          <c:orientation val="minMax"/>
          <c:max val="7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Observation</a:t>
                </a:r>
              </a:p>
            </c:rich>
          </c:tx>
          <c:layout>
            <c:manualLayout>
              <c:xMode val="edge"/>
              <c:yMode val="edge"/>
              <c:x val="0.45762752928374173"/>
              <c:y val="0.84196614387779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425472"/>
        <c:crossesAt val="-6"/>
        <c:crossBetween val="midCat"/>
      </c:valAx>
      <c:valAx>
        <c:axId val="98425472"/>
        <c:scaling>
          <c:orientation val="minMax"/>
          <c:max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Residual (%)</a:t>
                </a:r>
              </a:p>
            </c:rich>
          </c:tx>
          <c:layout>
            <c:manualLayout>
              <c:xMode val="edge"/>
              <c:yMode val="edge"/>
              <c:x val="2.7379400260756193E-2"/>
              <c:y val="0.242508099294127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423168"/>
        <c:crosses val="autoZero"/>
        <c:crossBetween val="midCat"/>
        <c:minorUnit val="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2583120204604"/>
          <c:y val="0.10242607821859907"/>
          <c:w val="0.83631713554987208"/>
          <c:h val="0.61994731553362603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'Ex.5.5'!$AA$27:$AA$92</c:f>
              <c:numCache>
                <c:formatCode>General</c:formatCode>
                <c:ptCount val="66"/>
                <c:pt idx="0">
                  <c:v>-1.1988386102317246</c:v>
                </c:pt>
                <c:pt idx="1">
                  <c:v>-1.0257495861324475</c:v>
                </c:pt>
                <c:pt idx="2">
                  <c:v>-2.8541976922579018</c:v>
                </c:pt>
                <c:pt idx="3">
                  <c:v>-0.9624176254245943</c:v>
                </c:pt>
                <c:pt idx="4">
                  <c:v>-1.713822769665138</c:v>
                </c:pt>
                <c:pt idx="5">
                  <c:v>-0.35524327284574642</c:v>
                </c:pt>
                <c:pt idx="6">
                  <c:v>0.12520480372980206</c:v>
                </c:pt>
                <c:pt idx="7">
                  <c:v>-0.66142978219909254</c:v>
                </c:pt>
                <c:pt idx="8">
                  <c:v>-2.5920559992239873</c:v>
                </c:pt>
                <c:pt idx="9">
                  <c:v>0.19048232722094122</c:v>
                </c:pt>
                <c:pt idx="10">
                  <c:v>1.5407407872342509</c:v>
                </c:pt>
                <c:pt idx="11">
                  <c:v>0.41263711426398864</c:v>
                </c:pt>
                <c:pt idx="12">
                  <c:v>1.7920631613273379</c:v>
                </c:pt>
                <c:pt idx="13">
                  <c:v>1.173986626980507</c:v>
                </c:pt>
                <c:pt idx="14">
                  <c:v>0.56588169960723389</c:v>
                </c:pt>
                <c:pt idx="15">
                  <c:v>1.0293983735204708</c:v>
                </c:pt>
                <c:pt idx="16">
                  <c:v>-1.0372486716029345</c:v>
                </c:pt>
                <c:pt idx="17">
                  <c:v>0.64849412979404419</c:v>
                </c:pt>
                <c:pt idx="18">
                  <c:v>-0.70343061456165346</c:v>
                </c:pt>
                <c:pt idx="19">
                  <c:v>-0.19241010870221312</c:v>
                </c:pt>
                <c:pt idx="20">
                  <c:v>0.9521254607790105</c:v>
                </c:pt>
                <c:pt idx="21">
                  <c:v>-0.90063521802394908</c:v>
                </c:pt>
                <c:pt idx="22">
                  <c:v>-0.85337780383781781</c:v>
                </c:pt>
                <c:pt idx="23">
                  <c:v>-0.22923179446874775</c:v>
                </c:pt>
                <c:pt idx="24">
                  <c:v>0.84301837378231648</c:v>
                </c:pt>
                <c:pt idx="25">
                  <c:v>-8.9951895971539367E-2</c:v>
                </c:pt>
                <c:pt idx="26">
                  <c:v>-1.7997320545484452</c:v>
                </c:pt>
                <c:pt idx="27">
                  <c:v>0.80522679298708633</c:v>
                </c:pt>
                <c:pt idx="28">
                  <c:v>0.95565546458905015</c:v>
                </c:pt>
                <c:pt idx="29">
                  <c:v>-0.26377721948757554</c:v>
                </c:pt>
                <c:pt idx="30">
                  <c:v>-0.85264264847152038</c:v>
                </c:pt>
                <c:pt idx="31">
                  <c:v>1.150623785425118</c:v>
                </c:pt>
                <c:pt idx="32">
                  <c:v>0.25091516628703792</c:v>
                </c:pt>
                <c:pt idx="33">
                  <c:v>0.36127579418275035</c:v>
                </c:pt>
                <c:pt idx="34">
                  <c:v>0.27732323901578343</c:v>
                </c:pt>
                <c:pt idx="35">
                  <c:v>1.0267753250312419</c:v>
                </c:pt>
                <c:pt idx="36">
                  <c:v>-0.43333589875508527</c:v>
                </c:pt>
                <c:pt idx="37">
                  <c:v>0.41700745261590827</c:v>
                </c:pt>
                <c:pt idx="38">
                  <c:v>0.11705423787474091</c:v>
                </c:pt>
                <c:pt idx="39">
                  <c:v>-0.75329413689716052</c:v>
                </c:pt>
                <c:pt idx="40">
                  <c:v>0.50324174630846807</c:v>
                </c:pt>
                <c:pt idx="41">
                  <c:v>-0.59559126273230778</c:v>
                </c:pt>
                <c:pt idx="42">
                  <c:v>-0.69865629798134044</c:v>
                </c:pt>
                <c:pt idx="43">
                  <c:v>-0.18396668116601148</c:v>
                </c:pt>
                <c:pt idx="44">
                  <c:v>-0.69485934344944555</c:v>
                </c:pt>
                <c:pt idx="45">
                  <c:v>0.89970841635845422</c:v>
                </c:pt>
                <c:pt idx="46">
                  <c:v>-0.66113998013259401</c:v>
                </c:pt>
                <c:pt idx="47">
                  <c:v>2.3385118286409927</c:v>
                </c:pt>
                <c:pt idx="48">
                  <c:v>0.52841944406435959</c:v>
                </c:pt>
                <c:pt idx="49">
                  <c:v>-0.46722228209631705</c:v>
                </c:pt>
                <c:pt idx="50">
                  <c:v>1.265841250716045</c:v>
                </c:pt>
                <c:pt idx="51">
                  <c:v>0.86168486155055246</c:v>
                </c:pt>
                <c:pt idx="52">
                  <c:v>5.3358480537917712E-3</c:v>
                </c:pt>
                <c:pt idx="53">
                  <c:v>-0.33607646230786803</c:v>
                </c:pt>
                <c:pt idx="54">
                  <c:v>0.27096613111214757</c:v>
                </c:pt>
                <c:pt idx="55">
                  <c:v>0.61400063613616385</c:v>
                </c:pt>
                <c:pt idx="56">
                  <c:v>0.73787056052492095</c:v>
                </c:pt>
                <c:pt idx="57">
                  <c:v>0.1182674752058826</c:v>
                </c:pt>
                <c:pt idx="58">
                  <c:v>-1.9503080778801887</c:v>
                </c:pt>
                <c:pt idx="59">
                  <c:v>0.50059457963746523</c:v>
                </c:pt>
                <c:pt idx="60">
                  <c:v>-0.27675554400481162</c:v>
                </c:pt>
                <c:pt idx="61">
                  <c:v>0.70833168053484274</c:v>
                </c:pt>
                <c:pt idx="62">
                  <c:v>1.5019576569074102</c:v>
                </c:pt>
                <c:pt idx="63">
                  <c:v>-0.19041147355255866</c:v>
                </c:pt>
                <c:pt idx="64">
                  <c:v>3.718857661266068E-2</c:v>
                </c:pt>
                <c:pt idx="65">
                  <c:v>-7.0681297705036894E-2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10784"/>
        <c:axId val="98325632"/>
      </c:scatterChart>
      <c:valAx>
        <c:axId val="98310784"/>
        <c:scaling>
          <c:orientation val="minMax"/>
          <c:max val="7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Observation</a:t>
                </a:r>
              </a:p>
            </c:rich>
          </c:tx>
          <c:layout>
            <c:manualLayout>
              <c:xMode val="edge"/>
              <c:yMode val="edge"/>
              <c:x val="0.45907928388746805"/>
              <c:y val="0.843667466095039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325632"/>
        <c:crossesAt val="-6"/>
        <c:crossBetween val="midCat"/>
      </c:valAx>
      <c:valAx>
        <c:axId val="98325632"/>
        <c:scaling>
          <c:orientation val="minMax"/>
          <c:max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Residual (%)</a:t>
                </a:r>
              </a:p>
            </c:rich>
          </c:tx>
          <c:layout>
            <c:manualLayout>
              <c:xMode val="edge"/>
              <c:yMode val="edge"/>
              <c:x val="2.6854219948849106E-2"/>
              <c:y val="0.245283443343166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310784"/>
        <c:crosses val="autoZero"/>
        <c:crossBetween val="midCat"/>
        <c:minorUnit val="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69652582482673"/>
          <c:y val="9.0024705233125571E-2"/>
          <c:w val="0.78726313306627826"/>
          <c:h val="0.661803238470544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'Ex.5.5'!$AY$1</c:f>
              <c:strCache>
                <c:ptCount val="1"/>
                <c:pt idx="0">
                  <c:v>Recovery  (%)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5"/>
            <c:backward val="5"/>
            <c:dispRSqr val="0"/>
            <c:dispEq val="0"/>
          </c:trendline>
          <c:xVal>
            <c:numRef>
              <c:f>'Ex.5.5'!$AX$2:$AX$243</c:f>
              <c:numCache>
                <c:formatCode>0.00</c:formatCode>
                <c:ptCount val="242"/>
                <c:pt idx="0">
                  <c:v>69.887767388358782</c:v>
                </c:pt>
                <c:pt idx="1">
                  <c:v>69.023786421752021</c:v>
                </c:pt>
                <c:pt idx="2">
                  <c:v>49.226033449843229</c:v>
                </c:pt>
                <c:pt idx="3">
                  <c:v>68.47501431220806</c:v>
                </c:pt>
                <c:pt idx="4">
                  <c:v>67.998905489255463</c:v>
                </c:pt>
                <c:pt idx="5">
                  <c:v>74.980027392871577</c:v>
                </c:pt>
                <c:pt idx="6">
                  <c:v>51.516060303384194</c:v>
                </c:pt>
                <c:pt idx="7">
                  <c:v>76.772806655511815</c:v>
                </c:pt>
                <c:pt idx="8">
                  <c:v>72.399029887926375</c:v>
                </c:pt>
                <c:pt idx="9">
                  <c:v>74.449292147132141</c:v>
                </c:pt>
                <c:pt idx="10">
                  <c:v>71.111630700957818</c:v>
                </c:pt>
                <c:pt idx="11">
                  <c:v>77.862080767096685</c:v>
                </c:pt>
                <c:pt idx="12">
                  <c:v>58.557309108092412</c:v>
                </c:pt>
                <c:pt idx="13">
                  <c:v>71.192351934742703</c:v>
                </c:pt>
                <c:pt idx="14">
                  <c:v>70.792978417463928</c:v>
                </c:pt>
                <c:pt idx="15">
                  <c:v>74.712408037130913</c:v>
                </c:pt>
                <c:pt idx="16">
                  <c:v>71.407420692241459</c:v>
                </c:pt>
                <c:pt idx="17">
                  <c:v>71.281891047324862</c:v>
                </c:pt>
                <c:pt idx="18">
                  <c:v>69.863719185087277</c:v>
                </c:pt>
                <c:pt idx="19">
                  <c:v>73.332067623207294</c:v>
                </c:pt>
                <c:pt idx="20">
                  <c:v>75.876710170085715</c:v>
                </c:pt>
                <c:pt idx="21">
                  <c:v>69.650332750735373</c:v>
                </c:pt>
                <c:pt idx="22">
                  <c:v>45.742215447050675</c:v>
                </c:pt>
                <c:pt idx="23">
                  <c:v>43.145437030991509</c:v>
                </c:pt>
                <c:pt idx="24">
                  <c:v>65.758580591806037</c:v>
                </c:pt>
                <c:pt idx="25">
                  <c:v>74.995232957585301</c:v>
                </c:pt>
                <c:pt idx="26">
                  <c:v>71.121421122211558</c:v>
                </c:pt>
                <c:pt idx="27">
                  <c:v>62.543569323483069</c:v>
                </c:pt>
                <c:pt idx="28">
                  <c:v>71.839389423228553</c:v>
                </c:pt>
                <c:pt idx="29">
                  <c:v>59.041242925467756</c:v>
                </c:pt>
                <c:pt idx="30">
                  <c:v>72.413776875246782</c:v>
                </c:pt>
                <c:pt idx="31">
                  <c:v>70.919765505374556</c:v>
                </c:pt>
                <c:pt idx="32">
                  <c:v>71.410591380483908</c:v>
                </c:pt>
                <c:pt idx="33">
                  <c:v>59.164554925608655</c:v>
                </c:pt>
                <c:pt idx="34">
                  <c:v>74.167052096958457</c:v>
                </c:pt>
                <c:pt idx="35">
                  <c:v>63.75692903939462</c:v>
                </c:pt>
                <c:pt idx="36">
                  <c:v>69.672674935477204</c:v>
                </c:pt>
                <c:pt idx="37">
                  <c:v>69.221095544247333</c:v>
                </c:pt>
                <c:pt idx="38">
                  <c:v>68.109804315131669</c:v>
                </c:pt>
                <c:pt idx="39">
                  <c:v>69.205752470845169</c:v>
                </c:pt>
                <c:pt idx="40">
                  <c:v>72.654502697043213</c:v>
                </c:pt>
                <c:pt idx="41">
                  <c:v>70.470430562553076</c:v>
                </c:pt>
                <c:pt idx="42">
                  <c:v>71.899277357438592</c:v>
                </c:pt>
                <c:pt idx="43">
                  <c:v>69.430120327603902</c:v>
                </c:pt>
                <c:pt idx="44">
                  <c:v>77.419445149952736</c:v>
                </c:pt>
                <c:pt idx="45">
                  <c:v>73.420791481872897</c:v>
                </c:pt>
                <c:pt idx="46">
                  <c:v>74.980027392871577</c:v>
                </c:pt>
                <c:pt idx="47">
                  <c:v>43.244727737313582</c:v>
                </c:pt>
                <c:pt idx="48">
                  <c:v>72.50278982986579</c:v>
                </c:pt>
                <c:pt idx="49">
                  <c:v>47.597792858138028</c:v>
                </c:pt>
                <c:pt idx="50">
                  <c:v>71.285558496785328</c:v>
                </c:pt>
                <c:pt idx="51">
                  <c:v>70.764883248021604</c:v>
                </c:pt>
                <c:pt idx="52">
                  <c:v>76.174350653959749</c:v>
                </c:pt>
                <c:pt idx="53">
                  <c:v>75.773410774063152</c:v>
                </c:pt>
                <c:pt idx="54">
                  <c:v>69.868930617381707</c:v>
                </c:pt>
                <c:pt idx="55">
                  <c:v>69.427985136697288</c:v>
                </c:pt>
                <c:pt idx="56">
                  <c:v>57.279390877122125</c:v>
                </c:pt>
                <c:pt idx="57">
                  <c:v>77.172865380499104</c:v>
                </c:pt>
                <c:pt idx="58">
                  <c:v>50.026009185349821</c:v>
                </c:pt>
                <c:pt idx="59">
                  <c:v>67.526185387739275</c:v>
                </c:pt>
                <c:pt idx="60">
                  <c:v>75.786383154282589</c:v>
                </c:pt>
                <c:pt idx="61">
                  <c:v>74.596772238052395</c:v>
                </c:pt>
                <c:pt idx="62">
                  <c:v>49.142745307847143</c:v>
                </c:pt>
                <c:pt idx="63">
                  <c:v>71.571990622565934</c:v>
                </c:pt>
                <c:pt idx="64">
                  <c:v>69.963453277101053</c:v>
                </c:pt>
              </c:numCache>
            </c:numRef>
          </c:xVal>
          <c:yVal>
            <c:numRef>
              <c:f>'Ex.5.5'!$AY$2:$AY$243</c:f>
              <c:numCache>
                <c:formatCode>0.0</c:formatCode>
                <c:ptCount val="242"/>
                <c:pt idx="0">
                  <c:v>63.097966782187491</c:v>
                </c:pt>
                <c:pt idx="1">
                  <c:v>63.673354620411963</c:v>
                </c:pt>
                <c:pt idx="2">
                  <c:v>34.850757442390375</c:v>
                </c:pt>
                <c:pt idx="3">
                  <c:v>63.677491503437672</c:v>
                </c:pt>
                <c:pt idx="4">
                  <c:v>59.873417094836483</c:v>
                </c:pt>
                <c:pt idx="5">
                  <c:v>73.941371469062616</c:v>
                </c:pt>
                <c:pt idx="6">
                  <c:v>53.54543530875317</c:v>
                </c:pt>
                <c:pt idx="7">
                  <c:v>73.558407478743717</c:v>
                </c:pt>
                <c:pt idx="8">
                  <c:v>58.04201091968487</c:v>
                </c:pt>
                <c:pt idx="9">
                  <c:v>75.742811447528638</c:v>
                </c:pt>
                <c:pt idx="10">
                  <c:v>79.268013734860659</c:v>
                </c:pt>
                <c:pt idx="11">
                  <c:v>80.759802044052563</c:v>
                </c:pt>
                <c:pt idx="12">
                  <c:v>67.542108510671454</c:v>
                </c:pt>
                <c:pt idx="13">
                  <c:v>77.013575493079244</c:v>
                </c:pt>
                <c:pt idx="14">
                  <c:v>74.274009595571471</c:v>
                </c:pt>
                <c:pt idx="15">
                  <c:v>78.988890513474104</c:v>
                </c:pt>
                <c:pt idx="16">
                  <c:v>66.753406264534306</c:v>
                </c:pt>
                <c:pt idx="17">
                  <c:v>75.488471662027052</c:v>
                </c:pt>
                <c:pt idx="18">
                  <c:v>66.625626243810473</c:v>
                </c:pt>
                <c:pt idx="19">
                  <c:v>73.019113205433399</c:v>
                </c:pt>
                <c:pt idx="20">
                  <c:v>81.324072229354613</c:v>
                </c:pt>
                <c:pt idx="21">
                  <c:v>65.179115232077422</c:v>
                </c:pt>
                <c:pt idx="22">
                  <c:v>42.165907532070783</c:v>
                </c:pt>
                <c:pt idx="23">
                  <c:v>41.721577651385346</c:v>
                </c:pt>
                <c:pt idx="24">
                  <c:v>70.554142902763203</c:v>
                </c:pt>
                <c:pt idx="25">
                  <c:v>74.947526784181136</c:v>
                </c:pt>
                <c:pt idx="26">
                  <c:v>61.274312912021429</c:v>
                </c:pt>
                <c:pt idx="27">
                  <c:v>65.673462706900295</c:v>
                </c:pt>
                <c:pt idx="28">
                  <c:v>76.310671595540882</c:v>
                </c:pt>
                <c:pt idx="29">
                  <c:v>56.389693206773863</c:v>
                </c:pt>
                <c:pt idx="30">
                  <c:v>67.866747837406749</c:v>
                </c:pt>
                <c:pt idx="31">
                  <c:v>77.209615330067706</c:v>
                </c:pt>
                <c:pt idx="32">
                  <c:v>72.605719339869523</c:v>
                </c:pt>
                <c:pt idx="33">
                  <c:v>61.003669859415808</c:v>
                </c:pt>
                <c:pt idx="34">
                  <c:v>74.238641485174966</c:v>
                </c:pt>
                <c:pt idx="35">
                  <c:v>70.167335057636592</c:v>
                </c:pt>
                <c:pt idx="36">
                  <c:v>67.231512995827103</c:v>
                </c:pt>
                <c:pt idx="37">
                  <c:v>71.939702118503774</c:v>
                </c:pt>
                <c:pt idx="38">
                  <c:v>69.742433471063322</c:v>
                </c:pt>
                <c:pt idx="39">
                  <c:v>66.09446849571539</c:v>
                </c:pt>
                <c:pt idx="40">
                  <c:v>74.706231215871853</c:v>
                </c:pt>
                <c:pt idx="41">
                  <c:v>67.990201064816347</c:v>
                </c:pt>
                <c:pt idx="42">
                  <c:v>67.100763312446361</c:v>
                </c:pt>
                <c:pt idx="43">
                  <c:v>68.982305741106487</c:v>
                </c:pt>
                <c:pt idx="44">
                  <c:v>74.797421096440658</c:v>
                </c:pt>
                <c:pt idx="45">
                  <c:v>78.018826788969349</c:v>
                </c:pt>
                <c:pt idx="46">
                  <c:v>71.118013828277427</c:v>
                </c:pt>
                <c:pt idx="47">
                  <c:v>53.72259788666959</c:v>
                </c:pt>
                <c:pt idx="48">
                  <c:v>73.048804150749646</c:v>
                </c:pt>
                <c:pt idx="49">
                  <c:v>46.573858037575839</c:v>
                </c:pt>
                <c:pt idx="50">
                  <c:v>77.56901241553328</c:v>
                </c:pt>
                <c:pt idx="51">
                  <c:v>74.931543070751815</c:v>
                </c:pt>
                <c:pt idx="52">
                  <c:v>76.017104417900612</c:v>
                </c:pt>
                <c:pt idx="53">
                  <c:v>74.737355627562778</c:v>
                </c:pt>
                <c:pt idx="54">
                  <c:v>71.516562482884027</c:v>
                </c:pt>
                <c:pt idx="55">
                  <c:v>71.397957006175034</c:v>
                </c:pt>
                <c:pt idx="56">
                  <c:v>60.866154856609441</c:v>
                </c:pt>
                <c:pt idx="57">
                  <c:v>78.728091804254873</c:v>
                </c:pt>
                <c:pt idx="58">
                  <c:v>39.476787100156166</c:v>
                </c:pt>
                <c:pt idx="59">
                  <c:v>69.277418985496027</c:v>
                </c:pt>
                <c:pt idx="60">
                  <c:v>75.00692360982049</c:v>
                </c:pt>
                <c:pt idx="61">
                  <c:v>76.726705598199516</c:v>
                </c:pt>
                <c:pt idx="62">
                  <c:v>56.928478339350121</c:v>
                </c:pt>
                <c:pt idx="63">
                  <c:v>70.178149844535241</c:v>
                </c:pt>
                <c:pt idx="64">
                  <c:v>69.785891184669595</c:v>
                </c:pt>
              </c:numCache>
            </c:numRef>
          </c:yVal>
          <c:smooth val="0"/>
        </c:ser>
        <c:ser>
          <c:idx val="1"/>
          <c:order val="1"/>
          <c:spPr>
            <a:ln w="3175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'Ex.5.5'!$BF$4:$BF$16</c:f>
              <c:numCache>
                <c:formatCode>General</c:formatCode>
                <c:ptCount val="1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</c:numCache>
            </c:numRef>
          </c:xVal>
          <c:yVal>
            <c:numRef>
              <c:f>'Ex.5.5'!$BK$4:$BK$16</c:f>
              <c:numCache>
                <c:formatCode>General</c:formatCode>
                <c:ptCount val="13"/>
                <c:pt idx="0">
                  <c:v>18.292825544220747</c:v>
                </c:pt>
                <c:pt idx="1">
                  <c:v>23.61104522003594</c:v>
                </c:pt>
                <c:pt idx="2">
                  <c:v>28.891573073138765</c:v>
                </c:pt>
                <c:pt idx="3">
                  <c:v>34.131490112895015</c:v>
                </c:pt>
                <c:pt idx="4">
                  <c:v>39.328057060210853</c:v>
                </c:pt>
                <c:pt idx="5">
                  <c:v>44.478843902808713</c:v>
                </c:pt>
                <c:pt idx="6">
                  <c:v>49.581862656878201</c:v>
                </c:pt>
                <c:pt idx="7">
                  <c:v>54.635688814679192</c:v>
                </c:pt>
                <c:pt idx="8">
                  <c:v>59.639555629244633</c:v>
                </c:pt>
                <c:pt idx="9">
                  <c:v>64.593407409713748</c:v>
                </c:pt>
                <c:pt idx="10">
                  <c:v>69.497903462250108</c:v>
                </c:pt>
                <c:pt idx="11">
                  <c:v>74.35437204277882</c:v>
                </c:pt>
                <c:pt idx="12">
                  <c:v>79.164721596273878</c:v>
                </c:pt>
              </c:numCache>
            </c:numRef>
          </c:yVal>
          <c:smooth val="0"/>
        </c:ser>
        <c:ser>
          <c:idx val="2"/>
          <c:order val="2"/>
          <c:spPr>
            <a:ln w="3175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'Ex.5.5'!$BF$4:$BF$16</c:f>
              <c:numCache>
                <c:formatCode>General</c:formatCode>
                <c:ptCount val="1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</c:numCache>
            </c:numRef>
          </c:xVal>
          <c:yVal>
            <c:numRef>
              <c:f>'Ex.5.5'!$BL$4:$BL$16</c:f>
              <c:numCache>
                <c:formatCode>General</c:formatCode>
                <c:ptCount val="13"/>
                <c:pt idx="0">
                  <c:v>41.707174455779253</c:v>
                </c:pt>
                <c:pt idx="1">
                  <c:v>46.38895477996406</c:v>
                </c:pt>
                <c:pt idx="2">
                  <c:v>51.108426926861235</c:v>
                </c:pt>
                <c:pt idx="3">
                  <c:v>55.868509887104985</c:v>
                </c:pt>
                <c:pt idx="4">
                  <c:v>60.671942939789147</c:v>
                </c:pt>
                <c:pt idx="5">
                  <c:v>65.521156097191295</c:v>
                </c:pt>
                <c:pt idx="6">
                  <c:v>70.418137343121799</c:v>
                </c:pt>
                <c:pt idx="7">
                  <c:v>75.364311185320815</c:v>
                </c:pt>
                <c:pt idx="8">
                  <c:v>80.36044437075536</c:v>
                </c:pt>
                <c:pt idx="9">
                  <c:v>85.406592590286252</c:v>
                </c:pt>
                <c:pt idx="10">
                  <c:v>90.502096537749892</c:v>
                </c:pt>
                <c:pt idx="11">
                  <c:v>95.64562795722118</c:v>
                </c:pt>
                <c:pt idx="12">
                  <c:v>100.83527840372612</c:v>
                </c:pt>
              </c:numCache>
            </c:numRef>
          </c:yVal>
          <c:smooth val="0"/>
        </c:ser>
        <c:ser>
          <c:idx val="4"/>
          <c:order val="3"/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'Ex.5.5'!$BR$4:$BR$14</c:f>
              <c:numCache>
                <c:formatCode>General</c:formatCode>
                <c:ptCount val="11"/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22784"/>
        <c:axId val="193625088"/>
      </c:scatterChart>
      <c:valAx>
        <c:axId val="193622784"/>
        <c:scaling>
          <c:orientation val="minMax"/>
          <c:max val="90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recovery (%)</a:t>
                </a:r>
              </a:p>
            </c:rich>
          </c:tx>
          <c:layout>
            <c:manualLayout>
              <c:xMode val="edge"/>
              <c:yMode val="edge"/>
              <c:x val="0.39024411582698504"/>
              <c:y val="0.8613173170871889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625088"/>
        <c:crosses val="autoZero"/>
        <c:crossBetween val="midCat"/>
        <c:majorUnit val="10"/>
      </c:valAx>
      <c:valAx>
        <c:axId val="193625088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recovery</a:t>
                </a:r>
              </a:p>
            </c:rich>
          </c:tx>
          <c:layout>
            <c:manualLayout>
              <c:xMode val="edge"/>
              <c:yMode val="edge"/>
              <c:x val="2.9810298102981029E-2"/>
              <c:y val="0.194647968274038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36227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220261001209433"/>
          <c:y val="3.764705882352940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039837980621344E-2"/>
          <c:y val="0.20235328990112"/>
          <c:w val="0.75617714615231513"/>
          <c:h val="0.712942405116736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'Ex.5.5'!$Z$26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'Ex.5.5'!$Y$27:$Y$92</c:f>
              <c:numCache>
                <c:formatCode>General</c:formatCode>
                <c:ptCount val="66"/>
                <c:pt idx="0">
                  <c:v>69.145859494339732</c:v>
                </c:pt>
                <c:pt idx="1">
                  <c:v>68.848049023409629</c:v>
                </c:pt>
                <c:pt idx="2">
                  <c:v>49.24959417881459</c:v>
                </c:pt>
                <c:pt idx="3">
                  <c:v>68.532689269988751</c:v>
                </c:pt>
                <c:pt idx="4">
                  <c:v>68.51929832531745</c:v>
                </c:pt>
                <c:pt idx="5">
                  <c:v>75.733500269843915</c:v>
                </c:pt>
                <c:pt idx="6">
                  <c:v>52.913802982649194</c:v>
                </c:pt>
                <c:pt idx="7">
                  <c:v>76.895183859835683</c:v>
                </c:pt>
                <c:pt idx="8">
                  <c:v>71.118397059906968</c:v>
                </c:pt>
                <c:pt idx="9">
                  <c:v>74.781867523332991</c:v>
                </c:pt>
                <c:pt idx="10">
                  <c:v>71.495295289774376</c:v>
                </c:pt>
                <c:pt idx="11">
                  <c:v>78.678133189861811</c:v>
                </c:pt>
                <c:pt idx="12">
                  <c:v>58.501520694590702</c:v>
                </c:pt>
                <c:pt idx="13">
                  <c:v>71.09105589379206</c:v>
                </c:pt>
                <c:pt idx="14">
                  <c:v>71.419253519327484</c:v>
                </c:pt>
                <c:pt idx="15">
                  <c:v>73.795788733149848</c:v>
                </c:pt>
                <c:pt idx="16">
                  <c:v>71.986111174217214</c:v>
                </c:pt>
                <c:pt idx="17">
                  <c:v>72.216952970535445</c:v>
                </c:pt>
                <c:pt idx="18">
                  <c:v>70.174288132911528</c:v>
                </c:pt>
                <c:pt idx="19">
                  <c:v>73.989782388284965</c:v>
                </c:pt>
                <c:pt idx="20">
                  <c:v>76.520796303676065</c:v>
                </c:pt>
                <c:pt idx="21">
                  <c:v>69.722633537966686</c:v>
                </c:pt>
                <c:pt idx="22">
                  <c:v>46.471021962399</c:v>
                </c:pt>
                <c:pt idx="23">
                  <c:v>42.87800461939328</c:v>
                </c:pt>
                <c:pt idx="24">
                  <c:v>66.301289653381275</c:v>
                </c:pt>
                <c:pt idx="25">
                  <c:v>75.401315485552203</c:v>
                </c:pt>
                <c:pt idx="26">
                  <c:v>70.35358870747352</c:v>
                </c:pt>
                <c:pt idx="27">
                  <c:v>61.611260162393485</c:v>
                </c:pt>
                <c:pt idx="28">
                  <c:v>71.489587531106707</c:v>
                </c:pt>
                <c:pt idx="29">
                  <c:v>57.720394695494129</c:v>
                </c:pt>
                <c:pt idx="30">
                  <c:v>72.168153561038181</c:v>
                </c:pt>
                <c:pt idx="31">
                  <c:v>71.404956431939198</c:v>
                </c:pt>
                <c:pt idx="32">
                  <c:v>71.339904247992791</c:v>
                </c:pt>
                <c:pt idx="33">
                  <c:v>59.181108236802956</c:v>
                </c:pt>
                <c:pt idx="34">
                  <c:v>72.839603131021676</c:v>
                </c:pt>
                <c:pt idx="35">
                  <c:v>64.987466014151337</c:v>
                </c:pt>
                <c:pt idx="36">
                  <c:v>69.417602934562268</c:v>
                </c:pt>
                <c:pt idx="37">
                  <c:v>69.835985811684594</c:v>
                </c:pt>
                <c:pt idx="38">
                  <c:v>69.151919063096145</c:v>
                </c:pt>
                <c:pt idx="39">
                  <c:v>69.894681536707409</c:v>
                </c:pt>
                <c:pt idx="40">
                  <c:v>72.167480741893158</c:v>
                </c:pt>
                <c:pt idx="41">
                  <c:v>70.994835739206778</c:v>
                </c:pt>
                <c:pt idx="42">
                  <c:v>70.625339762352226</c:v>
                </c:pt>
                <c:pt idx="43">
                  <c:v>69.910379579241962</c:v>
                </c:pt>
                <c:pt idx="44">
                  <c:v>78.302842696439427</c:v>
                </c:pt>
                <c:pt idx="45">
                  <c:v>73.479984005698824</c:v>
                </c:pt>
                <c:pt idx="46">
                  <c:v>74.453328217912841</c:v>
                </c:pt>
                <c:pt idx="47">
                  <c:v>41.925289620975725</c:v>
                </c:pt>
                <c:pt idx="48">
                  <c:v>70.383037401630133</c:v>
                </c:pt>
                <c:pt idx="49">
                  <c:v>48.930897768135793</c:v>
                </c:pt>
                <c:pt idx="50">
                  <c:v>71.18310524703837</c:v>
                </c:pt>
                <c:pt idx="51">
                  <c:v>70.5845212532478</c:v>
                </c:pt>
                <c:pt idx="52">
                  <c:v>75.9901861686198</c:v>
                </c:pt>
                <c:pt idx="53">
                  <c:v>76.432791835381266</c:v>
                </c:pt>
                <c:pt idx="54">
                  <c:v>70.149594422624034</c:v>
                </c:pt>
                <c:pt idx="55">
                  <c:v>68.300450852425968</c:v>
                </c:pt>
                <c:pt idx="56">
                  <c:v>57.143750566804506</c:v>
                </c:pt>
                <c:pt idx="57">
                  <c:v>78.13145686500809</c:v>
                </c:pt>
                <c:pt idx="58">
                  <c:v>49.315687774520768</c:v>
                </c:pt>
                <c:pt idx="59">
                  <c:v>66.752022919592591</c:v>
                </c:pt>
                <c:pt idx="60">
                  <c:v>76.403098060116932</c:v>
                </c:pt>
                <c:pt idx="61">
                  <c:v>73.153318845444545</c:v>
                </c:pt>
                <c:pt idx="62">
                  <c:v>49.35141276134393</c:v>
                </c:pt>
                <c:pt idx="63">
                  <c:v>71.138736326635694</c:v>
                </c:pt>
                <c:pt idx="64">
                  <c:v>69.598282511115485</c:v>
                </c:pt>
                <c:pt idx="65">
                  <c:v>70.246944652386318</c:v>
                </c:pt>
              </c:numCache>
            </c:numRef>
          </c:xVal>
          <c:yVal>
            <c:numRef>
              <c:f>'Ex.5.5'!$Z$27:$Z$92</c:f>
              <c:numCache>
                <c:formatCode>General</c:formatCode>
                <c:ptCount val="66"/>
                <c:pt idx="0">
                  <c:v>-6.0478927121522403</c:v>
                </c:pt>
                <c:pt idx="1">
                  <c:v>-5.174694402997666</c:v>
                </c:pt>
                <c:pt idx="2">
                  <c:v>-14.398836736424215</c:v>
                </c:pt>
                <c:pt idx="3">
                  <c:v>-4.855197766551079</c:v>
                </c:pt>
                <c:pt idx="4">
                  <c:v>-8.6458812304809669</c:v>
                </c:pt>
                <c:pt idx="5">
                  <c:v>-1.792128800781299</c:v>
                </c:pt>
                <c:pt idx="6">
                  <c:v>0.63163232610397557</c:v>
                </c:pt>
                <c:pt idx="7">
                  <c:v>-3.3367763810919655</c:v>
                </c:pt>
                <c:pt idx="8">
                  <c:v>-13.076386140222098</c:v>
                </c:pt>
                <c:pt idx="9">
                  <c:v>0.96094392419564656</c:v>
                </c:pt>
                <c:pt idx="10">
                  <c:v>7.7727184450862836</c:v>
                </c:pt>
                <c:pt idx="11">
                  <c:v>2.0816688541907524</c:v>
                </c:pt>
                <c:pt idx="12">
                  <c:v>9.0405878160807518</c:v>
                </c:pt>
                <c:pt idx="13">
                  <c:v>5.9225195992871846</c:v>
                </c:pt>
                <c:pt idx="14">
                  <c:v>2.8547560762439872</c:v>
                </c:pt>
                <c:pt idx="15">
                  <c:v>5.1931017803242554</c:v>
                </c:pt>
                <c:pt idx="16">
                  <c:v>-5.2327049096829086</c:v>
                </c:pt>
                <c:pt idx="17">
                  <c:v>3.2715186914916075</c:v>
                </c:pt>
                <c:pt idx="18">
                  <c:v>-3.5486618891010551</c:v>
                </c:pt>
                <c:pt idx="19">
                  <c:v>-0.97066918285156589</c:v>
                </c:pt>
                <c:pt idx="20">
                  <c:v>4.8032759256785482</c:v>
                </c:pt>
                <c:pt idx="21">
                  <c:v>-4.5435183058892648</c:v>
                </c:pt>
                <c:pt idx="22">
                  <c:v>-4.3051144303282172</c:v>
                </c:pt>
                <c:pt idx="23">
                  <c:v>-1.1564269680079349</c:v>
                </c:pt>
                <c:pt idx="24">
                  <c:v>4.2528532493819284</c:v>
                </c:pt>
                <c:pt idx="25">
                  <c:v>-0.4537887013710673</c:v>
                </c:pt>
                <c:pt idx="26">
                  <c:v>-9.0792757954520908</c:v>
                </c:pt>
                <c:pt idx="27">
                  <c:v>4.0622025445068104</c:v>
                </c:pt>
                <c:pt idx="28">
                  <c:v>4.8210840644341744</c:v>
                </c:pt>
                <c:pt idx="29">
                  <c:v>-1.3307014887202655</c:v>
                </c:pt>
                <c:pt idx="30">
                  <c:v>-4.3014057236314329</c:v>
                </c:pt>
                <c:pt idx="31">
                  <c:v>5.8046588981285083</c:v>
                </c:pt>
                <c:pt idx="32">
                  <c:v>1.2658150918767319</c:v>
                </c:pt>
                <c:pt idx="33">
                  <c:v>1.8225616226128523</c:v>
                </c:pt>
                <c:pt idx="34">
                  <c:v>1.3990383541532907</c:v>
                </c:pt>
                <c:pt idx="35">
                  <c:v>5.1798690434852546</c:v>
                </c:pt>
                <c:pt idx="36">
                  <c:v>-2.1860899387351651</c:v>
                </c:pt>
                <c:pt idx="37">
                  <c:v>2.1037163068191802</c:v>
                </c:pt>
                <c:pt idx="38">
                  <c:v>0.59051440796717714</c:v>
                </c:pt>
                <c:pt idx="39">
                  <c:v>-3.8002130409920198</c:v>
                </c:pt>
                <c:pt idx="40">
                  <c:v>2.5387504739786948</c:v>
                </c:pt>
                <c:pt idx="41">
                  <c:v>-3.0046346743904309</c:v>
                </c:pt>
                <c:pt idx="42">
                  <c:v>-3.5245764499058652</c:v>
                </c:pt>
                <c:pt idx="43">
                  <c:v>-0.92807383813547517</c:v>
                </c:pt>
                <c:pt idx="44">
                  <c:v>-3.505421599998769</c:v>
                </c:pt>
                <c:pt idx="45">
                  <c:v>4.5388427832705247</c:v>
                </c:pt>
                <c:pt idx="46">
                  <c:v>-3.335314389635414</c:v>
                </c:pt>
                <c:pt idx="47">
                  <c:v>11.797308265693864</c:v>
                </c:pt>
                <c:pt idx="48">
                  <c:v>2.6657667491195127</c:v>
                </c:pt>
                <c:pt idx="49">
                  <c:v>-2.3570397305599542</c:v>
                </c:pt>
                <c:pt idx="50">
                  <c:v>6.38590716849491</c:v>
                </c:pt>
                <c:pt idx="51">
                  <c:v>4.3470218175040145</c:v>
                </c:pt>
                <c:pt idx="52">
                  <c:v>2.6918249280811324E-2</c:v>
                </c:pt>
                <c:pt idx="53">
                  <c:v>-1.6954362078184886</c:v>
                </c:pt>
                <c:pt idx="54">
                  <c:v>1.3669680602599925</c:v>
                </c:pt>
                <c:pt idx="55">
                  <c:v>3.097506153749066</c:v>
                </c:pt>
                <c:pt idx="56">
                  <c:v>3.7224042898049348</c:v>
                </c:pt>
                <c:pt idx="57">
                  <c:v>0.59663493924678335</c:v>
                </c:pt>
                <c:pt idx="58">
                  <c:v>-9.8389006743646021</c:v>
                </c:pt>
                <c:pt idx="59">
                  <c:v>2.5253960659034362</c:v>
                </c:pt>
                <c:pt idx="60">
                  <c:v>-1.3961744502964422</c:v>
                </c:pt>
                <c:pt idx="61">
                  <c:v>3.5733867527549705</c:v>
                </c:pt>
                <c:pt idx="62">
                  <c:v>7.5770655780061915</c:v>
                </c:pt>
                <c:pt idx="63">
                  <c:v>-0.96058648210045305</c:v>
                </c:pt>
                <c:pt idx="64">
                  <c:v>0.18760867355410937</c:v>
                </c:pt>
                <c:pt idx="65">
                  <c:v>-0.46105346771672373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10720"/>
        <c:axId val="98512896"/>
      </c:scatterChart>
      <c:valAx>
        <c:axId val="98510720"/>
        <c:scaling>
          <c:orientation val="minMax"/>
          <c:min val="4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512896"/>
        <c:crosses val="autoZero"/>
        <c:crossBetween val="midCat"/>
      </c:valAx>
      <c:valAx>
        <c:axId val="98512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5107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6144049662965061"/>
          <c:y val="0.52470662343677621"/>
          <c:w val="0.98818610079755065"/>
          <c:h val="0.595294858730893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120650</xdr:rowOff>
    </xdr:from>
    <xdr:to>
      <xdr:col>6</xdr:col>
      <xdr:colOff>38100</xdr:colOff>
      <xdr:row>16</xdr:row>
      <xdr:rowOff>44450</xdr:rowOff>
    </xdr:to>
    <xdr:graphicFrame macro="">
      <xdr:nvGraphicFramePr>
        <xdr:cNvPr id="410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209550</xdr:colOff>
      <xdr:row>17</xdr:row>
      <xdr:rowOff>0</xdr:rowOff>
    </xdr:from>
    <xdr:to>
      <xdr:col>6</xdr:col>
      <xdr:colOff>69850</xdr:colOff>
      <xdr:row>32</xdr:row>
      <xdr:rowOff>127000</xdr:rowOff>
    </xdr:to>
    <xdr:graphicFrame macro="">
      <xdr:nvGraphicFramePr>
        <xdr:cNvPr id="410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</xdr:row>
      <xdr:rowOff>12700</xdr:rowOff>
    </xdr:from>
    <xdr:to>
      <xdr:col>17</xdr:col>
      <xdr:colOff>400050</xdr:colOff>
      <xdr:row>16</xdr:row>
      <xdr:rowOff>57150</xdr:rowOff>
    </xdr:to>
    <xdr:graphicFrame macro="">
      <xdr:nvGraphicFramePr>
        <xdr:cNvPr id="10957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0.1765</cdr:x>
      <cdr:y>0.09568</cdr:y>
    </cdr:from>
    <cdr:to>
      <cdr:x>0.93595</cdr:x>
      <cdr:y>0.71878</cdr:y>
    </cdr:to>
    <cdr:sp macro="" textlink="">
      <cdr:nvSpPr>
        <cdr:cNvPr id="11059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28745" y="222979"/>
          <a:ext cx="2705442" cy="145209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0</xdr:row>
      <xdr:rowOff>114300</xdr:rowOff>
    </xdr:from>
    <xdr:to>
      <xdr:col>9</xdr:col>
      <xdr:colOff>527050</xdr:colOff>
      <xdr:row>14</xdr:row>
      <xdr:rowOff>158750</xdr:rowOff>
    </xdr:to>
    <xdr:graphicFrame macro="">
      <xdr:nvGraphicFramePr>
        <xdr:cNvPr id="11265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209550</xdr:colOff>
      <xdr:row>0</xdr:row>
      <xdr:rowOff>50800</xdr:rowOff>
    </xdr:from>
    <xdr:to>
      <xdr:col>28</xdr:col>
      <xdr:colOff>0</xdr:colOff>
      <xdr:row>14</xdr:row>
      <xdr:rowOff>101600</xdr:rowOff>
    </xdr:to>
    <xdr:graphicFrame macro="">
      <xdr:nvGraphicFramePr>
        <xdr:cNvPr id="11265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120650</xdr:colOff>
      <xdr:row>23</xdr:row>
      <xdr:rowOff>107950</xdr:rowOff>
    </xdr:from>
    <xdr:to>
      <xdr:col>48</xdr:col>
      <xdr:colOff>0</xdr:colOff>
      <xdr:row>40</xdr:row>
      <xdr:rowOff>114300</xdr:rowOff>
    </xdr:to>
    <xdr:graphicFrame macro="">
      <xdr:nvGraphicFramePr>
        <xdr:cNvPr id="11265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209550</xdr:colOff>
      <xdr:row>23</xdr:row>
      <xdr:rowOff>133350</xdr:rowOff>
    </xdr:from>
    <xdr:to>
      <xdr:col>55</xdr:col>
      <xdr:colOff>304800</xdr:colOff>
      <xdr:row>40</xdr:row>
      <xdr:rowOff>152400</xdr:rowOff>
    </xdr:to>
    <xdr:graphicFrame macro="">
      <xdr:nvGraphicFramePr>
        <xdr:cNvPr id="11265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45</xdr:row>
      <xdr:rowOff>120650</xdr:rowOff>
    </xdr:from>
    <xdr:to>
      <xdr:col>10</xdr:col>
      <xdr:colOff>0</xdr:colOff>
      <xdr:row>62</xdr:row>
      <xdr:rowOff>127000</xdr:rowOff>
    </xdr:to>
    <xdr:graphicFrame macro="">
      <xdr:nvGraphicFramePr>
        <xdr:cNvPr id="112655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0.2091</cdr:x>
      <cdr:y>0.5746</cdr:y>
    </cdr:from>
    <cdr:to>
      <cdr:x>0.42216</cdr:x>
      <cdr:y>0.63661</cdr:y>
    </cdr:to>
    <cdr:sp macro="" textlink="">
      <cdr:nvSpPr>
        <cdr:cNvPr id="11571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65880" y="1588810"/>
          <a:ext cx="882229" cy="1714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Fitted trendline</a:t>
          </a:r>
        </a:p>
      </cdr:txBody>
    </cdr:sp>
  </cdr:relSizeAnchor>
  <cdr:relSizeAnchor xmlns:cdr="http://schemas.openxmlformats.org/drawingml/2006/chartDrawing">
    <cdr:from>
      <cdr:x>0.10421</cdr:x>
      <cdr:y>0.70359</cdr:y>
    </cdr:from>
    <cdr:to>
      <cdr:x>0.52705</cdr:x>
      <cdr:y>0.7656</cdr:y>
    </cdr:to>
    <cdr:sp macro="" textlink="">
      <cdr:nvSpPr>
        <cdr:cNvPr id="11571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1530" y="1945477"/>
          <a:ext cx="1750929" cy="1714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95% confidence interval of line</a:t>
          </a:r>
        </a:p>
      </cdr:txBody>
    </cdr:sp>
  </cdr:relSizeAnchor>
  <cdr:relSizeAnchor xmlns:cdr="http://schemas.openxmlformats.org/drawingml/2006/chartDrawing">
    <cdr:from>
      <cdr:x>0.20442</cdr:x>
      <cdr:y>0.59795</cdr:y>
    </cdr:from>
    <cdr:to>
      <cdr:x>0.301</cdr:x>
      <cdr:y>0.59795</cdr:y>
    </cdr:to>
    <cdr:sp macro="" textlink="">
      <cdr:nvSpPr>
        <cdr:cNvPr id="115715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847655" y="1625098"/>
          <a:ext cx="4004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  <cdr:relSizeAnchor xmlns:cdr="http://schemas.openxmlformats.org/drawingml/2006/chartDrawing">
    <cdr:from>
      <cdr:x>0.20442</cdr:x>
      <cdr:y>0.73127</cdr:y>
    </cdr:from>
    <cdr:to>
      <cdr:x>0.301</cdr:x>
      <cdr:y>0.73127</cdr:y>
    </cdr:to>
    <cdr:sp macro="" textlink="">
      <cdr:nvSpPr>
        <cdr:cNvPr id="115716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847655" y="1987442"/>
          <a:ext cx="40045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0.20713</cdr:x>
      <cdr:y>0.57919</cdr:y>
    </cdr:from>
    <cdr:to>
      <cdr:x>0.41925</cdr:x>
      <cdr:y>0.64091</cdr:y>
    </cdr:to>
    <cdr:sp macro="" textlink="">
      <cdr:nvSpPr>
        <cdr:cNvPr id="11673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61522" y="1608858"/>
          <a:ext cx="882229" cy="1714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Fitted trendline</a:t>
          </a:r>
        </a:p>
      </cdr:txBody>
    </cdr:sp>
  </cdr:relSizeAnchor>
  <cdr:relSizeAnchor xmlns:cdr="http://schemas.openxmlformats.org/drawingml/2006/chartDrawing">
    <cdr:from>
      <cdr:x>0.06167</cdr:x>
      <cdr:y>0.71037</cdr:y>
    </cdr:from>
    <cdr:to>
      <cdr:x>0.56617</cdr:x>
      <cdr:y>0.77209</cdr:y>
    </cdr:to>
    <cdr:sp macro="" textlink="">
      <cdr:nvSpPr>
        <cdr:cNvPr id="11673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6507" y="1973246"/>
          <a:ext cx="2098331" cy="1714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95% confidence interval of prediction</a:t>
          </a:r>
        </a:p>
      </cdr:txBody>
    </cdr:sp>
  </cdr:relSizeAnchor>
  <cdr:relSizeAnchor xmlns:cdr="http://schemas.openxmlformats.org/drawingml/2006/chartDrawing">
    <cdr:from>
      <cdr:x>0.2015</cdr:x>
      <cdr:y>0.60278</cdr:y>
    </cdr:from>
    <cdr:to>
      <cdr:x>0.29832</cdr:x>
      <cdr:y>0.60278</cdr:y>
    </cdr:to>
    <cdr:sp macro="" textlink="">
      <cdr:nvSpPr>
        <cdr:cNvPr id="11673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835520" y="1645885"/>
          <a:ext cx="40146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  <cdr:relSizeAnchor xmlns:cdr="http://schemas.openxmlformats.org/drawingml/2006/chartDrawing">
    <cdr:from>
      <cdr:x>0.2015</cdr:x>
      <cdr:y>0.73685</cdr:y>
    </cdr:from>
    <cdr:to>
      <cdr:x>0.29832</cdr:x>
      <cdr:y>0.73685</cdr:y>
    </cdr:to>
    <cdr:sp macro="" textlink="">
      <cdr:nvSpPr>
        <cdr:cNvPr id="116740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835520" y="2011959"/>
          <a:ext cx="40146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527050</xdr:colOff>
      <xdr:row>27</xdr:row>
      <xdr:rowOff>57150</xdr:rowOff>
    </xdr:from>
    <xdr:to>
      <xdr:col>14</xdr:col>
      <xdr:colOff>260350</xdr:colOff>
      <xdr:row>42</xdr:row>
      <xdr:rowOff>6350</xdr:rowOff>
    </xdr:to>
    <xdr:graphicFrame macro="">
      <xdr:nvGraphicFramePr>
        <xdr:cNvPr id="11776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571500</xdr:colOff>
      <xdr:row>27</xdr:row>
      <xdr:rowOff>6350</xdr:rowOff>
    </xdr:from>
    <xdr:to>
      <xdr:col>24</xdr:col>
      <xdr:colOff>438150</xdr:colOff>
      <xdr:row>41</xdr:row>
      <xdr:rowOff>139700</xdr:rowOff>
    </xdr:to>
    <xdr:graphicFrame macro="">
      <xdr:nvGraphicFramePr>
        <xdr:cNvPr id="11776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139700</xdr:colOff>
      <xdr:row>16</xdr:row>
      <xdr:rowOff>76200</xdr:rowOff>
    </xdr:from>
    <xdr:to>
      <xdr:col>65</xdr:col>
      <xdr:colOff>241300</xdr:colOff>
      <xdr:row>32</xdr:row>
      <xdr:rowOff>101600</xdr:rowOff>
    </xdr:to>
    <xdr:graphicFrame macro="">
      <xdr:nvGraphicFramePr>
        <xdr:cNvPr id="11776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527050</xdr:colOff>
      <xdr:row>80</xdr:row>
      <xdr:rowOff>95250</xdr:rowOff>
    </xdr:from>
    <xdr:to>
      <xdr:col>29</xdr:col>
      <xdr:colOff>184150</xdr:colOff>
      <xdr:row>97</xdr:row>
      <xdr:rowOff>76200</xdr:rowOff>
    </xdr:to>
    <xdr:graphicFrame macro="">
      <xdr:nvGraphicFramePr>
        <xdr:cNvPr id="11777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0.11103</cdr:x>
      <cdr:y>0.58967</cdr:y>
    </cdr:from>
    <cdr:to>
      <cdr:x>0.96388</cdr:x>
      <cdr:y>0.58967</cdr:y>
    </cdr:to>
    <cdr:sp macro="" textlink="">
      <cdr:nvSpPr>
        <cdr:cNvPr id="118785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41452" y="1377950"/>
          <a:ext cx="415919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  <cdr:relSizeAnchor xmlns:cdr="http://schemas.openxmlformats.org/drawingml/2006/chartDrawing">
    <cdr:from>
      <cdr:x>0.10882</cdr:x>
      <cdr:y>0.16522</cdr:y>
    </cdr:from>
    <cdr:to>
      <cdr:x>0.96168</cdr:x>
      <cdr:y>0.16522</cdr:y>
    </cdr:to>
    <cdr:sp macro="" textlink="">
      <cdr:nvSpPr>
        <cdr:cNvPr id="11878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30708" y="386080"/>
          <a:ext cx="415919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0.10989</cdr:x>
      <cdr:y>0.6524</cdr:y>
    </cdr:from>
    <cdr:to>
      <cdr:x>0.96456</cdr:x>
      <cdr:y>0.6524</cdr:y>
    </cdr:to>
    <cdr:sp macro="" textlink="">
      <cdr:nvSpPr>
        <cdr:cNvPr id="11980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46368" y="1541101"/>
          <a:ext cx="4249468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  <cdr:relSizeAnchor xmlns:cdr="http://schemas.openxmlformats.org/drawingml/2006/chartDrawing">
    <cdr:from>
      <cdr:x>0.10719</cdr:x>
      <cdr:y>0.17702</cdr:y>
    </cdr:from>
    <cdr:to>
      <cdr:x>0.96236</cdr:x>
      <cdr:y>0.17702</cdr:y>
    </cdr:to>
    <cdr:sp macro="" textlink="">
      <cdr:nvSpPr>
        <cdr:cNvPr id="11981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32975" y="418148"/>
          <a:ext cx="425190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B1" sqref="B1:G13"/>
    </sheetView>
  </sheetViews>
  <sheetFormatPr defaultRowHeight="12.5"/>
  <cols>
    <col min="2" max="2" width="13.453125" bestFit="1" customWidth="1"/>
    <col min="3" max="3" width="16.453125" bestFit="1" customWidth="1"/>
    <col min="4" max="4" width="6.54296875" customWidth="1"/>
    <col min="5" max="5" width="15.26953125" customWidth="1"/>
    <col min="6" max="6" width="13" bestFit="1" customWidth="1"/>
    <col min="7" max="7" width="16" bestFit="1" customWidth="1"/>
  </cols>
  <sheetData>
    <row r="1" spans="2:7" ht="13">
      <c r="B1" s="7" t="s">
        <v>28</v>
      </c>
      <c r="C1" s="7" t="s">
        <v>29</v>
      </c>
      <c r="E1" s="7"/>
      <c r="F1" s="7"/>
    </row>
    <row r="2" spans="2:7">
      <c r="B2" s="9">
        <v>14.8</v>
      </c>
      <c r="C2" s="10">
        <v>317.6449534717251</v>
      </c>
      <c r="E2" s="9"/>
      <c r="F2" s="10"/>
    </row>
    <row r="3" spans="2:7">
      <c r="B3" s="9">
        <v>13.8</v>
      </c>
      <c r="C3" s="10">
        <v>492.12598425196853</v>
      </c>
    </row>
    <row r="4" spans="2:7">
      <c r="B4" s="9">
        <v>21.8</v>
      </c>
      <c r="C4" s="10">
        <v>469.75662133142441</v>
      </c>
    </row>
    <row r="5" spans="2:7" ht="13">
      <c r="B5" s="9">
        <v>26.8</v>
      </c>
      <c r="C5" s="10">
        <v>863.45740873299917</v>
      </c>
      <c r="E5" s="11" t="s">
        <v>95</v>
      </c>
    </row>
    <row r="6" spans="2:7" ht="13" thickBot="1">
      <c r="B6" s="9">
        <v>12.1</v>
      </c>
      <c r="C6" s="10">
        <v>152.11166785969934</v>
      </c>
      <c r="E6" s="9"/>
      <c r="F6" s="10"/>
    </row>
    <row r="7" spans="2:7" ht="13">
      <c r="B7" s="9">
        <v>15.6</v>
      </c>
      <c r="C7" s="10">
        <v>527.91696492483891</v>
      </c>
      <c r="E7" s="5"/>
      <c r="F7" s="5" t="s">
        <v>28</v>
      </c>
      <c r="G7" s="5" t="s">
        <v>29</v>
      </c>
    </row>
    <row r="8" spans="2:7">
      <c r="B8" s="9">
        <v>16.399999999999999</v>
      </c>
      <c r="C8" s="10">
        <v>407.12240515390113</v>
      </c>
      <c r="E8" s="3" t="s">
        <v>28</v>
      </c>
      <c r="F8" s="3">
        <v>1</v>
      </c>
      <c r="G8" s="3"/>
    </row>
    <row r="9" spans="2:7" ht="13" thickBot="1">
      <c r="B9" s="9">
        <v>20.8</v>
      </c>
      <c r="C9" s="10">
        <v>586.07730851825329</v>
      </c>
      <c r="E9" s="4" t="s">
        <v>29</v>
      </c>
      <c r="F9" s="4">
        <v>0.78464898046762888</v>
      </c>
      <c r="G9" s="4">
        <v>1</v>
      </c>
    </row>
    <row r="10" spans="2:7">
      <c r="B10" s="9">
        <v>12.5</v>
      </c>
      <c r="C10" s="10">
        <v>420.54402290622755</v>
      </c>
      <c r="E10" s="9"/>
      <c r="F10" s="10"/>
    </row>
    <row r="11" spans="2:7">
      <c r="B11" s="9">
        <v>18</v>
      </c>
      <c r="C11" s="10">
        <v>541.33858267716528</v>
      </c>
      <c r="E11" s="9"/>
      <c r="F11" s="10"/>
    </row>
    <row r="12" spans="2:7">
      <c r="B12" s="9">
        <v>13.9</v>
      </c>
      <c r="C12" s="10">
        <v>469.75662133142441</v>
      </c>
      <c r="E12" s="9"/>
      <c r="F12" s="10"/>
    </row>
    <row r="13" spans="2:7">
      <c r="B13" s="9">
        <v>13.9</v>
      </c>
      <c r="C13" s="10">
        <v>478.70436649964205</v>
      </c>
      <c r="E13" s="9"/>
      <c r="F13" s="10"/>
    </row>
    <row r="16" spans="2:7">
      <c r="B16" s="8" t="s">
        <v>79</v>
      </c>
      <c r="C16" s="73">
        <f>F9*SQRT(12-2)/SQRT(1-F9^2)</f>
        <v>4.0024465838326782</v>
      </c>
    </row>
    <row r="17" spans="2:3">
      <c r="B17" s="8" t="s">
        <v>80</v>
      </c>
      <c r="C17" s="73">
        <f>TDIST(C16,10,2)</f>
        <v>2.5084149798492148E-3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9"/>
  <sheetViews>
    <sheetView workbookViewId="0">
      <selection activeCell="B33" sqref="B33"/>
    </sheetView>
  </sheetViews>
  <sheetFormatPr defaultRowHeight="12.5"/>
  <cols>
    <col min="1" max="1" width="18.81640625" bestFit="1" customWidth="1"/>
    <col min="2" max="2" width="33" customWidth="1"/>
    <col min="3" max="3" width="6.26953125" customWidth="1"/>
    <col min="4" max="4" width="15.54296875" bestFit="1" customWidth="1"/>
    <col min="5" max="5" width="13" bestFit="1" customWidth="1"/>
    <col min="6" max="6" width="16" bestFit="1" customWidth="1"/>
    <col min="7" max="16" width="9.1796875" style="15" customWidth="1"/>
    <col min="17" max="17" width="16.453125" style="54" bestFit="1" customWidth="1"/>
    <col min="18" max="18" width="24.7265625" style="15" bestFit="1" customWidth="1"/>
    <col min="19" max="19" width="16.453125" style="54" bestFit="1" customWidth="1"/>
    <col min="20" max="30" width="9.1796875" style="15" customWidth="1"/>
    <col min="31" max="31" width="13.453125" style="15" bestFit="1" customWidth="1"/>
    <col min="32" max="32" width="16.453125" style="15" bestFit="1" customWidth="1"/>
    <col min="33" max="33" width="13.453125" style="15" bestFit="1" customWidth="1"/>
    <col min="34" max="62" width="9.1796875" style="15" customWidth="1"/>
  </cols>
  <sheetData>
    <row r="1" spans="1:33" ht="15" customHeight="1">
      <c r="A1" s="7" t="s">
        <v>81</v>
      </c>
      <c r="B1" s="7" t="s">
        <v>82</v>
      </c>
      <c r="D1" s="7"/>
      <c r="E1" s="7"/>
      <c r="G1" s="32"/>
      <c r="H1" s="84"/>
      <c r="I1" s="84"/>
      <c r="J1" s="84"/>
      <c r="Q1" s="13"/>
      <c r="R1" s="16"/>
      <c r="S1" s="13"/>
      <c r="AE1" s="13"/>
      <c r="AF1" s="13"/>
      <c r="AG1" s="13"/>
    </row>
    <row r="2" spans="1:33" ht="13">
      <c r="A2" s="9">
        <v>14.8</v>
      </c>
      <c r="B2" s="10">
        <v>317.6449534717251</v>
      </c>
      <c r="D2" s="9"/>
      <c r="E2" s="10"/>
      <c r="G2" s="28"/>
      <c r="H2" s="27"/>
      <c r="I2" s="25"/>
      <c r="J2" s="28"/>
      <c r="K2" s="48"/>
      <c r="Q2" s="52"/>
      <c r="R2" s="3"/>
      <c r="S2" s="52"/>
      <c r="AE2" s="51"/>
      <c r="AF2" s="52"/>
      <c r="AG2" s="51"/>
    </row>
    <row r="3" spans="1:33" ht="13">
      <c r="A3" s="9">
        <v>13.8</v>
      </c>
      <c r="B3" s="10">
        <v>492.12598425196853</v>
      </c>
      <c r="D3" s="74"/>
      <c r="E3" s="15"/>
      <c r="F3" s="15"/>
      <c r="G3" s="32"/>
      <c r="H3" s="32"/>
      <c r="I3" s="32"/>
      <c r="J3" s="32"/>
      <c r="Q3" s="52"/>
      <c r="R3" s="3"/>
      <c r="S3" s="52"/>
      <c r="U3" s="53"/>
      <c r="V3" s="53"/>
      <c r="AE3" s="51"/>
      <c r="AF3" s="52"/>
      <c r="AG3" s="51"/>
    </row>
    <row r="4" spans="1:33">
      <c r="A4" s="9">
        <v>21.8</v>
      </c>
      <c r="B4" s="10">
        <v>469.75662133142441</v>
      </c>
      <c r="D4" s="51"/>
      <c r="E4" s="52"/>
      <c r="F4" s="15"/>
      <c r="G4" s="25"/>
      <c r="H4" s="25"/>
      <c r="I4" s="25"/>
      <c r="J4" s="25"/>
      <c r="Q4" s="52"/>
      <c r="R4" s="3"/>
      <c r="S4" s="52"/>
      <c r="T4" s="51"/>
      <c r="U4" s="3"/>
      <c r="V4" s="3"/>
      <c r="AE4" s="51"/>
      <c r="AF4" s="52"/>
      <c r="AG4" s="51"/>
    </row>
    <row r="5" spans="1:33" ht="13">
      <c r="A5" s="9">
        <v>26.8</v>
      </c>
      <c r="B5" s="10">
        <v>863.45740873299917</v>
      </c>
      <c r="D5" s="16"/>
      <c r="E5" s="16"/>
      <c r="F5" s="16"/>
      <c r="G5" s="25"/>
      <c r="H5" s="25"/>
      <c r="I5" s="25"/>
      <c r="J5" s="25"/>
      <c r="Q5" s="52"/>
      <c r="R5" s="3"/>
      <c r="S5" s="52"/>
      <c r="T5" s="51"/>
      <c r="U5" s="3"/>
      <c r="V5" s="3"/>
      <c r="AE5" s="51"/>
      <c r="AF5" s="52"/>
      <c r="AG5" s="51"/>
    </row>
    <row r="6" spans="1:33">
      <c r="A6" s="9">
        <v>12.1</v>
      </c>
      <c r="B6" s="10">
        <v>152.11166785969934</v>
      </c>
      <c r="D6" s="3"/>
      <c r="E6" s="3"/>
      <c r="F6" s="3"/>
      <c r="G6" s="25"/>
      <c r="H6" s="25"/>
      <c r="I6" s="25"/>
      <c r="J6" s="25"/>
      <c r="Q6" s="52"/>
      <c r="R6" s="3"/>
      <c r="S6" s="52"/>
      <c r="T6" s="51"/>
      <c r="U6" s="3"/>
      <c r="V6" s="3"/>
      <c r="AE6" s="51"/>
      <c r="AF6" s="52"/>
      <c r="AG6" s="51"/>
    </row>
    <row r="7" spans="1:33">
      <c r="A7" s="9">
        <v>15.6</v>
      </c>
      <c r="B7" s="10">
        <v>527.91696492483891</v>
      </c>
      <c r="D7" s="3"/>
      <c r="E7" s="3"/>
      <c r="F7" s="3"/>
      <c r="G7" s="25"/>
      <c r="H7" s="25"/>
      <c r="I7" s="25"/>
      <c r="J7" s="25"/>
      <c r="Q7" s="52"/>
      <c r="R7" s="3"/>
      <c r="S7" s="52"/>
      <c r="T7" s="51"/>
      <c r="U7" s="3"/>
      <c r="V7" s="3"/>
      <c r="AE7" s="51"/>
      <c r="AF7" s="52"/>
      <c r="AG7" s="51"/>
    </row>
    <row r="8" spans="1:33">
      <c r="A8" s="9">
        <v>16.399999999999999</v>
      </c>
      <c r="B8" s="10">
        <v>407.12240515390113</v>
      </c>
      <c r="D8" s="15"/>
      <c r="E8" s="15"/>
      <c r="F8" s="15"/>
      <c r="G8" s="25"/>
      <c r="H8" s="25"/>
      <c r="I8" s="25"/>
      <c r="J8" s="25"/>
      <c r="Q8" s="52"/>
      <c r="R8" s="3"/>
      <c r="S8" s="52"/>
      <c r="T8" s="51"/>
      <c r="U8" s="3"/>
      <c r="V8" s="3"/>
      <c r="AE8" s="51"/>
      <c r="AF8" s="52"/>
      <c r="AG8" s="51"/>
    </row>
    <row r="9" spans="1:33">
      <c r="A9" s="9">
        <v>20.8</v>
      </c>
      <c r="B9" s="10">
        <v>586.07730851825329</v>
      </c>
      <c r="D9" s="15"/>
      <c r="E9" s="15"/>
      <c r="F9" s="15"/>
      <c r="G9" s="25"/>
      <c r="H9" s="25"/>
      <c r="I9" s="25"/>
      <c r="J9" s="25"/>
      <c r="Q9" s="52"/>
      <c r="R9" s="3"/>
      <c r="S9" s="52"/>
      <c r="T9" s="51"/>
      <c r="AE9" s="51"/>
      <c r="AF9" s="52"/>
      <c r="AG9" s="51"/>
    </row>
    <row r="10" spans="1:33">
      <c r="A10" s="9">
        <v>12.5</v>
      </c>
      <c r="B10" s="10">
        <v>420.54402290622755</v>
      </c>
      <c r="D10" s="51"/>
      <c r="E10" s="52"/>
      <c r="F10" s="15"/>
      <c r="G10" s="25"/>
      <c r="H10" s="25"/>
      <c r="I10" s="25"/>
      <c r="J10" s="25"/>
      <c r="Q10" s="52"/>
      <c r="R10" s="3"/>
      <c r="S10" s="52"/>
      <c r="T10" s="51"/>
      <c r="AE10" s="51"/>
      <c r="AF10" s="52"/>
      <c r="AG10" s="51"/>
    </row>
    <row r="11" spans="1:33" ht="13">
      <c r="A11" s="9">
        <v>18</v>
      </c>
      <c r="B11" s="10">
        <v>541.33858267716528</v>
      </c>
      <c r="D11" s="9"/>
      <c r="E11" s="10"/>
      <c r="G11" s="25"/>
      <c r="H11" s="25"/>
      <c r="I11" s="25"/>
      <c r="J11" s="25"/>
      <c r="Q11" s="52"/>
      <c r="R11" s="3"/>
      <c r="S11" s="52"/>
      <c r="T11" s="51"/>
      <c r="U11" s="16"/>
      <c r="V11" s="16"/>
      <c r="W11" s="16"/>
      <c r="X11" s="16"/>
      <c r="Y11" s="16"/>
      <c r="Z11" s="16"/>
      <c r="AE11" s="51"/>
      <c r="AF11" s="52"/>
      <c r="AG11" s="51"/>
    </row>
    <row r="12" spans="1:33">
      <c r="A12" s="9">
        <v>13.9</v>
      </c>
      <c r="B12" s="10">
        <v>469.75662133142441</v>
      </c>
      <c r="D12" s="9"/>
      <c r="E12" s="10"/>
      <c r="G12" s="25"/>
      <c r="H12" s="25"/>
      <c r="I12" s="25"/>
      <c r="J12" s="25"/>
      <c r="Q12" s="52"/>
      <c r="R12" s="3"/>
      <c r="S12" s="52"/>
      <c r="T12" s="51"/>
      <c r="U12" s="3"/>
      <c r="V12" s="3"/>
      <c r="W12" s="3"/>
      <c r="X12" s="3"/>
      <c r="Y12" s="3"/>
      <c r="Z12" s="3"/>
      <c r="AE12" s="51"/>
      <c r="AF12" s="52"/>
      <c r="AG12" s="51"/>
    </row>
    <row r="13" spans="1:33">
      <c r="A13" s="9">
        <v>13.9</v>
      </c>
      <c r="B13" s="10">
        <v>478.70436649964205</v>
      </c>
      <c r="D13" s="9"/>
      <c r="E13" s="10"/>
      <c r="G13" s="25"/>
      <c r="H13" s="25"/>
      <c r="I13" s="25"/>
      <c r="J13" s="25"/>
      <c r="Q13" s="52"/>
      <c r="R13" s="3"/>
      <c r="S13" s="52"/>
      <c r="T13" s="51"/>
      <c r="U13" s="3"/>
      <c r="V13" s="3"/>
      <c r="W13" s="3"/>
      <c r="X13" s="3"/>
      <c r="Y13" s="3"/>
      <c r="Z13" s="3"/>
      <c r="AE13" s="51"/>
      <c r="AF13" s="52"/>
      <c r="AG13" s="51"/>
    </row>
    <row r="14" spans="1:33">
      <c r="G14" s="25"/>
      <c r="H14" s="25"/>
      <c r="I14" s="25"/>
      <c r="J14" s="25"/>
      <c r="Q14" s="51"/>
      <c r="R14" s="51"/>
      <c r="S14" s="51"/>
      <c r="T14" s="51"/>
      <c r="U14" s="3"/>
      <c r="V14" s="3"/>
      <c r="W14" s="3"/>
      <c r="X14" s="3"/>
      <c r="Y14" s="3"/>
      <c r="Z14" s="3"/>
    </row>
    <row r="15" spans="1:33">
      <c r="G15" s="25"/>
      <c r="H15" s="25"/>
      <c r="I15" s="25"/>
      <c r="J15" s="25"/>
      <c r="Q15" s="51"/>
      <c r="R15" s="51"/>
      <c r="S15" s="51"/>
      <c r="T15" s="51"/>
    </row>
    <row r="16" spans="1:33" ht="13">
      <c r="A16" s="8"/>
      <c r="B16" s="2"/>
      <c r="G16" s="25"/>
      <c r="H16" s="25"/>
      <c r="I16" s="25"/>
      <c r="J16" s="25"/>
      <c r="Q16" s="51"/>
      <c r="R16" s="51"/>
      <c r="S16" s="51"/>
      <c r="T16" s="51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>
      <c r="A17" s="8"/>
      <c r="B17" s="2"/>
      <c r="G17" s="25"/>
      <c r="H17" s="25"/>
      <c r="I17" s="25"/>
      <c r="J17" s="25"/>
      <c r="Q17" s="51"/>
      <c r="R17" s="51"/>
      <c r="S17" s="51"/>
      <c r="T17" s="51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G18" s="25"/>
      <c r="H18" s="25"/>
      <c r="I18" s="25"/>
      <c r="J18" s="25"/>
      <c r="Q18" s="51"/>
      <c r="R18" s="51"/>
      <c r="S18" s="51"/>
      <c r="T18" s="51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G19" s="41"/>
      <c r="H19" s="41"/>
      <c r="I19" s="41"/>
      <c r="J19" s="47"/>
    </row>
    <row r="20" spans="1:29" ht="13">
      <c r="A20" s="7"/>
      <c r="B20" s="7"/>
      <c r="G20" s="41"/>
      <c r="H20" s="41"/>
      <c r="I20" s="41"/>
      <c r="J20" s="47"/>
    </row>
    <row r="21" spans="1:29" ht="13">
      <c r="A21" s="12"/>
      <c r="B21" s="11"/>
      <c r="G21" s="41"/>
      <c r="H21" s="41"/>
      <c r="I21" s="41"/>
      <c r="J21" s="47"/>
    </row>
    <row r="22" spans="1:29">
      <c r="A22" s="9"/>
      <c r="B22" s="10"/>
      <c r="G22" s="41"/>
      <c r="H22" s="41"/>
      <c r="I22" s="41"/>
      <c r="J22" s="47"/>
    </row>
    <row r="23" spans="1:29">
      <c r="A23" s="9"/>
      <c r="B23" s="10"/>
      <c r="G23" s="25"/>
    </row>
    <row r="24" spans="1:29">
      <c r="A24" s="9"/>
      <c r="B24" s="10"/>
    </row>
    <row r="25" spans="1:29" ht="13">
      <c r="A25" s="9"/>
      <c r="B25" s="10"/>
      <c r="U25" s="53"/>
      <c r="V25" s="53"/>
    </row>
    <row r="26" spans="1:29">
      <c r="A26" s="9"/>
      <c r="B26" s="10"/>
      <c r="U26" s="3"/>
      <c r="V26" s="3"/>
    </row>
    <row r="27" spans="1:29">
      <c r="A27" s="9"/>
      <c r="B27" s="10"/>
      <c r="D27" s="15"/>
      <c r="E27" s="15"/>
      <c r="F27" s="15"/>
      <c r="U27" s="3"/>
      <c r="V27" s="3"/>
    </row>
    <row r="28" spans="1:29" ht="13">
      <c r="A28" s="9"/>
      <c r="B28" s="10"/>
      <c r="D28" s="53"/>
      <c r="E28" s="53"/>
      <c r="F28" s="15"/>
      <c r="U28" s="3"/>
      <c r="V28" s="3"/>
    </row>
    <row r="29" spans="1:29">
      <c r="A29" s="9"/>
      <c r="B29" s="10"/>
      <c r="D29" s="3"/>
      <c r="E29" s="3"/>
      <c r="F29" s="15"/>
      <c r="U29" s="3"/>
      <c r="V29" s="3"/>
    </row>
    <row r="30" spans="1:29">
      <c r="A30" s="9"/>
      <c r="B30" s="10"/>
      <c r="D30" s="3"/>
      <c r="E30" s="3"/>
      <c r="F30" s="15"/>
      <c r="U30" s="3"/>
      <c r="V30" s="3"/>
    </row>
    <row r="31" spans="1:29">
      <c r="A31" s="9"/>
      <c r="B31" s="10"/>
      <c r="D31" s="3"/>
      <c r="E31" s="3"/>
      <c r="F31" s="15"/>
    </row>
    <row r="32" spans="1:29">
      <c r="A32" s="9"/>
      <c r="B32" s="10"/>
      <c r="D32" s="3"/>
      <c r="E32" s="3"/>
      <c r="F32" s="15"/>
    </row>
    <row r="33" spans="1:29" ht="13">
      <c r="A33" s="9"/>
      <c r="B33" s="10"/>
      <c r="D33" s="3"/>
      <c r="E33" s="3"/>
      <c r="F33" s="15"/>
      <c r="U33" s="16"/>
      <c r="V33" s="16"/>
      <c r="W33" s="16"/>
      <c r="X33" s="16"/>
      <c r="Y33" s="16"/>
      <c r="Z33" s="16"/>
    </row>
    <row r="34" spans="1:29">
      <c r="D34" s="3"/>
      <c r="E34" s="3"/>
      <c r="F34" s="15"/>
      <c r="U34" s="3"/>
      <c r="V34" s="3"/>
      <c r="W34" s="3"/>
      <c r="X34" s="3"/>
      <c r="Y34" s="3"/>
      <c r="Z34" s="3"/>
    </row>
    <row r="35" spans="1:29">
      <c r="D35" s="3"/>
      <c r="E35" s="3"/>
      <c r="F35" s="15"/>
      <c r="U35" s="3"/>
      <c r="V35" s="3"/>
      <c r="W35" s="3"/>
      <c r="X35" s="3"/>
      <c r="Y35" s="3"/>
      <c r="Z35" s="3"/>
    </row>
    <row r="36" spans="1:29">
      <c r="D36" s="3"/>
      <c r="E36" s="3"/>
      <c r="F36" s="15"/>
      <c r="U36" s="3"/>
      <c r="V36" s="3"/>
      <c r="W36" s="3"/>
      <c r="X36" s="3"/>
      <c r="Y36" s="3"/>
      <c r="Z36" s="3"/>
    </row>
    <row r="37" spans="1:29">
      <c r="D37" s="3"/>
      <c r="E37" s="3"/>
      <c r="F37" s="15"/>
    </row>
    <row r="38" spans="1:29" ht="13">
      <c r="D38" s="3"/>
      <c r="E38" s="3"/>
      <c r="F38" s="15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>
      <c r="D39" s="3"/>
      <c r="E39" s="3"/>
      <c r="F39" s="15"/>
      <c r="U39" s="3"/>
      <c r="V39" s="3"/>
      <c r="W39" s="3"/>
      <c r="X39" s="3"/>
      <c r="Y39" s="3"/>
      <c r="Z39" s="3"/>
      <c r="AA39" s="3"/>
      <c r="AB39" s="3"/>
      <c r="AC39" s="3"/>
    </row>
    <row r="40" spans="1:29">
      <c r="D40" s="3"/>
      <c r="E40" s="3"/>
      <c r="F40" s="15"/>
      <c r="U40" s="3"/>
      <c r="V40" s="3"/>
      <c r="W40" s="3"/>
      <c r="X40" s="3"/>
      <c r="Y40" s="3"/>
      <c r="Z40" s="3"/>
      <c r="AA40" s="3"/>
      <c r="AB40" s="3"/>
      <c r="AC40" s="3"/>
    </row>
    <row r="41" spans="1:29">
      <c r="D41" s="3"/>
      <c r="E41" s="3"/>
      <c r="F41" s="15"/>
    </row>
    <row r="42" spans="1:29">
      <c r="D42" s="3"/>
      <c r="E42" s="3"/>
      <c r="F42" s="15"/>
    </row>
    <row r="43" spans="1:29">
      <c r="D43" s="3"/>
      <c r="E43" s="3"/>
      <c r="F43" s="15"/>
    </row>
    <row r="44" spans="1:29">
      <c r="D44" s="15"/>
      <c r="E44" s="15"/>
      <c r="F44" s="15"/>
    </row>
    <row r="45" spans="1:29">
      <c r="D45" s="15"/>
      <c r="E45" s="15"/>
      <c r="F45" s="15"/>
    </row>
    <row r="46" spans="1:29">
      <c r="D46" s="15"/>
      <c r="E46" s="15"/>
      <c r="F46" s="15"/>
    </row>
    <row r="47" spans="1:29">
      <c r="D47" s="15"/>
      <c r="E47" s="15"/>
      <c r="F47" s="15"/>
    </row>
    <row r="48" spans="1:29">
      <c r="D48" s="15"/>
      <c r="E48" s="15"/>
      <c r="F48" s="15"/>
    </row>
    <row r="49" spans="4:6">
      <c r="D49" s="15"/>
      <c r="E49" s="15"/>
      <c r="F49" s="15"/>
    </row>
    <row r="50" spans="4:6">
      <c r="D50" s="15"/>
      <c r="E50" s="15"/>
      <c r="F50" s="15"/>
    </row>
    <row r="51" spans="4:6">
      <c r="D51" s="15"/>
      <c r="E51" s="15"/>
      <c r="F51" s="15"/>
    </row>
    <row r="52" spans="4:6">
      <c r="D52" s="15"/>
      <c r="E52" s="15"/>
      <c r="F52" s="15"/>
    </row>
    <row r="53" spans="4:6">
      <c r="D53" s="15"/>
      <c r="E53" s="15"/>
      <c r="F53" s="15"/>
    </row>
    <row r="54" spans="4:6">
      <c r="D54" s="15"/>
      <c r="E54" s="15"/>
      <c r="F54" s="15"/>
    </row>
    <row r="55" spans="4:6">
      <c r="D55" s="15"/>
      <c r="E55" s="15"/>
      <c r="F55" s="15"/>
    </row>
    <row r="56" spans="4:6">
      <c r="D56" s="15"/>
      <c r="E56" s="15"/>
      <c r="F56" s="15"/>
    </row>
    <row r="57" spans="4:6">
      <c r="D57" s="15"/>
      <c r="E57" s="15"/>
      <c r="F57" s="15"/>
    </row>
    <row r="58" spans="4:6">
      <c r="D58" s="15"/>
      <c r="E58" s="15"/>
      <c r="F58" s="15"/>
    </row>
    <row r="59" spans="4:6">
      <c r="D59" s="15"/>
      <c r="E59" s="15"/>
      <c r="F59" s="15"/>
    </row>
    <row r="60" spans="4:6">
      <c r="D60" s="15"/>
      <c r="E60" s="15"/>
      <c r="F60" s="15"/>
    </row>
    <row r="61" spans="4:6">
      <c r="D61" s="15"/>
      <c r="E61" s="15"/>
      <c r="F61" s="15"/>
    </row>
    <row r="62" spans="4:6">
      <c r="D62" s="15"/>
      <c r="E62" s="15"/>
      <c r="F62" s="15"/>
    </row>
    <row r="63" spans="4:6">
      <c r="D63" s="15"/>
      <c r="E63" s="15"/>
      <c r="F63" s="15"/>
    </row>
    <row r="64" spans="4:6">
      <c r="D64" s="15"/>
      <c r="E64" s="15"/>
      <c r="F64" s="15"/>
    </row>
    <row r="65" spans="4:6">
      <c r="D65" s="15"/>
      <c r="E65" s="15"/>
      <c r="F65" s="15"/>
    </row>
    <row r="66" spans="4:6">
      <c r="D66" s="15"/>
      <c r="E66" s="15"/>
      <c r="F66" s="15"/>
    </row>
    <row r="67" spans="4:6">
      <c r="D67" s="15"/>
      <c r="E67" s="15"/>
      <c r="F67" s="15"/>
    </row>
    <row r="68" spans="4:6">
      <c r="D68" s="15"/>
      <c r="E68" s="15"/>
      <c r="F68" s="15"/>
    </row>
    <row r="69" spans="4:6">
      <c r="D69" s="15"/>
      <c r="E69" s="15"/>
      <c r="F69" s="15"/>
    </row>
    <row r="70" spans="4:6">
      <c r="D70" s="15"/>
      <c r="E70" s="15"/>
      <c r="F70" s="15"/>
    </row>
    <row r="71" spans="4:6">
      <c r="D71" s="15"/>
      <c r="E71" s="15"/>
      <c r="F71" s="15"/>
    </row>
    <row r="72" spans="4:6">
      <c r="D72" s="15"/>
      <c r="E72" s="15"/>
      <c r="F72" s="15"/>
    </row>
    <row r="73" spans="4:6">
      <c r="D73" s="15"/>
      <c r="E73" s="15"/>
      <c r="F73" s="15"/>
    </row>
    <row r="74" spans="4:6">
      <c r="D74" s="15"/>
      <c r="E74" s="15"/>
      <c r="F74" s="15"/>
    </row>
    <row r="75" spans="4:6">
      <c r="D75" s="15"/>
      <c r="E75" s="15"/>
      <c r="F75" s="15"/>
    </row>
    <row r="76" spans="4:6">
      <c r="D76" s="15"/>
      <c r="E76" s="15"/>
      <c r="F76" s="15"/>
    </row>
    <row r="77" spans="4:6">
      <c r="D77" s="15"/>
      <c r="E77" s="15"/>
      <c r="F77" s="15"/>
    </row>
    <row r="78" spans="4:6">
      <c r="D78" s="15"/>
      <c r="E78" s="15"/>
      <c r="F78" s="15"/>
    </row>
    <row r="79" spans="4:6">
      <c r="D79" s="15"/>
      <c r="E79" s="15"/>
      <c r="F79" s="15"/>
    </row>
    <row r="80" spans="4:6">
      <c r="D80" s="15"/>
      <c r="E80" s="15"/>
      <c r="F80" s="15"/>
    </row>
    <row r="81" spans="4:6">
      <c r="D81" s="15"/>
      <c r="E81" s="15"/>
      <c r="F81" s="15"/>
    </row>
    <row r="82" spans="4:6">
      <c r="D82" s="15"/>
      <c r="E82" s="15"/>
      <c r="F82" s="15"/>
    </row>
    <row r="83" spans="4:6">
      <c r="D83" s="15"/>
      <c r="E83" s="15"/>
      <c r="F83" s="15"/>
    </row>
    <row r="84" spans="4:6">
      <c r="D84" s="15"/>
      <c r="E84" s="15"/>
      <c r="F84" s="15"/>
    </row>
    <row r="85" spans="4:6">
      <c r="D85" s="15"/>
      <c r="E85" s="15"/>
      <c r="F85" s="15"/>
    </row>
    <row r="86" spans="4:6">
      <c r="D86" s="15"/>
      <c r="E86" s="15"/>
      <c r="F86" s="15"/>
    </row>
    <row r="87" spans="4:6">
      <c r="D87" s="15"/>
      <c r="E87" s="15"/>
      <c r="F87" s="15"/>
    </row>
    <row r="88" spans="4:6">
      <c r="D88" s="15"/>
      <c r="E88" s="15"/>
      <c r="F88" s="15"/>
    </row>
    <row r="89" spans="4:6">
      <c r="D89" s="15"/>
      <c r="E89" s="15"/>
      <c r="F89" s="15"/>
    </row>
    <row r="90" spans="4:6">
      <c r="D90" s="15"/>
      <c r="E90" s="15"/>
      <c r="F90" s="15"/>
    </row>
    <row r="91" spans="4:6">
      <c r="D91" s="15"/>
      <c r="E91" s="15"/>
      <c r="F91" s="15"/>
    </row>
    <row r="92" spans="4:6">
      <c r="D92" s="15"/>
      <c r="E92" s="15"/>
      <c r="F92" s="15"/>
    </row>
    <row r="93" spans="4:6">
      <c r="D93" s="15"/>
      <c r="E93" s="15"/>
      <c r="F93" s="15"/>
    </row>
    <row r="94" spans="4:6">
      <c r="D94" s="15"/>
      <c r="E94" s="15"/>
      <c r="F94" s="15"/>
    </row>
    <row r="95" spans="4:6">
      <c r="D95" s="15"/>
      <c r="E95" s="15"/>
      <c r="F95" s="15"/>
    </row>
    <row r="96" spans="4:6">
      <c r="D96" s="15"/>
      <c r="E96" s="15"/>
      <c r="F96" s="15"/>
    </row>
    <row r="97" spans="4:6">
      <c r="D97" s="15"/>
      <c r="E97" s="15"/>
      <c r="F97" s="15"/>
    </row>
    <row r="98" spans="4:6">
      <c r="D98" s="15"/>
      <c r="E98" s="15"/>
      <c r="F98" s="15"/>
    </row>
    <row r="99" spans="4:6">
      <c r="D99" s="15"/>
      <c r="E99" s="15"/>
      <c r="F99" s="15"/>
    </row>
    <row r="100" spans="4:6">
      <c r="D100" s="15"/>
      <c r="E100" s="15"/>
      <c r="F100" s="15"/>
    </row>
    <row r="101" spans="4:6">
      <c r="D101" s="15"/>
      <c r="E101" s="15"/>
      <c r="F101" s="15"/>
    </row>
    <row r="102" spans="4:6">
      <c r="D102" s="15"/>
      <c r="E102" s="15"/>
      <c r="F102" s="15"/>
    </row>
    <row r="103" spans="4:6">
      <c r="D103" s="15"/>
      <c r="E103" s="15"/>
      <c r="F103" s="15"/>
    </row>
    <row r="104" spans="4:6">
      <c r="D104" s="15"/>
      <c r="E104" s="15"/>
      <c r="F104" s="15"/>
    </row>
    <row r="105" spans="4:6">
      <c r="D105" s="15"/>
      <c r="E105" s="15"/>
      <c r="F105" s="15"/>
    </row>
    <row r="106" spans="4:6">
      <c r="D106" s="15"/>
      <c r="E106" s="15"/>
      <c r="F106" s="15"/>
    </row>
    <row r="107" spans="4:6">
      <c r="D107" s="15"/>
      <c r="E107" s="15"/>
      <c r="F107" s="15"/>
    </row>
    <row r="108" spans="4:6">
      <c r="D108" s="15"/>
      <c r="E108" s="15"/>
      <c r="F108" s="15"/>
    </row>
    <row r="109" spans="4:6">
      <c r="D109" s="15"/>
      <c r="E109" s="15"/>
      <c r="F109" s="15"/>
    </row>
    <row r="110" spans="4:6">
      <c r="D110" s="15"/>
      <c r="E110" s="15"/>
      <c r="F110" s="15"/>
    </row>
    <row r="111" spans="4:6">
      <c r="D111" s="15"/>
      <c r="E111" s="15"/>
      <c r="F111" s="15"/>
    </row>
    <row r="112" spans="4:6">
      <c r="D112" s="15"/>
      <c r="E112" s="15"/>
      <c r="F112" s="15"/>
    </row>
    <row r="113" spans="4:6">
      <c r="D113" s="15"/>
      <c r="E113" s="15"/>
      <c r="F113" s="15"/>
    </row>
    <row r="114" spans="4:6">
      <c r="D114" s="15"/>
      <c r="E114" s="15"/>
      <c r="F114" s="15"/>
    </row>
    <row r="115" spans="4:6">
      <c r="D115" s="15"/>
      <c r="E115" s="15"/>
      <c r="F115" s="15"/>
    </row>
    <row r="116" spans="4:6">
      <c r="D116" s="15"/>
      <c r="E116" s="15"/>
      <c r="F116" s="15"/>
    </row>
    <row r="117" spans="4:6">
      <c r="D117" s="15"/>
      <c r="E117" s="15"/>
      <c r="F117" s="15"/>
    </row>
    <row r="118" spans="4:6">
      <c r="D118" s="15"/>
      <c r="E118" s="15"/>
      <c r="F118" s="15"/>
    </row>
    <row r="119" spans="4:6">
      <c r="D119" s="15"/>
      <c r="E119" s="15"/>
      <c r="F119" s="15"/>
    </row>
    <row r="120" spans="4:6">
      <c r="D120" s="15"/>
      <c r="E120" s="15"/>
      <c r="F120" s="15"/>
    </row>
    <row r="121" spans="4:6">
      <c r="D121" s="15"/>
      <c r="E121" s="15"/>
      <c r="F121" s="15"/>
    </row>
    <row r="122" spans="4:6">
      <c r="D122" s="15"/>
      <c r="E122" s="15"/>
      <c r="F122" s="15"/>
    </row>
    <row r="123" spans="4:6">
      <c r="D123" s="15"/>
      <c r="E123" s="15"/>
      <c r="F123" s="15"/>
    </row>
    <row r="124" spans="4:6">
      <c r="D124" s="15"/>
      <c r="E124" s="15"/>
      <c r="F124" s="15"/>
    </row>
    <row r="125" spans="4:6">
      <c r="D125" s="15"/>
      <c r="E125" s="15"/>
      <c r="F125" s="15"/>
    </row>
    <row r="126" spans="4:6">
      <c r="D126" s="15"/>
      <c r="E126" s="15"/>
      <c r="F126" s="15"/>
    </row>
    <row r="127" spans="4:6">
      <c r="D127" s="15"/>
      <c r="E127" s="15"/>
      <c r="F127" s="15"/>
    </row>
    <row r="128" spans="4:6">
      <c r="D128" s="15"/>
      <c r="E128" s="15"/>
      <c r="F128" s="15"/>
    </row>
    <row r="129" spans="4:6">
      <c r="D129" s="15"/>
      <c r="E129" s="15"/>
      <c r="F129" s="15"/>
    </row>
    <row r="130" spans="4:6">
      <c r="D130" s="15"/>
      <c r="E130" s="15"/>
      <c r="F130" s="15"/>
    </row>
    <row r="131" spans="4:6">
      <c r="D131" s="15"/>
      <c r="E131" s="15"/>
      <c r="F131" s="15"/>
    </row>
    <row r="132" spans="4:6">
      <c r="D132" s="15"/>
      <c r="E132" s="15"/>
      <c r="F132" s="15"/>
    </row>
    <row r="133" spans="4:6">
      <c r="D133" s="15"/>
      <c r="E133" s="15"/>
      <c r="F133" s="15"/>
    </row>
    <row r="134" spans="4:6">
      <c r="D134" s="15"/>
      <c r="E134" s="15"/>
      <c r="F134" s="15"/>
    </row>
    <row r="135" spans="4:6">
      <c r="D135" s="15"/>
      <c r="E135" s="15"/>
      <c r="F135" s="15"/>
    </row>
    <row r="136" spans="4:6">
      <c r="D136" s="15"/>
      <c r="E136" s="15"/>
      <c r="F136" s="15"/>
    </row>
    <row r="137" spans="4:6">
      <c r="D137" s="15"/>
      <c r="E137" s="15"/>
      <c r="F137" s="15"/>
    </row>
    <row r="138" spans="4:6">
      <c r="D138" s="15"/>
      <c r="E138" s="15"/>
      <c r="F138" s="15"/>
    </row>
    <row r="139" spans="4:6">
      <c r="D139" s="15"/>
      <c r="E139" s="15"/>
      <c r="F139" s="15"/>
    </row>
    <row r="140" spans="4:6">
      <c r="D140" s="15"/>
      <c r="E140" s="15"/>
      <c r="F140" s="15"/>
    </row>
    <row r="141" spans="4:6">
      <c r="D141" s="15"/>
      <c r="E141" s="15"/>
      <c r="F141" s="15"/>
    </row>
    <row r="142" spans="4:6">
      <c r="D142" s="15"/>
      <c r="E142" s="15"/>
      <c r="F142" s="15"/>
    </row>
    <row r="143" spans="4:6">
      <c r="D143" s="15"/>
      <c r="E143" s="15"/>
      <c r="F143" s="15"/>
    </row>
    <row r="144" spans="4:6">
      <c r="D144" s="15"/>
      <c r="E144" s="15"/>
      <c r="F144" s="15"/>
    </row>
    <row r="145" spans="4:6">
      <c r="D145" s="15"/>
      <c r="E145" s="15"/>
      <c r="F145" s="15"/>
    </row>
    <row r="146" spans="4:6">
      <c r="D146" s="15"/>
      <c r="E146" s="15"/>
      <c r="F146" s="15"/>
    </row>
    <row r="147" spans="4:6">
      <c r="D147" s="15"/>
      <c r="E147" s="15"/>
      <c r="F147" s="15"/>
    </row>
    <row r="148" spans="4:6">
      <c r="D148" s="15"/>
      <c r="E148" s="15"/>
      <c r="F148" s="15"/>
    </row>
    <row r="149" spans="4:6">
      <c r="D149" s="15"/>
      <c r="E149" s="15"/>
      <c r="F149" s="15"/>
    </row>
    <row r="150" spans="4:6">
      <c r="D150" s="15"/>
      <c r="E150" s="15"/>
      <c r="F150" s="15"/>
    </row>
    <row r="151" spans="4:6">
      <c r="D151" s="15"/>
      <c r="E151" s="15"/>
      <c r="F151" s="15"/>
    </row>
    <row r="152" spans="4:6">
      <c r="D152" s="15"/>
      <c r="E152" s="15"/>
      <c r="F152" s="15"/>
    </row>
    <row r="153" spans="4:6">
      <c r="D153" s="15"/>
      <c r="E153" s="15"/>
      <c r="F153" s="15"/>
    </row>
    <row r="154" spans="4:6">
      <c r="D154" s="15"/>
      <c r="E154" s="15"/>
      <c r="F154" s="15"/>
    </row>
    <row r="155" spans="4:6">
      <c r="D155" s="15"/>
      <c r="E155" s="15"/>
      <c r="F155" s="15"/>
    </row>
    <row r="156" spans="4:6">
      <c r="D156" s="15"/>
      <c r="E156" s="15"/>
      <c r="F156" s="15"/>
    </row>
    <row r="157" spans="4:6">
      <c r="D157" s="15"/>
      <c r="E157" s="15"/>
      <c r="F157" s="15"/>
    </row>
    <row r="158" spans="4:6">
      <c r="D158" s="15"/>
      <c r="E158" s="15"/>
      <c r="F158" s="15"/>
    </row>
    <row r="159" spans="4:6">
      <c r="D159" s="15"/>
      <c r="E159" s="15"/>
      <c r="F159" s="15"/>
    </row>
  </sheetData>
  <mergeCells count="1">
    <mergeCell ref="H1:J1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>
      <selection activeCell="I20" sqref="I20"/>
    </sheetView>
  </sheetViews>
  <sheetFormatPr defaultRowHeight="12.5"/>
  <cols>
    <col min="1" max="1" width="10.81640625" customWidth="1"/>
    <col min="2" max="2" width="10.26953125" style="2" bestFit="1" customWidth="1"/>
    <col min="3" max="3" width="7.54296875" style="2" bestFit="1" customWidth="1"/>
    <col min="5" max="5" width="15.6328125" customWidth="1"/>
    <col min="6" max="6" width="10.1796875" customWidth="1"/>
    <col min="7" max="7" width="13" customWidth="1"/>
    <col min="10" max="10" width="12.90625" bestFit="1" customWidth="1"/>
    <col min="11" max="11" width="11.81640625" bestFit="1" customWidth="1"/>
    <col min="12" max="12" width="9.1796875" style="15" customWidth="1"/>
    <col min="13" max="13" width="6.54296875" style="15" customWidth="1"/>
    <col min="14" max="14" width="8.81640625" customWidth="1"/>
    <col min="15" max="15" width="6.26953125" customWidth="1"/>
    <col min="16" max="16" width="7.1796875" customWidth="1"/>
    <col min="17" max="17" width="10.1796875" customWidth="1"/>
    <col min="18" max="18" width="10" customWidth="1"/>
    <col min="20" max="20" width="10.26953125" bestFit="1" customWidth="1"/>
    <col min="21" max="21" width="9" customWidth="1"/>
    <col min="30" max="30" width="10.26953125" style="70" bestFit="1" customWidth="1"/>
  </cols>
  <sheetData>
    <row r="1" spans="1:31" ht="13">
      <c r="A1" s="1" t="s">
        <v>84</v>
      </c>
      <c r="B1" s="7" t="s">
        <v>78</v>
      </c>
      <c r="C1" s="7" t="s">
        <v>76</v>
      </c>
      <c r="E1" t="s">
        <v>0</v>
      </c>
      <c r="S1" s="61" t="s">
        <v>85</v>
      </c>
      <c r="T1" s="7" t="s">
        <v>78</v>
      </c>
      <c r="U1" s="7" t="s">
        <v>76</v>
      </c>
      <c r="W1" t="s">
        <v>0</v>
      </c>
      <c r="AD1" s="65"/>
      <c r="AE1" s="7"/>
    </row>
    <row r="2" spans="1:31" ht="13.5" thickBot="1">
      <c r="A2" s="1"/>
      <c r="B2" s="2">
        <v>8.1999999999999993</v>
      </c>
      <c r="C2" s="2">
        <v>8.94</v>
      </c>
      <c r="L2" s="16"/>
      <c r="M2" s="16"/>
      <c r="N2" s="16"/>
      <c r="O2" s="16"/>
      <c r="P2" s="16"/>
      <c r="Q2" s="16"/>
      <c r="R2" s="16"/>
      <c r="T2" s="2">
        <v>8.1999999999999993</v>
      </c>
      <c r="U2" s="2">
        <v>8.94</v>
      </c>
      <c r="AD2" s="66"/>
      <c r="AE2" s="66"/>
    </row>
    <row r="3" spans="1:31" ht="13">
      <c r="A3" s="1"/>
      <c r="B3" s="2">
        <v>8.3800000000000008</v>
      </c>
      <c r="C3" s="2">
        <v>8.4700000000000006</v>
      </c>
      <c r="E3" s="6" t="s">
        <v>1</v>
      </c>
      <c r="F3" s="6"/>
      <c r="L3" s="3"/>
      <c r="M3" s="3"/>
      <c r="N3" s="3"/>
      <c r="O3" s="3"/>
      <c r="P3" s="3"/>
      <c r="Q3" s="3"/>
      <c r="R3" s="3"/>
      <c r="T3" s="2">
        <v>8.3800000000000008</v>
      </c>
      <c r="U3" s="2">
        <v>8.4700000000000006</v>
      </c>
      <c r="W3" s="6" t="s">
        <v>1</v>
      </c>
      <c r="X3" s="6"/>
      <c r="AD3" s="66"/>
      <c r="AE3" s="66"/>
    </row>
    <row r="4" spans="1:31">
      <c r="B4" s="2">
        <v>7.91</v>
      </c>
      <c r="C4" s="2">
        <v>7.84</v>
      </c>
      <c r="E4" s="3" t="s">
        <v>2</v>
      </c>
      <c r="F4" s="3">
        <v>0.97419190618968177</v>
      </c>
      <c r="L4" s="3"/>
      <c r="M4" s="3"/>
      <c r="N4" s="3"/>
      <c r="O4" s="3"/>
      <c r="P4" s="3"/>
      <c r="Q4" s="3"/>
      <c r="R4" s="3"/>
      <c r="T4" s="2">
        <v>7.91</v>
      </c>
      <c r="U4" s="2">
        <v>7.84</v>
      </c>
      <c r="W4" s="3" t="s">
        <v>2</v>
      </c>
      <c r="X4" s="3">
        <v>0.97425273393935352</v>
      </c>
      <c r="AD4" s="66"/>
      <c r="AE4" s="66"/>
    </row>
    <row r="5" spans="1:31" ht="13">
      <c r="A5" s="1"/>
      <c r="B5" s="2">
        <v>4.58</v>
      </c>
      <c r="C5" s="2">
        <v>5.31</v>
      </c>
      <c r="E5" s="3" t="s">
        <v>3</v>
      </c>
      <c r="F5" s="3">
        <v>0.9490498700854858</v>
      </c>
      <c r="N5" s="15"/>
      <c r="O5" s="15"/>
      <c r="P5" s="15"/>
      <c r="Q5" s="15"/>
      <c r="R5" s="15"/>
      <c r="T5" s="2">
        <v>4.58</v>
      </c>
      <c r="U5" s="2">
        <v>5.31</v>
      </c>
      <c r="W5" s="3" t="s">
        <v>3</v>
      </c>
      <c r="X5" s="3">
        <v>0.94916838958830485</v>
      </c>
      <c r="AD5" s="66"/>
      <c r="AE5" s="66"/>
    </row>
    <row r="6" spans="1:31" ht="13">
      <c r="A6" s="1"/>
      <c r="B6" s="2">
        <v>7.6</v>
      </c>
      <c r="C6" s="2">
        <v>8.48</v>
      </c>
      <c r="E6" s="3" t="s">
        <v>4</v>
      </c>
      <c r="F6" s="3">
        <v>0.94723022258853884</v>
      </c>
      <c r="T6" s="2">
        <v>7.6</v>
      </c>
      <c r="U6" s="2">
        <v>8.48</v>
      </c>
      <c r="W6" s="3" t="s">
        <v>4</v>
      </c>
      <c r="X6" s="3">
        <v>0.94728573735083466</v>
      </c>
      <c r="AD6" s="66"/>
      <c r="AE6" s="66"/>
    </row>
    <row r="7" spans="1:31">
      <c r="B7" s="2">
        <v>8.86</v>
      </c>
      <c r="C7" s="2">
        <v>9.51</v>
      </c>
      <c r="E7" s="3" t="s">
        <v>5</v>
      </c>
      <c r="F7" s="3">
        <v>0.38020068464337337</v>
      </c>
      <c r="T7" s="2">
        <v>8.86</v>
      </c>
      <c r="U7" s="2">
        <v>9.51</v>
      </c>
      <c r="W7" s="3" t="s">
        <v>5</v>
      </c>
      <c r="X7" s="3">
        <v>0.34204445771566733</v>
      </c>
      <c r="AD7" s="66"/>
      <c r="AE7" s="66"/>
    </row>
    <row r="8" spans="1:31" ht="13" thickBot="1">
      <c r="B8" s="2">
        <v>6.42</v>
      </c>
      <c r="C8" s="2">
        <v>6.5</v>
      </c>
      <c r="E8" s="4" t="s">
        <v>6</v>
      </c>
      <c r="F8" s="4">
        <v>30</v>
      </c>
      <c r="T8" s="2">
        <v>6.42</v>
      </c>
      <c r="U8" s="2">
        <v>6.5</v>
      </c>
      <c r="W8" s="4" t="s">
        <v>6</v>
      </c>
      <c r="X8" s="4">
        <v>29</v>
      </c>
      <c r="AD8" s="66"/>
      <c r="AE8" s="66"/>
    </row>
    <row r="9" spans="1:31">
      <c r="B9" s="2">
        <v>7.32</v>
      </c>
      <c r="C9" s="2">
        <v>7.86</v>
      </c>
      <c r="T9" s="2">
        <v>7.32</v>
      </c>
      <c r="U9" s="2">
        <v>7.86</v>
      </c>
      <c r="AD9" s="66"/>
      <c r="AE9" s="66"/>
    </row>
    <row r="10" spans="1:31" ht="13" thickBot="1">
      <c r="B10" s="2">
        <v>8.14</v>
      </c>
      <c r="C10" s="2">
        <v>8.3000000000000007</v>
      </c>
      <c r="E10" t="s">
        <v>7</v>
      </c>
      <c r="T10" s="2">
        <v>8.14</v>
      </c>
      <c r="U10" s="2">
        <v>8.3000000000000007</v>
      </c>
      <c r="W10" t="s">
        <v>7</v>
      </c>
      <c r="AD10" s="66"/>
      <c r="AE10" s="66"/>
    </row>
    <row r="11" spans="1:31" ht="13">
      <c r="B11" s="2">
        <v>8.5399999999999991</v>
      </c>
      <c r="C11" s="2">
        <v>8.6</v>
      </c>
      <c r="E11" s="5"/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T11" s="2">
        <v>8.5399999999999991</v>
      </c>
      <c r="U11" s="2">
        <v>8.6</v>
      </c>
      <c r="W11" s="5"/>
      <c r="X11" s="5" t="s">
        <v>12</v>
      </c>
      <c r="Y11" s="5" t="s">
        <v>13</v>
      </c>
      <c r="Z11" s="5" t="s">
        <v>14</v>
      </c>
      <c r="AA11" s="5" t="s">
        <v>15</v>
      </c>
      <c r="AB11" s="5" t="s">
        <v>16</v>
      </c>
      <c r="AD11" s="66"/>
      <c r="AE11" s="66"/>
    </row>
    <row r="12" spans="1:31">
      <c r="B12" s="2">
        <v>7.31</v>
      </c>
      <c r="C12" s="2">
        <v>8.0500000000000007</v>
      </c>
      <c r="E12" s="3" t="s">
        <v>8</v>
      </c>
      <c r="F12" s="3">
        <v>1</v>
      </c>
      <c r="G12" s="3">
        <v>75.392398303107868</v>
      </c>
      <c r="H12" s="3">
        <v>75.392398303107868</v>
      </c>
      <c r="I12" s="3">
        <v>521.55698929481309</v>
      </c>
      <c r="J12" s="3">
        <v>1.2164657296309849E-19</v>
      </c>
      <c r="T12" s="2">
        <v>7.31</v>
      </c>
      <c r="U12" s="2">
        <v>8.0500000000000007</v>
      </c>
      <c r="W12" s="3" t="s">
        <v>8</v>
      </c>
      <c r="X12" s="3">
        <v>1</v>
      </c>
      <c r="Y12" s="3">
        <v>58.984550901541887</v>
      </c>
      <c r="Z12" s="3">
        <v>58.984550901541887</v>
      </c>
      <c r="AA12" s="3">
        <v>504.16554406444652</v>
      </c>
      <c r="AB12" s="3">
        <v>5.3158759043260047E-19</v>
      </c>
      <c r="AD12" s="66"/>
      <c r="AE12" s="66"/>
    </row>
    <row r="13" spans="1:31">
      <c r="B13" s="2">
        <v>7.38</v>
      </c>
      <c r="C13" s="2">
        <v>7.89</v>
      </c>
      <c r="E13" s="3" t="s">
        <v>9</v>
      </c>
      <c r="F13" s="3">
        <v>28</v>
      </c>
      <c r="G13" s="3">
        <v>4.0474716968921163</v>
      </c>
      <c r="H13" s="3">
        <v>0.14455256060328986</v>
      </c>
      <c r="I13" s="3"/>
      <c r="J13" s="3"/>
      <c r="T13" s="2">
        <v>7.38</v>
      </c>
      <c r="U13" s="2">
        <v>7.89</v>
      </c>
      <c r="W13" s="3" t="s">
        <v>9</v>
      </c>
      <c r="X13" s="3">
        <v>27</v>
      </c>
      <c r="Y13" s="3">
        <v>3.1588490984581328</v>
      </c>
      <c r="Z13" s="3">
        <v>0.11699441105400492</v>
      </c>
      <c r="AA13" s="3"/>
      <c r="AB13" s="3"/>
      <c r="AD13" s="66"/>
      <c r="AE13" s="66"/>
    </row>
    <row r="14" spans="1:31" ht="13" thickBot="1">
      <c r="B14" s="2">
        <v>8.2100000000000009</v>
      </c>
      <c r="C14" s="2">
        <v>8.43</v>
      </c>
      <c r="E14" s="4" t="s">
        <v>10</v>
      </c>
      <c r="F14" s="4">
        <v>29</v>
      </c>
      <c r="G14" s="4">
        <v>79.439869999999985</v>
      </c>
      <c r="H14" s="4"/>
      <c r="I14" s="4"/>
      <c r="J14" s="4"/>
      <c r="T14" s="2">
        <v>8.2100000000000009</v>
      </c>
      <c r="U14" s="2">
        <v>8.43</v>
      </c>
      <c r="W14" s="4" t="s">
        <v>10</v>
      </c>
      <c r="X14" s="4">
        <v>28</v>
      </c>
      <c r="Y14" s="4">
        <v>62.143400000000021</v>
      </c>
      <c r="Z14" s="4"/>
      <c r="AA14" s="4"/>
      <c r="AB14" s="4"/>
      <c r="AD14" s="66"/>
      <c r="AE14" s="2"/>
    </row>
    <row r="15" spans="1:31" ht="13" thickBot="1">
      <c r="B15" s="2">
        <v>8.15</v>
      </c>
      <c r="C15" s="2">
        <v>8.2799999999999994</v>
      </c>
      <c r="T15" s="2">
        <v>8.15</v>
      </c>
      <c r="U15" s="2">
        <v>8.2799999999999994</v>
      </c>
      <c r="AD15" s="67"/>
      <c r="AE15" s="15"/>
    </row>
    <row r="16" spans="1:31" ht="13">
      <c r="B16" s="2">
        <v>8.4700000000000006</v>
      </c>
      <c r="C16" s="2">
        <v>8.82</v>
      </c>
      <c r="E16" s="5"/>
      <c r="F16" s="5" t="s">
        <v>17</v>
      </c>
      <c r="G16" s="5" t="s">
        <v>5</v>
      </c>
      <c r="H16" s="5" t="s">
        <v>18</v>
      </c>
      <c r="I16" s="5" t="s">
        <v>19</v>
      </c>
      <c r="J16" s="5" t="s">
        <v>20</v>
      </c>
      <c r="K16" s="5" t="s">
        <v>21</v>
      </c>
      <c r="L16" s="16"/>
      <c r="M16" s="16"/>
      <c r="T16" s="2">
        <v>8.4700000000000006</v>
      </c>
      <c r="U16" s="2">
        <v>8.82</v>
      </c>
      <c r="W16" s="5"/>
      <c r="X16" s="5" t="s">
        <v>17</v>
      </c>
      <c r="Y16" s="5" t="s">
        <v>5</v>
      </c>
      <c r="Z16" s="5" t="s">
        <v>18</v>
      </c>
      <c r="AA16" s="5" t="s">
        <v>19</v>
      </c>
      <c r="AB16" s="5" t="s">
        <v>20</v>
      </c>
      <c r="AC16" s="5" t="s">
        <v>21</v>
      </c>
      <c r="AD16" s="68"/>
      <c r="AE16" s="16"/>
    </row>
    <row r="17" spans="1:31">
      <c r="B17" s="2">
        <v>8.6</v>
      </c>
      <c r="C17" s="2">
        <v>9.39</v>
      </c>
      <c r="E17" s="3" t="s">
        <v>11</v>
      </c>
      <c r="F17" s="3">
        <v>1.6071768991460997</v>
      </c>
      <c r="G17" s="3">
        <v>0.31862355481840299</v>
      </c>
      <c r="H17" s="3">
        <v>5.0441245627998148</v>
      </c>
      <c r="I17" s="3">
        <v>2.4581452628775529E-5</v>
      </c>
      <c r="J17" s="3">
        <v>0.95450614255690291</v>
      </c>
      <c r="K17" s="3">
        <v>2.2598476557352964</v>
      </c>
      <c r="L17" s="3"/>
      <c r="M17" s="3"/>
      <c r="T17" s="2">
        <v>8.6</v>
      </c>
      <c r="U17" s="2">
        <v>9.39</v>
      </c>
      <c r="W17" s="3" t="s">
        <v>11</v>
      </c>
      <c r="X17" s="3">
        <v>1.035804024118204</v>
      </c>
      <c r="Y17" s="3">
        <v>0.35376347126105634</v>
      </c>
      <c r="Z17" s="3">
        <v>2.9279564123053352</v>
      </c>
      <c r="AA17" s="3">
        <v>6.8503829257051049E-3</v>
      </c>
      <c r="AB17" s="3">
        <v>0.30994134648561367</v>
      </c>
      <c r="AC17" s="3">
        <v>1.7616667017507943</v>
      </c>
      <c r="AD17" s="69"/>
      <c r="AE17" s="3"/>
    </row>
    <row r="18" spans="1:31" ht="13" thickBot="1">
      <c r="B18" s="2">
        <v>11.9</v>
      </c>
      <c r="C18" s="2">
        <v>11.81</v>
      </c>
      <c r="E18" s="4" t="s">
        <v>75</v>
      </c>
      <c r="F18" s="4">
        <v>0.85235514892629605</v>
      </c>
      <c r="G18" s="4">
        <v>3.7322412123269769E-2</v>
      </c>
      <c r="H18" s="4">
        <v>22.837622233823144</v>
      </c>
      <c r="I18" s="4">
        <v>1.2164657296309871E-19</v>
      </c>
      <c r="J18" s="4">
        <v>0.77590365439660991</v>
      </c>
      <c r="K18" s="4">
        <v>0.92880664345598218</v>
      </c>
      <c r="L18" s="3"/>
      <c r="M18" s="3"/>
      <c r="T18" s="2">
        <v>11.9</v>
      </c>
      <c r="U18" s="2">
        <v>11.81</v>
      </c>
      <c r="W18" s="4" t="s">
        <v>75</v>
      </c>
      <c r="X18" s="4">
        <v>0.91626913836556712</v>
      </c>
      <c r="Y18" s="4">
        <v>4.080717008719794E-2</v>
      </c>
      <c r="Z18" s="4">
        <v>22.453630977292882</v>
      </c>
      <c r="AA18" s="4">
        <v>5.315875904325997E-19</v>
      </c>
      <c r="AB18" s="4">
        <v>0.83253974244881357</v>
      </c>
      <c r="AC18" s="4">
        <v>0.99999853428232066</v>
      </c>
      <c r="AD18" s="69"/>
      <c r="AE18" s="3"/>
    </row>
    <row r="19" spans="1:31">
      <c r="B19" s="2">
        <v>8.81</v>
      </c>
      <c r="C19" s="2">
        <v>9.64</v>
      </c>
      <c r="T19" s="2">
        <v>8.81</v>
      </c>
      <c r="U19" s="2">
        <v>9.64</v>
      </c>
      <c r="AD19" s="67"/>
      <c r="AE19" s="15"/>
    </row>
    <row r="20" spans="1:31">
      <c r="B20" s="2">
        <v>11.74</v>
      </c>
      <c r="C20" s="2">
        <v>11.81</v>
      </c>
      <c r="F20" s="8" t="s">
        <v>73</v>
      </c>
      <c r="G20">
        <f>(1-F18)/G18</f>
        <v>3.9559300343733779</v>
      </c>
      <c r="T20" s="2">
        <v>11.74</v>
      </c>
      <c r="U20" s="2">
        <v>11.81</v>
      </c>
      <c r="W20" t="s">
        <v>73</v>
      </c>
      <c r="Y20">
        <f>(1-X18)/Y18</f>
        <v>2.0518664111114386</v>
      </c>
    </row>
    <row r="21" spans="1:31">
      <c r="B21" s="2">
        <v>11.7</v>
      </c>
      <c r="C21" s="2">
        <v>11.17</v>
      </c>
      <c r="F21" s="8" t="s">
        <v>31</v>
      </c>
      <c r="G21" s="64">
        <f>TDIST(G20,28,2)</f>
        <v>4.7285471250004658E-4</v>
      </c>
      <c r="T21" s="2">
        <v>11.7</v>
      </c>
      <c r="U21" s="2">
        <v>11.17</v>
      </c>
      <c r="X21" t="s">
        <v>31</v>
      </c>
      <c r="Y21" s="64">
        <f>TDIST(Y20,27,2)</f>
        <v>4.9996268244613701E-2</v>
      </c>
    </row>
    <row r="22" spans="1:31">
      <c r="B22" s="2">
        <v>8.44</v>
      </c>
      <c r="C22" s="2">
        <v>9.1199999999999992</v>
      </c>
      <c r="E22" t="s">
        <v>74</v>
      </c>
      <c r="T22" s="2">
        <v>8.44</v>
      </c>
      <c r="U22" s="2">
        <v>9.1199999999999992</v>
      </c>
      <c r="Y22" s="64"/>
    </row>
    <row r="23" spans="1:31" ht="13">
      <c r="A23" s="75" t="s">
        <v>83</v>
      </c>
      <c r="B23" s="63">
        <v>2.64</v>
      </c>
      <c r="C23" s="63">
        <v>4.62</v>
      </c>
      <c r="T23" s="2">
        <v>8.52</v>
      </c>
      <c r="U23" s="2">
        <v>8.67</v>
      </c>
      <c r="W23" t="s">
        <v>22</v>
      </c>
    </row>
    <row r="24" spans="1:31" ht="13" thickBot="1">
      <c r="B24" s="2">
        <v>8.52</v>
      </c>
      <c r="C24" s="2">
        <v>8.67</v>
      </c>
      <c r="E24" t="s">
        <v>22</v>
      </c>
      <c r="T24" s="2">
        <v>9.43</v>
      </c>
      <c r="U24" s="2">
        <v>9.92</v>
      </c>
    </row>
    <row r="25" spans="1:31" ht="13.5" thickBot="1">
      <c r="B25" s="2">
        <v>9.43</v>
      </c>
      <c r="C25" s="2">
        <v>9.92</v>
      </c>
      <c r="T25" s="2">
        <v>7.31</v>
      </c>
      <c r="U25" s="2">
        <v>7.46</v>
      </c>
      <c r="W25" s="5" t="s">
        <v>23</v>
      </c>
      <c r="X25" s="5" t="s">
        <v>77</v>
      </c>
      <c r="Y25" s="5" t="s">
        <v>24</v>
      </c>
      <c r="Z25" s="5" t="s">
        <v>25</v>
      </c>
    </row>
    <row r="26" spans="1:31" ht="13">
      <c r="B26" s="2">
        <v>7.31</v>
      </c>
      <c r="C26" s="2">
        <v>7.46</v>
      </c>
      <c r="E26" s="5" t="s">
        <v>23</v>
      </c>
      <c r="F26" s="5" t="s">
        <v>77</v>
      </c>
      <c r="G26" s="5" t="s">
        <v>24</v>
      </c>
      <c r="H26" s="5" t="s">
        <v>25</v>
      </c>
      <c r="T26" s="2">
        <v>9.82</v>
      </c>
      <c r="U26" s="2">
        <v>10.45</v>
      </c>
      <c r="W26" s="3">
        <v>1</v>
      </c>
      <c r="X26" s="3">
        <v>8.5492109587158538</v>
      </c>
      <c r="Y26" s="3">
        <v>0.39078904128414571</v>
      </c>
      <c r="Z26" s="3">
        <v>1.1634747225575131</v>
      </c>
    </row>
    <row r="27" spans="1:31">
      <c r="B27" s="2">
        <v>9.82</v>
      </c>
      <c r="C27" s="2">
        <v>10.45</v>
      </c>
      <c r="E27" s="3">
        <v>1</v>
      </c>
      <c r="F27" s="3">
        <v>8.596489120341726</v>
      </c>
      <c r="G27" s="3">
        <v>0.34351087965827354</v>
      </c>
      <c r="H27" s="3">
        <v>0.9194912171214239</v>
      </c>
      <c r="T27" s="2">
        <v>6.97</v>
      </c>
      <c r="U27" s="2">
        <v>6.84</v>
      </c>
      <c r="W27" s="3">
        <v>2</v>
      </c>
      <c r="X27" s="3">
        <v>8.7141394036216582</v>
      </c>
      <c r="Y27" s="3">
        <v>-0.24413940362165754</v>
      </c>
      <c r="Z27" s="3">
        <v>-0.72686282082186071</v>
      </c>
    </row>
    <row r="28" spans="1:31">
      <c r="B28" s="2">
        <v>6.97</v>
      </c>
      <c r="C28" s="2">
        <v>6.84</v>
      </c>
      <c r="E28" s="3">
        <v>2</v>
      </c>
      <c r="F28" s="3">
        <v>8.7499130471484605</v>
      </c>
      <c r="G28" s="3">
        <v>-0.27991304714845988</v>
      </c>
      <c r="H28" s="3">
        <v>-0.7492560022167114</v>
      </c>
      <c r="T28" s="2">
        <v>10.79</v>
      </c>
      <c r="U28" s="2">
        <v>10.85</v>
      </c>
      <c r="W28" s="3">
        <v>3</v>
      </c>
      <c r="X28" s="3">
        <v>8.2834929085898388</v>
      </c>
      <c r="Y28" s="3">
        <v>-0.44349290858983892</v>
      </c>
      <c r="Z28" s="3">
        <v>-1.3203870484244338</v>
      </c>
    </row>
    <row r="29" spans="1:31">
      <c r="B29" s="2">
        <v>10.79</v>
      </c>
      <c r="C29" s="2">
        <v>10.85</v>
      </c>
      <c r="E29" s="3">
        <v>3</v>
      </c>
      <c r="F29" s="3">
        <v>8.3493061271531026</v>
      </c>
      <c r="G29" s="3">
        <v>-0.50930612715310275</v>
      </c>
      <c r="H29" s="3">
        <v>-1.3632829073980859</v>
      </c>
      <c r="T29" s="2">
        <v>9.3800000000000008</v>
      </c>
      <c r="U29" s="2">
        <v>9.89</v>
      </c>
      <c r="W29" s="3">
        <v>4</v>
      </c>
      <c r="X29" s="3">
        <v>5.2323166778325012</v>
      </c>
      <c r="Y29" s="3">
        <v>7.7683322167498403E-2</v>
      </c>
      <c r="Z29" s="3">
        <v>0.23128228317041841</v>
      </c>
    </row>
    <row r="30" spans="1:31">
      <c r="B30" s="2">
        <v>9.3800000000000008</v>
      </c>
      <c r="C30" s="2">
        <v>9.89</v>
      </c>
      <c r="E30" s="3">
        <v>4</v>
      </c>
      <c r="F30" s="3">
        <v>5.5109634812285355</v>
      </c>
      <c r="G30" s="3">
        <v>-0.20096348122853591</v>
      </c>
      <c r="H30" s="3">
        <v>-0.53792810328339291</v>
      </c>
      <c r="T30" s="2">
        <v>8.44</v>
      </c>
      <c r="U30" s="2">
        <v>8.35</v>
      </c>
      <c r="W30" s="3">
        <v>5</v>
      </c>
      <c r="X30" s="3">
        <v>7.9994494756965135</v>
      </c>
      <c r="Y30" s="3">
        <v>0.48055052430348688</v>
      </c>
      <c r="Z30" s="3">
        <v>1.4307166498364903</v>
      </c>
    </row>
    <row r="31" spans="1:31">
      <c r="B31" s="2">
        <v>8.44</v>
      </c>
      <c r="C31" s="2">
        <v>8.35</v>
      </c>
      <c r="E31" s="3">
        <v>5</v>
      </c>
      <c r="F31" s="3">
        <v>8.0850760309859488</v>
      </c>
      <c r="G31" s="3">
        <v>0.39492396901405158</v>
      </c>
      <c r="H31" s="3">
        <v>1.0571109750596446</v>
      </c>
      <c r="W31" s="3">
        <v>6</v>
      </c>
      <c r="X31" s="3">
        <v>9.1539485900371282</v>
      </c>
      <c r="Y31" s="3">
        <v>0.35605140996287155</v>
      </c>
      <c r="Z31" s="3">
        <v>1.0600522830975549</v>
      </c>
    </row>
    <row r="32" spans="1:31">
      <c r="E32" s="3">
        <v>6</v>
      </c>
      <c r="F32" s="3">
        <v>9.1590435186330819</v>
      </c>
      <c r="G32" s="3">
        <v>0.35095648136691793</v>
      </c>
      <c r="H32" s="3">
        <v>0.93942119833218896</v>
      </c>
      <c r="W32" s="3">
        <v>7</v>
      </c>
      <c r="X32" s="3">
        <v>6.918251892425145</v>
      </c>
      <c r="Y32" s="3">
        <v>-0.41825189242514504</v>
      </c>
      <c r="Z32" s="3">
        <v>-1.245238359037482</v>
      </c>
    </row>
    <row r="33" spans="5:26">
      <c r="E33" s="3">
        <v>7</v>
      </c>
      <c r="F33" s="3">
        <v>7.0792969552529206</v>
      </c>
      <c r="G33" s="3">
        <v>-0.57929695525292058</v>
      </c>
      <c r="H33" s="3">
        <v>-1.5506305447738205</v>
      </c>
      <c r="W33" s="3">
        <v>8</v>
      </c>
      <c r="X33" s="3">
        <v>7.7428941169541554</v>
      </c>
      <c r="Y33" s="3">
        <v>0.11710588304584491</v>
      </c>
      <c r="Z33" s="3">
        <v>0.34865290576955754</v>
      </c>
    </row>
    <row r="34" spans="5:26">
      <c r="E34" s="3">
        <v>8</v>
      </c>
      <c r="F34" s="3">
        <v>7.8464165892865871</v>
      </c>
      <c r="G34" s="3">
        <v>1.358341071341318E-2</v>
      </c>
      <c r="H34" s="3">
        <v>3.6359334126364266E-2</v>
      </c>
      <c r="W34" s="3">
        <v>9</v>
      </c>
      <c r="X34" s="3">
        <v>8.4942348104139214</v>
      </c>
      <c r="Y34" s="3">
        <v>-0.19423481041392066</v>
      </c>
      <c r="Z34" s="3">
        <v>-0.57828461979063128</v>
      </c>
    </row>
    <row r="35" spans="5:26">
      <c r="E35" s="3">
        <v>9</v>
      </c>
      <c r="F35" s="3">
        <v>8.545347811406149</v>
      </c>
      <c r="G35" s="3">
        <v>-0.24534781140614825</v>
      </c>
      <c r="H35" s="3">
        <v>-0.65673366139768297</v>
      </c>
      <c r="W35" s="3">
        <v>10</v>
      </c>
      <c r="X35" s="3">
        <v>8.860742465760147</v>
      </c>
      <c r="Y35" s="3">
        <v>-0.26074246576014737</v>
      </c>
      <c r="Z35" s="3">
        <v>-0.77629420470025068</v>
      </c>
    </row>
    <row r="36" spans="5:26">
      <c r="E36" s="3">
        <v>10</v>
      </c>
      <c r="F36" s="3">
        <v>8.8862898709766682</v>
      </c>
      <c r="G36" s="3">
        <v>-0.28628987097666858</v>
      </c>
      <c r="H36" s="3">
        <v>-0.76632513699637683</v>
      </c>
      <c r="W36" s="3">
        <v>11</v>
      </c>
      <c r="X36" s="3">
        <v>7.7337314255704994</v>
      </c>
      <c r="Y36" s="3">
        <v>0.31626857442950129</v>
      </c>
      <c r="Z36" s="3">
        <v>0.94160903458004097</v>
      </c>
    </row>
    <row r="37" spans="5:26">
      <c r="E37" s="3">
        <v>11</v>
      </c>
      <c r="F37" s="3">
        <v>7.8378930377973237</v>
      </c>
      <c r="G37" s="3">
        <v>0.212106962202677</v>
      </c>
      <c r="H37" s="3">
        <v>0.56775636634765314</v>
      </c>
      <c r="W37" s="3">
        <v>12</v>
      </c>
      <c r="X37" s="3">
        <v>7.7978702652560896</v>
      </c>
      <c r="Y37" s="3">
        <v>9.2129734743910063E-2</v>
      </c>
      <c r="Z37" s="3">
        <v>0.27429279290492931</v>
      </c>
    </row>
    <row r="38" spans="5:26">
      <c r="E38" s="3">
        <v>12</v>
      </c>
      <c r="F38" s="3">
        <v>7.8975578982221641</v>
      </c>
      <c r="G38" s="3">
        <v>-7.5578982221644608E-3</v>
      </c>
      <c r="H38" s="3">
        <v>-2.0230570403159186E-2</v>
      </c>
      <c r="W38" s="3">
        <v>13</v>
      </c>
      <c r="X38" s="3">
        <v>8.5583736500995116</v>
      </c>
      <c r="Y38" s="3">
        <v>-0.12837365009951185</v>
      </c>
      <c r="Z38" s="3">
        <v>-0.38219980898754113</v>
      </c>
    </row>
    <row r="39" spans="5:26">
      <c r="E39" s="3">
        <v>13</v>
      </c>
      <c r="F39" s="3">
        <v>8.6050126718309912</v>
      </c>
      <c r="G39" s="3">
        <v>-0.17501267183099145</v>
      </c>
      <c r="H39" s="3">
        <v>-0.46846438981390442</v>
      </c>
      <c r="W39" s="3">
        <v>14</v>
      </c>
      <c r="X39" s="3">
        <v>8.5033975017975756</v>
      </c>
      <c r="Y39" s="3">
        <v>-0.22339750179757623</v>
      </c>
      <c r="Z39" s="3">
        <v>-0.6651090971483733</v>
      </c>
    </row>
    <row r="40" spans="5:26">
      <c r="E40" s="3">
        <v>14</v>
      </c>
      <c r="F40" s="3">
        <v>8.5538713628954124</v>
      </c>
      <c r="G40" s="3">
        <v>-0.27387136289541303</v>
      </c>
      <c r="H40" s="3">
        <v>-0.7330839508021425</v>
      </c>
      <c r="W40" s="3">
        <v>15</v>
      </c>
      <c r="X40" s="3">
        <v>8.7966036260745568</v>
      </c>
      <c r="Y40" s="3">
        <v>2.339637392544347E-2</v>
      </c>
      <c r="Z40" s="3">
        <v>6.96567374875912E-2</v>
      </c>
    </row>
    <row r="41" spans="5:26">
      <c r="E41" s="3">
        <v>15</v>
      </c>
      <c r="F41" s="3">
        <v>8.8266250105518278</v>
      </c>
      <c r="G41" s="3">
        <v>-6.6250105518275149E-3</v>
      </c>
      <c r="H41" s="3">
        <v>-1.7733467486683835E-2</v>
      </c>
      <c r="W41" s="3">
        <v>16</v>
      </c>
      <c r="X41" s="3">
        <v>8.9157186140620812</v>
      </c>
      <c r="Y41" s="3">
        <v>0.47428138593791935</v>
      </c>
      <c r="Z41" s="3">
        <v>1.4120518889297231</v>
      </c>
    </row>
    <row r="42" spans="5:26">
      <c r="E42" s="3">
        <v>16</v>
      </c>
      <c r="F42" s="3">
        <v>8.9374311799122452</v>
      </c>
      <c r="G42" s="3">
        <v>0.45256882008775534</v>
      </c>
      <c r="H42" s="3">
        <v>1.2114115734199402</v>
      </c>
      <c r="W42" s="3">
        <v>17</v>
      </c>
      <c r="X42" s="3">
        <v>11.939406770668452</v>
      </c>
      <c r="Y42" s="3">
        <v>-0.12940677066845119</v>
      </c>
      <c r="Z42" s="3">
        <v>-0.38527566204464148</v>
      </c>
    </row>
    <row r="43" spans="5:26">
      <c r="E43" s="3">
        <v>17</v>
      </c>
      <c r="F43" s="3">
        <v>11.750203171369023</v>
      </c>
      <c r="G43" s="3">
        <v>5.9796828630977572E-2</v>
      </c>
      <c r="H43" s="3">
        <v>0.16006089470178009</v>
      </c>
      <c r="W43" s="3">
        <v>18</v>
      </c>
      <c r="X43" s="3">
        <v>9.10813513311885</v>
      </c>
      <c r="Y43" s="3">
        <v>0.53186486688115053</v>
      </c>
      <c r="Z43" s="3">
        <v>1.5834920201426346</v>
      </c>
    </row>
    <row r="44" spans="5:26">
      <c r="E44" s="3">
        <v>18</v>
      </c>
      <c r="F44" s="3">
        <v>9.1164257611867683</v>
      </c>
      <c r="G44" s="3">
        <v>0.52357423881323228</v>
      </c>
      <c r="H44" s="3">
        <v>1.4014750117339023</v>
      </c>
      <c r="W44" s="3">
        <v>19</v>
      </c>
      <c r="X44" s="3">
        <v>11.792803708529963</v>
      </c>
      <c r="Y44" s="3">
        <v>1.719629147003765E-2</v>
      </c>
      <c r="Z44" s="3">
        <v>5.1197572944663546E-2</v>
      </c>
    </row>
    <row r="45" spans="5:26">
      <c r="E45" s="3">
        <v>19</v>
      </c>
      <c r="F45" s="3">
        <v>11.613826347540815</v>
      </c>
      <c r="G45" s="3">
        <v>0.19617365245918528</v>
      </c>
      <c r="H45" s="3">
        <v>0.52510695045902012</v>
      </c>
      <c r="W45" s="3">
        <v>20</v>
      </c>
      <c r="X45" s="3">
        <v>11.756152942995339</v>
      </c>
      <c r="Y45" s="3">
        <v>-0.58615294299533893</v>
      </c>
      <c r="Z45" s="3">
        <v>-1.7451209237771412</v>
      </c>
    </row>
    <row r="46" spans="5:26">
      <c r="E46" s="3">
        <v>20</v>
      </c>
      <c r="F46" s="3">
        <v>11.579732141583762</v>
      </c>
      <c r="G46" s="3">
        <v>-0.40973214158376159</v>
      </c>
      <c r="H46" s="3">
        <v>-1.0967486850297392</v>
      </c>
      <c r="W46" s="3">
        <v>21</v>
      </c>
      <c r="X46" s="3">
        <v>8.7691155519235906</v>
      </c>
      <c r="Y46" s="3">
        <v>0.35088444807640862</v>
      </c>
      <c r="Z46" s="3">
        <v>1.0446689716117383</v>
      </c>
    </row>
    <row r="47" spans="5:26">
      <c r="E47" s="3">
        <v>21</v>
      </c>
      <c r="F47" s="3">
        <v>8.8010543560840375</v>
      </c>
      <c r="G47" s="3">
        <v>0.3189456439159617</v>
      </c>
      <c r="H47" s="3">
        <v>0.85373633176220842</v>
      </c>
      <c r="W47" s="3">
        <v>22</v>
      </c>
      <c r="X47" s="3">
        <v>8.842417082992835</v>
      </c>
      <c r="Y47" s="3">
        <v>-0.17241708299283509</v>
      </c>
      <c r="Z47" s="3">
        <v>-0.51332789972839743</v>
      </c>
    </row>
    <row r="48" spans="5:26">
      <c r="E48" s="3">
        <v>22</v>
      </c>
      <c r="F48" s="3">
        <v>3.8573944923115215</v>
      </c>
      <c r="G48" s="3">
        <v>0.76260550768847857</v>
      </c>
      <c r="H48" s="3">
        <v>2.0413008960459917</v>
      </c>
      <c r="W48" s="3">
        <v>23</v>
      </c>
      <c r="X48" s="3">
        <v>9.6762219989055005</v>
      </c>
      <c r="Y48" s="3">
        <v>0.24377800109449943</v>
      </c>
      <c r="Z48" s="3">
        <v>0.72578683695180346</v>
      </c>
    </row>
    <row r="49" spans="5:26">
      <c r="E49" s="3">
        <v>23</v>
      </c>
      <c r="F49" s="3">
        <v>8.8692427679981414</v>
      </c>
      <c r="G49" s="3">
        <v>-0.19924276799814145</v>
      </c>
      <c r="H49" s="3">
        <v>-0.53332219180802332</v>
      </c>
      <c r="W49" s="3">
        <v>24</v>
      </c>
      <c r="X49" s="3">
        <v>7.7337314255704994</v>
      </c>
      <c r="Y49" s="3">
        <v>-0.27373142557049945</v>
      </c>
      <c r="Z49" s="3">
        <v>-0.8149655204618198</v>
      </c>
    </row>
    <row r="50" spans="5:26">
      <c r="E50" s="3">
        <v>24</v>
      </c>
      <c r="F50" s="3">
        <v>9.6448859535210723</v>
      </c>
      <c r="G50" s="3">
        <v>0.27511404647892768</v>
      </c>
      <c r="H50" s="3">
        <v>0.73641029854937945</v>
      </c>
      <c r="W50" s="3">
        <v>25</v>
      </c>
      <c r="X50" s="3">
        <v>10.033566962868072</v>
      </c>
      <c r="Y50" s="3">
        <v>0.41643303713192736</v>
      </c>
      <c r="Z50" s="3">
        <v>1.2398231811944831</v>
      </c>
    </row>
    <row r="51" spans="5:26">
      <c r="E51" s="3">
        <v>25</v>
      </c>
      <c r="F51" s="3">
        <v>7.8378930377973237</v>
      </c>
      <c r="G51" s="3">
        <v>-0.37789303779732375</v>
      </c>
      <c r="H51" s="3">
        <v>-1.0115235057813534</v>
      </c>
      <c r="W51" s="3">
        <v>26</v>
      </c>
      <c r="X51" s="3">
        <v>7.4221999185262062</v>
      </c>
      <c r="Y51" s="3">
        <v>-0.58219991852620634</v>
      </c>
      <c r="Z51" s="3">
        <v>-1.733351801407758</v>
      </c>
    </row>
    <row r="52" spans="5:26">
      <c r="E52" s="3">
        <v>26</v>
      </c>
      <c r="F52" s="3">
        <v>9.9773044616023263</v>
      </c>
      <c r="G52" s="3">
        <v>0.47269553839767298</v>
      </c>
      <c r="H52" s="3">
        <v>1.2652856770112337</v>
      </c>
      <c r="W52" s="3">
        <v>27</v>
      </c>
      <c r="X52" s="3">
        <v>10.922348027082673</v>
      </c>
      <c r="Y52" s="3">
        <v>-7.2348027082673738E-2</v>
      </c>
      <c r="Z52" s="3">
        <v>-0.2153978025100067</v>
      </c>
    </row>
    <row r="53" spans="5:26">
      <c r="E53" s="3">
        <v>27</v>
      </c>
      <c r="F53" s="3">
        <v>7.5480922871623832</v>
      </c>
      <c r="G53" s="3">
        <v>-0.70809228716238337</v>
      </c>
      <c r="H53" s="3">
        <v>-1.8953828758056663</v>
      </c>
      <c r="W53" s="3">
        <v>28</v>
      </c>
      <c r="X53" s="3">
        <v>9.6304085419872258</v>
      </c>
      <c r="Y53" s="3">
        <v>0.25959145801277472</v>
      </c>
      <c r="Z53" s="3">
        <v>0.77286737262958827</v>
      </c>
    </row>
    <row r="54" spans="5:26" ht="13" thickBot="1">
      <c r="E54" s="3">
        <v>28</v>
      </c>
      <c r="F54" s="3">
        <v>10.804088956060834</v>
      </c>
      <c r="G54" s="3">
        <v>4.5911043939165452E-2</v>
      </c>
      <c r="H54" s="3">
        <v>0.1228921823755158</v>
      </c>
      <c r="W54" s="4">
        <v>29</v>
      </c>
      <c r="X54" s="4">
        <v>8.7691155519235906</v>
      </c>
      <c r="Y54" s="4">
        <v>-0.41911555192359096</v>
      </c>
      <c r="Z54" s="4">
        <v>-1.2478096849683131</v>
      </c>
    </row>
    <row r="55" spans="5:26">
      <c r="E55" s="3">
        <v>29</v>
      </c>
      <c r="F55" s="3">
        <v>9.6022681960747569</v>
      </c>
      <c r="G55" s="3">
        <v>0.28773180392524367</v>
      </c>
      <c r="H55" s="3">
        <v>0.770184824594079</v>
      </c>
    </row>
    <row r="56" spans="5:26" ht="13" thickBot="1">
      <c r="E56" s="4">
        <v>30</v>
      </c>
      <c r="F56" s="4">
        <v>8.8010543560840375</v>
      </c>
      <c r="G56" s="4">
        <v>-0.45105435608403788</v>
      </c>
      <c r="H56" s="4">
        <v>-1.2073577386434404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8"/>
  <sheetViews>
    <sheetView zoomScale="90" workbookViewId="0">
      <selection activeCell="J20" sqref="J20"/>
    </sheetView>
  </sheetViews>
  <sheetFormatPr defaultRowHeight="12.5"/>
  <cols>
    <col min="2" max="3" width="9.1796875" style="15" customWidth="1"/>
    <col min="6" max="6" width="12.453125" bestFit="1" customWidth="1"/>
    <col min="12" max="12" width="16.453125" customWidth="1"/>
    <col min="13" max="13" width="9.81640625" customWidth="1"/>
    <col min="14" max="14" width="13.453125" customWidth="1"/>
    <col min="15" max="15" width="7.54296875" customWidth="1"/>
    <col min="16" max="16" width="8.26953125" customWidth="1"/>
    <col min="17" max="17" width="12.453125" customWidth="1"/>
    <col min="18" max="18" width="12.54296875" customWidth="1"/>
    <col min="19" max="19" width="9" customWidth="1"/>
    <col min="20" max="20" width="9.1796875" style="67" customWidth="1"/>
    <col min="21" max="21" width="9.1796875" style="54" customWidth="1"/>
    <col min="40" max="40" width="8.7265625" customWidth="1"/>
    <col min="41" max="42" width="9.1796875" style="15" customWidth="1"/>
    <col min="43" max="43" width="6.54296875" customWidth="1"/>
    <col min="44" max="44" width="8" style="2" customWidth="1"/>
    <col min="45" max="45" width="7.81640625" customWidth="1"/>
    <col min="46" max="46" width="7.453125" customWidth="1"/>
    <col min="47" max="47" width="6.26953125" customWidth="1"/>
    <col min="48" max="48" width="6.54296875" style="39" customWidth="1"/>
    <col min="49" max="49" width="11.54296875" style="43" bestFit="1" customWidth="1"/>
    <col min="50" max="51" width="7.7265625" style="20" customWidth="1"/>
    <col min="52" max="52" width="7.7265625" style="22" customWidth="1"/>
    <col min="53" max="54" width="7.7265625" customWidth="1"/>
    <col min="55" max="55" width="7.7265625" style="39" customWidth="1"/>
  </cols>
  <sheetData>
    <row r="1" spans="1:56" ht="13">
      <c r="A1" s="1" t="s">
        <v>84</v>
      </c>
      <c r="B1" s="13" t="s">
        <v>32</v>
      </c>
      <c r="C1" s="13" t="s">
        <v>33</v>
      </c>
      <c r="E1" s="1"/>
      <c r="L1" t="s">
        <v>0</v>
      </c>
      <c r="S1" s="61" t="s">
        <v>86</v>
      </c>
      <c r="T1" s="81" t="s">
        <v>32</v>
      </c>
      <c r="U1" s="83" t="s">
        <v>33</v>
      </c>
      <c r="AD1" t="s">
        <v>0</v>
      </c>
      <c r="AN1" s="61" t="s">
        <v>91</v>
      </c>
      <c r="AO1" s="13" t="s">
        <v>32</v>
      </c>
      <c r="AP1" s="13" t="s">
        <v>33</v>
      </c>
      <c r="AQ1" s="17"/>
      <c r="AR1" s="17" t="s">
        <v>35</v>
      </c>
      <c r="AS1" s="17" t="s">
        <v>46</v>
      </c>
      <c r="AT1" s="17"/>
      <c r="AU1" s="17"/>
      <c r="AV1" s="18"/>
      <c r="AW1" s="19" t="s">
        <v>61</v>
      </c>
      <c r="AX1" s="85" t="s">
        <v>55</v>
      </c>
      <c r="AY1" s="85"/>
      <c r="AZ1" s="86"/>
      <c r="BA1" s="87" t="s">
        <v>59</v>
      </c>
      <c r="BB1" s="85"/>
      <c r="BC1" s="86"/>
    </row>
    <row r="2" spans="1:56" ht="13.5" thickBot="1">
      <c r="B2" s="14">
        <v>0.51</v>
      </c>
      <c r="C2" s="14">
        <v>19.399999999999999</v>
      </c>
      <c r="T2" s="82">
        <v>0.51</v>
      </c>
      <c r="U2" s="51">
        <v>19.399999999999999</v>
      </c>
      <c r="AO2" s="14">
        <v>0.51</v>
      </c>
      <c r="AP2" s="14">
        <v>19.399999999999999</v>
      </c>
      <c r="AQ2" s="20"/>
      <c r="AR2" s="21" t="s">
        <v>36</v>
      </c>
      <c r="AS2" s="20">
        <f>COUNT(AO:AO)</f>
        <v>43</v>
      </c>
      <c r="AT2" s="20"/>
      <c r="AU2" s="20"/>
      <c r="AV2" s="22"/>
      <c r="AW2" s="23">
        <v>95</v>
      </c>
      <c r="AX2" s="24"/>
      <c r="AY2" s="25"/>
      <c r="AZ2" s="26"/>
      <c r="BA2" s="27"/>
      <c r="BB2" s="25"/>
      <c r="BC2" s="28"/>
      <c r="BD2" s="1"/>
    </row>
    <row r="3" spans="1:56" ht="13">
      <c r="B3" s="14">
        <v>0.26</v>
      </c>
      <c r="C3" s="14">
        <v>20.100000000000001</v>
      </c>
      <c r="L3" s="6" t="s">
        <v>1</v>
      </c>
      <c r="M3" s="6"/>
      <c r="T3" s="82">
        <v>0.26</v>
      </c>
      <c r="U3" s="51">
        <v>20.100000000000001</v>
      </c>
      <c r="AD3" s="6" t="s">
        <v>1</v>
      </c>
      <c r="AE3" s="6"/>
      <c r="AO3" s="14">
        <v>0.26</v>
      </c>
      <c r="AP3" s="14">
        <v>20.100000000000001</v>
      </c>
      <c r="AQ3" s="20"/>
      <c r="AR3" s="29" t="s">
        <v>62</v>
      </c>
      <c r="AS3" s="30">
        <f>SUM(AO:AO)</f>
        <v>30.73</v>
      </c>
      <c r="AT3" s="30"/>
      <c r="AU3" s="20"/>
      <c r="AV3" s="22"/>
      <c r="AW3" s="31" t="s">
        <v>60</v>
      </c>
      <c r="AX3" s="32" t="s">
        <v>56</v>
      </c>
      <c r="AY3" s="32" t="s">
        <v>57</v>
      </c>
      <c r="AZ3" s="33" t="s">
        <v>58</v>
      </c>
      <c r="BA3" s="32" t="s">
        <v>56</v>
      </c>
      <c r="BB3" s="32" t="s">
        <v>57</v>
      </c>
      <c r="BC3" s="33" t="s">
        <v>58</v>
      </c>
    </row>
    <row r="4" spans="1:56">
      <c r="B4" s="14">
        <v>0.75</v>
      </c>
      <c r="C4" s="14">
        <v>18.100000000000001</v>
      </c>
      <c r="L4" s="3" t="s">
        <v>2</v>
      </c>
      <c r="M4" s="3">
        <v>0.72711987810591394</v>
      </c>
      <c r="T4" s="82">
        <v>0.75</v>
      </c>
      <c r="U4" s="51">
        <v>18.100000000000001</v>
      </c>
      <c r="AD4" s="3" t="s">
        <v>2</v>
      </c>
      <c r="AE4" s="3">
        <v>0.40003832476557549</v>
      </c>
      <c r="AO4" s="14">
        <v>0.75</v>
      </c>
      <c r="AP4" s="14">
        <v>18.100000000000001</v>
      </c>
      <c r="AQ4" s="20"/>
      <c r="AR4" s="21" t="s">
        <v>37</v>
      </c>
      <c r="AS4" s="20">
        <f>AS3/AS2</f>
        <v>0.71465116279069774</v>
      </c>
      <c r="AT4" s="20"/>
      <c r="AU4" s="20"/>
      <c r="AV4" s="22"/>
      <c r="AW4" s="34">
        <v>0</v>
      </c>
      <c r="AX4" s="25">
        <f t="shared" ref="AX4:AX17" si="0">$AS$11+$AS$12*AW4</f>
        <v>20.235935938610609</v>
      </c>
      <c r="AY4" s="25">
        <f t="shared" ref="AY4:AY17" si="1">AX4-(TINV(((100-$AW$2)/100),$AS$2-2))*SQRT($AU$19)*SQRT(1/$AS$2+(AW4-$AS$4)^2/$AS$7)</f>
        <v>19.616813452622864</v>
      </c>
      <c r="AZ4" s="22">
        <f t="shared" ref="AZ4:AZ17" si="2">AX4+(TINV(((100-$AW$2)/100),$AS$2-2))*SQRT($AU$19)*SQRT(1/$AS$2+(AW4-$AS$4)^2/$AS$7)</f>
        <v>20.855058424598354</v>
      </c>
      <c r="BA4" s="25">
        <f t="shared" ref="BA4:BA17" si="3">$AS$11+$AS$12*AW4</f>
        <v>20.235935938610609</v>
      </c>
      <c r="BB4" s="25">
        <f t="shared" ref="BB4:BB17" si="4">BA4-(TINV(((100-$AW$2)/100),$AS$2-2))*SQRT($AU$19)*SQRT(1+1/$AS$2+(AW4-$AS$4)^2/$AS$7)</f>
        <v>17.77170601794111</v>
      </c>
      <c r="BC4" s="22">
        <f t="shared" ref="BC4:BC17" si="5">BA4+(TINV(((100-$AW$2)/100),$AS$2-2))*SQRT($AU$19)*SQRT(1+1/$AS$2+(AW4-$AS$4)^2/$AS$7)</f>
        <v>22.700165859280109</v>
      </c>
    </row>
    <row r="5" spans="1:56">
      <c r="B5" s="14">
        <v>0.7</v>
      </c>
      <c r="C5" s="14">
        <v>18.399999999999999</v>
      </c>
      <c r="L5" s="3" t="s">
        <v>3</v>
      </c>
      <c r="M5" s="3">
        <v>0.52870331713675911</v>
      </c>
      <c r="T5" s="82">
        <v>0.7</v>
      </c>
      <c r="U5" s="51">
        <v>18.399999999999999</v>
      </c>
      <c r="AD5" s="3" t="s">
        <v>3</v>
      </c>
      <c r="AE5" s="3">
        <v>0.16003066128124804</v>
      </c>
      <c r="AO5" s="14">
        <v>0.7</v>
      </c>
      <c r="AP5" s="14">
        <v>18.399999999999999</v>
      </c>
      <c r="AQ5" s="20"/>
      <c r="AR5" s="29" t="s">
        <v>63</v>
      </c>
      <c r="AS5" s="30">
        <f>SUM(AP:AP)</f>
        <v>797.8</v>
      </c>
      <c r="AT5" s="30"/>
      <c r="AU5" s="20"/>
      <c r="AV5" s="22"/>
      <c r="AW5" s="34">
        <f t="shared" ref="AW5:AW16" si="6">AW4+0.2</f>
        <v>0.2</v>
      </c>
      <c r="AX5" s="25">
        <f t="shared" si="0"/>
        <v>19.765091517131559</v>
      </c>
      <c r="AY5" s="25">
        <f t="shared" si="1"/>
        <v>19.252764334572383</v>
      </c>
      <c r="AZ5" s="22">
        <f t="shared" si="2"/>
        <v>20.277418699690735</v>
      </c>
      <c r="BA5" s="25">
        <f t="shared" si="3"/>
        <v>19.765091517131559</v>
      </c>
      <c r="BB5" s="25">
        <f t="shared" si="4"/>
        <v>17.325502291205154</v>
      </c>
      <c r="BC5" s="22">
        <f t="shared" si="5"/>
        <v>22.204680743057963</v>
      </c>
    </row>
    <row r="6" spans="1:56">
      <c r="B6" s="14">
        <v>0.56000000000000005</v>
      </c>
      <c r="C6" s="14">
        <v>18.5</v>
      </c>
      <c r="L6" s="3" t="s">
        <v>4</v>
      </c>
      <c r="M6" s="3">
        <v>0.51720827609131415</v>
      </c>
      <c r="T6" s="82">
        <v>0.56000000000000005</v>
      </c>
      <c r="U6" s="51">
        <v>18.5</v>
      </c>
      <c r="AD6" s="3" t="s">
        <v>4</v>
      </c>
      <c r="AE6" s="3">
        <v>0.13732878726182232</v>
      </c>
      <c r="AO6" s="14">
        <v>0.56000000000000005</v>
      </c>
      <c r="AP6" s="14">
        <v>18.5</v>
      </c>
      <c r="AQ6" s="20"/>
      <c r="AR6" s="21" t="s">
        <v>38</v>
      </c>
      <c r="AS6" s="20">
        <f>AS5/AS2</f>
        <v>18.553488372093021</v>
      </c>
      <c r="AT6" s="20"/>
      <c r="AU6" s="20"/>
      <c r="AV6" s="22"/>
      <c r="AW6" s="34">
        <f t="shared" si="6"/>
        <v>0.4</v>
      </c>
      <c r="AX6" s="25">
        <f t="shared" si="0"/>
        <v>19.294247095652505</v>
      </c>
      <c r="AY6" s="25">
        <f t="shared" si="1"/>
        <v>18.868849183617755</v>
      </c>
      <c r="AZ6" s="22">
        <f t="shared" si="2"/>
        <v>19.719645007687255</v>
      </c>
      <c r="BA6" s="25">
        <f t="shared" si="3"/>
        <v>19.294247095652505</v>
      </c>
      <c r="BB6" s="25">
        <f t="shared" si="4"/>
        <v>16.87142233252359</v>
      </c>
      <c r="BC6" s="22">
        <f t="shared" si="5"/>
        <v>21.71707185878142</v>
      </c>
    </row>
    <row r="7" spans="1:56">
      <c r="B7" s="14">
        <v>0.26</v>
      </c>
      <c r="C7" s="14">
        <v>20.8</v>
      </c>
      <c r="L7" s="3" t="s">
        <v>5</v>
      </c>
      <c r="M7" s="3">
        <v>1.1810539693066808</v>
      </c>
      <c r="T7" s="82">
        <v>0.26</v>
      </c>
      <c r="U7" s="51">
        <v>20.8</v>
      </c>
      <c r="AD7" s="3" t="s">
        <v>5</v>
      </c>
      <c r="AE7" s="3">
        <v>1.2113447076378656</v>
      </c>
      <c r="AO7" s="14">
        <v>0.26</v>
      </c>
      <c r="AP7" s="14">
        <v>20.8</v>
      </c>
      <c r="AQ7" s="20"/>
      <c r="AR7" s="29" t="s">
        <v>64</v>
      </c>
      <c r="AS7" s="20">
        <f t="array" ref="AS7">SUMSQ(AO:AO)-(AS3^2)/AS2</f>
        <v>11.575669767441855</v>
      </c>
      <c r="AT7" s="20"/>
      <c r="AU7" s="20"/>
      <c r="AV7" s="22"/>
      <c r="AW7" s="34">
        <f t="shared" si="6"/>
        <v>0.60000000000000009</v>
      </c>
      <c r="AX7" s="25">
        <f t="shared" si="0"/>
        <v>18.823402674173455</v>
      </c>
      <c r="AY7" s="25">
        <f t="shared" si="1"/>
        <v>18.450890422859281</v>
      </c>
      <c r="AZ7" s="22">
        <f t="shared" si="2"/>
        <v>19.195914925487628</v>
      </c>
      <c r="BA7" s="25">
        <f t="shared" si="3"/>
        <v>18.823402674173455</v>
      </c>
      <c r="BB7" s="25">
        <f t="shared" si="4"/>
        <v>16.409302049376237</v>
      </c>
      <c r="BC7" s="22">
        <f t="shared" si="5"/>
        <v>21.237503298970672</v>
      </c>
    </row>
    <row r="8" spans="1:56" ht="13" thickBot="1">
      <c r="B8" s="14">
        <v>0.41</v>
      </c>
      <c r="C8" s="14">
        <v>19.399999999999999</v>
      </c>
      <c r="L8" s="4" t="s">
        <v>6</v>
      </c>
      <c r="M8" s="4">
        <v>43</v>
      </c>
      <c r="T8" s="82">
        <v>0.41</v>
      </c>
      <c r="U8" s="51">
        <v>19.399999999999999</v>
      </c>
      <c r="AD8" s="4" t="s">
        <v>6</v>
      </c>
      <c r="AE8" s="4">
        <v>39</v>
      </c>
      <c r="AO8" s="14">
        <v>0.41</v>
      </c>
      <c r="AP8" s="14">
        <v>19.399999999999999</v>
      </c>
      <c r="AQ8" s="20"/>
      <c r="AR8" s="29" t="s">
        <v>65</v>
      </c>
      <c r="AS8" s="20">
        <f t="array" ref="AS8">SUMSQ(AP:AP)-(AS5^2)/AS2</f>
        <v>121.34697674418567</v>
      </c>
      <c r="AT8" s="20"/>
      <c r="AU8" s="20"/>
      <c r="AV8" s="22"/>
      <c r="AW8" s="34">
        <f t="shared" si="6"/>
        <v>0.8</v>
      </c>
      <c r="AX8" s="25">
        <f t="shared" si="0"/>
        <v>18.352558252694401</v>
      </c>
      <c r="AY8" s="25">
        <f t="shared" si="1"/>
        <v>17.983932258716891</v>
      </c>
      <c r="AZ8" s="22">
        <f t="shared" si="2"/>
        <v>18.721184246671911</v>
      </c>
      <c r="BA8" s="25">
        <f t="shared" si="3"/>
        <v>18.352558252694401</v>
      </c>
      <c r="BB8" s="25">
        <f t="shared" si="4"/>
        <v>15.939054249651713</v>
      </c>
      <c r="BC8" s="22">
        <f t="shared" si="5"/>
        <v>20.766062255737086</v>
      </c>
    </row>
    <row r="9" spans="1:56">
      <c r="B9" s="14">
        <v>0.51</v>
      </c>
      <c r="C9" s="14">
        <v>18.7</v>
      </c>
      <c r="T9" s="82">
        <v>0.51</v>
      </c>
      <c r="U9" s="51">
        <v>18.7</v>
      </c>
      <c r="AO9" s="14">
        <v>0.51</v>
      </c>
      <c r="AP9" s="14">
        <v>18.7</v>
      </c>
      <c r="AQ9" s="20"/>
      <c r="AR9" s="29" t="s">
        <v>66</v>
      </c>
      <c r="AS9" s="20">
        <f t="array" ref="AS9">SUM(AO2:AO976*AP2:AP976)-(AS3*AS5)/AS2</f>
        <v>-27.251697674418551</v>
      </c>
      <c r="AT9" s="20"/>
      <c r="AU9" s="20"/>
      <c r="AV9" s="22"/>
      <c r="AW9" s="34">
        <f t="shared" si="6"/>
        <v>1</v>
      </c>
      <c r="AX9" s="25">
        <f t="shared" si="0"/>
        <v>17.88171383121535</v>
      </c>
      <c r="AY9" s="25">
        <f t="shared" si="1"/>
        <v>17.466596231330946</v>
      </c>
      <c r="AZ9" s="22">
        <f t="shared" si="2"/>
        <v>18.296831431099754</v>
      </c>
      <c r="BA9" s="25">
        <f t="shared" si="3"/>
        <v>17.88171383121535</v>
      </c>
      <c r="BB9" s="25">
        <f t="shared" si="4"/>
        <v>15.46067292470407</v>
      </c>
      <c r="BC9" s="22">
        <f t="shared" si="5"/>
        <v>20.30275473772663</v>
      </c>
    </row>
    <row r="10" spans="1:56" ht="13" thickBot="1">
      <c r="B10" s="14">
        <v>0.82</v>
      </c>
      <c r="C10" s="14">
        <v>19.2</v>
      </c>
      <c r="L10" t="s">
        <v>7</v>
      </c>
      <c r="T10" s="82">
        <v>0.82</v>
      </c>
      <c r="U10" s="51">
        <v>19.2</v>
      </c>
      <c r="AD10" t="s">
        <v>7</v>
      </c>
      <c r="AO10" s="14">
        <v>0.82</v>
      </c>
      <c r="AP10" s="14">
        <v>19.2</v>
      </c>
      <c r="AQ10" s="20"/>
      <c r="AR10" s="21"/>
      <c r="AS10" s="20"/>
      <c r="AT10" s="20"/>
      <c r="AU10" s="20"/>
      <c r="AV10" s="22"/>
      <c r="AW10" s="34">
        <f t="shared" si="6"/>
        <v>1.2</v>
      </c>
      <c r="AX10" s="25">
        <f t="shared" si="0"/>
        <v>17.4108694097363</v>
      </c>
      <c r="AY10" s="25">
        <f t="shared" si="1"/>
        <v>16.912795246310012</v>
      </c>
      <c r="AZ10" s="22">
        <f t="shared" si="2"/>
        <v>17.908943573162588</v>
      </c>
      <c r="BA10" s="25">
        <f t="shared" si="3"/>
        <v>17.4108694097363</v>
      </c>
      <c r="BB10" s="25">
        <f t="shared" si="4"/>
        <v>14.974233548237917</v>
      </c>
      <c r="BC10" s="22">
        <f t="shared" si="5"/>
        <v>19.847505271234681</v>
      </c>
    </row>
    <row r="11" spans="1:56" ht="13">
      <c r="B11" s="14">
        <v>0.34</v>
      </c>
      <c r="C11" s="14">
        <v>17</v>
      </c>
      <c r="L11" s="5"/>
      <c r="M11" s="5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T11" s="82">
        <v>0.34</v>
      </c>
      <c r="U11" s="51">
        <v>17</v>
      </c>
      <c r="AD11" s="5"/>
      <c r="AE11" s="5" t="s">
        <v>12</v>
      </c>
      <c r="AF11" s="5" t="s">
        <v>13</v>
      </c>
      <c r="AG11" s="5" t="s">
        <v>14</v>
      </c>
      <c r="AH11" s="5" t="s">
        <v>15</v>
      </c>
      <c r="AI11" s="5" t="s">
        <v>16</v>
      </c>
      <c r="AO11" s="14">
        <v>0.34</v>
      </c>
      <c r="AP11" s="14">
        <v>17</v>
      </c>
      <c r="AQ11" s="20"/>
      <c r="AR11" s="21" t="s">
        <v>39</v>
      </c>
      <c r="AS11" s="21">
        <f>AS6-AS12*AS4</f>
        <v>20.235935938610609</v>
      </c>
      <c r="AT11" s="21" t="s">
        <v>49</v>
      </c>
      <c r="AU11" s="21">
        <f>AU19*(AS7+AS3^2/AS2)/(AS2*AS7)</f>
        <v>9.3982678608898862E-2</v>
      </c>
      <c r="AV11" s="22">
        <f>SQRT(AU11)</f>
        <v>0.30656594495947992</v>
      </c>
      <c r="AW11" s="34">
        <f t="shared" si="6"/>
        <v>1.4</v>
      </c>
      <c r="AX11" s="25">
        <f t="shared" si="0"/>
        <v>16.940024988257246</v>
      </c>
      <c r="AY11" s="25">
        <f t="shared" si="1"/>
        <v>16.337404979418402</v>
      </c>
      <c r="AZ11" s="22">
        <f t="shared" si="2"/>
        <v>17.54264499709609</v>
      </c>
      <c r="BA11" s="25">
        <f t="shared" si="3"/>
        <v>16.940024988257246</v>
      </c>
      <c r="BB11" s="25">
        <f t="shared" si="4"/>
        <v>14.47988935697183</v>
      </c>
      <c r="BC11" s="22">
        <f t="shared" si="5"/>
        <v>19.400160619542664</v>
      </c>
    </row>
    <row r="12" spans="1:56">
      <c r="B12" s="14">
        <v>0.34</v>
      </c>
      <c r="C12" s="14">
        <v>18.399999999999999</v>
      </c>
      <c r="L12" s="3" t="s">
        <v>8</v>
      </c>
      <c r="M12" s="3">
        <v>1</v>
      </c>
      <c r="N12" s="3">
        <v>64.156549129168312</v>
      </c>
      <c r="O12" s="3">
        <v>64.156549129168312</v>
      </c>
      <c r="P12" s="3">
        <v>45.994034736071384</v>
      </c>
      <c r="Q12" s="3">
        <v>3.3514382605631873E-8</v>
      </c>
      <c r="T12" s="82">
        <v>0.34</v>
      </c>
      <c r="U12" s="51">
        <v>18.399999999999999</v>
      </c>
      <c r="AD12" s="3" t="s">
        <v>8</v>
      </c>
      <c r="AE12" s="3">
        <v>1</v>
      </c>
      <c r="AF12" s="3">
        <v>10.343725409173594</v>
      </c>
      <c r="AG12" s="3">
        <v>10.343725409173594</v>
      </c>
      <c r="AH12" s="3">
        <v>7.0492269115893995</v>
      </c>
      <c r="AI12" s="3">
        <v>1.1625582110700791E-2</v>
      </c>
      <c r="AO12" s="14">
        <v>0.34</v>
      </c>
      <c r="AP12" s="14">
        <v>18.399999999999999</v>
      </c>
      <c r="AQ12" s="20"/>
      <c r="AR12" s="21" t="s">
        <v>40</v>
      </c>
      <c r="AS12" s="21">
        <f>AS9/AS7</f>
        <v>-2.3542221073952589</v>
      </c>
      <c r="AT12" s="21" t="s">
        <v>48</v>
      </c>
      <c r="AU12" s="20">
        <f>AU19/AS7</f>
        <v>0.12050175121083496</v>
      </c>
      <c r="AV12" s="22">
        <f>SQRT(AU12)</f>
        <v>0.34713362155059968</v>
      </c>
      <c r="AW12" s="34">
        <f t="shared" si="6"/>
        <v>1.5999999999999999</v>
      </c>
      <c r="AX12" s="25">
        <f t="shared" si="0"/>
        <v>16.469180566778196</v>
      </c>
      <c r="AY12" s="25">
        <f t="shared" si="1"/>
        <v>15.749776903961424</v>
      </c>
      <c r="AZ12" s="22">
        <f t="shared" si="2"/>
        <v>17.188584229594969</v>
      </c>
      <c r="BA12" s="25">
        <f t="shared" si="3"/>
        <v>16.469180566778196</v>
      </c>
      <c r="BB12" s="25">
        <f t="shared" si="4"/>
        <v>13.977864031421568</v>
      </c>
      <c r="BC12" s="22">
        <f t="shared" si="5"/>
        <v>18.960497102134823</v>
      </c>
    </row>
    <row r="13" spans="1:56">
      <c r="B13" s="14">
        <v>0.34</v>
      </c>
      <c r="C13" s="14">
        <v>18.899999999999999</v>
      </c>
      <c r="L13" s="3" t="s">
        <v>9</v>
      </c>
      <c r="M13" s="3">
        <v>41</v>
      </c>
      <c r="N13" s="3">
        <v>57.190427615017711</v>
      </c>
      <c r="O13" s="3">
        <v>1.3948884784150661</v>
      </c>
      <c r="P13" s="3"/>
      <c r="Q13" s="3"/>
      <c r="T13" s="82">
        <v>0.34</v>
      </c>
      <c r="U13" s="51">
        <v>18.899999999999999</v>
      </c>
      <c r="AD13" s="3" t="s">
        <v>9</v>
      </c>
      <c r="AE13" s="3">
        <v>37</v>
      </c>
      <c r="AF13" s="3">
        <v>54.292172026723854</v>
      </c>
      <c r="AG13" s="3">
        <v>1.4673560007222664</v>
      </c>
      <c r="AH13" s="3"/>
      <c r="AI13" s="3"/>
      <c r="AO13" s="14">
        <v>0.34</v>
      </c>
      <c r="AP13" s="14">
        <v>18.899999999999999</v>
      </c>
      <c r="AQ13" s="20"/>
      <c r="AR13" s="21" t="s">
        <v>51</v>
      </c>
      <c r="AS13" s="35">
        <f>AS9/(SQRT(AS7*AS8))</f>
        <v>-0.72711987810591383</v>
      </c>
      <c r="AT13" s="21" t="s">
        <v>52</v>
      </c>
      <c r="AU13" s="21">
        <f>AS2-2</f>
        <v>41</v>
      </c>
      <c r="AV13" s="36"/>
      <c r="AW13" s="34">
        <f t="shared" si="6"/>
        <v>1.7999999999999998</v>
      </c>
      <c r="AX13" s="25">
        <f t="shared" si="0"/>
        <v>15.998336145299143</v>
      </c>
      <c r="AY13" s="25">
        <f t="shared" si="1"/>
        <v>15.154979674204878</v>
      </c>
      <c r="AZ13" s="22">
        <f t="shared" si="2"/>
        <v>16.841692616393409</v>
      </c>
      <c r="BA13" s="25">
        <f t="shared" si="3"/>
        <v>15.998336145299143</v>
      </c>
      <c r="BB13" s="25">
        <f t="shared" si="4"/>
        <v>13.468441565162703</v>
      </c>
      <c r="BC13" s="22">
        <f t="shared" si="5"/>
        <v>18.528230725435584</v>
      </c>
    </row>
    <row r="14" spans="1:56" ht="13" thickBot="1">
      <c r="B14" s="14">
        <v>0.56000000000000005</v>
      </c>
      <c r="C14" s="14">
        <v>16.600000000000001</v>
      </c>
      <c r="L14" s="4" t="s">
        <v>10</v>
      </c>
      <c r="M14" s="4">
        <v>42</v>
      </c>
      <c r="N14" s="4">
        <v>121.34697674418602</v>
      </c>
      <c r="O14" s="4"/>
      <c r="P14" s="4"/>
      <c r="Q14" s="4"/>
      <c r="T14" s="82">
        <v>0.56000000000000005</v>
      </c>
      <c r="U14" s="51">
        <v>16.600000000000001</v>
      </c>
      <c r="AD14" s="4" t="s">
        <v>10</v>
      </c>
      <c r="AE14" s="4">
        <v>38</v>
      </c>
      <c r="AF14" s="4">
        <v>64.635897435897448</v>
      </c>
      <c r="AG14" s="4"/>
      <c r="AH14" s="4"/>
      <c r="AI14" s="4"/>
      <c r="AO14" s="14">
        <v>0.56000000000000005</v>
      </c>
      <c r="AP14" s="14">
        <v>16.600000000000001</v>
      </c>
      <c r="AQ14" s="20"/>
      <c r="AR14" s="21" t="s">
        <v>53</v>
      </c>
      <c r="AS14" s="35">
        <f>AS13*SQRT(AS2-2)/(SQRT(1-AS13^2))</f>
        <v>-6.7818902037758892</v>
      </c>
      <c r="AT14" s="37" t="s">
        <v>54</v>
      </c>
      <c r="AU14" s="38">
        <f>TDIST(ABS(AS14),AU13,2)</f>
        <v>3.35143826107353E-8</v>
      </c>
      <c r="AW14" s="34">
        <f t="shared" si="6"/>
        <v>1.9999999999999998</v>
      </c>
      <c r="AX14" s="25">
        <f t="shared" si="0"/>
        <v>15.527491723820091</v>
      </c>
      <c r="AY14" s="25">
        <f t="shared" si="1"/>
        <v>14.555752871638042</v>
      </c>
      <c r="AZ14" s="22">
        <f t="shared" si="2"/>
        <v>16.499230576002141</v>
      </c>
      <c r="BA14" s="25">
        <f t="shared" si="3"/>
        <v>15.527491723820091</v>
      </c>
      <c r="BB14" s="25">
        <f t="shared" si="4"/>
        <v>12.951954334049317</v>
      </c>
      <c r="BC14" s="22">
        <f t="shared" si="5"/>
        <v>18.103029113590864</v>
      </c>
    </row>
    <row r="15" spans="1:56" ht="13" thickBot="1">
      <c r="B15" s="14">
        <v>0.1</v>
      </c>
      <c r="C15" s="14">
        <v>19.7</v>
      </c>
      <c r="T15" s="82">
        <v>0.1</v>
      </c>
      <c r="U15" s="51">
        <v>19.7</v>
      </c>
      <c r="AO15" s="14">
        <v>0.1</v>
      </c>
      <c r="AP15" s="14">
        <v>19.7</v>
      </c>
      <c r="AQ15" s="20"/>
      <c r="AR15" s="21"/>
      <c r="AS15" s="20"/>
      <c r="AU15" s="35"/>
      <c r="AV15" s="36"/>
      <c r="AW15" s="34">
        <f t="shared" si="6"/>
        <v>2.1999999999999997</v>
      </c>
      <c r="AX15" s="25">
        <f t="shared" si="0"/>
        <v>15.056647302341041</v>
      </c>
      <c r="AY15" s="25">
        <f t="shared" si="1"/>
        <v>13.953642130737244</v>
      </c>
      <c r="AZ15" s="22">
        <f t="shared" si="2"/>
        <v>16.159652473944838</v>
      </c>
      <c r="BA15" s="25">
        <f t="shared" si="3"/>
        <v>15.056647302341041</v>
      </c>
      <c r="BB15" s="25">
        <f t="shared" si="4"/>
        <v>12.428770429682832</v>
      </c>
      <c r="BC15" s="22">
        <f t="shared" si="5"/>
        <v>17.68452417499925</v>
      </c>
    </row>
    <row r="16" spans="1:56" ht="13">
      <c r="B16" s="14">
        <v>0.79</v>
      </c>
      <c r="C16" s="14">
        <v>19.2</v>
      </c>
      <c r="L16" s="5"/>
      <c r="M16" s="5" t="s">
        <v>17</v>
      </c>
      <c r="N16" s="5" t="s">
        <v>5</v>
      </c>
      <c r="O16" s="5" t="s">
        <v>18</v>
      </c>
      <c r="P16" s="5" t="s">
        <v>19</v>
      </c>
      <c r="Q16" s="5" t="s">
        <v>20</v>
      </c>
      <c r="R16" s="5" t="s">
        <v>21</v>
      </c>
      <c r="T16" s="82">
        <v>0.79</v>
      </c>
      <c r="U16" s="51">
        <v>19.2</v>
      </c>
      <c r="AD16" s="5"/>
      <c r="AE16" s="5" t="s">
        <v>17</v>
      </c>
      <c r="AF16" s="5" t="s">
        <v>5</v>
      </c>
      <c r="AG16" s="5" t="s">
        <v>18</v>
      </c>
      <c r="AH16" s="5" t="s">
        <v>19</v>
      </c>
      <c r="AI16" s="5" t="s">
        <v>20</v>
      </c>
      <c r="AJ16" s="5" t="s">
        <v>21</v>
      </c>
      <c r="AK16" s="5" t="s">
        <v>26</v>
      </c>
      <c r="AL16" s="5" t="s">
        <v>27</v>
      </c>
      <c r="AM16" s="16"/>
      <c r="AO16" s="14">
        <v>0.79</v>
      </c>
      <c r="AP16" s="14">
        <v>19.2</v>
      </c>
      <c r="AQ16" s="20"/>
      <c r="AR16" s="40" t="s">
        <v>47</v>
      </c>
      <c r="AS16" s="20"/>
      <c r="AT16" s="20"/>
      <c r="AU16" s="20"/>
      <c r="AV16" s="22"/>
      <c r="AW16" s="34">
        <f t="shared" si="6"/>
        <v>2.4</v>
      </c>
      <c r="AX16" s="25">
        <f t="shared" si="0"/>
        <v>14.585802880861987</v>
      </c>
      <c r="AY16" s="25">
        <f t="shared" si="1"/>
        <v>13.349565778777404</v>
      </c>
      <c r="AZ16" s="22">
        <f t="shared" si="2"/>
        <v>15.822039982946571</v>
      </c>
      <c r="BA16" s="25">
        <f t="shared" si="3"/>
        <v>14.585802880861987</v>
      </c>
      <c r="BB16" s="25">
        <f t="shared" si="4"/>
        <v>11.899281222315819</v>
      </c>
      <c r="BC16" s="22">
        <f t="shared" si="5"/>
        <v>17.272324539408157</v>
      </c>
    </row>
    <row r="17" spans="2:55">
      <c r="B17" s="14">
        <v>1.01</v>
      </c>
      <c r="C17" s="14">
        <v>16.5</v>
      </c>
      <c r="L17" s="3" t="s">
        <v>11</v>
      </c>
      <c r="M17" s="3">
        <v>20.235935938610613</v>
      </c>
      <c r="N17" s="3">
        <v>0.30656594495948025</v>
      </c>
      <c r="O17" s="3">
        <v>66.008427456889436</v>
      </c>
      <c r="P17" s="3">
        <v>2.950857742501123E-43</v>
      </c>
      <c r="Q17" s="3">
        <v>19.616813459421635</v>
      </c>
      <c r="R17" s="3">
        <v>20.85505841779959</v>
      </c>
      <c r="T17" s="82">
        <v>1.01</v>
      </c>
      <c r="U17" s="51">
        <v>16.5</v>
      </c>
      <c r="AD17" s="3" t="s">
        <v>11</v>
      </c>
      <c r="AE17" s="3">
        <v>20.025947294409569</v>
      </c>
      <c r="AF17" s="3">
        <v>0.46282442758855913</v>
      </c>
      <c r="AG17" s="3">
        <v>43.268993814242236</v>
      </c>
      <c r="AH17" s="3">
        <v>2.722017453754606E-33</v>
      </c>
      <c r="AI17" s="3">
        <v>19.088175934773229</v>
      </c>
      <c r="AJ17" s="3">
        <v>20.963718654045909</v>
      </c>
      <c r="AK17" s="3">
        <v>19.245119166123896</v>
      </c>
      <c r="AL17" s="3">
        <v>20.806775422695242</v>
      </c>
      <c r="AM17" s="3"/>
      <c r="AO17" s="14">
        <v>1.01</v>
      </c>
      <c r="AP17" s="14">
        <v>16.5</v>
      </c>
      <c r="AQ17" s="20"/>
      <c r="AR17" s="21" t="s">
        <v>41</v>
      </c>
      <c r="AS17" s="21" t="s">
        <v>42</v>
      </c>
      <c r="AT17" s="21" t="s">
        <v>13</v>
      </c>
      <c r="AU17" s="21" t="s">
        <v>14</v>
      </c>
      <c r="AV17" s="36" t="s">
        <v>43</v>
      </c>
      <c r="AW17" s="34">
        <v>2.5</v>
      </c>
      <c r="AX17" s="25">
        <f t="shared" si="0"/>
        <v>14.350380670122462</v>
      </c>
      <c r="AY17" s="25">
        <f t="shared" si="1"/>
        <v>13.046978502081533</v>
      </c>
      <c r="AZ17" s="22">
        <f t="shared" si="2"/>
        <v>15.653782838163391</v>
      </c>
      <c r="BA17" s="25">
        <f t="shared" si="3"/>
        <v>14.350380670122462</v>
      </c>
      <c r="BB17" s="25">
        <f t="shared" si="4"/>
        <v>11.632297952300769</v>
      </c>
      <c r="BC17" s="22">
        <f t="shared" si="5"/>
        <v>17.068463387944156</v>
      </c>
    </row>
    <row r="18" spans="2:55" ht="13.5" thickBot="1">
      <c r="B18" s="14">
        <v>2.2000000000000002</v>
      </c>
      <c r="C18" s="14">
        <v>13.7</v>
      </c>
      <c r="E18" s="11" t="s">
        <v>51</v>
      </c>
      <c r="F18">
        <f>SQRT(0.5287)</f>
        <v>0.72711759709141954</v>
      </c>
      <c r="L18" s="4" t="s">
        <v>32</v>
      </c>
      <c r="M18" s="4">
        <v>-2.3542221073952616</v>
      </c>
      <c r="N18" s="4">
        <v>0.34713362155060007</v>
      </c>
      <c r="O18" s="4">
        <v>-6.7818902037758892</v>
      </c>
      <c r="P18" s="4">
        <v>3.3514382605631873E-8</v>
      </c>
      <c r="Q18" s="4">
        <v>-3.0552726706359423</v>
      </c>
      <c r="R18" s="4">
        <v>-1.6531715441545809</v>
      </c>
      <c r="T18" s="82">
        <v>0.45</v>
      </c>
      <c r="U18" s="51">
        <v>17.899999999999999</v>
      </c>
      <c r="W18" s="11" t="s">
        <v>87</v>
      </c>
      <c r="X18">
        <f>CORREL(T2:T40,U2:U40)</f>
        <v>-0.40003832476557522</v>
      </c>
      <c r="AD18" s="4" t="s">
        <v>32</v>
      </c>
      <c r="AE18" s="4">
        <v>-1.9591150149470149</v>
      </c>
      <c r="AF18" s="4">
        <v>0.7378858595854626</v>
      </c>
      <c r="AG18" s="4">
        <v>-2.6550380245091394</v>
      </c>
      <c r="AH18" s="4">
        <v>1.1625582110700791E-2</v>
      </c>
      <c r="AI18" s="4">
        <v>-3.4542137706571037</v>
      </c>
      <c r="AJ18" s="4">
        <v>-0.46401625923692591</v>
      </c>
      <c r="AK18" s="4">
        <v>-3.2039975239160023</v>
      </c>
      <c r="AL18" s="4">
        <v>-0.71423250597802723</v>
      </c>
      <c r="AM18" s="3"/>
      <c r="AO18" s="14">
        <v>2.2000000000000002</v>
      </c>
      <c r="AP18" s="14">
        <v>13.7</v>
      </c>
      <c r="AQ18" s="20"/>
      <c r="AR18" s="21" t="s">
        <v>44</v>
      </c>
      <c r="AS18" s="21">
        <v>1</v>
      </c>
      <c r="AT18" s="21">
        <f>AT20-AT19</f>
        <v>64.156549129168113</v>
      </c>
      <c r="AU18" s="21">
        <f>AT18/AS18</f>
        <v>64.156549129168113</v>
      </c>
      <c r="AV18" s="36">
        <f>AU18/AU19</f>
        <v>45.994034736071363</v>
      </c>
      <c r="AW18" s="34"/>
      <c r="AX18" s="41"/>
      <c r="AY18" s="41"/>
      <c r="AZ18" s="42"/>
      <c r="BA18" s="41"/>
      <c r="BB18" s="41"/>
      <c r="BC18" s="46"/>
    </row>
    <row r="19" spans="2:55" ht="13">
      <c r="B19" s="14">
        <v>0.45</v>
      </c>
      <c r="C19" s="14">
        <v>17.899999999999999</v>
      </c>
      <c r="E19" s="11" t="s">
        <v>90</v>
      </c>
      <c r="F19">
        <v>43</v>
      </c>
      <c r="T19" s="82">
        <v>1.18</v>
      </c>
      <c r="U19" s="51">
        <v>15.9</v>
      </c>
      <c r="W19" s="11"/>
      <c r="AO19" s="14">
        <v>0.45</v>
      </c>
      <c r="AP19" s="14">
        <v>17.899999999999999</v>
      </c>
      <c r="AQ19" s="20"/>
      <c r="AR19" s="21" t="s">
        <v>9</v>
      </c>
      <c r="AS19" s="21">
        <f>AS20-AS18</f>
        <v>41</v>
      </c>
      <c r="AT19" s="21">
        <f>AS8-(AS9^2)/AS7</f>
        <v>57.190427615017555</v>
      </c>
      <c r="AU19" s="21">
        <f>AT19/AS19</f>
        <v>1.3948884784150624</v>
      </c>
      <c r="AV19" s="36">
        <f>FDIST(AV18,AS18,AS19)</f>
        <v>3.35143826107353E-8</v>
      </c>
      <c r="AX19" s="41"/>
      <c r="AY19" s="41"/>
      <c r="AZ19" s="42"/>
      <c r="BA19" s="41"/>
      <c r="BB19" s="41"/>
      <c r="BC19" s="46"/>
    </row>
    <row r="20" spans="2:55" ht="13">
      <c r="B20" s="14">
        <v>1.18</v>
      </c>
      <c r="C20" s="14">
        <v>15.9</v>
      </c>
      <c r="E20" s="11" t="s">
        <v>89</v>
      </c>
      <c r="F20">
        <f>F18*SQRT(F19-2)/SQRT(1-F18^2)</f>
        <v>6.7818450622634074</v>
      </c>
      <c r="T20" s="82">
        <v>0.37</v>
      </c>
      <c r="U20" s="51">
        <v>20.5</v>
      </c>
      <c r="W20" s="11" t="s">
        <v>30</v>
      </c>
      <c r="X20">
        <f>-X18*SQRT(COUNT(U:U)-2)/SQRT(1-X18^2)</f>
        <v>2.6550380245091381</v>
      </c>
      <c r="AO20" s="14">
        <v>1.18</v>
      </c>
      <c r="AP20" s="14">
        <v>15.9</v>
      </c>
      <c r="AQ20" s="20"/>
      <c r="AR20" s="21" t="s">
        <v>10</v>
      </c>
      <c r="AS20" s="21">
        <f>AS2-1</f>
        <v>42</v>
      </c>
      <c r="AT20" s="21">
        <f>AS8</f>
        <v>121.34697674418567</v>
      </c>
      <c r="AU20" s="21" t="s">
        <v>45</v>
      </c>
      <c r="AV20" s="22"/>
      <c r="AX20" s="41"/>
      <c r="AY20" s="41"/>
      <c r="AZ20" s="42"/>
      <c r="BA20" s="41"/>
      <c r="BB20" s="41"/>
      <c r="BC20" s="46"/>
    </row>
    <row r="21" spans="2:55" ht="13">
      <c r="B21" s="14">
        <v>2.2400000000000002</v>
      </c>
      <c r="C21" s="14">
        <v>14.8</v>
      </c>
      <c r="E21" s="11" t="s">
        <v>88</v>
      </c>
      <c r="F21">
        <f>TDIST(F20,F19-2,2)</f>
        <v>3.3519315284951983E-8</v>
      </c>
      <c r="T21" s="82">
        <v>0.35</v>
      </c>
      <c r="U21" s="51">
        <v>21.1</v>
      </c>
      <c r="W21" s="11" t="s">
        <v>88</v>
      </c>
      <c r="X21">
        <f>TDIST(X20,COUNT(U:U)-2,2)</f>
        <v>1.1625582276674026E-2</v>
      </c>
      <c r="AO21" s="14">
        <v>2.2400000000000002</v>
      </c>
      <c r="AP21" s="14">
        <v>14.8</v>
      </c>
      <c r="AQ21" s="20"/>
      <c r="AR21" s="21"/>
      <c r="AS21" s="20"/>
      <c r="AT21" s="20"/>
      <c r="AU21" s="20"/>
      <c r="AV21" s="22"/>
      <c r="AX21" s="41"/>
      <c r="AY21" s="41"/>
      <c r="AZ21" s="42"/>
      <c r="BA21" s="41"/>
      <c r="BB21" s="41"/>
      <c r="BC21" s="46"/>
    </row>
    <row r="22" spans="2:55">
      <c r="B22" s="14">
        <v>0.37</v>
      </c>
      <c r="C22" s="14">
        <v>20.5</v>
      </c>
      <c r="L22" t="s">
        <v>22</v>
      </c>
      <c r="T22" s="82">
        <v>0.54</v>
      </c>
      <c r="U22" s="51">
        <v>20.3</v>
      </c>
      <c r="AD22" t="s">
        <v>22</v>
      </c>
      <c r="AO22" s="14">
        <v>0.37</v>
      </c>
      <c r="AP22" s="14">
        <v>20.5</v>
      </c>
      <c r="AQ22" s="20"/>
      <c r="AR22" s="40" t="s">
        <v>50</v>
      </c>
      <c r="AS22" s="20"/>
      <c r="AT22" s="20"/>
      <c r="AU22" s="20"/>
      <c r="AV22" s="22"/>
      <c r="AX22" s="41"/>
      <c r="AY22" s="41"/>
      <c r="AZ22" s="42"/>
      <c r="BA22" s="41"/>
      <c r="BB22" s="41"/>
      <c r="BC22" s="46"/>
    </row>
    <row r="23" spans="2:55" ht="13" thickBot="1">
      <c r="B23" s="14">
        <v>0.35</v>
      </c>
      <c r="C23" s="14">
        <v>21.1</v>
      </c>
      <c r="T23" s="82">
        <v>0.55000000000000004</v>
      </c>
      <c r="U23" s="51">
        <v>18.2</v>
      </c>
      <c r="AO23" s="14">
        <v>0.35</v>
      </c>
      <c r="AP23" s="14">
        <v>21.1</v>
      </c>
      <c r="AQ23" s="20"/>
      <c r="AR23" s="21">
        <f>SQRT(AU19)</f>
        <v>1.1810539693066793</v>
      </c>
      <c r="AS23" s="20"/>
      <c r="AT23" s="20"/>
      <c r="AU23" s="20"/>
      <c r="AV23" s="22"/>
      <c r="AX23" s="25"/>
      <c r="AY23" s="25"/>
      <c r="BA23" s="15"/>
      <c r="BB23" s="15"/>
    </row>
    <row r="24" spans="2:55" ht="13">
      <c r="B24" s="14">
        <v>0.54</v>
      </c>
      <c r="C24" s="14">
        <v>20.3</v>
      </c>
      <c r="L24" s="5" t="s">
        <v>23</v>
      </c>
      <c r="M24" s="5" t="s">
        <v>34</v>
      </c>
      <c r="N24" s="5" t="s">
        <v>24</v>
      </c>
      <c r="O24" s="5" t="s">
        <v>25</v>
      </c>
      <c r="T24" s="82">
        <v>0.41</v>
      </c>
      <c r="U24" s="51">
        <v>19.3</v>
      </c>
      <c r="AD24" s="5" t="s">
        <v>23</v>
      </c>
      <c r="AE24" s="5" t="s">
        <v>34</v>
      </c>
      <c r="AF24" s="5" t="s">
        <v>24</v>
      </c>
      <c r="AG24" s="5" t="s">
        <v>25</v>
      </c>
      <c r="AO24" s="14">
        <v>0.54</v>
      </c>
      <c r="AP24" s="14">
        <v>20.3</v>
      </c>
      <c r="AQ24" s="20"/>
      <c r="AR24" s="21"/>
      <c r="AS24" s="20"/>
      <c r="AT24" s="20"/>
      <c r="AU24" s="20"/>
      <c r="AV24" s="22"/>
      <c r="AW24" s="44"/>
      <c r="AX24" s="45"/>
      <c r="AY24" s="25"/>
      <c r="BA24" s="15"/>
      <c r="BB24" s="15"/>
    </row>
    <row r="25" spans="2:55">
      <c r="B25" s="14">
        <v>2.12</v>
      </c>
      <c r="C25" s="14">
        <v>16</v>
      </c>
      <c r="L25" s="3">
        <v>1</v>
      </c>
      <c r="M25" s="3">
        <v>19.03528266383903</v>
      </c>
      <c r="N25" s="3">
        <v>0.36471733616096813</v>
      </c>
      <c r="O25" s="3">
        <v>0.31254991165887991</v>
      </c>
      <c r="T25" s="82">
        <v>0.25</v>
      </c>
      <c r="U25" s="51">
        <v>18.3</v>
      </c>
      <c r="AD25" s="3">
        <v>1</v>
      </c>
      <c r="AE25" s="3">
        <v>19.026798636786591</v>
      </c>
      <c r="AF25" s="3">
        <v>0.37320136321340769</v>
      </c>
      <c r="AG25" s="3">
        <v>0.31222409216374314</v>
      </c>
      <c r="AO25" s="14">
        <v>2.12</v>
      </c>
      <c r="AP25" s="14">
        <v>16</v>
      </c>
      <c r="AQ25" s="20"/>
      <c r="AR25" s="21"/>
      <c r="AS25" s="20"/>
      <c r="AT25" s="20"/>
      <c r="AU25" s="20"/>
      <c r="AV25" s="22"/>
      <c r="AW25" s="34"/>
      <c r="AX25" s="41"/>
      <c r="AY25" s="25"/>
      <c r="BA25" s="15"/>
      <c r="BB25" s="15"/>
    </row>
    <row r="26" spans="2:55">
      <c r="B26" s="14">
        <v>0.55000000000000004</v>
      </c>
      <c r="C26" s="14">
        <v>18.2</v>
      </c>
      <c r="L26" s="3">
        <v>2</v>
      </c>
      <c r="M26" s="3">
        <v>19.623838190687845</v>
      </c>
      <c r="N26" s="3">
        <v>0.47616180931215624</v>
      </c>
      <c r="O26" s="3">
        <v>0.40805390004867548</v>
      </c>
      <c r="T26" s="82">
        <v>0.12</v>
      </c>
      <c r="U26" s="51">
        <v>20.7</v>
      </c>
      <c r="AD26" s="3">
        <v>2</v>
      </c>
      <c r="AE26" s="3">
        <v>19.516577390523345</v>
      </c>
      <c r="AF26" s="3">
        <v>0.58342260947665636</v>
      </c>
      <c r="AG26" s="3">
        <v>0.48809734515221304</v>
      </c>
      <c r="AO26" s="14">
        <v>0.55000000000000004</v>
      </c>
      <c r="AP26" s="14">
        <v>18.2</v>
      </c>
      <c r="AQ26" s="20"/>
      <c r="AR26" s="21"/>
      <c r="AS26" s="20"/>
      <c r="AT26" s="20"/>
      <c r="AU26" s="20"/>
      <c r="AV26" s="22"/>
      <c r="AW26" s="34"/>
      <c r="AX26" s="41"/>
      <c r="AY26" s="25"/>
      <c r="BA26" s="15"/>
      <c r="BB26" s="15"/>
    </row>
    <row r="27" spans="2:55">
      <c r="B27" s="14">
        <v>0.41</v>
      </c>
      <c r="C27" s="14">
        <v>19.3</v>
      </c>
      <c r="L27" s="3">
        <v>3</v>
      </c>
      <c r="M27" s="3">
        <v>18.470269358064165</v>
      </c>
      <c r="N27" s="3">
        <v>-0.37026935806416361</v>
      </c>
      <c r="O27" s="3">
        <v>-0.31730779888639038</v>
      </c>
      <c r="T27" s="82">
        <v>0.79</v>
      </c>
      <c r="U27" s="51">
        <v>17.899999999999999</v>
      </c>
      <c r="AD27" s="3">
        <v>3</v>
      </c>
      <c r="AE27" s="3">
        <v>18.556611033199307</v>
      </c>
      <c r="AF27" s="3">
        <v>-0.45661103319930518</v>
      </c>
      <c r="AG27" s="3">
        <v>-0.38200547845019239</v>
      </c>
      <c r="AO27" s="14">
        <v>0.41</v>
      </c>
      <c r="AP27" s="14">
        <v>19.3</v>
      </c>
      <c r="AQ27" s="20"/>
      <c r="AR27" s="21"/>
      <c r="AS27" s="20"/>
      <c r="AT27" s="20"/>
      <c r="AU27" s="20"/>
      <c r="AV27" s="22"/>
      <c r="AW27" s="34"/>
      <c r="AX27" s="41"/>
      <c r="AY27" s="25"/>
      <c r="BA27" s="15"/>
      <c r="BB27" s="15"/>
    </row>
    <row r="28" spans="2:55">
      <c r="B28" s="14">
        <v>0.25</v>
      </c>
      <c r="C28" s="14">
        <v>18.3</v>
      </c>
      <c r="L28" s="3">
        <v>4</v>
      </c>
      <c r="M28" s="3">
        <v>18.587980463433929</v>
      </c>
      <c r="N28" s="3">
        <v>-0.18798046343393082</v>
      </c>
      <c r="O28" s="3">
        <v>-0.16109263644637831</v>
      </c>
      <c r="T28" s="82">
        <v>0.91</v>
      </c>
      <c r="U28" s="51">
        <v>17.2</v>
      </c>
      <c r="AD28" s="3">
        <v>4</v>
      </c>
      <c r="AE28" s="3">
        <v>18.65456678394666</v>
      </c>
      <c r="AF28" s="3">
        <v>-0.25456678394666099</v>
      </c>
      <c r="AG28" s="3">
        <v>-0.21297318511492108</v>
      </c>
      <c r="AO28" s="14">
        <v>0.25</v>
      </c>
      <c r="AP28" s="14">
        <v>18.3</v>
      </c>
      <c r="AQ28" s="20"/>
      <c r="AR28" s="21"/>
      <c r="AS28" s="20"/>
      <c r="AT28" s="20"/>
      <c r="AU28" s="20"/>
      <c r="AV28" s="22"/>
      <c r="AW28" s="34"/>
      <c r="AX28" s="41"/>
      <c r="AY28" s="25"/>
      <c r="BA28" s="15"/>
      <c r="BB28" s="15"/>
    </row>
    <row r="29" spans="2:55">
      <c r="B29" s="14">
        <v>0.12</v>
      </c>
      <c r="C29" s="14">
        <v>20.7</v>
      </c>
      <c r="L29" s="3">
        <v>5</v>
      </c>
      <c r="M29" s="3">
        <v>18.917571558469266</v>
      </c>
      <c r="N29" s="3">
        <v>-0.41757155846926608</v>
      </c>
      <c r="O29" s="3">
        <v>-0.35784411863884757</v>
      </c>
      <c r="T29" s="82">
        <v>1.1000000000000001</v>
      </c>
      <c r="U29" s="51">
        <v>19.7</v>
      </c>
      <c r="AD29" s="3">
        <v>5</v>
      </c>
      <c r="AE29" s="3">
        <v>18.928842886039241</v>
      </c>
      <c r="AF29" s="3">
        <v>-0.42884288603924148</v>
      </c>
      <c r="AG29" s="3">
        <v>-0.35877436143746483</v>
      </c>
      <c r="AO29" s="14">
        <v>0.12</v>
      </c>
      <c r="AP29" s="14">
        <v>20.7</v>
      </c>
      <c r="AQ29" s="20"/>
      <c r="AR29" s="21"/>
      <c r="AS29" s="20"/>
      <c r="AT29" s="20"/>
      <c r="AU29" s="20"/>
      <c r="AV29" s="22"/>
      <c r="AW29" s="34"/>
      <c r="AX29" s="41"/>
      <c r="AY29" s="25"/>
      <c r="BA29" s="15"/>
      <c r="BB29" s="15"/>
    </row>
    <row r="30" spans="2:55">
      <c r="B30" s="14">
        <v>0.79</v>
      </c>
      <c r="C30" s="14">
        <v>17.899999999999999</v>
      </c>
      <c r="L30" s="3">
        <v>6</v>
      </c>
      <c r="M30" s="3">
        <v>19.623838190687845</v>
      </c>
      <c r="N30" s="3">
        <v>1.1761618093121555</v>
      </c>
      <c r="O30" s="3">
        <v>1.0079292458826747</v>
      </c>
      <c r="T30" s="82">
        <v>0.74</v>
      </c>
      <c r="U30" s="51">
        <v>20.5</v>
      </c>
      <c r="AD30" s="3">
        <v>6</v>
      </c>
      <c r="AE30" s="3">
        <v>19.516577390523345</v>
      </c>
      <c r="AF30" s="3">
        <v>1.2834226094766557</v>
      </c>
      <c r="AG30" s="3">
        <v>1.0737245321291338</v>
      </c>
      <c r="AO30" s="14">
        <v>0.79</v>
      </c>
      <c r="AP30" s="14">
        <v>17.899999999999999</v>
      </c>
      <c r="AQ30" s="20"/>
      <c r="AR30" s="21"/>
      <c r="AS30" s="20"/>
      <c r="AT30" s="20"/>
      <c r="AU30" s="20"/>
      <c r="AV30" s="22"/>
      <c r="AW30" s="34"/>
      <c r="AX30" s="41"/>
      <c r="AY30" s="25"/>
      <c r="BA30" s="15"/>
      <c r="BB30" s="15"/>
    </row>
    <row r="31" spans="2:55">
      <c r="B31" s="14">
        <v>0.91</v>
      </c>
      <c r="C31" s="14">
        <v>17.2</v>
      </c>
      <c r="L31" s="3">
        <v>7</v>
      </c>
      <c r="M31" s="3">
        <v>19.270704874578556</v>
      </c>
      <c r="N31" s="3">
        <v>0.12929512542144295</v>
      </c>
      <c r="O31" s="3">
        <v>0.11080136868119782</v>
      </c>
      <c r="T31" s="82">
        <v>0.81</v>
      </c>
      <c r="U31" s="51">
        <v>18.3</v>
      </c>
      <c r="AD31" s="3">
        <v>7</v>
      </c>
      <c r="AE31" s="3">
        <v>19.222710138281293</v>
      </c>
      <c r="AF31" s="3">
        <v>0.17728986171870531</v>
      </c>
      <c r="AG31" s="3">
        <v>0.14832251856836107</v>
      </c>
      <c r="AO31" s="14">
        <v>0.91</v>
      </c>
      <c r="AP31" s="14">
        <v>17.2</v>
      </c>
      <c r="AQ31" s="20"/>
      <c r="AR31" s="21"/>
      <c r="AS31" s="20"/>
      <c r="AT31" s="20"/>
      <c r="AU31" s="20"/>
      <c r="AV31" s="22"/>
      <c r="AW31" s="34"/>
      <c r="AX31" s="41"/>
      <c r="AY31" s="25"/>
      <c r="BA31" s="15"/>
      <c r="BB31" s="15"/>
    </row>
    <row r="32" spans="2:55">
      <c r="B32" s="14">
        <v>1.1000000000000001</v>
      </c>
      <c r="C32" s="14">
        <v>19.7</v>
      </c>
      <c r="L32" s="3">
        <v>8</v>
      </c>
      <c r="M32" s="3">
        <v>19.03528266383903</v>
      </c>
      <c r="N32" s="3">
        <v>-0.33528266383903116</v>
      </c>
      <c r="O32" s="3">
        <v>-0.28732543417511935</v>
      </c>
      <c r="T32" s="82">
        <v>0.6</v>
      </c>
      <c r="U32" s="51">
        <v>18.8</v>
      </c>
      <c r="AD32" s="3">
        <v>8</v>
      </c>
      <c r="AE32" s="3">
        <v>19.026798636786591</v>
      </c>
      <c r="AF32" s="3">
        <v>-0.3267986367865916</v>
      </c>
      <c r="AG32" s="3">
        <v>-0.27340309481317748</v>
      </c>
      <c r="AO32" s="14">
        <v>1.1000000000000001</v>
      </c>
      <c r="AP32" s="14">
        <v>19.7</v>
      </c>
      <c r="AQ32" s="20"/>
      <c r="AR32" s="21"/>
      <c r="AS32" s="20"/>
      <c r="AT32" s="20"/>
      <c r="AU32" s="20"/>
      <c r="AV32" s="22"/>
      <c r="AW32" s="34"/>
      <c r="AX32" s="41"/>
      <c r="AY32" s="25"/>
      <c r="BA32" s="15"/>
      <c r="BB32" s="15"/>
    </row>
    <row r="33" spans="2:54">
      <c r="B33" s="14">
        <v>1.96</v>
      </c>
      <c r="C33" s="14">
        <v>15.8</v>
      </c>
      <c r="L33" s="3">
        <v>9</v>
      </c>
      <c r="M33" s="3">
        <v>18.305473810546498</v>
      </c>
      <c r="N33" s="3">
        <v>0.89452618945350082</v>
      </c>
      <c r="O33" s="3">
        <v>0.76657743893712704</v>
      </c>
      <c r="T33" s="82">
        <v>0.48</v>
      </c>
      <c r="U33" s="51">
        <v>20.100000000000001</v>
      </c>
      <c r="AD33" s="3">
        <v>9</v>
      </c>
      <c r="AE33" s="3">
        <v>18.419472982153017</v>
      </c>
      <c r="AF33" s="3">
        <v>0.78052701784698186</v>
      </c>
      <c r="AG33" s="3">
        <v>0.65299691688744743</v>
      </c>
      <c r="AO33" s="14">
        <v>1.96</v>
      </c>
      <c r="AP33" s="14">
        <v>15.8</v>
      </c>
      <c r="AQ33" s="20"/>
      <c r="AR33" s="21"/>
      <c r="AS33" s="20"/>
      <c r="AT33" s="20"/>
      <c r="AU33" s="20"/>
      <c r="AV33" s="22"/>
      <c r="AW33" s="34"/>
      <c r="AX33" s="41"/>
      <c r="AY33" s="25"/>
      <c r="BA33" s="15"/>
      <c r="BB33" s="15"/>
    </row>
    <row r="34" spans="2:54">
      <c r="B34" s="14">
        <v>0.74</v>
      </c>
      <c r="C34" s="14">
        <v>20.5</v>
      </c>
      <c r="L34" s="3">
        <v>10</v>
      </c>
      <c r="M34" s="3">
        <v>19.435500422096222</v>
      </c>
      <c r="N34" s="3">
        <v>-2.4355004220962222</v>
      </c>
      <c r="O34" s="3">
        <v>-2.0871380828340342</v>
      </c>
      <c r="T34" s="82">
        <v>0.54</v>
      </c>
      <c r="U34" s="51">
        <v>18.399999999999999</v>
      </c>
      <c r="AD34" s="3">
        <v>10</v>
      </c>
      <c r="AE34" s="3">
        <v>19.359848189327582</v>
      </c>
      <c r="AF34" s="3">
        <v>-2.3598481893275824</v>
      </c>
      <c r="AG34" s="3">
        <v>-1.974273224012133</v>
      </c>
      <c r="AO34" s="14">
        <v>0.74</v>
      </c>
      <c r="AP34" s="14">
        <v>20.5</v>
      </c>
      <c r="AQ34" s="20"/>
      <c r="AR34" s="21"/>
      <c r="AS34" s="20"/>
      <c r="AT34" s="20"/>
      <c r="AU34" s="20"/>
      <c r="AV34" s="22"/>
      <c r="AW34" s="34"/>
      <c r="AX34" s="41"/>
      <c r="AY34" s="25"/>
      <c r="BA34" s="15"/>
      <c r="BB34" s="15"/>
    </row>
    <row r="35" spans="2:54">
      <c r="B35" s="14">
        <v>0.81</v>
      </c>
      <c r="C35" s="14">
        <v>18.3</v>
      </c>
      <c r="L35" s="3">
        <v>11</v>
      </c>
      <c r="M35" s="3">
        <v>19.435500422096222</v>
      </c>
      <c r="N35" s="3">
        <v>-1.0355004220962236</v>
      </c>
      <c r="O35" s="3">
        <v>-0.88738739116603571</v>
      </c>
      <c r="T35" s="82">
        <v>1.1599999999999999</v>
      </c>
      <c r="U35" s="51">
        <v>19.399999999999999</v>
      </c>
      <c r="AD35" s="3">
        <v>11</v>
      </c>
      <c r="AE35" s="3">
        <v>19.359848189327582</v>
      </c>
      <c r="AF35" s="3">
        <v>-0.95984818932758387</v>
      </c>
      <c r="AG35" s="3">
        <v>-0.80301885005829177</v>
      </c>
      <c r="AO35" s="14">
        <v>0.81</v>
      </c>
      <c r="AP35" s="14">
        <v>18.3</v>
      </c>
      <c r="AQ35" s="20"/>
      <c r="AR35" s="21"/>
      <c r="AS35" s="20"/>
      <c r="AT35" s="20"/>
      <c r="AU35" s="20"/>
      <c r="AV35" s="22"/>
      <c r="AW35" s="34"/>
      <c r="AX35" s="41"/>
      <c r="AY35" s="25"/>
      <c r="BA35" s="15"/>
      <c r="BB35" s="15"/>
    </row>
    <row r="36" spans="2:54">
      <c r="B36" s="14">
        <v>0.6</v>
      </c>
      <c r="C36" s="14">
        <v>18.8</v>
      </c>
      <c r="L36" s="3">
        <v>12</v>
      </c>
      <c r="M36" s="3">
        <v>19.435500422096222</v>
      </c>
      <c r="N36" s="3">
        <v>-0.53550042209622362</v>
      </c>
      <c r="O36" s="3">
        <v>-0.45890500128460721</v>
      </c>
      <c r="T36" s="82">
        <v>0.52</v>
      </c>
      <c r="U36" s="51">
        <v>21.5</v>
      </c>
      <c r="AD36" s="3">
        <v>12</v>
      </c>
      <c r="AE36" s="3">
        <v>19.359848189327582</v>
      </c>
      <c r="AF36" s="3">
        <v>-0.45984818932758387</v>
      </c>
      <c r="AG36" s="3">
        <v>-0.38471371650334807</v>
      </c>
      <c r="AO36" s="14">
        <v>0.6</v>
      </c>
      <c r="AP36" s="14">
        <v>18.8</v>
      </c>
      <c r="AQ36" s="20"/>
      <c r="AR36" s="21"/>
      <c r="AS36" s="20"/>
      <c r="AT36" s="20"/>
      <c r="AU36" s="20"/>
      <c r="AV36" s="22"/>
      <c r="AW36" s="34"/>
      <c r="AX36" s="41"/>
      <c r="AY36" s="25"/>
      <c r="BA36" s="15"/>
      <c r="BB36" s="15"/>
    </row>
    <row r="37" spans="2:54">
      <c r="B37" s="14">
        <v>0.48</v>
      </c>
      <c r="C37" s="14">
        <v>20.100000000000001</v>
      </c>
      <c r="L37" s="3">
        <v>13</v>
      </c>
      <c r="M37" s="3">
        <v>18.917571558469266</v>
      </c>
      <c r="N37" s="3">
        <v>-2.3175715584692647</v>
      </c>
      <c r="O37" s="3">
        <v>-1.9860772001882745</v>
      </c>
      <c r="T37" s="82">
        <v>0.63</v>
      </c>
      <c r="U37" s="51">
        <v>19.600000000000001</v>
      </c>
      <c r="AD37" s="3">
        <v>13</v>
      </c>
      <c r="AE37" s="3">
        <v>18.928842886039241</v>
      </c>
      <c r="AF37" s="3">
        <v>-2.3288428860392401</v>
      </c>
      <c r="AG37" s="3">
        <v>-1.9483338689462499</v>
      </c>
      <c r="AO37" s="14">
        <v>0.48</v>
      </c>
      <c r="AP37" s="14">
        <v>20.100000000000001</v>
      </c>
      <c r="AQ37" s="20"/>
      <c r="AR37" s="21"/>
      <c r="AS37" s="20"/>
      <c r="AT37" s="20"/>
      <c r="AU37" s="20"/>
      <c r="AV37" s="22"/>
      <c r="AX37" s="25"/>
      <c r="AY37" s="25"/>
      <c r="BA37" s="15"/>
      <c r="BB37" s="15"/>
    </row>
    <row r="38" spans="2:54">
      <c r="B38" s="14">
        <v>0.54</v>
      </c>
      <c r="C38" s="14">
        <v>18.399999999999999</v>
      </c>
      <c r="L38" s="3">
        <v>14</v>
      </c>
      <c r="M38" s="3">
        <v>20.000513727871088</v>
      </c>
      <c r="N38" s="3">
        <v>-0.30051372787108832</v>
      </c>
      <c r="O38" s="3">
        <v>-0.25752968062076231</v>
      </c>
      <c r="T38" s="82">
        <v>0.4</v>
      </c>
      <c r="U38" s="51">
        <v>18.8</v>
      </c>
      <c r="AD38" s="3">
        <v>14</v>
      </c>
      <c r="AE38" s="3">
        <v>19.830035792914867</v>
      </c>
      <c r="AF38" s="3">
        <v>-0.13003579291486744</v>
      </c>
      <c r="AG38" s="3">
        <v>-0.10878927944435327</v>
      </c>
      <c r="AO38" s="14">
        <v>0.54</v>
      </c>
      <c r="AP38" s="14">
        <v>18.399999999999999</v>
      </c>
      <c r="AQ38" s="20"/>
      <c r="AR38" s="21"/>
      <c r="AS38" s="20"/>
      <c r="AT38" s="20"/>
      <c r="AU38" s="20"/>
      <c r="AV38" s="22"/>
      <c r="AX38" s="25"/>
      <c r="AY38" s="25"/>
      <c r="BA38" s="15"/>
      <c r="BB38" s="15"/>
    </row>
    <row r="39" spans="2:54">
      <c r="B39" s="14">
        <v>1.1599999999999999</v>
      </c>
      <c r="C39" s="14">
        <v>19.399999999999999</v>
      </c>
      <c r="L39" s="3">
        <v>15</v>
      </c>
      <c r="M39" s="3">
        <v>18.376100473768357</v>
      </c>
      <c r="N39" s="3">
        <v>0.8238995262316422</v>
      </c>
      <c r="O39" s="3">
        <v>0.7060528760438215</v>
      </c>
      <c r="T39" s="82">
        <v>0.55000000000000004</v>
      </c>
      <c r="U39" s="51">
        <v>17.5</v>
      </c>
      <c r="AD39" s="3">
        <v>15</v>
      </c>
      <c r="AE39" s="3">
        <v>18.478246432601427</v>
      </c>
      <c r="AF39" s="3">
        <v>0.72175356739857222</v>
      </c>
      <c r="AG39" s="3">
        <v>0.60382644480883363</v>
      </c>
      <c r="AO39" s="14">
        <v>1.1599999999999999</v>
      </c>
      <c r="AP39" s="14">
        <v>19.399999999999999</v>
      </c>
      <c r="AQ39" s="20"/>
      <c r="AR39" s="21"/>
      <c r="AS39" s="20"/>
      <c r="AT39" s="20"/>
      <c r="AU39" s="20"/>
      <c r="AV39" s="22"/>
      <c r="AX39" s="25"/>
      <c r="AY39" s="25"/>
      <c r="BA39" s="15"/>
      <c r="BB39" s="15"/>
    </row>
    <row r="40" spans="2:54">
      <c r="B40" s="14">
        <v>0.52</v>
      </c>
      <c r="C40" s="14">
        <v>21.5</v>
      </c>
      <c r="L40" s="3">
        <v>16</v>
      </c>
      <c r="M40" s="3">
        <v>17.858171610141397</v>
      </c>
      <c r="N40" s="3">
        <v>-1.3581716101413974</v>
      </c>
      <c r="O40" s="3">
        <v>-1.1639052347649874</v>
      </c>
      <c r="T40" s="82">
        <v>0.5</v>
      </c>
      <c r="U40" s="51">
        <v>18.7</v>
      </c>
      <c r="AD40" s="3">
        <v>16</v>
      </c>
      <c r="AE40" s="3">
        <v>18.047241129313083</v>
      </c>
      <c r="AF40" s="3">
        <v>-1.5472411293130826</v>
      </c>
      <c r="AG40" s="3">
        <v>-1.294437814478022</v>
      </c>
      <c r="AO40" s="14">
        <v>0.52</v>
      </c>
      <c r="AP40" s="14">
        <v>21.5</v>
      </c>
      <c r="AQ40" s="20"/>
      <c r="AR40" s="21"/>
      <c r="AS40" s="20"/>
      <c r="AT40" s="20"/>
      <c r="AU40" s="20"/>
      <c r="AV40" s="22"/>
    </row>
    <row r="41" spans="2:54">
      <c r="B41" s="14">
        <v>0.63</v>
      </c>
      <c r="C41" s="14">
        <v>19.600000000000001</v>
      </c>
      <c r="L41" s="3">
        <v>17</v>
      </c>
      <c r="M41" s="3">
        <v>15.056647302341037</v>
      </c>
      <c r="N41" s="3">
        <v>-1.3566473023410381</v>
      </c>
      <c r="O41" s="3">
        <v>-1.1625989566665618</v>
      </c>
      <c r="AD41" s="3">
        <v>17</v>
      </c>
      <c r="AE41" s="3">
        <v>19.144345537683414</v>
      </c>
      <c r="AF41" s="3">
        <v>-1.2443455376834152</v>
      </c>
      <c r="AG41" s="3">
        <v>-1.0410322526583184</v>
      </c>
      <c r="AO41" s="14">
        <v>0.63</v>
      </c>
      <c r="AP41" s="14">
        <v>19.600000000000001</v>
      </c>
      <c r="AQ41" s="20"/>
      <c r="AR41" s="21"/>
      <c r="AS41" s="20"/>
      <c r="AT41" s="20"/>
      <c r="AU41" s="20"/>
      <c r="AV41" s="22"/>
    </row>
    <row r="42" spans="2:54">
      <c r="B42" s="14">
        <v>0.4</v>
      </c>
      <c r="C42" s="14">
        <v>18.8</v>
      </c>
      <c r="L42" s="3">
        <v>18</v>
      </c>
      <c r="M42" s="3">
        <v>19.176535990282744</v>
      </c>
      <c r="N42" s="3">
        <v>-1.2765359902827456</v>
      </c>
      <c r="O42" s="3">
        <v>-1.0939463837720136</v>
      </c>
      <c r="AD42" s="3">
        <v>18</v>
      </c>
      <c r="AE42" s="3">
        <v>17.714191576772091</v>
      </c>
      <c r="AF42" s="3">
        <v>-1.8141915767720906</v>
      </c>
      <c r="AG42" s="3">
        <v>-1.5177712996318067</v>
      </c>
      <c r="AO42" s="14">
        <v>0.4</v>
      </c>
      <c r="AP42" s="14">
        <v>18.8</v>
      </c>
      <c r="AQ42" s="20"/>
      <c r="AR42" s="21"/>
      <c r="AS42" s="20"/>
      <c r="AT42" s="20"/>
      <c r="AU42" s="20"/>
      <c r="AV42" s="22"/>
    </row>
    <row r="43" spans="2:54">
      <c r="B43" s="14">
        <v>0.55000000000000004</v>
      </c>
      <c r="C43" s="14">
        <v>17.5</v>
      </c>
      <c r="L43" s="3">
        <v>19</v>
      </c>
      <c r="M43" s="3">
        <v>17.457953851884206</v>
      </c>
      <c r="N43" s="3">
        <v>-1.5579538518842053</v>
      </c>
      <c r="O43" s="3">
        <v>-1.3351115795606427</v>
      </c>
      <c r="AD43" s="3">
        <v>19</v>
      </c>
      <c r="AE43" s="3">
        <v>19.301074738879173</v>
      </c>
      <c r="AF43" s="3">
        <v>1.1989252611208272</v>
      </c>
      <c r="AG43" s="3">
        <v>1.0030331829510868</v>
      </c>
      <c r="AO43" s="14">
        <v>0.55000000000000004</v>
      </c>
      <c r="AP43" s="14">
        <v>17.5</v>
      </c>
      <c r="AQ43" s="20"/>
      <c r="AR43" s="21"/>
      <c r="AS43" s="20"/>
      <c r="AT43" s="20"/>
      <c r="AU43" s="20"/>
      <c r="AV43" s="22"/>
    </row>
    <row r="44" spans="2:54">
      <c r="B44" s="14">
        <v>0.5</v>
      </c>
      <c r="C44" s="14">
        <v>18.7</v>
      </c>
      <c r="L44" s="3">
        <v>20</v>
      </c>
      <c r="M44" s="3">
        <v>14.962478418045226</v>
      </c>
      <c r="N44" s="3">
        <v>-0.16247841804522523</v>
      </c>
      <c r="O44" s="3">
        <v>-0.13923828173634384</v>
      </c>
      <c r="AD44" s="3">
        <v>20</v>
      </c>
      <c r="AE44" s="3">
        <v>19.340257039178113</v>
      </c>
      <c r="AF44" s="3">
        <v>1.7597429608218889</v>
      </c>
      <c r="AG44" s="3">
        <v>1.4722190284979446</v>
      </c>
      <c r="AO44" s="14">
        <v>0.5</v>
      </c>
      <c r="AP44" s="14">
        <v>18.7</v>
      </c>
      <c r="AQ44" s="20"/>
      <c r="AR44" s="21"/>
      <c r="AS44" s="20"/>
      <c r="AT44" s="20"/>
      <c r="AU44" s="20"/>
      <c r="AV44" s="22"/>
    </row>
    <row r="45" spans="2:54">
      <c r="L45" s="3">
        <v>21</v>
      </c>
      <c r="M45" s="3">
        <v>19.364873758874367</v>
      </c>
      <c r="N45" s="3">
        <v>1.1351262411256329</v>
      </c>
      <c r="O45" s="3">
        <v>0.97276320922926762</v>
      </c>
      <c r="AD45" s="3">
        <v>21</v>
      </c>
      <c r="AE45" s="3">
        <v>18.968025186338181</v>
      </c>
      <c r="AF45" s="3">
        <v>1.3319748136618195</v>
      </c>
      <c r="AG45" s="3">
        <v>1.1143438046412575</v>
      </c>
      <c r="AR45" s="21"/>
      <c r="AS45" s="20"/>
      <c r="AT45" s="20"/>
      <c r="AU45" s="20"/>
      <c r="AV45" s="22"/>
    </row>
    <row r="46" spans="2:54">
      <c r="L46" s="3">
        <v>22</v>
      </c>
      <c r="M46" s="3">
        <v>19.411958201022273</v>
      </c>
      <c r="N46" s="3">
        <v>1.6880417989777285</v>
      </c>
      <c r="O46" s="3">
        <v>1.4465923684914459</v>
      </c>
      <c r="AD46" s="3">
        <v>22</v>
      </c>
      <c r="AE46" s="3">
        <v>18.948434036188711</v>
      </c>
      <c r="AF46" s="3">
        <v>-0.74843403618871207</v>
      </c>
      <c r="AG46" s="3">
        <v>-0.62614759892996963</v>
      </c>
      <c r="AR46" s="21"/>
      <c r="AS46" s="20"/>
      <c r="AT46" s="20"/>
      <c r="AU46" s="20"/>
      <c r="AV46" s="22"/>
    </row>
    <row r="47" spans="2:54">
      <c r="L47" s="3">
        <v>23</v>
      </c>
      <c r="M47" s="3">
        <v>18.964656000617172</v>
      </c>
      <c r="N47" s="3">
        <v>1.3353439993828289</v>
      </c>
      <c r="O47" s="3">
        <v>1.1443427763387586</v>
      </c>
      <c r="AD47" s="3">
        <v>23</v>
      </c>
      <c r="AE47" s="3">
        <v>19.222710138281293</v>
      </c>
      <c r="AF47" s="3">
        <v>7.7289861718707442E-2</v>
      </c>
      <c r="AG47" s="3">
        <v>6.4661491857374104E-2</v>
      </c>
      <c r="AR47" s="21"/>
      <c r="AS47" s="20"/>
      <c r="AT47" s="20"/>
      <c r="AU47" s="20"/>
      <c r="AV47" s="22"/>
    </row>
    <row r="48" spans="2:54">
      <c r="L48" s="3">
        <v>24</v>
      </c>
      <c r="M48" s="3">
        <v>15.244985070932657</v>
      </c>
      <c r="N48" s="3">
        <v>0.75501492906734313</v>
      </c>
      <c r="O48" s="3">
        <v>0.6470212024058648</v>
      </c>
      <c r="AD48" s="3">
        <v>24</v>
      </c>
      <c r="AE48" s="3">
        <v>19.536168540672815</v>
      </c>
      <c r="AF48" s="3">
        <v>-1.2361685406728142</v>
      </c>
      <c r="AG48" s="3">
        <v>-1.0341912930051229</v>
      </c>
      <c r="AR48" s="21"/>
      <c r="AS48" s="20"/>
      <c r="AT48" s="20"/>
      <c r="AU48" s="20"/>
      <c r="AV48" s="22"/>
    </row>
    <row r="49" spans="12:48">
      <c r="L49" s="3">
        <v>25</v>
      </c>
      <c r="M49" s="3">
        <v>18.941113779543219</v>
      </c>
      <c r="N49" s="3">
        <v>-0.74111377954321966</v>
      </c>
      <c r="O49" s="3">
        <v>-0.63510840686547376</v>
      </c>
      <c r="AD49" s="3">
        <v>25</v>
      </c>
      <c r="AE49" s="3">
        <v>19.790853492615927</v>
      </c>
      <c r="AF49" s="3">
        <v>0.90914650738407232</v>
      </c>
      <c r="AG49" s="3">
        <v>0.76060130238460999</v>
      </c>
      <c r="AR49" s="21"/>
      <c r="AS49" s="20"/>
      <c r="AT49" s="20"/>
      <c r="AU49" s="20"/>
      <c r="AV49" s="22"/>
    </row>
    <row r="50" spans="12:48">
      <c r="L50" s="3">
        <v>26</v>
      </c>
      <c r="M50" s="3">
        <v>19.270704874578556</v>
      </c>
      <c r="N50" s="3">
        <v>2.9295125421445078E-2</v>
      </c>
      <c r="O50" s="3">
        <v>2.5104890704913955E-2</v>
      </c>
      <c r="AD50" s="3">
        <v>26</v>
      </c>
      <c r="AE50" s="3">
        <v>18.478246432601427</v>
      </c>
      <c r="AF50" s="3">
        <v>-0.57824643260142849</v>
      </c>
      <c r="AG50" s="3">
        <v>-0.48376690243402065</v>
      </c>
      <c r="AR50" s="21"/>
      <c r="AS50" s="20"/>
      <c r="AT50" s="20"/>
      <c r="AU50" s="20"/>
      <c r="AV50" s="22"/>
    </row>
    <row r="51" spans="12:48">
      <c r="L51" s="3">
        <v>27</v>
      </c>
      <c r="M51" s="3">
        <v>19.647380411761798</v>
      </c>
      <c r="N51" s="3">
        <v>-1.3473804117617973</v>
      </c>
      <c r="O51" s="3">
        <v>-1.1546575578222362</v>
      </c>
      <c r="AD51" s="3">
        <v>27</v>
      </c>
      <c r="AE51" s="3">
        <v>18.243152630807785</v>
      </c>
      <c r="AF51" s="3">
        <v>-1.0431526308077856</v>
      </c>
      <c r="AG51" s="3">
        <v>-0.8727122010964834</v>
      </c>
      <c r="AR51" s="21"/>
      <c r="AS51" s="20"/>
      <c r="AT51" s="20"/>
      <c r="AU51" s="20"/>
      <c r="AV51" s="22"/>
    </row>
    <row r="52" spans="12:48">
      <c r="L52" s="3">
        <v>28</v>
      </c>
      <c r="M52" s="3">
        <v>19.953429285723182</v>
      </c>
      <c r="N52" s="3">
        <v>0.74657071427681743</v>
      </c>
      <c r="O52" s="3">
        <v>0.63978480773763169</v>
      </c>
      <c r="AD52" s="3">
        <v>28</v>
      </c>
      <c r="AE52" s="3">
        <v>17.870920777967854</v>
      </c>
      <c r="AF52" s="3">
        <v>1.8290792220321457</v>
      </c>
      <c r="AG52" s="3">
        <v>1.5302264565094585</v>
      </c>
      <c r="AR52" s="21"/>
      <c r="AS52" s="20"/>
      <c r="AT52" s="20"/>
      <c r="AU52" s="20"/>
      <c r="AV52" s="22"/>
    </row>
    <row r="53" spans="12:48">
      <c r="L53" s="3">
        <v>29</v>
      </c>
      <c r="M53" s="3">
        <v>18.376100473768357</v>
      </c>
      <c r="N53" s="3">
        <v>-0.47610047376835851</v>
      </c>
      <c r="O53" s="3">
        <v>-0.4080013376478932</v>
      </c>
      <c r="AD53" s="3">
        <v>29</v>
      </c>
      <c r="AE53" s="3">
        <v>18.576202183348776</v>
      </c>
      <c r="AF53" s="3">
        <v>1.9237978166512235</v>
      </c>
      <c r="AG53" s="3">
        <v>1.6094690052539984</v>
      </c>
      <c r="AR53" s="21"/>
      <c r="AS53" s="20"/>
      <c r="AT53" s="20"/>
      <c r="AU53" s="20"/>
      <c r="AV53" s="22"/>
    </row>
    <row r="54" spans="12:48">
      <c r="L54" s="3">
        <v>30</v>
      </c>
      <c r="M54" s="3">
        <v>18.093593820880926</v>
      </c>
      <c r="N54" s="3">
        <v>-0.89359382088092687</v>
      </c>
      <c r="O54" s="3">
        <v>-0.76577843190867334</v>
      </c>
      <c r="AD54" s="3">
        <v>30</v>
      </c>
      <c r="AE54" s="3">
        <v>18.439064132302487</v>
      </c>
      <c r="AF54" s="3">
        <v>-0.1390641323024866</v>
      </c>
      <c r="AG54" s="3">
        <v>-0.11634248087098804</v>
      </c>
      <c r="AR54" s="21"/>
      <c r="AS54" s="20"/>
      <c r="AT54" s="20"/>
      <c r="AU54" s="20"/>
      <c r="AV54" s="22"/>
    </row>
    <row r="55" spans="12:48">
      <c r="L55" s="3">
        <v>31</v>
      </c>
      <c r="M55" s="3">
        <v>17.646291620475825</v>
      </c>
      <c r="N55" s="3">
        <v>2.0537083795241742</v>
      </c>
      <c r="O55" s="3">
        <v>1.7599557491560678</v>
      </c>
      <c r="AD55" s="3">
        <v>31</v>
      </c>
      <c r="AE55" s="3">
        <v>18.850478285441362</v>
      </c>
      <c r="AF55" s="3">
        <v>-5.0478285441361237E-2</v>
      </c>
      <c r="AG55" s="3">
        <v>-4.2230651866346371E-2</v>
      </c>
      <c r="AR55" s="21"/>
      <c r="AS55" s="20"/>
      <c r="AT55" s="20"/>
      <c r="AU55" s="20"/>
      <c r="AV55" s="22"/>
    </row>
    <row r="56" spans="12:48">
      <c r="L56" s="3">
        <v>32</v>
      </c>
      <c r="M56" s="3">
        <v>15.621660608115899</v>
      </c>
      <c r="N56" s="3">
        <v>0.17833939188410142</v>
      </c>
      <c r="O56" s="3">
        <v>0.15283057768900082</v>
      </c>
      <c r="AD56" s="3">
        <v>32</v>
      </c>
      <c r="AE56" s="3">
        <v>19.085572087235001</v>
      </c>
      <c r="AF56" s="3">
        <v>1.0144279127650009</v>
      </c>
      <c r="AG56" s="3">
        <v>0.84868080706205307</v>
      </c>
      <c r="AR56" s="21"/>
      <c r="AS56" s="20"/>
      <c r="AT56" s="20"/>
      <c r="AU56" s="20"/>
      <c r="AV56" s="22"/>
    </row>
    <row r="57" spans="12:48">
      <c r="L57" s="3">
        <v>33</v>
      </c>
      <c r="M57" s="3">
        <v>18.493811579138118</v>
      </c>
      <c r="N57" s="3">
        <v>2.0061884208618821</v>
      </c>
      <c r="O57" s="3">
        <v>1.7192328182466965</v>
      </c>
      <c r="AD57" s="3">
        <v>33</v>
      </c>
      <c r="AE57" s="3">
        <v>18.968025186338181</v>
      </c>
      <c r="AF57" s="3">
        <v>-0.56802518633818266</v>
      </c>
      <c r="AG57" s="3">
        <v>-0.47521570286753062</v>
      </c>
      <c r="AR57" s="21"/>
      <c r="AS57" s="20"/>
      <c r="AT57" s="20"/>
      <c r="AU57" s="20"/>
      <c r="AV57" s="22"/>
    </row>
    <row r="58" spans="12:48">
      <c r="L58" s="3">
        <v>34</v>
      </c>
      <c r="M58" s="3">
        <v>18.329016031620451</v>
      </c>
      <c r="N58" s="3">
        <v>-2.9016031620450633E-2</v>
      </c>
      <c r="O58" s="3">
        <v>-2.4865717147211572E-2</v>
      </c>
      <c r="AD58" s="3">
        <v>34</v>
      </c>
      <c r="AE58" s="3">
        <v>17.753373877071031</v>
      </c>
      <c r="AF58" s="3">
        <v>1.6466261229289678</v>
      </c>
      <c r="AG58" s="3">
        <v>1.3775843205337222</v>
      </c>
      <c r="AR58" s="21"/>
      <c r="AS58" s="20"/>
      <c r="AT58" s="20"/>
      <c r="AU58" s="20"/>
      <c r="AV58" s="22"/>
    </row>
    <row r="59" spans="12:48">
      <c r="L59" s="3">
        <v>35</v>
      </c>
      <c r="M59" s="3">
        <v>18.823402674173455</v>
      </c>
      <c r="N59" s="3">
        <v>-2.3402674173453875E-2</v>
      </c>
      <c r="O59" s="3">
        <v>-2.0055267518915801E-2</v>
      </c>
      <c r="AD59" s="3">
        <v>35</v>
      </c>
      <c r="AE59" s="3">
        <v>19.007207486637121</v>
      </c>
      <c r="AF59" s="3">
        <v>2.492792513362879</v>
      </c>
      <c r="AG59" s="3">
        <v>2.085495810454046</v>
      </c>
      <c r="AR59" s="21"/>
      <c r="AS59" s="20"/>
      <c r="AT59" s="20"/>
      <c r="AU59" s="20"/>
      <c r="AV59" s="22"/>
    </row>
    <row r="60" spans="12:48">
      <c r="L60" s="3">
        <v>36</v>
      </c>
      <c r="M60" s="3">
        <v>19.105909327060886</v>
      </c>
      <c r="N60" s="3">
        <v>0.9940906729391159</v>
      </c>
      <c r="O60" s="3">
        <v>0.85190069459957973</v>
      </c>
      <c r="AD60" s="3">
        <v>36</v>
      </c>
      <c r="AE60" s="3">
        <v>18.791704834992949</v>
      </c>
      <c r="AF60" s="3">
        <v>0.80829516500705267</v>
      </c>
      <c r="AG60" s="3">
        <v>0.67622803390018094</v>
      </c>
      <c r="AR60" s="21"/>
      <c r="AS60" s="20"/>
      <c r="AT60" s="20"/>
      <c r="AU60" s="20"/>
      <c r="AV60" s="22"/>
    </row>
    <row r="61" spans="12:48">
      <c r="L61" s="3">
        <v>37</v>
      </c>
      <c r="M61" s="3">
        <v>18.964656000617172</v>
      </c>
      <c r="N61" s="3">
        <v>-0.56465600061717325</v>
      </c>
      <c r="O61" s="3">
        <v>-0.4838903052106715</v>
      </c>
      <c r="AD61" s="3">
        <v>37</v>
      </c>
      <c r="AE61" s="3">
        <v>19.242301288430763</v>
      </c>
      <c r="AF61" s="3">
        <v>-0.44230128843076244</v>
      </c>
      <c r="AG61" s="3">
        <v>-0.37003379905710754</v>
      </c>
      <c r="AR61" s="21"/>
      <c r="AS61" s="20"/>
      <c r="AT61" s="20"/>
      <c r="AU61" s="20"/>
      <c r="AV61" s="22"/>
    </row>
    <row r="62" spans="12:48">
      <c r="L62" s="3">
        <v>38</v>
      </c>
      <c r="M62" s="3">
        <v>17.505038294032111</v>
      </c>
      <c r="N62" s="3">
        <v>1.8949617059678872</v>
      </c>
      <c r="O62" s="3">
        <v>1.6239154410138181</v>
      </c>
      <c r="AD62" s="3">
        <v>38</v>
      </c>
      <c r="AE62" s="3">
        <v>18.948434036188711</v>
      </c>
      <c r="AF62" s="3">
        <v>-1.4484340361887114</v>
      </c>
      <c r="AG62" s="3">
        <v>-1.2117747859068904</v>
      </c>
      <c r="AR62" s="21"/>
      <c r="AS62" s="20"/>
      <c r="AT62" s="20"/>
      <c r="AU62" s="20"/>
      <c r="AV62" s="22"/>
    </row>
    <row r="63" spans="12:48" ht="13" thickBot="1">
      <c r="L63" s="3">
        <v>39</v>
      </c>
      <c r="M63" s="3">
        <v>19.011740442765078</v>
      </c>
      <c r="N63" s="3">
        <v>2.4882595572349224</v>
      </c>
      <c r="O63" s="3">
        <v>2.1323508034586491</v>
      </c>
      <c r="AD63" s="4">
        <v>39</v>
      </c>
      <c r="AE63" s="4">
        <v>19.046389786936061</v>
      </c>
      <c r="AF63" s="4">
        <v>-0.34638978693606148</v>
      </c>
      <c r="AG63" s="4">
        <v>-0.2897932521727154</v>
      </c>
      <c r="AR63" s="21"/>
      <c r="AS63" s="20"/>
      <c r="AT63" s="20"/>
      <c r="AU63" s="20"/>
      <c r="AV63" s="22"/>
    </row>
    <row r="64" spans="12:48">
      <c r="L64" s="3">
        <v>40</v>
      </c>
      <c r="M64" s="3">
        <v>18.7527760109516</v>
      </c>
      <c r="N64" s="3">
        <v>0.8472239890484019</v>
      </c>
      <c r="O64" s="3">
        <v>0.72604111918467285</v>
      </c>
      <c r="AR64" s="21"/>
      <c r="AS64" s="20"/>
      <c r="AT64" s="20"/>
      <c r="AU64" s="20"/>
      <c r="AV64" s="22"/>
    </row>
    <row r="65" spans="12:48">
      <c r="L65" s="3">
        <v>41</v>
      </c>
      <c r="M65" s="3">
        <v>19.294247095652509</v>
      </c>
      <c r="N65" s="3">
        <v>-0.4942470956525078</v>
      </c>
      <c r="O65" s="3">
        <v>-0.42355235347428305</v>
      </c>
      <c r="AR65" s="21"/>
      <c r="AS65" s="20"/>
      <c r="AT65" s="20"/>
      <c r="AU65" s="20"/>
      <c r="AV65" s="22"/>
    </row>
    <row r="66" spans="12:48">
      <c r="L66" s="3">
        <v>42</v>
      </c>
      <c r="M66" s="3">
        <v>18.941113779543219</v>
      </c>
      <c r="N66" s="3">
        <v>-1.441113779543219</v>
      </c>
      <c r="O66" s="3">
        <v>-1.2349837526994731</v>
      </c>
      <c r="AR66" s="21"/>
      <c r="AS66" s="20"/>
      <c r="AT66" s="20"/>
      <c r="AU66" s="20"/>
      <c r="AV66" s="22"/>
    </row>
    <row r="67" spans="12:48" ht="13" thickBot="1">
      <c r="L67" s="4">
        <v>43</v>
      </c>
      <c r="M67" s="4">
        <v>19.058824884912983</v>
      </c>
      <c r="N67" s="4">
        <v>-0.35882488491298403</v>
      </c>
      <c r="O67" s="4">
        <v>-0.30750028847288785</v>
      </c>
      <c r="AR67" s="21"/>
      <c r="AS67" s="20"/>
      <c r="AT67" s="20"/>
      <c r="AU67" s="20"/>
      <c r="AV67" s="22"/>
    </row>
    <row r="68" spans="12:48">
      <c r="AR68" s="21"/>
      <c r="AS68" s="20"/>
      <c r="AT68" s="20"/>
      <c r="AU68" s="20"/>
      <c r="AV68" s="22"/>
    </row>
    <row r="69" spans="12:48">
      <c r="AR69" s="21"/>
      <c r="AS69" s="20"/>
      <c r="AT69" s="20"/>
      <c r="AU69" s="20"/>
      <c r="AV69" s="22"/>
    </row>
    <row r="70" spans="12:48">
      <c r="AR70" s="21"/>
      <c r="AS70" s="20"/>
      <c r="AT70" s="20"/>
      <c r="AU70" s="20"/>
      <c r="AV70" s="22"/>
    </row>
    <row r="71" spans="12:48">
      <c r="AR71" s="21"/>
      <c r="AS71" s="20"/>
      <c r="AT71" s="20"/>
      <c r="AU71" s="20"/>
      <c r="AV71" s="22"/>
    </row>
    <row r="72" spans="12:48">
      <c r="AR72" s="21"/>
      <c r="AS72" s="20"/>
      <c r="AT72" s="20"/>
      <c r="AU72" s="20"/>
      <c r="AV72" s="22"/>
    </row>
    <row r="73" spans="12:48">
      <c r="AR73" s="21"/>
      <c r="AS73" s="20"/>
      <c r="AT73" s="20"/>
      <c r="AU73" s="20"/>
      <c r="AV73" s="22"/>
    </row>
    <row r="74" spans="12:48">
      <c r="AR74" s="21"/>
      <c r="AS74" s="20"/>
      <c r="AT74" s="20"/>
      <c r="AU74" s="20"/>
      <c r="AV74" s="22"/>
    </row>
    <row r="75" spans="12:48">
      <c r="AR75" s="21"/>
      <c r="AS75" s="20"/>
      <c r="AT75" s="20"/>
      <c r="AU75" s="20"/>
      <c r="AV75" s="22"/>
    </row>
    <row r="76" spans="12:48">
      <c r="AR76" s="21"/>
      <c r="AS76" s="20"/>
      <c r="AT76" s="20"/>
      <c r="AU76" s="20"/>
      <c r="AV76" s="22"/>
    </row>
    <row r="77" spans="12:48">
      <c r="AR77" s="21"/>
      <c r="AS77" s="20"/>
      <c r="AT77" s="20"/>
      <c r="AU77" s="20"/>
      <c r="AV77" s="22"/>
    </row>
    <row r="78" spans="12:48">
      <c r="AR78" s="21"/>
      <c r="AS78" s="20"/>
      <c r="AT78" s="20"/>
      <c r="AU78" s="20"/>
      <c r="AV78" s="22"/>
    </row>
    <row r="79" spans="12:48">
      <c r="AR79" s="21"/>
      <c r="AS79" s="20"/>
      <c r="AT79" s="20"/>
      <c r="AU79" s="20"/>
      <c r="AV79" s="22"/>
    </row>
    <row r="80" spans="12:48">
      <c r="AR80" s="21"/>
      <c r="AS80" s="20"/>
      <c r="AT80" s="20"/>
      <c r="AU80" s="20"/>
      <c r="AV80" s="22"/>
    </row>
    <row r="81" spans="44:48">
      <c r="AR81" s="21"/>
      <c r="AS81" s="20"/>
      <c r="AT81" s="20"/>
      <c r="AU81" s="20"/>
      <c r="AV81" s="22"/>
    </row>
    <row r="82" spans="44:48">
      <c r="AR82" s="21"/>
      <c r="AS82" s="20"/>
      <c r="AT82" s="20"/>
      <c r="AU82" s="20"/>
      <c r="AV82" s="22"/>
    </row>
    <row r="83" spans="44:48">
      <c r="AR83" s="21"/>
      <c r="AS83" s="20"/>
      <c r="AT83" s="20"/>
      <c r="AU83" s="20"/>
      <c r="AV83" s="22"/>
    </row>
    <row r="84" spans="44:48">
      <c r="AR84" s="21"/>
      <c r="AS84" s="20"/>
      <c r="AT84" s="20"/>
      <c r="AU84" s="20"/>
      <c r="AV84" s="22"/>
    </row>
    <row r="85" spans="44:48">
      <c r="AR85" s="21"/>
      <c r="AS85" s="20"/>
      <c r="AT85" s="20"/>
      <c r="AU85" s="20"/>
      <c r="AV85" s="22"/>
    </row>
    <row r="86" spans="44:48">
      <c r="AR86" s="21"/>
      <c r="AS86" s="20"/>
      <c r="AT86" s="20"/>
      <c r="AU86" s="20"/>
      <c r="AV86" s="22"/>
    </row>
    <row r="87" spans="44:48">
      <c r="AR87" s="21"/>
      <c r="AS87" s="20"/>
      <c r="AT87" s="20"/>
      <c r="AU87" s="20"/>
      <c r="AV87" s="22"/>
    </row>
    <row r="88" spans="44:48">
      <c r="AR88" s="21"/>
      <c r="AS88" s="20"/>
      <c r="AT88" s="20"/>
      <c r="AU88" s="20"/>
      <c r="AV88" s="22"/>
    </row>
    <row r="89" spans="44:48">
      <c r="AR89" s="21"/>
      <c r="AS89" s="20"/>
      <c r="AT89" s="20"/>
      <c r="AU89" s="20"/>
      <c r="AV89" s="22"/>
    </row>
    <row r="90" spans="44:48">
      <c r="AR90" s="21"/>
      <c r="AS90" s="20"/>
      <c r="AT90" s="20"/>
      <c r="AU90" s="20"/>
      <c r="AV90" s="22"/>
    </row>
    <row r="91" spans="44:48">
      <c r="AR91" s="21"/>
      <c r="AS91" s="20"/>
      <c r="AT91" s="20"/>
      <c r="AU91" s="20"/>
      <c r="AV91" s="22"/>
    </row>
    <row r="92" spans="44:48">
      <c r="AR92" s="21"/>
      <c r="AS92" s="20"/>
      <c r="AT92" s="20"/>
      <c r="AU92" s="20"/>
      <c r="AV92" s="22"/>
    </row>
    <row r="93" spans="44:48">
      <c r="AR93" s="21"/>
      <c r="AS93" s="20"/>
      <c r="AT93" s="20"/>
      <c r="AU93" s="20"/>
      <c r="AV93" s="22"/>
    </row>
    <row r="94" spans="44:48">
      <c r="AR94" s="21"/>
      <c r="AS94" s="20"/>
      <c r="AT94" s="20"/>
      <c r="AU94" s="20"/>
      <c r="AV94" s="22"/>
    </row>
    <row r="95" spans="44:48">
      <c r="AR95" s="21"/>
      <c r="AS95" s="20"/>
      <c r="AT95" s="20"/>
      <c r="AU95" s="20"/>
      <c r="AV95" s="22"/>
    </row>
    <row r="96" spans="44:48">
      <c r="AR96" s="21"/>
      <c r="AS96" s="20"/>
      <c r="AT96" s="20"/>
      <c r="AU96" s="20"/>
      <c r="AV96" s="22"/>
    </row>
    <row r="97" spans="44:48">
      <c r="AR97" s="21"/>
      <c r="AS97" s="20"/>
      <c r="AT97" s="20"/>
      <c r="AU97" s="20"/>
      <c r="AV97" s="22"/>
    </row>
    <row r="98" spans="44:48">
      <c r="AR98" s="21"/>
      <c r="AS98" s="20"/>
      <c r="AT98" s="20"/>
      <c r="AU98" s="20"/>
      <c r="AV98" s="22"/>
    </row>
    <row r="99" spans="44:48">
      <c r="AR99" s="21"/>
      <c r="AS99" s="20"/>
      <c r="AT99" s="20"/>
      <c r="AU99" s="20"/>
      <c r="AV99" s="22"/>
    </row>
    <row r="100" spans="44:48">
      <c r="AR100" s="21"/>
      <c r="AS100" s="20"/>
      <c r="AT100" s="20"/>
      <c r="AU100" s="20"/>
      <c r="AV100" s="22"/>
    </row>
    <row r="101" spans="44:48">
      <c r="AR101" s="21"/>
      <c r="AS101" s="20"/>
      <c r="AT101" s="20"/>
      <c r="AU101" s="20"/>
      <c r="AV101" s="22"/>
    </row>
    <row r="102" spans="44:48">
      <c r="AR102" s="21"/>
      <c r="AS102" s="20"/>
      <c r="AT102" s="20"/>
      <c r="AU102" s="20"/>
      <c r="AV102" s="22"/>
    </row>
    <row r="103" spans="44:48">
      <c r="AR103" s="21"/>
      <c r="AS103" s="20"/>
      <c r="AT103" s="20"/>
      <c r="AU103" s="20"/>
      <c r="AV103" s="22"/>
    </row>
    <row r="104" spans="44:48">
      <c r="AR104" s="21"/>
      <c r="AS104" s="20"/>
      <c r="AT104" s="20"/>
      <c r="AU104" s="20"/>
      <c r="AV104" s="22"/>
    </row>
    <row r="105" spans="44:48">
      <c r="AR105" s="21"/>
      <c r="AS105" s="20"/>
      <c r="AT105" s="20"/>
      <c r="AU105" s="20"/>
      <c r="AV105" s="22"/>
    </row>
    <row r="106" spans="44:48">
      <c r="AR106" s="21"/>
      <c r="AS106" s="20"/>
      <c r="AT106" s="20"/>
      <c r="AU106" s="20"/>
      <c r="AV106" s="22"/>
    </row>
    <row r="107" spans="44:48">
      <c r="AR107" s="21"/>
      <c r="AS107" s="20"/>
      <c r="AT107" s="20"/>
      <c r="AU107" s="20"/>
      <c r="AV107" s="22"/>
    </row>
    <row r="108" spans="44:48">
      <c r="AR108" s="21"/>
      <c r="AS108" s="20"/>
      <c r="AT108" s="20"/>
      <c r="AU108" s="20"/>
      <c r="AV108" s="22"/>
    </row>
    <row r="109" spans="44:48">
      <c r="AR109" s="21"/>
      <c r="AS109" s="20"/>
      <c r="AT109" s="20"/>
      <c r="AU109" s="20"/>
      <c r="AV109" s="22"/>
    </row>
    <row r="110" spans="44:48">
      <c r="AR110" s="21"/>
      <c r="AS110" s="20"/>
      <c r="AT110" s="20"/>
      <c r="AU110" s="20"/>
      <c r="AV110" s="22"/>
    </row>
    <row r="111" spans="44:48">
      <c r="AR111" s="21"/>
      <c r="AS111" s="20"/>
      <c r="AT111" s="20"/>
      <c r="AU111" s="20"/>
      <c r="AV111" s="22"/>
    </row>
    <row r="112" spans="44:48">
      <c r="AR112" s="21"/>
      <c r="AS112" s="20"/>
      <c r="AT112" s="20"/>
      <c r="AU112" s="20"/>
      <c r="AV112" s="22"/>
    </row>
    <row r="113" spans="44:48">
      <c r="AR113" s="21"/>
      <c r="AS113" s="20"/>
      <c r="AT113" s="20"/>
      <c r="AU113" s="20"/>
      <c r="AV113" s="22"/>
    </row>
    <row r="114" spans="44:48">
      <c r="AR114" s="21"/>
      <c r="AS114" s="20"/>
      <c r="AT114" s="20"/>
      <c r="AU114" s="20"/>
      <c r="AV114" s="22"/>
    </row>
    <row r="115" spans="44:48">
      <c r="AR115" s="21"/>
      <c r="AS115" s="20"/>
      <c r="AT115" s="20"/>
      <c r="AU115" s="20"/>
      <c r="AV115" s="22"/>
    </row>
    <row r="116" spans="44:48">
      <c r="AR116" s="21"/>
      <c r="AS116" s="20"/>
      <c r="AT116" s="20"/>
      <c r="AU116" s="20"/>
      <c r="AV116" s="22"/>
    </row>
    <row r="117" spans="44:48">
      <c r="AR117" s="21"/>
      <c r="AS117" s="20"/>
      <c r="AT117" s="20"/>
      <c r="AU117" s="20"/>
      <c r="AV117" s="22"/>
    </row>
    <row r="118" spans="44:48">
      <c r="AR118" s="21"/>
      <c r="AS118" s="20"/>
      <c r="AT118" s="20"/>
      <c r="AU118" s="20"/>
      <c r="AV118" s="22"/>
    </row>
    <row r="119" spans="44:48">
      <c r="AR119" s="21"/>
      <c r="AS119" s="20"/>
      <c r="AT119" s="20"/>
      <c r="AU119" s="20"/>
      <c r="AV119" s="22"/>
    </row>
    <row r="120" spans="44:48">
      <c r="AR120" s="21"/>
      <c r="AS120" s="20"/>
      <c r="AT120" s="20"/>
      <c r="AU120" s="20"/>
      <c r="AV120" s="22"/>
    </row>
    <row r="121" spans="44:48">
      <c r="AR121" s="21"/>
      <c r="AS121" s="20"/>
      <c r="AT121" s="20"/>
      <c r="AU121" s="20"/>
      <c r="AV121" s="22"/>
    </row>
    <row r="122" spans="44:48">
      <c r="AR122" s="21"/>
      <c r="AS122" s="20"/>
      <c r="AT122" s="20"/>
      <c r="AU122" s="20"/>
      <c r="AV122" s="22"/>
    </row>
    <row r="123" spans="44:48">
      <c r="AR123" s="21"/>
      <c r="AS123" s="20"/>
      <c r="AT123" s="20"/>
      <c r="AU123" s="20"/>
      <c r="AV123" s="22"/>
    </row>
    <row r="124" spans="44:48">
      <c r="AR124" s="21"/>
      <c r="AS124" s="20"/>
      <c r="AT124" s="20"/>
      <c r="AU124" s="20"/>
      <c r="AV124" s="22"/>
    </row>
    <row r="125" spans="44:48">
      <c r="AR125" s="21"/>
      <c r="AS125" s="20"/>
      <c r="AT125" s="20"/>
      <c r="AU125" s="20"/>
      <c r="AV125" s="22"/>
    </row>
    <row r="126" spans="44:48">
      <c r="AR126" s="21"/>
      <c r="AS126" s="20"/>
      <c r="AT126" s="20"/>
      <c r="AU126" s="20"/>
      <c r="AV126" s="22"/>
    </row>
    <row r="127" spans="44:48">
      <c r="AR127" s="21"/>
      <c r="AS127" s="20"/>
      <c r="AT127" s="20"/>
      <c r="AU127" s="20"/>
      <c r="AV127" s="22"/>
    </row>
    <row r="128" spans="44:48">
      <c r="AR128" s="21"/>
      <c r="AS128" s="20"/>
      <c r="AT128" s="20"/>
      <c r="AU128" s="20"/>
      <c r="AV128" s="22"/>
    </row>
    <row r="129" spans="44:48">
      <c r="AR129" s="21"/>
      <c r="AS129" s="20"/>
      <c r="AT129" s="20"/>
      <c r="AU129" s="20"/>
      <c r="AV129" s="22"/>
    </row>
    <row r="130" spans="44:48">
      <c r="AR130" s="21"/>
      <c r="AS130" s="20"/>
      <c r="AT130" s="20"/>
      <c r="AU130" s="20"/>
      <c r="AV130" s="22"/>
    </row>
    <row r="131" spans="44:48">
      <c r="AR131" s="21"/>
      <c r="AS131" s="20"/>
      <c r="AT131" s="20"/>
      <c r="AU131" s="20"/>
      <c r="AV131" s="22"/>
    </row>
    <row r="132" spans="44:48">
      <c r="AR132" s="21"/>
      <c r="AS132" s="20"/>
      <c r="AT132" s="20"/>
      <c r="AU132" s="20"/>
      <c r="AV132" s="22"/>
    </row>
    <row r="133" spans="44:48">
      <c r="AR133" s="21"/>
      <c r="AS133" s="20"/>
      <c r="AT133" s="20"/>
      <c r="AU133" s="20"/>
      <c r="AV133" s="22"/>
    </row>
    <row r="134" spans="44:48">
      <c r="AR134" s="21"/>
      <c r="AS134" s="20"/>
      <c r="AT134" s="20"/>
      <c r="AU134" s="20"/>
      <c r="AV134" s="22"/>
    </row>
    <row r="135" spans="44:48">
      <c r="AR135" s="21"/>
      <c r="AS135" s="20"/>
      <c r="AT135" s="20"/>
      <c r="AU135" s="20"/>
      <c r="AV135" s="22"/>
    </row>
    <row r="136" spans="44:48">
      <c r="AR136" s="21"/>
      <c r="AS136" s="20"/>
      <c r="AT136" s="20"/>
      <c r="AU136" s="20"/>
      <c r="AV136" s="22"/>
    </row>
    <row r="137" spans="44:48">
      <c r="AR137" s="21"/>
      <c r="AS137" s="20"/>
      <c r="AT137" s="20"/>
      <c r="AU137" s="20"/>
      <c r="AV137" s="22"/>
    </row>
    <row r="138" spans="44:48">
      <c r="AR138" s="21"/>
      <c r="AS138" s="20"/>
      <c r="AT138" s="20"/>
      <c r="AU138" s="20"/>
      <c r="AV138" s="22"/>
    </row>
  </sheetData>
  <mergeCells count="2">
    <mergeCell ref="AX1:AZ1"/>
    <mergeCell ref="BA1:BC1"/>
  </mergeCells>
  <phoneticPr fontId="2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H148"/>
  <sheetViews>
    <sheetView tabSelected="1" topLeftCell="AU1" zoomScale="90" workbookViewId="0">
      <selection activeCell="AU3" sqref="AU3"/>
    </sheetView>
  </sheetViews>
  <sheetFormatPr defaultRowHeight="12.5"/>
  <cols>
    <col min="3" max="3" width="9.1796875" style="60" customWidth="1"/>
    <col min="4" max="4" width="10.54296875" customWidth="1"/>
    <col min="5" max="5" width="10.54296875" bestFit="1" customWidth="1"/>
    <col min="6" max="6" width="9.1796875" style="59" customWidth="1"/>
    <col min="13" max="13" width="12.453125" bestFit="1" customWidth="1"/>
    <col min="18" max="18" width="9.1796875" style="59" customWidth="1"/>
    <col min="19" max="19" width="9.1796875" style="60" customWidth="1"/>
    <col min="20" max="20" width="10.54296875" customWidth="1"/>
    <col min="22" max="22" width="9.1796875" style="59" customWidth="1"/>
    <col min="33" max="33" width="10.7265625" customWidth="1"/>
    <col min="34" max="34" width="8.7265625" customWidth="1"/>
    <col min="35" max="35" width="9.1796875" style="60" customWidth="1"/>
    <col min="36" max="36" width="10.54296875" customWidth="1"/>
    <col min="37" max="37" width="9.1796875" style="59" customWidth="1"/>
    <col min="38" max="38" width="6.54296875" customWidth="1"/>
    <col min="50" max="50" width="12" style="66" bestFit="1" customWidth="1"/>
    <col min="51" max="51" width="13.26953125" style="59" bestFit="1" customWidth="1"/>
    <col min="53" max="53" width="8" style="105" customWidth="1"/>
    <col min="54" max="54" width="7.81640625" style="100" customWidth="1"/>
    <col min="55" max="56" width="7.453125" style="100" customWidth="1"/>
    <col min="57" max="57" width="6.54296875" style="99" customWidth="1"/>
    <col min="58" max="58" width="11.54296875" style="121" bestFit="1" customWidth="1"/>
    <col min="59" max="60" width="7.7265625" style="91" customWidth="1"/>
    <col min="61" max="61" width="7.7265625" style="92" customWidth="1"/>
    <col min="62" max="63" width="7.7265625" style="100" customWidth="1"/>
    <col min="64" max="64" width="7.7265625" style="99" customWidth="1"/>
    <col min="65" max="67" width="7.7265625" style="15" customWidth="1"/>
    <col min="68" max="68" width="13.26953125" style="62" bestFit="1" customWidth="1"/>
    <col min="69" max="86" width="9.1796875" style="15" customWidth="1"/>
  </cols>
  <sheetData>
    <row r="1" spans="2:79" ht="13">
      <c r="B1" s="1" t="s">
        <v>84</v>
      </c>
      <c r="C1" s="77" t="s">
        <v>68</v>
      </c>
      <c r="D1" s="78" t="s">
        <v>71</v>
      </c>
      <c r="E1" s="13" t="s">
        <v>69</v>
      </c>
      <c r="F1" s="76" t="s">
        <v>92</v>
      </c>
      <c r="G1" s="2"/>
      <c r="H1" t="s">
        <v>0</v>
      </c>
      <c r="R1" s="61" t="s">
        <v>85</v>
      </c>
      <c r="S1" s="56" t="s">
        <v>68</v>
      </c>
      <c r="T1" s="57" t="s">
        <v>71</v>
      </c>
      <c r="U1" s="14" t="s">
        <v>69</v>
      </c>
      <c r="V1" s="55" t="s">
        <v>70</v>
      </c>
      <c r="X1" t="s">
        <v>0</v>
      </c>
      <c r="AH1" s="61" t="s">
        <v>93</v>
      </c>
      <c r="AI1" s="56" t="s">
        <v>68</v>
      </c>
      <c r="AJ1" s="57" t="s">
        <v>71</v>
      </c>
      <c r="AK1" s="55" t="s">
        <v>70</v>
      </c>
      <c r="AM1" t="s">
        <v>0</v>
      </c>
      <c r="AW1" s="61" t="s">
        <v>91</v>
      </c>
      <c r="AX1" s="79" t="s">
        <v>94</v>
      </c>
      <c r="AY1" s="49" t="s">
        <v>67</v>
      </c>
      <c r="BA1" s="88" t="s">
        <v>35</v>
      </c>
      <c r="BB1" s="88" t="s">
        <v>46</v>
      </c>
      <c r="BC1" s="88"/>
      <c r="BD1" s="88"/>
      <c r="BE1" s="89"/>
      <c r="BF1" s="106" t="s">
        <v>61</v>
      </c>
      <c r="BG1" s="107" t="s">
        <v>55</v>
      </c>
      <c r="BH1" s="107"/>
      <c r="BI1" s="108"/>
      <c r="BJ1" s="109" t="s">
        <v>59</v>
      </c>
      <c r="BK1" s="107"/>
      <c r="BL1" s="108"/>
      <c r="BM1" s="32"/>
      <c r="BN1" s="32"/>
      <c r="BO1" s="32"/>
      <c r="BV1" s="16"/>
      <c r="BW1" s="16"/>
      <c r="BX1" s="16"/>
      <c r="BY1" s="16"/>
      <c r="BZ1" s="16"/>
      <c r="CA1" s="16"/>
    </row>
    <row r="2" spans="2:79" ht="13.5" thickBot="1">
      <c r="C2" s="10">
        <v>275.5</v>
      </c>
      <c r="D2" s="50">
        <v>1</v>
      </c>
      <c r="E2" s="9">
        <v>16.399999999999999</v>
      </c>
      <c r="F2" s="58">
        <v>63.097966782187491</v>
      </c>
      <c r="G2" s="2"/>
      <c r="R2" s="58"/>
      <c r="S2" s="10">
        <v>275.5</v>
      </c>
      <c r="T2" s="50">
        <v>1</v>
      </c>
      <c r="U2" s="9">
        <v>16.399999999999999</v>
      </c>
      <c r="V2" s="58">
        <v>63.097966782187491</v>
      </c>
      <c r="AG2" s="1"/>
      <c r="AI2" s="10">
        <v>275.5</v>
      </c>
      <c r="AJ2" s="50">
        <v>1</v>
      </c>
      <c r="AK2" s="58">
        <v>63.097966782187491</v>
      </c>
      <c r="AX2" s="71">
        <v>69.887767388358782</v>
      </c>
      <c r="AY2" s="58">
        <v>63.097966782187491</v>
      </c>
      <c r="BA2" s="90" t="s">
        <v>36</v>
      </c>
      <c r="BB2" s="91">
        <f>COUNT(AX:AX)</f>
        <v>65</v>
      </c>
      <c r="BC2" s="91"/>
      <c r="BD2" s="91"/>
      <c r="BE2" s="92"/>
      <c r="BF2" s="110">
        <v>95</v>
      </c>
      <c r="BG2" s="111"/>
      <c r="BH2" s="104"/>
      <c r="BI2" s="112"/>
      <c r="BJ2" s="113"/>
      <c r="BK2" s="104"/>
      <c r="BL2" s="103"/>
      <c r="BM2" s="28"/>
      <c r="BN2" s="28"/>
      <c r="BO2" s="28"/>
      <c r="BP2" s="15"/>
      <c r="BV2" s="3"/>
      <c r="BW2" s="3"/>
      <c r="BX2" s="3"/>
      <c r="BY2" s="3"/>
      <c r="BZ2" s="3"/>
      <c r="CA2" s="3"/>
    </row>
    <row r="3" spans="2:79" ht="13">
      <c r="C3" s="10">
        <v>304</v>
      </c>
      <c r="D3" s="50">
        <v>1.1627906976744187</v>
      </c>
      <c r="E3" s="9">
        <v>15</v>
      </c>
      <c r="F3" s="58">
        <v>63.673354620411963</v>
      </c>
      <c r="G3" s="2"/>
      <c r="H3" s="6" t="s">
        <v>1</v>
      </c>
      <c r="I3" s="6"/>
      <c r="R3" s="58"/>
      <c r="S3" s="10">
        <v>304</v>
      </c>
      <c r="T3" s="50">
        <v>1.1627906976744187</v>
      </c>
      <c r="U3" s="9">
        <v>15</v>
      </c>
      <c r="V3" s="58">
        <v>63.673354620411963</v>
      </c>
      <c r="X3" s="6" t="s">
        <v>1</v>
      </c>
      <c r="Y3" s="6"/>
      <c r="AI3" s="10">
        <v>304</v>
      </c>
      <c r="AJ3" s="50">
        <v>1.1627906976744187</v>
      </c>
      <c r="AK3" s="58">
        <v>63.673354620411963</v>
      </c>
      <c r="AM3" s="6" t="s">
        <v>1</v>
      </c>
      <c r="AN3" s="6"/>
      <c r="AX3" s="71">
        <v>69.023786421752021</v>
      </c>
      <c r="AY3" s="58">
        <v>63.673354620411963</v>
      </c>
      <c r="BA3" s="93" t="s">
        <v>96</v>
      </c>
      <c r="BB3" s="94">
        <f>SUM(AX:AX)</f>
        <v>4412.5795295451244</v>
      </c>
      <c r="BC3" s="94"/>
      <c r="BD3" s="91"/>
      <c r="BE3" s="92"/>
      <c r="BF3" s="114" t="s">
        <v>60</v>
      </c>
      <c r="BG3" s="115" t="s">
        <v>56</v>
      </c>
      <c r="BH3" s="115" t="s">
        <v>57</v>
      </c>
      <c r="BI3" s="116" t="s">
        <v>58</v>
      </c>
      <c r="BJ3" s="115" t="s">
        <v>56</v>
      </c>
      <c r="BK3" s="115" t="s">
        <v>57</v>
      </c>
      <c r="BL3" s="116" t="s">
        <v>58</v>
      </c>
      <c r="BM3" s="32"/>
      <c r="BP3" s="15"/>
      <c r="BV3" s="3"/>
      <c r="BW3" s="3"/>
      <c r="BX3" s="3"/>
      <c r="BY3" s="3"/>
      <c r="BZ3" s="3"/>
      <c r="CA3" s="3"/>
    </row>
    <row r="4" spans="2:79">
      <c r="C4" s="10">
        <v>165</v>
      </c>
      <c r="D4" s="50">
        <v>3.2258064516129035</v>
      </c>
      <c r="E4" s="9">
        <v>15.5</v>
      </c>
      <c r="F4" s="58">
        <v>34.850757442390375</v>
      </c>
      <c r="G4" s="2"/>
      <c r="H4" s="3" t="s">
        <v>2</v>
      </c>
      <c r="I4" s="3">
        <v>0.80704496934434722</v>
      </c>
      <c r="R4" s="58"/>
      <c r="S4" s="10">
        <v>165</v>
      </c>
      <c r="T4" s="50">
        <v>3.2258064516129035</v>
      </c>
      <c r="U4" s="9">
        <v>15.5</v>
      </c>
      <c r="V4" s="58">
        <v>34.850757442390375</v>
      </c>
      <c r="X4" s="3" t="s">
        <v>2</v>
      </c>
      <c r="Y4" s="3">
        <v>0.87106411615069157</v>
      </c>
      <c r="AI4" s="10">
        <v>165</v>
      </c>
      <c r="AJ4" s="50">
        <v>3.2258064516129035</v>
      </c>
      <c r="AK4" s="58">
        <v>34.850757442390375</v>
      </c>
      <c r="AM4" s="3" t="s">
        <v>2</v>
      </c>
      <c r="AN4" s="3">
        <v>0.86787010978823331</v>
      </c>
      <c r="AX4" s="71">
        <v>49.226033449843229</v>
      </c>
      <c r="AY4" s="58">
        <v>34.850757442390375</v>
      </c>
      <c r="BA4" s="90" t="s">
        <v>37</v>
      </c>
      <c r="BB4" s="91">
        <f>BB3/BB2</f>
        <v>67.885838916078839</v>
      </c>
      <c r="BC4" s="91"/>
      <c r="BD4" s="91"/>
      <c r="BE4" s="92"/>
      <c r="BF4" s="117">
        <v>30</v>
      </c>
      <c r="BG4" s="104">
        <f t="shared" ref="BG4:BG16" si="0">BF4</f>
        <v>30</v>
      </c>
      <c r="BH4" s="104">
        <f t="shared" ref="BH4:BH16" si="1">BG4-(TINV(((100-$BF$2)/100),$BB$2-2))*SQRT($BD$19)*SQRT(1/$BB$2+(BF4-$BB$4)^2/$BB$7)</f>
        <v>24.393138097218454</v>
      </c>
      <c r="BI4" s="92">
        <f t="shared" ref="BI4:BI16" si="2">BG4+(TINV(((100-$BF$2)/100),$BB$2-2))*SQRT($BD$19)*SQRT(1/$BB$2+(BF4-$BB$4)^2/$BB$7)</f>
        <v>35.606861902781546</v>
      </c>
      <c r="BJ4" s="104">
        <f t="shared" ref="BJ4:BJ16" si="3">BF4</f>
        <v>30</v>
      </c>
      <c r="BK4" s="104">
        <f t="shared" ref="BK4:BK16" si="4">BJ4-(TINV(((100-$BF$2)/100),$BB$2-2))*SQRT($BD$19)*SQRT(1+1/$BB$2+(BF4-$BB$4)^2/$BB$7)</f>
        <v>18.292825544220747</v>
      </c>
      <c r="BL4" s="92">
        <f t="shared" ref="BL4:BL16" si="5">BJ4+(TINV(((100-$BF$2)/100),$BB$2-2))*SQRT($BD$19)*SQRT(1+1/$BB$2+(BF4-$BB$4)^2/$BB$7)</f>
        <v>41.707174455779253</v>
      </c>
      <c r="BM4" s="25"/>
      <c r="BP4" s="15"/>
      <c r="BV4" s="3"/>
      <c r="BW4" s="3"/>
      <c r="BX4" s="3"/>
      <c r="BY4" s="3"/>
      <c r="BZ4" s="3"/>
      <c r="CA4" s="3"/>
    </row>
    <row r="5" spans="2:79">
      <c r="C5" s="10">
        <v>354</v>
      </c>
      <c r="D5" s="50">
        <v>1.3333333333333333</v>
      </c>
      <c r="E5" s="9">
        <v>14.3</v>
      </c>
      <c r="F5" s="58">
        <v>63.677491503437672</v>
      </c>
      <c r="G5" s="2"/>
      <c r="H5" s="3" t="s">
        <v>3</v>
      </c>
      <c r="I5" s="3">
        <v>0.6513215825440184</v>
      </c>
      <c r="R5" s="58"/>
      <c r="S5" s="10">
        <v>354</v>
      </c>
      <c r="T5" s="50">
        <v>1.3333333333333333</v>
      </c>
      <c r="U5" s="9">
        <v>14.3</v>
      </c>
      <c r="V5" s="58">
        <v>63.677491503437672</v>
      </c>
      <c r="X5" s="3" t="s">
        <v>3</v>
      </c>
      <c r="Y5" s="3">
        <v>0.7587526944453854</v>
      </c>
      <c r="AI5" s="10">
        <v>354</v>
      </c>
      <c r="AJ5" s="50">
        <v>1.3333333333333333</v>
      </c>
      <c r="AK5" s="58">
        <v>63.677491503437672</v>
      </c>
      <c r="AM5" s="3" t="s">
        <v>3</v>
      </c>
      <c r="AN5" s="3">
        <v>0.7531985274638402</v>
      </c>
      <c r="AX5" s="71">
        <v>68.47501431220806</v>
      </c>
      <c r="AY5" s="58">
        <v>63.677491503437672</v>
      </c>
      <c r="BA5" s="93" t="s">
        <v>97</v>
      </c>
      <c r="BB5" s="94">
        <f>SUM(AY:AY)</f>
        <v>4412.5795295451244</v>
      </c>
      <c r="BC5" s="94"/>
      <c r="BD5" s="91"/>
      <c r="BE5" s="92"/>
      <c r="BF5" s="117">
        <f t="shared" ref="BF5:BF16" si="6">BF4+5</f>
        <v>35</v>
      </c>
      <c r="BG5" s="104">
        <f t="shared" si="0"/>
        <v>35</v>
      </c>
      <c r="BH5" s="104">
        <f t="shared" si="1"/>
        <v>30.092122898963432</v>
      </c>
      <c r="BI5" s="92">
        <f t="shared" si="2"/>
        <v>39.907877101036568</v>
      </c>
      <c r="BJ5" s="104">
        <f t="shared" si="3"/>
        <v>35</v>
      </c>
      <c r="BK5" s="104">
        <f t="shared" si="4"/>
        <v>23.61104522003594</v>
      </c>
      <c r="BL5" s="92">
        <f t="shared" si="5"/>
        <v>46.38895477996406</v>
      </c>
      <c r="BM5" s="25"/>
      <c r="BP5" s="15"/>
      <c r="BV5" s="3"/>
      <c r="BW5" s="3"/>
      <c r="BX5" s="3"/>
      <c r="BY5" s="3"/>
      <c r="BZ5" s="3"/>
      <c r="CA5" s="3"/>
    </row>
    <row r="6" spans="2:79">
      <c r="C6" s="10">
        <v>542</v>
      </c>
      <c r="D6" s="50">
        <v>1.7857142857142856</v>
      </c>
      <c r="E6" s="9">
        <v>12.6</v>
      </c>
      <c r="F6" s="58">
        <v>59.873417094836483</v>
      </c>
      <c r="G6" s="2"/>
      <c r="H6" s="3" t="s">
        <v>4</v>
      </c>
      <c r="I6" s="3">
        <v>0.63445004621550316</v>
      </c>
      <c r="R6" s="58"/>
      <c r="S6" s="10">
        <v>542</v>
      </c>
      <c r="T6" s="50">
        <v>1.7857142857142856</v>
      </c>
      <c r="U6" s="9">
        <v>12.6</v>
      </c>
      <c r="V6" s="58">
        <v>59.873417094836483</v>
      </c>
      <c r="X6" s="3" t="s">
        <v>4</v>
      </c>
      <c r="Y6" s="3">
        <v>0.74688807286073222</v>
      </c>
      <c r="AI6" s="10">
        <v>542</v>
      </c>
      <c r="AJ6" s="50">
        <v>1.7857142857142856</v>
      </c>
      <c r="AK6" s="58">
        <v>59.873417094836483</v>
      </c>
      <c r="AM6" s="3" t="s">
        <v>4</v>
      </c>
      <c r="AN6" s="3">
        <v>0.74523718964009311</v>
      </c>
      <c r="AX6" s="71">
        <v>67.998905489255463</v>
      </c>
      <c r="AY6" s="58">
        <v>59.873417094836483</v>
      </c>
      <c r="BA6" s="90" t="s">
        <v>38</v>
      </c>
      <c r="BB6" s="91">
        <f>BB5/BB2</f>
        <v>67.885838916078839</v>
      </c>
      <c r="BC6" s="91"/>
      <c r="BD6" s="91"/>
      <c r="BE6" s="92"/>
      <c r="BF6" s="117">
        <f t="shared" si="6"/>
        <v>40</v>
      </c>
      <c r="BG6" s="104">
        <f t="shared" si="0"/>
        <v>40</v>
      </c>
      <c r="BH6" s="104">
        <f t="shared" si="1"/>
        <v>35.783826919085428</v>
      </c>
      <c r="BI6" s="92">
        <f t="shared" si="2"/>
        <v>44.216173080914572</v>
      </c>
      <c r="BJ6" s="104">
        <f t="shared" si="3"/>
        <v>40</v>
      </c>
      <c r="BK6" s="104">
        <f t="shared" si="4"/>
        <v>28.891573073138765</v>
      </c>
      <c r="BL6" s="92">
        <f t="shared" si="5"/>
        <v>51.108426926861235</v>
      </c>
      <c r="BM6" s="25"/>
      <c r="BP6" s="15"/>
      <c r="BV6" s="3"/>
      <c r="BW6" s="3"/>
      <c r="BX6" s="3"/>
      <c r="BY6" s="3"/>
      <c r="BZ6" s="3"/>
      <c r="CA6" s="3"/>
    </row>
    <row r="7" spans="2:79">
      <c r="C7" s="10">
        <v>505</v>
      </c>
      <c r="D7" s="50">
        <v>0.87719298245614041</v>
      </c>
      <c r="E7" s="9">
        <v>12</v>
      </c>
      <c r="F7" s="58">
        <v>73.941371469062616</v>
      </c>
      <c r="G7" s="2"/>
      <c r="H7" s="3" t="s">
        <v>5</v>
      </c>
      <c r="I7" s="3">
        <v>6.6789410742193995</v>
      </c>
      <c r="R7" s="58"/>
      <c r="S7" s="10">
        <v>505</v>
      </c>
      <c r="T7" s="50">
        <v>0.87719298245614041</v>
      </c>
      <c r="U7" s="9">
        <v>12</v>
      </c>
      <c r="V7" s="58">
        <v>73.941371469062616</v>
      </c>
      <c r="X7" s="3" t="s">
        <v>5</v>
      </c>
      <c r="Y7" s="3">
        <v>5.1673565160414556</v>
      </c>
      <c r="AI7" s="10">
        <v>505</v>
      </c>
      <c r="AJ7" s="50">
        <v>0.87719298245614041</v>
      </c>
      <c r="AK7" s="58">
        <v>73.941371469062616</v>
      </c>
      <c r="AM7" s="3" t="s">
        <v>5</v>
      </c>
      <c r="AN7" s="3">
        <v>5.1841807672684554</v>
      </c>
      <c r="AX7" s="71">
        <v>74.980027392871577</v>
      </c>
      <c r="AY7" s="58">
        <v>73.941371469062616</v>
      </c>
      <c r="BA7" s="93" t="s">
        <v>98</v>
      </c>
      <c r="BB7" s="91">
        <f t="array" ref="BB7">SUMSQ(AX:AX)-(BB3^2)/BB2</f>
        <v>5085.266039496928</v>
      </c>
      <c r="BC7" s="91"/>
      <c r="BD7" s="91"/>
      <c r="BE7" s="92"/>
      <c r="BF7" s="117">
        <f t="shared" si="6"/>
        <v>45</v>
      </c>
      <c r="BG7" s="104">
        <f t="shared" si="0"/>
        <v>45</v>
      </c>
      <c r="BH7" s="104">
        <f t="shared" si="1"/>
        <v>41.463974855164111</v>
      </c>
      <c r="BI7" s="92">
        <f t="shared" si="2"/>
        <v>48.536025144835889</v>
      </c>
      <c r="BJ7" s="104">
        <f t="shared" si="3"/>
        <v>45</v>
      </c>
      <c r="BK7" s="104">
        <f t="shared" si="4"/>
        <v>34.131490112895015</v>
      </c>
      <c r="BL7" s="92">
        <f t="shared" si="5"/>
        <v>55.868509887104985</v>
      </c>
      <c r="BM7" s="25"/>
      <c r="BP7" s="15"/>
      <c r="BV7" s="3"/>
      <c r="BW7" s="3"/>
      <c r="BX7" s="3"/>
      <c r="BY7" s="3"/>
      <c r="BZ7" s="3"/>
      <c r="CA7" s="3"/>
    </row>
    <row r="8" spans="2:79" ht="13" thickBot="1">
      <c r="C8" s="10">
        <v>81.599999999999994</v>
      </c>
      <c r="D8" s="50">
        <v>2.7777777777777777</v>
      </c>
      <c r="E8" s="9">
        <v>12.5</v>
      </c>
      <c r="F8" s="58">
        <v>53.54543530875317</v>
      </c>
      <c r="G8" s="2"/>
      <c r="H8" s="4" t="s">
        <v>6</v>
      </c>
      <c r="I8" s="4">
        <v>66</v>
      </c>
      <c r="R8" s="58"/>
      <c r="S8" s="10">
        <v>81.599999999999994</v>
      </c>
      <c r="T8" s="50">
        <v>2.7777777777777777</v>
      </c>
      <c r="U8" s="9">
        <v>12.5</v>
      </c>
      <c r="V8" s="58">
        <v>53.54543530875317</v>
      </c>
      <c r="X8" s="4" t="s">
        <v>6</v>
      </c>
      <c r="Y8" s="4">
        <v>65</v>
      </c>
      <c r="AI8" s="10">
        <v>81.599999999999994</v>
      </c>
      <c r="AJ8" s="50">
        <v>2.7777777777777777</v>
      </c>
      <c r="AK8" s="58">
        <v>53.54543530875317</v>
      </c>
      <c r="AM8" s="4" t="s">
        <v>6</v>
      </c>
      <c r="AN8" s="4">
        <v>65</v>
      </c>
      <c r="AX8" s="71">
        <v>51.516060303384194</v>
      </c>
      <c r="AY8" s="58">
        <v>53.54543530875317</v>
      </c>
      <c r="BA8" s="93" t="s">
        <v>99</v>
      </c>
      <c r="BB8" s="91">
        <f t="array" ref="BB8">SUMSQ(AY:AY)-(BB5^2)/BB2</f>
        <v>6751.5613136151806</v>
      </c>
      <c r="BC8" s="91"/>
      <c r="BD8" s="91"/>
      <c r="BE8" s="92"/>
      <c r="BF8" s="117">
        <f t="shared" si="6"/>
        <v>50</v>
      </c>
      <c r="BG8" s="104">
        <f t="shared" si="0"/>
        <v>50</v>
      </c>
      <c r="BH8" s="104">
        <f t="shared" si="1"/>
        <v>47.124355242918867</v>
      </c>
      <c r="BI8" s="92">
        <f t="shared" si="2"/>
        <v>52.875644757081133</v>
      </c>
      <c r="BJ8" s="104">
        <f t="shared" si="3"/>
        <v>50</v>
      </c>
      <c r="BK8" s="104">
        <f t="shared" si="4"/>
        <v>39.328057060210853</v>
      </c>
      <c r="BL8" s="92">
        <f t="shared" si="5"/>
        <v>60.671942939789147</v>
      </c>
      <c r="BM8" s="25"/>
      <c r="BP8" s="15"/>
      <c r="BV8" s="3"/>
      <c r="BW8" s="3"/>
      <c r="BX8" s="3"/>
      <c r="BY8" s="3"/>
      <c r="BZ8" s="3"/>
      <c r="CA8" s="3"/>
    </row>
    <row r="9" spans="2:79">
      <c r="C9" s="10">
        <v>515</v>
      </c>
      <c r="D9" s="50">
        <v>0.68493150684931503</v>
      </c>
      <c r="E9" s="9">
        <v>13.4</v>
      </c>
      <c r="F9" s="58">
        <v>73.558407478743717</v>
      </c>
      <c r="G9" s="2"/>
      <c r="R9" s="58"/>
      <c r="S9" s="10">
        <v>515</v>
      </c>
      <c r="T9" s="50">
        <v>0.68493150684931503</v>
      </c>
      <c r="U9" s="9">
        <v>13.4</v>
      </c>
      <c r="V9" s="58">
        <v>73.558407478743717</v>
      </c>
      <c r="AI9" s="10">
        <v>515</v>
      </c>
      <c r="AJ9" s="50">
        <v>0.68493150684931503</v>
      </c>
      <c r="AK9" s="58">
        <v>73.558407478743717</v>
      </c>
      <c r="AX9" s="71">
        <v>76.772806655511815</v>
      </c>
      <c r="AY9" s="58">
        <v>73.558407478743717</v>
      </c>
      <c r="BA9" s="93" t="s">
        <v>100</v>
      </c>
      <c r="BB9" s="91">
        <f>SUMPRODUCT(AX:AX,AY:AY)-(BB3*BB5)/BB2</f>
        <v>5085.2660394968698</v>
      </c>
      <c r="BC9" s="91"/>
      <c r="BD9" s="91"/>
      <c r="BE9" s="92"/>
      <c r="BF9" s="117">
        <f t="shared" si="6"/>
        <v>55</v>
      </c>
      <c r="BG9" s="104">
        <f t="shared" si="0"/>
        <v>55</v>
      </c>
      <c r="BH9" s="104">
        <f t="shared" si="1"/>
        <v>52.747514199761014</v>
      </c>
      <c r="BI9" s="92">
        <f t="shared" si="2"/>
        <v>57.252485800238986</v>
      </c>
      <c r="BJ9" s="104">
        <f t="shared" si="3"/>
        <v>55</v>
      </c>
      <c r="BK9" s="104">
        <f t="shared" si="4"/>
        <v>44.478843902808713</v>
      </c>
      <c r="BL9" s="92">
        <f t="shared" si="5"/>
        <v>65.521156097191295</v>
      </c>
      <c r="BM9" s="25"/>
      <c r="BP9" s="15"/>
      <c r="BV9" s="3"/>
      <c r="BW9" s="3"/>
      <c r="BX9" s="3"/>
      <c r="BY9" s="3"/>
      <c r="BZ9" s="3"/>
      <c r="CA9" s="3"/>
    </row>
    <row r="10" spans="2:79" ht="13" thickBot="1">
      <c r="C10" s="10">
        <v>335</v>
      </c>
      <c r="D10" s="50">
        <v>0.82644628099173556</v>
      </c>
      <c r="E10" s="9">
        <v>17.399999999999999</v>
      </c>
      <c r="F10" s="58">
        <v>58.04201091968487</v>
      </c>
      <c r="G10" s="2"/>
      <c r="H10" t="s">
        <v>7</v>
      </c>
      <c r="R10" s="58"/>
      <c r="S10" s="10">
        <v>335</v>
      </c>
      <c r="T10" s="50">
        <v>0.82644628099173556</v>
      </c>
      <c r="U10" s="9">
        <v>17.399999999999999</v>
      </c>
      <c r="V10" s="58">
        <v>58.04201091968487</v>
      </c>
      <c r="X10" t="s">
        <v>7</v>
      </c>
      <c r="AI10" s="10">
        <v>335</v>
      </c>
      <c r="AJ10" s="50">
        <v>0.82644628099173556</v>
      </c>
      <c r="AK10" s="58">
        <v>58.04201091968487</v>
      </c>
      <c r="AM10" t="s">
        <v>7</v>
      </c>
      <c r="AX10" s="71">
        <v>72.399029887926375</v>
      </c>
      <c r="AY10" s="58">
        <v>58.04201091968487</v>
      </c>
      <c r="BA10" s="90"/>
      <c r="BB10" s="91"/>
      <c r="BC10" s="91"/>
      <c r="BD10" s="91"/>
      <c r="BE10" s="92"/>
      <c r="BF10" s="117">
        <f t="shared" si="6"/>
        <v>60</v>
      </c>
      <c r="BG10" s="104">
        <f t="shared" si="0"/>
        <v>60</v>
      </c>
      <c r="BH10" s="104">
        <f t="shared" si="1"/>
        <v>58.292208338537215</v>
      </c>
      <c r="BI10" s="92">
        <f t="shared" si="2"/>
        <v>61.707791661462785</v>
      </c>
      <c r="BJ10" s="104">
        <f t="shared" si="3"/>
        <v>60</v>
      </c>
      <c r="BK10" s="104">
        <f t="shared" si="4"/>
        <v>49.581862656878201</v>
      </c>
      <c r="BL10" s="92">
        <f t="shared" si="5"/>
        <v>70.418137343121799</v>
      </c>
      <c r="BM10" s="25"/>
      <c r="BP10" s="15"/>
      <c r="BV10" s="3"/>
      <c r="BW10" s="3"/>
      <c r="BX10" s="3"/>
      <c r="BY10" s="3"/>
      <c r="BZ10" s="3"/>
      <c r="CA10" s="3"/>
    </row>
    <row r="11" spans="2:79" ht="13">
      <c r="C11" s="10">
        <v>475</v>
      </c>
      <c r="D11" s="50">
        <v>0.87719298245614041</v>
      </c>
      <c r="E11" s="9">
        <v>13.1</v>
      </c>
      <c r="F11" s="58">
        <v>75.742811447528638</v>
      </c>
      <c r="G11" s="2"/>
      <c r="H11" s="5"/>
      <c r="I11" s="5" t="s">
        <v>12</v>
      </c>
      <c r="J11" s="5" t="s">
        <v>13</v>
      </c>
      <c r="K11" s="5" t="s">
        <v>14</v>
      </c>
      <c r="L11" s="5" t="s">
        <v>15</v>
      </c>
      <c r="M11" s="5" t="s">
        <v>16</v>
      </c>
      <c r="R11" s="58"/>
      <c r="S11" s="10">
        <v>475</v>
      </c>
      <c r="T11" s="50">
        <v>0.87719298245614041</v>
      </c>
      <c r="U11" s="9">
        <v>13.1</v>
      </c>
      <c r="V11" s="58">
        <v>75.742811447528638</v>
      </c>
      <c r="X11" s="5"/>
      <c r="Y11" s="5" t="s">
        <v>12</v>
      </c>
      <c r="Z11" s="5" t="s">
        <v>13</v>
      </c>
      <c r="AA11" s="5" t="s">
        <v>14</v>
      </c>
      <c r="AB11" s="5" t="s">
        <v>15</v>
      </c>
      <c r="AC11" s="5" t="s">
        <v>16</v>
      </c>
      <c r="AI11" s="10">
        <v>475</v>
      </c>
      <c r="AJ11" s="50">
        <v>0.87719298245614041</v>
      </c>
      <c r="AK11" s="58">
        <v>75.742811447528638</v>
      </c>
      <c r="AM11" s="5"/>
      <c r="AN11" s="5" t="s">
        <v>12</v>
      </c>
      <c r="AO11" s="5" t="s">
        <v>13</v>
      </c>
      <c r="AP11" s="5" t="s">
        <v>14</v>
      </c>
      <c r="AQ11" s="5" t="s">
        <v>15</v>
      </c>
      <c r="AR11" s="5" t="s">
        <v>16</v>
      </c>
      <c r="AX11" s="71">
        <v>74.449292147132141</v>
      </c>
      <c r="AY11" s="58">
        <v>75.742811447528638</v>
      </c>
      <c r="BA11" s="90" t="s">
        <v>39</v>
      </c>
      <c r="BB11" s="90">
        <f>BB6-BB12*BB4</f>
        <v>7.815970093361102E-13</v>
      </c>
      <c r="BC11" s="90" t="s">
        <v>49</v>
      </c>
      <c r="BD11" s="90">
        <f>BD19*(BB7+BB3^2/BB2)/(BB2*BB7)</f>
        <v>24.376251786210307</v>
      </c>
      <c r="BE11" s="92">
        <f>SQRT(BD11)</f>
        <v>4.9372311862227303</v>
      </c>
      <c r="BF11" s="117">
        <f t="shared" si="6"/>
        <v>65</v>
      </c>
      <c r="BG11" s="104">
        <f t="shared" si="0"/>
        <v>65</v>
      </c>
      <c r="BH11" s="104">
        <f t="shared" si="1"/>
        <v>63.659137216200378</v>
      </c>
      <c r="BI11" s="92">
        <f t="shared" si="2"/>
        <v>66.340862783799622</v>
      </c>
      <c r="BJ11" s="104">
        <f t="shared" si="3"/>
        <v>65</v>
      </c>
      <c r="BK11" s="104">
        <f t="shared" si="4"/>
        <v>54.635688814679192</v>
      </c>
      <c r="BL11" s="92">
        <f t="shared" si="5"/>
        <v>75.364311185320815</v>
      </c>
      <c r="BM11" s="25"/>
      <c r="BP11" s="15"/>
      <c r="BV11" s="3"/>
      <c r="BW11" s="3"/>
      <c r="BX11" s="3"/>
      <c r="BY11" s="3"/>
      <c r="BZ11" s="3"/>
      <c r="CA11" s="3"/>
    </row>
    <row r="12" spans="2:79">
      <c r="C12" s="10">
        <v>195</v>
      </c>
      <c r="D12" s="50">
        <v>0.68493150684931503</v>
      </c>
      <c r="E12" s="9">
        <v>14</v>
      </c>
      <c r="F12" s="58">
        <v>79.268013734860659</v>
      </c>
      <c r="G12" s="2"/>
      <c r="H12" s="3" t="s">
        <v>8</v>
      </c>
      <c r="I12" s="3">
        <v>3</v>
      </c>
      <c r="J12" s="3">
        <v>5166.2725802712112</v>
      </c>
      <c r="K12" s="3">
        <v>1722.0908600904038</v>
      </c>
      <c r="L12" s="3">
        <v>38.60475832560634</v>
      </c>
      <c r="M12" s="3">
        <v>3.3806289917022456E-14</v>
      </c>
      <c r="R12" s="58"/>
      <c r="S12" s="10">
        <v>195</v>
      </c>
      <c r="T12" s="50">
        <v>0.68493150684931503</v>
      </c>
      <c r="U12" s="9">
        <v>14</v>
      </c>
      <c r="V12" s="58">
        <v>79.268013734860659</v>
      </c>
      <c r="X12" s="3" t="s">
        <v>8</v>
      </c>
      <c r="Y12" s="3">
        <v>3</v>
      </c>
      <c r="Z12" s="3">
        <v>5122.7653384187615</v>
      </c>
      <c r="AA12" s="3">
        <v>1707.5884461395872</v>
      </c>
      <c r="AB12" s="3">
        <v>63.950854987809144</v>
      </c>
      <c r="AC12" s="3">
        <v>8.0764092085195513E-19</v>
      </c>
      <c r="AI12" s="10">
        <v>195</v>
      </c>
      <c r="AJ12" s="50">
        <v>0.68493150684931503</v>
      </c>
      <c r="AK12" s="58">
        <v>79.268013734860659</v>
      </c>
      <c r="AM12" s="3" t="s">
        <v>8</v>
      </c>
      <c r="AN12" s="3">
        <v>2</v>
      </c>
      <c r="AO12" s="3">
        <v>5085.2660394968016</v>
      </c>
      <c r="AP12" s="3">
        <v>2542.6330197484008</v>
      </c>
      <c r="AQ12" s="3">
        <v>94.607030142245506</v>
      </c>
      <c r="AR12" s="3">
        <v>1.4547224594335481E-19</v>
      </c>
      <c r="AX12" s="71">
        <v>71.111630700957818</v>
      </c>
      <c r="AY12" s="58">
        <v>79.268013734860659</v>
      </c>
      <c r="BA12" s="90" t="s">
        <v>40</v>
      </c>
      <c r="BB12" s="90">
        <f>BB9/BB7</f>
        <v>0.99999999999998856</v>
      </c>
      <c r="BC12" s="90" t="s">
        <v>48</v>
      </c>
      <c r="BD12" s="91">
        <f>BD19/BB7</f>
        <v>5.2011303105449231E-3</v>
      </c>
      <c r="BE12" s="92">
        <f>SQRT(BD12)</f>
        <v>7.2118862376946313E-2</v>
      </c>
      <c r="BF12" s="117">
        <f t="shared" si="6"/>
        <v>70</v>
      </c>
      <c r="BG12" s="104">
        <f t="shared" si="0"/>
        <v>70</v>
      </c>
      <c r="BH12" s="104">
        <f t="shared" si="1"/>
        <v>68.689361141149305</v>
      </c>
      <c r="BI12" s="92">
        <f t="shared" si="2"/>
        <v>71.310638858850695</v>
      </c>
      <c r="BJ12" s="104">
        <f t="shared" si="3"/>
        <v>70</v>
      </c>
      <c r="BK12" s="104">
        <f t="shared" si="4"/>
        <v>59.639555629244633</v>
      </c>
      <c r="BL12" s="92">
        <f t="shared" si="5"/>
        <v>80.36044437075536</v>
      </c>
      <c r="BM12" s="25"/>
      <c r="BP12" s="15"/>
      <c r="BV12" s="3"/>
      <c r="BW12" s="3"/>
      <c r="BX12" s="3"/>
      <c r="BY12" s="3"/>
      <c r="BZ12" s="3"/>
      <c r="CA12" s="3"/>
    </row>
    <row r="13" spans="2:79">
      <c r="C13" s="10">
        <v>529</v>
      </c>
      <c r="D13" s="50">
        <v>0.58479532163742687</v>
      </c>
      <c r="E13" s="9">
        <v>11.7</v>
      </c>
      <c r="F13" s="58">
        <v>80.759802044052563</v>
      </c>
      <c r="G13" s="2"/>
      <c r="H13" s="3" t="s">
        <v>9</v>
      </c>
      <c r="I13" s="3">
        <v>62</v>
      </c>
      <c r="J13" s="3">
        <v>2765.7117401194891</v>
      </c>
      <c r="K13" s="3">
        <v>44.608253872894984</v>
      </c>
      <c r="L13" s="3"/>
      <c r="M13" s="3"/>
      <c r="R13" s="58"/>
      <c r="S13" s="10">
        <v>529</v>
      </c>
      <c r="T13" s="50">
        <v>0.58479532163742687</v>
      </c>
      <c r="U13" s="9">
        <v>11.7</v>
      </c>
      <c r="V13" s="58">
        <v>80.759802044052563</v>
      </c>
      <c r="X13" s="3" t="s">
        <v>9</v>
      </c>
      <c r="Y13" s="3">
        <v>61</v>
      </c>
      <c r="Z13" s="3">
        <v>1628.7959751964418</v>
      </c>
      <c r="AA13" s="3">
        <v>26.701573363876093</v>
      </c>
      <c r="AB13" s="3"/>
      <c r="AC13" s="3"/>
      <c r="AI13" s="10">
        <v>529</v>
      </c>
      <c r="AJ13" s="50">
        <v>0.58479532163742687</v>
      </c>
      <c r="AK13" s="58">
        <v>80.759802044052563</v>
      </c>
      <c r="AM13" s="3" t="s">
        <v>9</v>
      </c>
      <c r="AN13" s="3">
        <v>62</v>
      </c>
      <c r="AO13" s="3">
        <v>1666.2952741184015</v>
      </c>
      <c r="AP13" s="3">
        <v>26.875730227716154</v>
      </c>
      <c r="AQ13" s="3"/>
      <c r="AR13" s="3"/>
      <c r="AX13" s="71">
        <v>77.862080767096685</v>
      </c>
      <c r="AY13" s="58">
        <v>80.759802044052563</v>
      </c>
      <c r="BA13" s="90" t="s">
        <v>51</v>
      </c>
      <c r="BB13" s="95">
        <f>BB9/(SQRT(BB7*BB8))</f>
        <v>0.86787010978823564</v>
      </c>
      <c r="BC13" s="90" t="s">
        <v>52</v>
      </c>
      <c r="BD13" s="90">
        <f>BB2-2</f>
        <v>63</v>
      </c>
      <c r="BE13" s="96"/>
      <c r="BF13" s="117">
        <f t="shared" si="6"/>
        <v>75</v>
      </c>
      <c r="BG13" s="104">
        <f t="shared" si="0"/>
        <v>75</v>
      </c>
      <c r="BH13" s="104">
        <f t="shared" si="1"/>
        <v>73.364110028451336</v>
      </c>
      <c r="BI13" s="92">
        <f t="shared" si="2"/>
        <v>76.635889971548664</v>
      </c>
      <c r="BJ13" s="104">
        <f t="shared" si="3"/>
        <v>75</v>
      </c>
      <c r="BK13" s="104">
        <f t="shared" si="4"/>
        <v>64.593407409713748</v>
      </c>
      <c r="BL13" s="92">
        <f t="shared" si="5"/>
        <v>85.406592590286252</v>
      </c>
      <c r="BM13" s="25"/>
      <c r="BP13" s="15"/>
      <c r="BV13" s="3"/>
      <c r="BW13" s="3"/>
      <c r="BX13" s="3"/>
      <c r="BY13" s="3"/>
      <c r="BZ13" s="3"/>
      <c r="CA13" s="3"/>
    </row>
    <row r="14" spans="2:79" ht="13" thickBot="1">
      <c r="C14" s="10">
        <v>149.69999999999999</v>
      </c>
      <c r="D14" s="50">
        <v>2.0833333333333335</v>
      </c>
      <c r="E14" s="9">
        <v>15.5</v>
      </c>
      <c r="F14" s="58">
        <v>67.542108510671454</v>
      </c>
      <c r="G14" s="2"/>
      <c r="H14" s="4" t="s">
        <v>10</v>
      </c>
      <c r="I14" s="4">
        <v>65</v>
      </c>
      <c r="J14" s="4">
        <v>7931.9843203907003</v>
      </c>
      <c r="K14" s="4"/>
      <c r="L14" s="4"/>
      <c r="M14" s="4"/>
      <c r="R14" s="58"/>
      <c r="S14" s="10">
        <v>149.69999999999999</v>
      </c>
      <c r="T14" s="50">
        <v>2.0833333333333335</v>
      </c>
      <c r="U14" s="9">
        <v>15.5</v>
      </c>
      <c r="V14" s="58">
        <v>67.542108510671454</v>
      </c>
      <c r="X14" s="4" t="s">
        <v>10</v>
      </c>
      <c r="Y14" s="4">
        <v>64</v>
      </c>
      <c r="Z14" s="4">
        <v>6751.5613136152033</v>
      </c>
      <c r="AA14" s="4"/>
      <c r="AB14" s="4"/>
      <c r="AC14" s="4"/>
      <c r="AI14" s="10">
        <v>149.69999999999999</v>
      </c>
      <c r="AJ14" s="50">
        <v>2.0833333333333335</v>
      </c>
      <c r="AK14" s="58">
        <v>67.542108510671454</v>
      </c>
      <c r="AM14" s="4" t="s">
        <v>10</v>
      </c>
      <c r="AN14" s="4">
        <v>64</v>
      </c>
      <c r="AO14" s="4">
        <v>6751.5613136152033</v>
      </c>
      <c r="AP14" s="4"/>
      <c r="AQ14" s="4"/>
      <c r="AR14" s="4"/>
      <c r="AX14" s="71">
        <v>58.557309108092412</v>
      </c>
      <c r="AY14" s="58">
        <v>67.542108510671454</v>
      </c>
      <c r="BA14" s="90" t="s">
        <v>53</v>
      </c>
      <c r="BB14" s="95">
        <f>BB13*SQRT(BB2-2)/(SQRT(1-BB13^2))</f>
        <v>13.865997979464122</v>
      </c>
      <c r="BC14" s="97" t="s">
        <v>54</v>
      </c>
      <c r="BD14" s="98">
        <f>TDIST(ABS(BB14),BD13,2)</f>
        <v>8.2962615968184289E-21</v>
      </c>
      <c r="BF14" s="117">
        <f t="shared" si="6"/>
        <v>80</v>
      </c>
      <c r="BG14" s="104">
        <f t="shared" si="0"/>
        <v>80</v>
      </c>
      <c r="BH14" s="104">
        <f t="shared" si="1"/>
        <v>77.838288098050285</v>
      </c>
      <c r="BI14" s="92">
        <f t="shared" si="2"/>
        <v>82.161711901949715</v>
      </c>
      <c r="BJ14" s="104">
        <f t="shared" si="3"/>
        <v>80</v>
      </c>
      <c r="BK14" s="104">
        <f t="shared" si="4"/>
        <v>69.497903462250108</v>
      </c>
      <c r="BL14" s="92">
        <f t="shared" si="5"/>
        <v>90.502096537749892</v>
      </c>
      <c r="BM14" s="25"/>
      <c r="BP14" s="15"/>
      <c r="BV14" s="3"/>
      <c r="BW14" s="3"/>
      <c r="BX14" s="3"/>
      <c r="BY14" s="3"/>
      <c r="BZ14" s="3"/>
      <c r="CA14" s="3"/>
    </row>
    <row r="15" spans="2:79" ht="13" thickBot="1">
      <c r="C15" s="10">
        <v>385</v>
      </c>
      <c r="D15" s="50">
        <v>1.075268817204301</v>
      </c>
      <c r="E15" s="9">
        <v>14.5</v>
      </c>
      <c r="F15" s="58">
        <v>77.013575493079244</v>
      </c>
      <c r="G15" s="2"/>
      <c r="R15" s="58"/>
      <c r="S15" s="10">
        <v>385</v>
      </c>
      <c r="T15" s="50">
        <v>1.075268817204301</v>
      </c>
      <c r="U15" s="9">
        <v>14.5</v>
      </c>
      <c r="V15" s="58">
        <v>77.013575493079244</v>
      </c>
      <c r="AI15" s="10">
        <v>385</v>
      </c>
      <c r="AJ15" s="50">
        <v>1.075268817204301</v>
      </c>
      <c r="AK15" s="58">
        <v>77.013575493079244</v>
      </c>
      <c r="AX15" s="71">
        <v>71.192351934742703</v>
      </c>
      <c r="AY15" s="58">
        <v>77.013575493079244</v>
      </c>
      <c r="BA15" s="90"/>
      <c r="BB15" s="91"/>
      <c r="BD15" s="95"/>
      <c r="BE15" s="96"/>
      <c r="BF15" s="117">
        <f t="shared" si="6"/>
        <v>85</v>
      </c>
      <c r="BG15" s="104">
        <f t="shared" si="0"/>
        <v>85</v>
      </c>
      <c r="BH15" s="104">
        <f t="shared" si="1"/>
        <v>82.223606428767326</v>
      </c>
      <c r="BI15" s="92">
        <f t="shared" si="2"/>
        <v>87.776393571232674</v>
      </c>
      <c r="BJ15" s="104">
        <f t="shared" si="3"/>
        <v>85</v>
      </c>
      <c r="BK15" s="104">
        <f t="shared" si="4"/>
        <v>74.35437204277882</v>
      </c>
      <c r="BL15" s="92">
        <f t="shared" si="5"/>
        <v>95.64562795722118</v>
      </c>
      <c r="BM15" s="25"/>
      <c r="BP15" s="15"/>
      <c r="BV15" s="3"/>
      <c r="BW15" s="3"/>
      <c r="BX15" s="3"/>
      <c r="BY15" s="3"/>
      <c r="BZ15" s="3"/>
      <c r="CA15" s="3"/>
    </row>
    <row r="16" spans="2:79" ht="13">
      <c r="C16" s="10">
        <v>71</v>
      </c>
      <c r="D16" s="50">
        <v>0.7142857142857143</v>
      </c>
      <c r="E16" s="9">
        <v>8.8000000000000007</v>
      </c>
      <c r="F16" s="58">
        <v>33.265276229636456</v>
      </c>
      <c r="G16" s="2"/>
      <c r="H16" s="5"/>
      <c r="I16" s="5" t="s">
        <v>17</v>
      </c>
      <c r="J16" s="5" t="s">
        <v>5</v>
      </c>
      <c r="K16" s="5" t="s">
        <v>18</v>
      </c>
      <c r="L16" s="5" t="s">
        <v>19</v>
      </c>
      <c r="M16" s="5" t="s">
        <v>20</v>
      </c>
      <c r="N16" s="5" t="s">
        <v>21</v>
      </c>
      <c r="O16" s="5" t="s">
        <v>26</v>
      </c>
      <c r="P16" s="5" t="s">
        <v>27</v>
      </c>
      <c r="R16" s="58"/>
      <c r="S16" s="10">
        <v>117</v>
      </c>
      <c r="T16" s="50">
        <v>0.55865921787709494</v>
      </c>
      <c r="U16" s="9">
        <v>13.7</v>
      </c>
      <c r="V16" s="58">
        <v>74.274009595571471</v>
      </c>
      <c r="X16" s="5"/>
      <c r="Y16" s="5" t="s">
        <v>17</v>
      </c>
      <c r="Z16" s="5" t="s">
        <v>5</v>
      </c>
      <c r="AA16" s="5" t="s">
        <v>18</v>
      </c>
      <c r="AB16" s="5" t="s">
        <v>19</v>
      </c>
      <c r="AC16" s="5" t="s">
        <v>20</v>
      </c>
      <c r="AD16" s="5" t="s">
        <v>21</v>
      </c>
      <c r="AE16" s="5" t="s">
        <v>26</v>
      </c>
      <c r="AF16" s="5" t="s">
        <v>27</v>
      </c>
      <c r="AI16" s="10">
        <v>117</v>
      </c>
      <c r="AJ16" s="50">
        <v>0.55865921787709494</v>
      </c>
      <c r="AK16" s="58">
        <v>74.274009595571471</v>
      </c>
      <c r="AM16" s="5"/>
      <c r="AN16" s="5" t="s">
        <v>17</v>
      </c>
      <c r="AO16" s="5" t="s">
        <v>5</v>
      </c>
      <c r="AP16" s="5" t="s">
        <v>18</v>
      </c>
      <c r="AQ16" s="5" t="s">
        <v>19</v>
      </c>
      <c r="AR16" s="5" t="s">
        <v>20</v>
      </c>
      <c r="AS16" s="5" t="s">
        <v>21</v>
      </c>
      <c r="AT16" s="5" t="s">
        <v>26</v>
      </c>
      <c r="AU16" s="5" t="s">
        <v>27</v>
      </c>
      <c r="AV16" s="16"/>
      <c r="AX16" s="71">
        <v>70.792978417463928</v>
      </c>
      <c r="AY16" s="58">
        <v>74.274009595571471</v>
      </c>
      <c r="BA16" s="101" t="s">
        <v>47</v>
      </c>
      <c r="BB16" s="91"/>
      <c r="BC16" s="91"/>
      <c r="BD16" s="91"/>
      <c r="BE16" s="92"/>
      <c r="BF16" s="117">
        <f t="shared" si="6"/>
        <v>90</v>
      </c>
      <c r="BG16" s="104">
        <f t="shared" si="0"/>
        <v>90</v>
      </c>
      <c r="BH16" s="104">
        <f t="shared" si="1"/>
        <v>86.567475456013938</v>
      </c>
      <c r="BI16" s="92">
        <f t="shared" si="2"/>
        <v>93.432524543986062</v>
      </c>
      <c r="BJ16" s="104">
        <f t="shared" si="3"/>
        <v>90</v>
      </c>
      <c r="BK16" s="104">
        <f t="shared" si="4"/>
        <v>79.164721596273878</v>
      </c>
      <c r="BL16" s="92">
        <f t="shared" si="5"/>
        <v>100.83527840372612</v>
      </c>
      <c r="BM16" s="25"/>
      <c r="BP16" s="15"/>
      <c r="BV16" s="3"/>
      <c r="BW16" s="3"/>
      <c r="BX16" s="3"/>
      <c r="BY16" s="3"/>
      <c r="BZ16" s="3"/>
      <c r="CA16" s="3"/>
    </row>
    <row r="17" spans="3:86">
      <c r="C17" s="10">
        <v>117</v>
      </c>
      <c r="D17" s="50">
        <v>0.55865921787709494</v>
      </c>
      <c r="E17" s="9">
        <v>13.7</v>
      </c>
      <c r="F17" s="58">
        <v>74.274009595571471</v>
      </c>
      <c r="G17" s="2"/>
      <c r="H17" s="3" t="s">
        <v>11</v>
      </c>
      <c r="I17" s="3">
        <v>62.499841986026595</v>
      </c>
      <c r="J17" s="3">
        <v>6.7475936156316374</v>
      </c>
      <c r="K17" s="3">
        <v>9.2625379574190649</v>
      </c>
      <c r="L17" s="3">
        <v>2.6426608825303643E-13</v>
      </c>
      <c r="M17" s="3">
        <v>49.011594669867748</v>
      </c>
      <c r="N17" s="3">
        <v>75.988089302185443</v>
      </c>
      <c r="O17" s="3">
        <v>51.232682076437193</v>
      </c>
      <c r="P17" s="3">
        <v>73.767001895616005</v>
      </c>
      <c r="R17" s="58"/>
      <c r="S17" s="10">
        <v>601</v>
      </c>
      <c r="T17" s="50">
        <v>1.1111111111111112</v>
      </c>
      <c r="U17" s="9">
        <v>15.6</v>
      </c>
      <c r="V17" s="58">
        <v>78.988890513474104</v>
      </c>
      <c r="X17" s="3" t="s">
        <v>11</v>
      </c>
      <c r="Y17" s="3">
        <v>80.029023590378415</v>
      </c>
      <c r="Z17" s="3">
        <v>5.8711080767952426</v>
      </c>
      <c r="AA17" s="3">
        <v>13.63099138077227</v>
      </c>
      <c r="AB17" s="3">
        <v>3.5705119652439475E-20</v>
      </c>
      <c r="AC17" s="3">
        <v>68.289017518410702</v>
      </c>
      <c r="AD17" s="3">
        <v>91.769029662346128</v>
      </c>
      <c r="AE17" s="3">
        <v>70.222984486331427</v>
      </c>
      <c r="AF17" s="3">
        <v>89.835062694425403</v>
      </c>
      <c r="AI17" s="10">
        <v>601</v>
      </c>
      <c r="AJ17" s="50">
        <v>1.1111111111111112</v>
      </c>
      <c r="AK17" s="58">
        <v>78.988890513474104</v>
      </c>
      <c r="AM17" s="3" t="s">
        <v>11</v>
      </c>
      <c r="AN17" s="3">
        <v>73.418379622491742</v>
      </c>
      <c r="AO17" s="3">
        <v>1.8369880340236815</v>
      </c>
      <c r="AP17" s="3">
        <v>39.966716310981298</v>
      </c>
      <c r="AQ17" s="3">
        <v>5.7300381488804848E-46</v>
      </c>
      <c r="AR17" s="3">
        <v>69.746292900740286</v>
      </c>
      <c r="AS17" s="3">
        <v>77.090466344243197</v>
      </c>
      <c r="AT17" s="3">
        <v>70.350969355904496</v>
      </c>
      <c r="AU17" s="3">
        <v>76.485789889078987</v>
      </c>
      <c r="AV17" s="3"/>
      <c r="AX17" s="71">
        <v>74.712408037130913</v>
      </c>
      <c r="AY17" s="58">
        <v>78.988890513474104</v>
      </c>
      <c r="BA17" s="90" t="s">
        <v>41</v>
      </c>
      <c r="BB17" s="90" t="s">
        <v>42</v>
      </c>
      <c r="BC17" s="90" t="s">
        <v>13</v>
      </c>
      <c r="BD17" s="90" t="s">
        <v>14</v>
      </c>
      <c r="BE17" s="96" t="s">
        <v>43</v>
      </c>
      <c r="BF17" s="117"/>
      <c r="BG17" s="104"/>
      <c r="BH17" s="104"/>
      <c r="BJ17" s="104"/>
      <c r="BK17" s="104"/>
      <c r="BL17" s="92"/>
      <c r="BM17" s="25"/>
      <c r="BP17" s="15"/>
    </row>
    <row r="18" spans="3:86">
      <c r="C18" s="10">
        <v>601</v>
      </c>
      <c r="D18" s="50">
        <v>1.1111111111111112</v>
      </c>
      <c r="E18" s="9">
        <v>15.6</v>
      </c>
      <c r="F18" s="58">
        <v>78.988890513474104</v>
      </c>
      <c r="G18" s="2"/>
      <c r="H18" s="3" t="s">
        <v>68</v>
      </c>
      <c r="I18" s="3">
        <v>2.4833072675798193E-2</v>
      </c>
      <c r="J18" s="3">
        <v>5.1343115504875747E-3</v>
      </c>
      <c r="K18" s="3">
        <v>4.836689871973185</v>
      </c>
      <c r="L18" s="3">
        <v>9.0919361037009159E-6</v>
      </c>
      <c r="M18" s="3">
        <v>1.4569730225720206E-2</v>
      </c>
      <c r="N18" s="3">
        <v>3.5096415125876176E-2</v>
      </c>
      <c r="O18" s="3">
        <v>1.6259777874673718E-2</v>
      </c>
      <c r="P18" s="3">
        <v>3.3406367476922667E-2</v>
      </c>
      <c r="R18" s="58"/>
      <c r="S18" s="10">
        <v>565</v>
      </c>
      <c r="T18" s="50">
        <v>1.4285714285714286</v>
      </c>
      <c r="U18" s="9">
        <v>12.3</v>
      </c>
      <c r="V18" s="58">
        <v>66.753406264534306</v>
      </c>
      <c r="X18" s="3" t="s">
        <v>68</v>
      </c>
      <c r="Y18" s="3">
        <v>1.6074544248984645E-2</v>
      </c>
      <c r="Z18" s="3">
        <v>4.192957328552285E-3</v>
      </c>
      <c r="AA18" s="3">
        <v>3.8337008916174091</v>
      </c>
      <c r="AB18" s="3">
        <v>3.0128180196670092E-4</v>
      </c>
      <c r="AC18" s="3">
        <v>7.6902079613830176E-3</v>
      </c>
      <c r="AD18" s="3">
        <v>2.4458880536586271E-2</v>
      </c>
      <c r="AE18" s="3">
        <v>9.0713852221749186E-3</v>
      </c>
      <c r="AF18" s="3">
        <v>2.3077703275794371E-2</v>
      </c>
      <c r="AI18" s="10">
        <v>565</v>
      </c>
      <c r="AJ18" s="50">
        <v>1.4285714285714286</v>
      </c>
      <c r="AK18" s="58">
        <v>66.753406264534306</v>
      </c>
      <c r="AM18" s="3" t="s">
        <v>68</v>
      </c>
      <c r="AN18" s="3">
        <v>1.7691174857981211E-2</v>
      </c>
      <c r="AO18" s="3">
        <v>3.9777467830261906E-3</v>
      </c>
      <c r="AP18" s="3">
        <v>4.4475367143712745</v>
      </c>
      <c r="AQ18" s="3">
        <v>3.672727491371987E-5</v>
      </c>
      <c r="AR18" s="3">
        <v>9.7397724133794703E-3</v>
      </c>
      <c r="AS18" s="3">
        <v>2.5642577302582951E-2</v>
      </c>
      <c r="AT18" s="3">
        <v>1.1049116720338679E-2</v>
      </c>
      <c r="AU18" s="3">
        <v>2.4333232995623743E-2</v>
      </c>
      <c r="AV18" s="3"/>
      <c r="AX18" s="71">
        <v>71.407420692241459</v>
      </c>
      <c r="AY18" s="58">
        <v>66.753406264534306</v>
      </c>
      <c r="BA18" s="90" t="s">
        <v>44</v>
      </c>
      <c r="BB18" s="90">
        <v>1</v>
      </c>
      <c r="BC18" s="90">
        <f>BC20-BC19</f>
        <v>5085.2660394968116</v>
      </c>
      <c r="BD18" s="90">
        <f>BC18/BB18</f>
        <v>5085.2660394968116</v>
      </c>
      <c r="BE18" s="96">
        <f>BD18/BD19</f>
        <v>192.26589996650304</v>
      </c>
      <c r="BF18" s="117"/>
      <c r="BG18" s="118"/>
      <c r="BH18" s="118"/>
      <c r="BI18" s="119"/>
      <c r="BJ18" s="118"/>
      <c r="BK18" s="118"/>
      <c r="BL18" s="120"/>
      <c r="BM18" s="47"/>
      <c r="BP18" s="15"/>
    </row>
    <row r="19" spans="3:86" ht="13" thickBot="1">
      <c r="C19" s="10">
        <v>565</v>
      </c>
      <c r="D19" s="50">
        <v>1.4285714285714286</v>
      </c>
      <c r="E19" s="9">
        <v>12.3</v>
      </c>
      <c r="F19" s="58">
        <v>66.753406264534306</v>
      </c>
      <c r="G19" s="2"/>
      <c r="H19" s="3" t="s">
        <v>71</v>
      </c>
      <c r="I19" s="3">
        <v>-8.1888135053652569</v>
      </c>
      <c r="J19" s="3">
        <v>0.83684014874538315</v>
      </c>
      <c r="K19" s="3">
        <v>-9.7853975070892343</v>
      </c>
      <c r="L19" s="3">
        <v>3.4266019504373914E-14</v>
      </c>
      <c r="M19" s="3">
        <v>-9.8616331108939548</v>
      </c>
      <c r="N19" s="3">
        <v>-6.5159938998365581</v>
      </c>
      <c r="O19" s="3">
        <v>-9.5861726695027958</v>
      </c>
      <c r="P19" s="3">
        <v>-6.791454341227718</v>
      </c>
      <c r="R19" s="58"/>
      <c r="S19" s="10">
        <v>226</v>
      </c>
      <c r="T19" s="50">
        <v>0.72992700729927007</v>
      </c>
      <c r="U19" s="9">
        <v>12.6</v>
      </c>
      <c r="V19" s="58">
        <v>75.488471662027052</v>
      </c>
      <c r="X19" s="3" t="s">
        <v>71</v>
      </c>
      <c r="Y19" s="3">
        <v>-8.3134271527440742</v>
      </c>
      <c r="Z19" s="3">
        <v>0.64772724417526806</v>
      </c>
      <c r="AA19" s="3">
        <v>-12.834765292803633</v>
      </c>
      <c r="AB19" s="3">
        <v>5.5131796282367489E-19</v>
      </c>
      <c r="AC19" s="3">
        <v>-9.6086378148764258</v>
      </c>
      <c r="AD19" s="3">
        <v>-7.0182164906117226</v>
      </c>
      <c r="AE19" s="3">
        <v>-9.3952738164502421</v>
      </c>
      <c r="AF19" s="3">
        <v>-7.2315804890379063</v>
      </c>
      <c r="AI19" s="10">
        <v>226</v>
      </c>
      <c r="AJ19" s="50">
        <v>0.72992700729927007</v>
      </c>
      <c r="AK19" s="58">
        <v>75.488471662027052</v>
      </c>
      <c r="AM19" s="4" t="s">
        <v>71</v>
      </c>
      <c r="AN19" s="4">
        <v>-8.4045309075067749</v>
      </c>
      <c r="AO19" s="4">
        <v>0.64524298217644971</v>
      </c>
      <c r="AP19" s="4">
        <v>-13.025373602914215</v>
      </c>
      <c r="AQ19" s="4">
        <v>2.1033968248105873E-19</v>
      </c>
      <c r="AR19" s="4">
        <v>-9.694353238011356</v>
      </c>
      <c r="AS19" s="4">
        <v>-7.1147085770021947</v>
      </c>
      <c r="AT19" s="4">
        <v>-9.4819603252892009</v>
      </c>
      <c r="AU19" s="4">
        <v>-7.3271014897243498</v>
      </c>
      <c r="AV19" s="3"/>
      <c r="AX19" s="71">
        <v>71.281891047324862</v>
      </c>
      <c r="AY19" s="58">
        <v>75.488471662027052</v>
      </c>
      <c r="BA19" s="90" t="s">
        <v>9</v>
      </c>
      <c r="BB19" s="90">
        <f>BB20-BB18</f>
        <v>63</v>
      </c>
      <c r="BC19" s="90">
        <f>BB8-(BB9^2)/BB7</f>
        <v>1666.295274118369</v>
      </c>
      <c r="BD19" s="90">
        <f>BC19/BB19</f>
        <v>26.449131335212208</v>
      </c>
      <c r="BE19" s="96">
        <f>FDIST(BE18,BB18,BB19)</f>
        <v>8.2962615968184876E-21</v>
      </c>
      <c r="BG19" s="118"/>
      <c r="BH19" s="118"/>
      <c r="BI19" s="119"/>
      <c r="BJ19" s="118"/>
      <c r="BK19" s="118"/>
      <c r="BL19" s="120"/>
      <c r="BM19" s="47"/>
      <c r="BP19" s="15"/>
    </row>
    <row r="20" spans="3:86" ht="13" thickBot="1">
      <c r="C20" s="10">
        <v>226</v>
      </c>
      <c r="D20" s="50">
        <v>0.72992700729927007</v>
      </c>
      <c r="E20" s="9">
        <v>12.6</v>
      </c>
      <c r="F20" s="58">
        <v>75.488471662027052</v>
      </c>
      <c r="G20" s="2"/>
      <c r="H20" s="4" t="s">
        <v>69</v>
      </c>
      <c r="I20" s="4">
        <v>0.52324017617495844</v>
      </c>
      <c r="J20" s="4">
        <v>0.42568281979049755</v>
      </c>
      <c r="K20" s="4">
        <v>1.2291785147271725</v>
      </c>
      <c r="L20" s="4">
        <v>0.22364957520679329</v>
      </c>
      <c r="M20" s="4">
        <v>-0.32768764767511938</v>
      </c>
      <c r="N20" s="4">
        <v>1.3741680000250363</v>
      </c>
      <c r="O20" s="4">
        <v>-0.18756676842724596</v>
      </c>
      <c r="P20" s="4">
        <v>1.2340471207771628</v>
      </c>
      <c r="R20" s="58"/>
      <c r="S20" s="10">
        <v>136</v>
      </c>
      <c r="T20" s="50">
        <v>0.70921985815602839</v>
      </c>
      <c r="U20" s="9">
        <v>14.4</v>
      </c>
      <c r="V20" s="58">
        <v>66.625626243810473</v>
      </c>
      <c r="X20" s="4" t="s">
        <v>69</v>
      </c>
      <c r="Y20" s="4">
        <v>-0.42672401731035892</v>
      </c>
      <c r="Z20" s="4">
        <v>0.36008409509916084</v>
      </c>
      <c r="AA20" s="4">
        <v>-1.1850676636879689</v>
      </c>
      <c r="AB20" s="4">
        <v>0.2405870883760709</v>
      </c>
      <c r="AC20" s="4">
        <v>-1.1467566598010213</v>
      </c>
      <c r="AD20" s="4">
        <v>0.29330862518030332</v>
      </c>
      <c r="AE20" s="4">
        <v>-1.0281434889163301</v>
      </c>
      <c r="AF20" s="4">
        <v>0.17469545429561228</v>
      </c>
      <c r="AI20" s="10">
        <v>136</v>
      </c>
      <c r="AJ20" s="50">
        <v>0.70921985815602839</v>
      </c>
      <c r="AK20" s="58">
        <v>66.625626243810473</v>
      </c>
      <c r="AX20" s="71">
        <v>69.863719185087277</v>
      </c>
      <c r="AY20" s="58">
        <v>66.625626243810473</v>
      </c>
      <c r="BA20" s="90" t="s">
        <v>10</v>
      </c>
      <c r="BB20" s="90">
        <f>BB2-1</f>
        <v>64</v>
      </c>
      <c r="BC20" s="90">
        <f>BB8</f>
        <v>6751.5613136151806</v>
      </c>
      <c r="BD20" s="90" t="s">
        <v>45</v>
      </c>
      <c r="BE20" s="92"/>
      <c r="BG20" s="118"/>
      <c r="BH20" s="118"/>
      <c r="BI20" s="119"/>
      <c r="BJ20" s="118"/>
      <c r="BK20" s="118"/>
      <c r="BL20" s="120"/>
      <c r="BM20" s="47"/>
      <c r="BP20" s="15"/>
    </row>
    <row r="21" spans="3:86">
      <c r="C21" s="10">
        <v>136</v>
      </c>
      <c r="D21" s="50">
        <v>0.70921985815602839</v>
      </c>
      <c r="E21" s="9">
        <v>14.4</v>
      </c>
      <c r="F21" s="58">
        <v>66.625626243810473</v>
      </c>
      <c r="G21" s="2"/>
      <c r="R21" s="58"/>
      <c r="S21" s="10">
        <v>435</v>
      </c>
      <c r="T21" s="50">
        <v>0.92592592592592582</v>
      </c>
      <c r="U21" s="2">
        <v>12.5</v>
      </c>
      <c r="V21" s="58">
        <v>73.019113205433399</v>
      </c>
      <c r="AI21" s="10">
        <v>435</v>
      </c>
      <c r="AJ21" s="50">
        <v>0.92592592592592582</v>
      </c>
      <c r="AK21" s="58">
        <v>73.019113205433399</v>
      </c>
      <c r="AX21" s="71">
        <v>73.332067623207294</v>
      </c>
      <c r="AY21" s="58">
        <v>73.019113205433399</v>
      </c>
      <c r="BA21" s="90"/>
      <c r="BB21" s="91"/>
      <c r="BC21" s="91"/>
      <c r="BD21" s="91"/>
      <c r="BE21" s="92"/>
      <c r="BG21" s="118"/>
      <c r="BH21" s="118"/>
      <c r="BI21" s="119"/>
      <c r="BJ21" s="118"/>
      <c r="BK21" s="118"/>
      <c r="BL21" s="120"/>
      <c r="BM21" s="47"/>
      <c r="BP21" s="15"/>
    </row>
    <row r="22" spans="3:86" ht="13">
      <c r="C22" s="10">
        <v>435</v>
      </c>
      <c r="D22" s="50">
        <v>0.92592592592592582</v>
      </c>
      <c r="E22" s="2">
        <v>12.5</v>
      </c>
      <c r="F22" s="58">
        <v>73.019113205433399</v>
      </c>
      <c r="G22" s="2"/>
      <c r="R22" s="58"/>
      <c r="S22" s="10">
        <v>545</v>
      </c>
      <c r="T22" s="50">
        <v>0.85470085470085477</v>
      </c>
      <c r="U22" s="9">
        <v>12.1</v>
      </c>
      <c r="V22" s="58">
        <v>81.324072229354613</v>
      </c>
      <c r="AI22" s="10">
        <v>545</v>
      </c>
      <c r="AJ22" s="50">
        <v>0.85470085470085477</v>
      </c>
      <c r="AK22" s="58">
        <v>81.324072229354613</v>
      </c>
      <c r="AX22" s="71">
        <v>75.876710170085715</v>
      </c>
      <c r="AY22" s="58">
        <v>81.324072229354613</v>
      </c>
      <c r="BA22" s="101" t="s">
        <v>50</v>
      </c>
      <c r="BB22" s="91"/>
      <c r="BC22" s="91"/>
      <c r="BD22" s="91"/>
      <c r="BE22" s="92"/>
      <c r="BG22" s="118"/>
      <c r="BH22" s="118"/>
      <c r="BI22" s="119"/>
      <c r="BJ22" s="118"/>
      <c r="BK22" s="118"/>
      <c r="BL22" s="120"/>
      <c r="BM22" s="47"/>
      <c r="BP22" s="15"/>
    </row>
    <row r="23" spans="3:86" ht="13">
      <c r="C23" s="10">
        <v>545</v>
      </c>
      <c r="D23" s="50">
        <v>0.85470085470085477</v>
      </c>
      <c r="E23" s="9">
        <v>12.1</v>
      </c>
      <c r="F23" s="58">
        <v>81.324072229354613</v>
      </c>
      <c r="G23" s="2"/>
      <c r="R23" s="58"/>
      <c r="S23" s="10">
        <v>215</v>
      </c>
      <c r="T23" s="50">
        <v>0.9009009009009008</v>
      </c>
      <c r="U23" s="9">
        <v>14.7</v>
      </c>
      <c r="V23" s="58">
        <v>65.179115232077422</v>
      </c>
      <c r="AC23" s="53"/>
      <c r="AD23" s="53"/>
      <c r="AI23" s="10">
        <v>215</v>
      </c>
      <c r="AJ23" s="50">
        <v>0.9009009009009008</v>
      </c>
      <c r="AK23" s="58">
        <v>65.179115232077422</v>
      </c>
      <c r="AM23" t="s">
        <v>22</v>
      </c>
      <c r="AX23" s="71">
        <v>69.650332750735373</v>
      </c>
      <c r="AY23" s="58">
        <v>65.179115232077422</v>
      </c>
      <c r="BA23" s="90">
        <f>SQRT(BD19)</f>
        <v>5.1428718956641539</v>
      </c>
      <c r="BB23" s="91"/>
      <c r="BC23" s="91"/>
      <c r="BD23" s="91"/>
      <c r="BE23" s="92"/>
      <c r="BG23" s="104"/>
      <c r="BH23" s="104"/>
      <c r="BJ23" s="122"/>
      <c r="BK23" s="122"/>
      <c r="BP23" s="15"/>
    </row>
    <row r="24" spans="3:86" ht="13.5" thickBot="1">
      <c r="C24" s="10">
        <v>215</v>
      </c>
      <c r="D24" s="50">
        <v>0.9009009009009008</v>
      </c>
      <c r="E24" s="9">
        <v>14.7</v>
      </c>
      <c r="F24" s="58">
        <v>65.179115232077422</v>
      </c>
      <c r="G24" s="2"/>
      <c r="H24" t="s">
        <v>22</v>
      </c>
      <c r="R24" s="58"/>
      <c r="S24" s="10">
        <v>595</v>
      </c>
      <c r="T24" s="50">
        <v>4.5454545454545459</v>
      </c>
      <c r="U24" s="9">
        <v>12.5</v>
      </c>
      <c r="V24" s="58">
        <v>42.165907532070783</v>
      </c>
      <c r="X24" t="s">
        <v>22</v>
      </c>
      <c r="AC24" s="3"/>
      <c r="AD24" s="3"/>
      <c r="AI24" s="10">
        <v>595</v>
      </c>
      <c r="AJ24" s="50">
        <v>4.5454545454545459</v>
      </c>
      <c r="AK24" s="58">
        <v>42.165907532070783</v>
      </c>
      <c r="AX24" s="71">
        <v>45.742215447050675</v>
      </c>
      <c r="AY24" s="58">
        <v>42.165907532070783</v>
      </c>
      <c r="BA24" s="90"/>
      <c r="BB24" s="91"/>
      <c r="BC24" s="91"/>
      <c r="BD24" s="91"/>
      <c r="BE24" s="92"/>
      <c r="BF24" s="123"/>
      <c r="BG24" s="124"/>
      <c r="BH24" s="104"/>
      <c r="BJ24" s="122"/>
      <c r="BK24" s="122"/>
      <c r="BP24" s="15"/>
    </row>
    <row r="25" spans="3:86" ht="13.5" thickBot="1">
      <c r="C25" s="10">
        <v>595</v>
      </c>
      <c r="D25" s="50">
        <v>4.5454545454545459</v>
      </c>
      <c r="E25" s="9">
        <v>12.5</v>
      </c>
      <c r="F25" s="58">
        <v>42.165907532070783</v>
      </c>
      <c r="G25" s="2"/>
      <c r="R25" s="58"/>
      <c r="S25" s="10">
        <v>116</v>
      </c>
      <c r="T25" s="50">
        <v>3.8461538461538458</v>
      </c>
      <c r="U25" s="9">
        <v>16.5</v>
      </c>
      <c r="V25" s="58">
        <v>41.721577651385346</v>
      </c>
      <c r="AC25" s="3"/>
      <c r="AD25" s="3"/>
      <c r="AI25" s="10">
        <v>116</v>
      </c>
      <c r="AJ25" s="50">
        <v>3.8461538461538458</v>
      </c>
      <c r="AK25" s="58">
        <v>41.721577651385346</v>
      </c>
      <c r="AM25" s="5" t="s">
        <v>23</v>
      </c>
      <c r="AN25" s="5" t="s">
        <v>72</v>
      </c>
      <c r="AO25" s="5" t="s">
        <v>24</v>
      </c>
      <c r="AP25" s="5" t="s">
        <v>25</v>
      </c>
      <c r="AX25" s="71">
        <v>43.145437030991509</v>
      </c>
      <c r="AY25" s="58">
        <v>41.721577651385346</v>
      </c>
      <c r="BA25" s="90"/>
      <c r="BB25" s="91"/>
      <c r="BC25" s="91"/>
      <c r="BD25" s="91"/>
      <c r="BE25" s="92"/>
      <c r="BF25" s="117"/>
      <c r="BG25" s="118"/>
      <c r="BH25" s="104"/>
      <c r="BJ25" s="122"/>
      <c r="BK25" s="122"/>
      <c r="BP25" s="15"/>
    </row>
    <row r="26" spans="3:86" ht="13">
      <c r="C26" s="10">
        <v>116</v>
      </c>
      <c r="D26" s="50">
        <v>3.8461538461538458</v>
      </c>
      <c r="E26" s="9">
        <v>16.5</v>
      </c>
      <c r="F26" s="58">
        <v>41.721577651385346</v>
      </c>
      <c r="G26" s="2"/>
      <c r="H26" s="5" t="s">
        <v>23</v>
      </c>
      <c r="I26" s="5" t="s">
        <v>72</v>
      </c>
      <c r="J26" s="5" t="s">
        <v>24</v>
      </c>
      <c r="K26" s="5" t="s">
        <v>25</v>
      </c>
      <c r="R26" s="58"/>
      <c r="S26" s="10">
        <v>184</v>
      </c>
      <c r="T26" s="50">
        <v>1.2987012987012987</v>
      </c>
      <c r="U26" s="9">
        <v>13.8</v>
      </c>
      <c r="V26" s="58">
        <v>70.554142902763203</v>
      </c>
      <c r="X26" s="5" t="s">
        <v>23</v>
      </c>
      <c r="Y26" s="5" t="s">
        <v>72</v>
      </c>
      <c r="Z26" s="5" t="s">
        <v>24</v>
      </c>
      <c r="AA26" s="5" t="s">
        <v>25</v>
      </c>
      <c r="AC26" s="3"/>
      <c r="AD26" s="3"/>
      <c r="AI26" s="10">
        <v>184</v>
      </c>
      <c r="AJ26" s="50">
        <v>1.2987012987012987</v>
      </c>
      <c r="AK26" s="58">
        <v>70.554142902763203</v>
      </c>
      <c r="AM26" s="3">
        <v>1</v>
      </c>
      <c r="AN26" s="3">
        <v>69.887767388358782</v>
      </c>
      <c r="AO26" s="3">
        <v>-6.7898006061712906</v>
      </c>
      <c r="AP26" s="3">
        <v>-1.3306720239912826</v>
      </c>
      <c r="AX26" s="71">
        <v>65.758580591806037</v>
      </c>
      <c r="AY26" s="58">
        <v>70.554142902763203</v>
      </c>
      <c r="BA26" s="53"/>
      <c r="BB26" s="53"/>
      <c r="BC26" s="91"/>
      <c r="BD26" s="91"/>
      <c r="BE26" s="92"/>
      <c r="BF26" s="117"/>
      <c r="BG26" s="118"/>
      <c r="BH26" s="104"/>
      <c r="BJ26" s="122"/>
      <c r="BK26" s="122"/>
      <c r="BP26" s="15"/>
    </row>
    <row r="27" spans="3:86">
      <c r="C27" s="10">
        <v>184</v>
      </c>
      <c r="D27" s="50">
        <v>1.2987012987012987</v>
      </c>
      <c r="E27" s="9">
        <v>13.8</v>
      </c>
      <c r="F27" s="58">
        <v>70.554142902763203</v>
      </c>
      <c r="H27" s="3">
        <v>1</v>
      </c>
      <c r="I27" s="3">
        <v>69.733678892113048</v>
      </c>
      <c r="J27" s="3">
        <v>-6.6357121099255565</v>
      </c>
      <c r="K27" s="3">
        <v>-1.0172805888421128</v>
      </c>
      <c r="R27" s="58"/>
      <c r="S27" s="10">
        <v>569</v>
      </c>
      <c r="T27" s="50">
        <v>1.0101010101010102</v>
      </c>
      <c r="U27" s="9">
        <v>12.6</v>
      </c>
      <c r="V27" s="58">
        <v>74.947526784181136</v>
      </c>
      <c r="X27" s="3">
        <v>1</v>
      </c>
      <c r="Y27" s="3">
        <v>69.145859494339732</v>
      </c>
      <c r="Z27" s="3">
        <v>-6.0478927121522403</v>
      </c>
      <c r="AA27" s="3">
        <v>-1.1988386102317246</v>
      </c>
      <c r="AC27" s="3"/>
      <c r="AD27" s="3"/>
      <c r="AI27" s="10">
        <v>569</v>
      </c>
      <c r="AJ27" s="50">
        <v>1.0101010101010102</v>
      </c>
      <c r="AK27" s="58">
        <v>74.947526784181136</v>
      </c>
      <c r="AM27" s="3">
        <v>2</v>
      </c>
      <c r="AN27" s="3">
        <v>69.023786421752021</v>
      </c>
      <c r="AO27" s="3">
        <v>-5.3504318013400578</v>
      </c>
      <c r="AP27" s="3">
        <v>-1.0485830626374195</v>
      </c>
      <c r="AX27" s="71">
        <v>74.995232957585301</v>
      </c>
      <c r="AY27" s="58">
        <v>74.947526784181136</v>
      </c>
      <c r="BA27" s="102"/>
      <c r="BB27" s="102"/>
      <c r="BC27" s="91"/>
      <c r="BD27" s="91"/>
      <c r="BE27" s="92"/>
      <c r="BF27" s="117"/>
      <c r="BG27" s="118"/>
      <c r="BH27" s="104"/>
      <c r="BJ27" s="122"/>
      <c r="BK27" s="122"/>
      <c r="BP27" s="15"/>
      <c r="CH27" s="80"/>
    </row>
    <row r="28" spans="3:86">
      <c r="C28" s="10">
        <v>569</v>
      </c>
      <c r="D28" s="50">
        <v>1.0101010101010102</v>
      </c>
      <c r="E28" s="9">
        <v>12.6</v>
      </c>
      <c r="F28" s="58">
        <v>74.947526784181136</v>
      </c>
      <c r="H28" s="3">
        <v>2</v>
      </c>
      <c r="I28" s="3">
        <v>68.375822553064253</v>
      </c>
      <c r="J28" s="3">
        <v>-4.70246793265229</v>
      </c>
      <c r="K28" s="3">
        <v>-0.72090670425322922</v>
      </c>
      <c r="R28" s="58"/>
      <c r="S28" s="10">
        <v>464</v>
      </c>
      <c r="T28" s="50">
        <v>1.25</v>
      </c>
      <c r="U28" s="9">
        <v>15.8</v>
      </c>
      <c r="V28" s="58">
        <v>61.274312912021429</v>
      </c>
      <c r="X28" s="3">
        <v>2</v>
      </c>
      <c r="Y28" s="3">
        <v>68.848049023409629</v>
      </c>
      <c r="Z28" s="3">
        <v>-5.174694402997666</v>
      </c>
      <c r="AA28" s="3">
        <v>-1.0257495861324475</v>
      </c>
      <c r="AC28" s="3"/>
      <c r="AD28" s="3"/>
      <c r="AI28" s="10">
        <v>464</v>
      </c>
      <c r="AJ28" s="50">
        <v>1.25</v>
      </c>
      <c r="AK28" s="58">
        <v>61.274312912021429</v>
      </c>
      <c r="AM28" s="3">
        <v>3</v>
      </c>
      <c r="AN28" s="3">
        <v>49.226033449843229</v>
      </c>
      <c r="AO28" s="3">
        <v>-14.375276007452854</v>
      </c>
      <c r="AP28" s="3">
        <v>-2.8172812030568837</v>
      </c>
      <c r="AX28" s="71">
        <v>71.121421122211558</v>
      </c>
      <c r="AY28" s="58">
        <v>61.274312912021429</v>
      </c>
      <c r="BA28" s="102"/>
      <c r="BB28" s="102"/>
      <c r="BC28" s="91"/>
      <c r="BD28" s="91"/>
      <c r="BE28" s="92"/>
      <c r="BF28" s="117"/>
      <c r="BG28" s="118"/>
      <c r="BH28" s="104"/>
      <c r="BJ28" s="122"/>
      <c r="BK28" s="122"/>
      <c r="BP28" s="15"/>
    </row>
    <row r="29" spans="3:86">
      <c r="C29" s="10">
        <v>464</v>
      </c>
      <c r="D29" s="50">
        <v>1.25</v>
      </c>
      <c r="E29" s="9">
        <v>15.8</v>
      </c>
      <c r="F29" s="58">
        <v>61.274312912021429</v>
      </c>
      <c r="G29" s="2"/>
      <c r="H29" s="3">
        <v>3</v>
      </c>
      <c r="I29" s="3">
        <v>48.291994271583036</v>
      </c>
      <c r="J29" s="3">
        <v>-13.441236829192661</v>
      </c>
      <c r="K29" s="3">
        <v>-2.0605941140687616</v>
      </c>
      <c r="R29" s="58"/>
      <c r="S29" s="10">
        <v>465</v>
      </c>
      <c r="T29" s="50">
        <v>2.2727272727272729</v>
      </c>
      <c r="U29" s="9">
        <v>16.399999999999999</v>
      </c>
      <c r="V29" s="58">
        <v>65.673462706900295</v>
      </c>
      <c r="X29" s="3">
        <v>3</v>
      </c>
      <c r="Y29" s="3">
        <v>49.24959417881459</v>
      </c>
      <c r="Z29" s="3">
        <v>-14.398836736424215</v>
      </c>
      <c r="AA29" s="3">
        <v>-2.8541976922579018</v>
      </c>
      <c r="AC29" s="3"/>
      <c r="AD29" s="3"/>
      <c r="AI29" s="10">
        <v>465</v>
      </c>
      <c r="AJ29" s="50">
        <v>2.2727272727272729</v>
      </c>
      <c r="AK29" s="58">
        <v>65.673462706900295</v>
      </c>
      <c r="AM29" s="3">
        <v>4</v>
      </c>
      <c r="AN29" s="3">
        <v>68.47501431220806</v>
      </c>
      <c r="AO29" s="3">
        <v>-4.7975228087703883</v>
      </c>
      <c r="AP29" s="3">
        <v>-0.94022339629361773</v>
      </c>
      <c r="AX29" s="71">
        <v>62.543569323483069</v>
      </c>
      <c r="AY29" s="58">
        <v>65.673462706900295</v>
      </c>
      <c r="BA29" s="102"/>
      <c r="BB29" s="102"/>
      <c r="BC29" s="91"/>
      <c r="BD29" s="91"/>
      <c r="BE29" s="92"/>
      <c r="BF29" s="117"/>
      <c r="BG29" s="118"/>
      <c r="BH29" s="104"/>
      <c r="BJ29" s="122"/>
      <c r="BK29" s="122"/>
      <c r="BP29" s="15"/>
    </row>
    <row r="30" spans="3:86">
      <c r="C30" s="10">
        <v>465</v>
      </c>
      <c r="D30" s="50">
        <v>2.2727272727272729</v>
      </c>
      <c r="E30" s="9">
        <v>16.399999999999999</v>
      </c>
      <c r="F30" s="58">
        <v>65.673462706900295</v>
      </c>
      <c r="G30" s="2"/>
      <c r="H30" s="3">
        <v>4</v>
      </c>
      <c r="I30" s="3">
        <v>67.854666225407385</v>
      </c>
      <c r="J30" s="3">
        <v>-4.1771747219697133</v>
      </c>
      <c r="K30" s="3">
        <v>-0.64037720299915346</v>
      </c>
      <c r="R30" s="58"/>
      <c r="S30" s="10">
        <v>255</v>
      </c>
      <c r="T30" s="50">
        <v>0.7246376811594204</v>
      </c>
      <c r="U30" s="9">
        <v>15.5</v>
      </c>
      <c r="V30" s="58">
        <v>76.310671595540882</v>
      </c>
      <c r="X30" s="3">
        <v>4</v>
      </c>
      <c r="Y30" s="3">
        <v>68.532689269988751</v>
      </c>
      <c r="Z30" s="3">
        <v>-4.855197766551079</v>
      </c>
      <c r="AA30" s="3">
        <v>-0.9624176254245943</v>
      </c>
      <c r="AC30" s="3"/>
      <c r="AD30" s="3"/>
      <c r="AI30" s="10">
        <v>255</v>
      </c>
      <c r="AJ30" s="50">
        <v>0.7246376811594204</v>
      </c>
      <c r="AK30" s="58">
        <v>76.310671595540882</v>
      </c>
      <c r="AM30" s="3">
        <v>5</v>
      </c>
      <c r="AN30" s="3">
        <v>67.998905489255463</v>
      </c>
      <c r="AO30" s="3">
        <v>-8.12548839441898</v>
      </c>
      <c r="AP30" s="3">
        <v>-1.5924414743330992</v>
      </c>
      <c r="AX30" s="71">
        <v>71.839389423228553</v>
      </c>
      <c r="AY30" s="58">
        <v>76.310671595540882</v>
      </c>
      <c r="BA30" s="102"/>
      <c r="BB30" s="102"/>
      <c r="BC30" s="91"/>
      <c r="BD30" s="91"/>
      <c r="BE30" s="92"/>
      <c r="BF30" s="117"/>
      <c r="BG30" s="118"/>
      <c r="BH30" s="104"/>
      <c r="BJ30" s="122"/>
      <c r="BK30" s="122"/>
      <c r="BP30" s="15"/>
    </row>
    <row r="31" spans="3:86">
      <c r="C31" s="10">
        <v>255</v>
      </c>
      <c r="D31" s="50">
        <v>0.7246376811594204</v>
      </c>
      <c r="E31" s="9">
        <v>15.5</v>
      </c>
      <c r="F31" s="58">
        <v>76.310671595540882</v>
      </c>
      <c r="G31" s="2"/>
      <c r="H31" s="3">
        <v>5</v>
      </c>
      <c r="I31" s="3">
        <v>67.929312336532874</v>
      </c>
      <c r="J31" s="3">
        <v>-8.0558952416963905</v>
      </c>
      <c r="K31" s="3">
        <v>-1.2350002108839555</v>
      </c>
      <c r="R31" s="58"/>
      <c r="S31" s="10">
        <v>375</v>
      </c>
      <c r="T31" s="50">
        <v>2.5</v>
      </c>
      <c r="U31" s="9">
        <v>17.7</v>
      </c>
      <c r="V31" s="58">
        <v>56.389693206773863</v>
      </c>
      <c r="X31" s="3">
        <v>5</v>
      </c>
      <c r="Y31" s="3">
        <v>68.51929832531745</v>
      </c>
      <c r="Z31" s="3">
        <v>-8.6458812304809669</v>
      </c>
      <c r="AA31" s="3">
        <v>-1.713822769665138</v>
      </c>
      <c r="AC31" s="3"/>
      <c r="AD31" s="3"/>
      <c r="AI31" s="10">
        <v>375</v>
      </c>
      <c r="AJ31" s="50">
        <v>2.5</v>
      </c>
      <c r="AK31" s="58">
        <v>56.389693206773863</v>
      </c>
      <c r="AM31" s="3">
        <v>6</v>
      </c>
      <c r="AN31" s="3">
        <v>74.980027392871577</v>
      </c>
      <c r="AO31" s="3">
        <v>-1.0386559238089603</v>
      </c>
      <c r="AP31" s="3">
        <v>-0.20355684364415594</v>
      </c>
      <c r="AX31" s="71">
        <v>59.041242925467756</v>
      </c>
      <c r="AY31" s="58">
        <v>56.389693206773863</v>
      </c>
      <c r="BA31" s="102"/>
      <c r="BB31" s="102"/>
      <c r="BC31" s="91"/>
      <c r="BD31" s="91"/>
      <c r="BE31" s="92"/>
      <c r="BF31" s="117"/>
      <c r="BG31" s="118"/>
      <c r="BH31" s="104"/>
      <c r="BJ31" s="122"/>
      <c r="BK31" s="122"/>
      <c r="BP31" s="15"/>
    </row>
    <row r="32" spans="3:86">
      <c r="C32" s="10">
        <v>375</v>
      </c>
      <c r="D32" s="50">
        <v>2.5</v>
      </c>
      <c r="E32" s="9">
        <v>17.7</v>
      </c>
      <c r="F32" s="58">
        <v>56.389693206773863</v>
      </c>
      <c r="G32" s="2"/>
      <c r="H32" s="3">
        <v>6</v>
      </c>
      <c r="I32" s="3">
        <v>74.136256059855711</v>
      </c>
      <c r="J32" s="3">
        <v>-0.1948845907930945</v>
      </c>
      <c r="K32" s="3">
        <v>-2.9876569084682232E-2</v>
      </c>
      <c r="R32" s="58"/>
      <c r="S32" s="10">
        <v>477</v>
      </c>
      <c r="T32" s="50">
        <v>1.1235955056179776</v>
      </c>
      <c r="U32" s="9">
        <v>14.5</v>
      </c>
      <c r="V32" s="58">
        <v>67.866747837406749</v>
      </c>
      <c r="X32" s="3">
        <v>6</v>
      </c>
      <c r="Y32" s="3">
        <v>75.733500269843915</v>
      </c>
      <c r="Z32" s="3">
        <v>-1.792128800781299</v>
      </c>
      <c r="AA32" s="3">
        <v>-0.35524327284574642</v>
      </c>
      <c r="AC32" s="3"/>
      <c r="AD32" s="3"/>
      <c r="AI32" s="10">
        <v>477</v>
      </c>
      <c r="AJ32" s="50">
        <v>1.1235955056179776</v>
      </c>
      <c r="AK32" s="58">
        <v>67.866747837406749</v>
      </c>
      <c r="AM32" s="3">
        <v>7</v>
      </c>
      <c r="AN32" s="3">
        <v>51.516060303384194</v>
      </c>
      <c r="AO32" s="3">
        <v>2.0293750053689763</v>
      </c>
      <c r="AP32" s="3">
        <v>0.39771897622107139</v>
      </c>
      <c r="AX32" s="71">
        <v>72.413776875246782</v>
      </c>
      <c r="AY32" s="58">
        <v>67.866747837406749</v>
      </c>
      <c r="BA32" s="102"/>
      <c r="BB32" s="102"/>
      <c r="BC32" s="91"/>
      <c r="BD32" s="91"/>
      <c r="BE32" s="92"/>
      <c r="BF32" s="117"/>
      <c r="BG32" s="118"/>
      <c r="BH32" s="104"/>
      <c r="BJ32" s="122"/>
      <c r="BK32" s="122"/>
      <c r="BP32" s="15"/>
    </row>
    <row r="33" spans="3:68">
      <c r="C33" s="10">
        <v>477</v>
      </c>
      <c r="D33" s="50">
        <v>1.1235955056179776</v>
      </c>
      <c r="E33" s="9">
        <v>14.5</v>
      </c>
      <c r="F33" s="58">
        <v>67.866747837406749</v>
      </c>
      <c r="G33" s="2"/>
      <c r="H33" s="3">
        <v>7</v>
      </c>
      <c r="I33" s="3">
        <v>48.320018736988551</v>
      </c>
      <c r="J33" s="3">
        <v>5.2254165717646188</v>
      </c>
      <c r="K33" s="3">
        <v>0.80107677352652373</v>
      </c>
      <c r="R33" s="58"/>
      <c r="S33" s="10">
        <v>245</v>
      </c>
      <c r="T33" s="50">
        <v>0.81300813008130079</v>
      </c>
      <c r="U33" s="9">
        <v>13.6</v>
      </c>
      <c r="V33" s="58">
        <v>77.209615330067706</v>
      </c>
      <c r="X33" s="3">
        <v>7</v>
      </c>
      <c r="Y33" s="3">
        <v>52.913802982649194</v>
      </c>
      <c r="Z33" s="3">
        <v>0.63163232610397557</v>
      </c>
      <c r="AA33" s="3">
        <v>0.12520480372980206</v>
      </c>
      <c r="AC33" s="3"/>
      <c r="AD33" s="3"/>
      <c r="AI33" s="10">
        <v>245</v>
      </c>
      <c r="AJ33" s="50">
        <v>0.81300813008130079</v>
      </c>
      <c r="AK33" s="58">
        <v>77.209615330067706</v>
      </c>
      <c r="AM33" s="3">
        <v>8</v>
      </c>
      <c r="AN33" s="3">
        <v>76.772806655511815</v>
      </c>
      <c r="AO33" s="3">
        <v>-3.2143991767680973</v>
      </c>
      <c r="AP33" s="3">
        <v>-0.62996121779750691</v>
      </c>
      <c r="AX33" s="71">
        <v>70.919765505374556</v>
      </c>
      <c r="AY33" s="58">
        <v>77.209615330067706</v>
      </c>
      <c r="BA33" s="102"/>
      <c r="BB33" s="102"/>
      <c r="BC33" s="91"/>
      <c r="BD33" s="91"/>
      <c r="BE33" s="92"/>
      <c r="BF33" s="117"/>
      <c r="BG33" s="118"/>
      <c r="BH33" s="104"/>
      <c r="BJ33" s="122"/>
      <c r="BK33" s="122"/>
      <c r="BP33" s="15"/>
    </row>
    <row r="34" spans="3:68">
      <c r="C34" s="10">
        <v>245</v>
      </c>
      <c r="D34" s="50">
        <v>0.81300813008130079</v>
      </c>
      <c r="E34" s="9">
        <v>13.6</v>
      </c>
      <c r="F34" s="58">
        <v>77.209615330067706</v>
      </c>
      <c r="G34" s="2"/>
      <c r="H34" s="3">
        <v>8</v>
      </c>
      <c r="I34" s="3">
        <v>76.691516401269254</v>
      </c>
      <c r="J34" s="3">
        <v>-3.1331089225255369</v>
      </c>
      <c r="K34" s="3">
        <v>-0.48031783730427879</v>
      </c>
      <c r="R34" s="58"/>
      <c r="S34" s="10">
        <v>511.6</v>
      </c>
      <c r="T34" s="50">
        <v>1.3157894736842106</v>
      </c>
      <c r="U34" s="9">
        <v>14</v>
      </c>
      <c r="V34" s="58">
        <v>72.605719339869523</v>
      </c>
      <c r="X34" s="3">
        <v>8</v>
      </c>
      <c r="Y34" s="3">
        <v>76.895183859835683</v>
      </c>
      <c r="Z34" s="3">
        <v>-3.3367763810919655</v>
      </c>
      <c r="AA34" s="3">
        <v>-0.66142978219909254</v>
      </c>
      <c r="AC34" s="3"/>
      <c r="AD34" s="3"/>
      <c r="AI34" s="10">
        <v>511.6</v>
      </c>
      <c r="AJ34" s="50">
        <v>1.3157894736842106</v>
      </c>
      <c r="AK34" s="58">
        <v>72.605719339869523</v>
      </c>
      <c r="AM34" s="3">
        <v>9</v>
      </c>
      <c r="AN34" s="3">
        <v>72.399029887926375</v>
      </c>
      <c r="AO34" s="3">
        <v>-14.357018968241505</v>
      </c>
      <c r="AP34" s="3">
        <v>-2.81370316995568</v>
      </c>
      <c r="AX34" s="71">
        <v>71.410591380483908</v>
      </c>
      <c r="AY34" s="58">
        <v>72.605719339869523</v>
      </c>
      <c r="BA34" s="102"/>
      <c r="BB34" s="102"/>
      <c r="BC34" s="91"/>
      <c r="BD34" s="91"/>
      <c r="BE34" s="92"/>
      <c r="BF34" s="117"/>
      <c r="BG34" s="118"/>
      <c r="BH34" s="104"/>
      <c r="BJ34" s="122"/>
      <c r="BK34" s="122"/>
      <c r="BP34" s="15"/>
    </row>
    <row r="35" spans="3:68">
      <c r="C35" s="10">
        <v>511.6</v>
      </c>
      <c r="D35" s="50">
        <v>1.3157894736842106</v>
      </c>
      <c r="E35" s="9">
        <v>14</v>
      </c>
      <c r="F35" s="58">
        <v>72.605719339869523</v>
      </c>
      <c r="G35" s="2"/>
      <c r="H35" s="3">
        <v>9</v>
      </c>
      <c r="I35" s="3">
        <v>73.155685930619256</v>
      </c>
      <c r="J35" s="3">
        <v>-15.113675010934386</v>
      </c>
      <c r="K35" s="3">
        <v>-2.3169854207047784</v>
      </c>
      <c r="R35" s="58"/>
      <c r="S35" s="10">
        <v>274</v>
      </c>
      <c r="T35" s="50">
        <v>2.2727272727272729</v>
      </c>
      <c r="U35" s="9">
        <v>14.9</v>
      </c>
      <c r="V35" s="58">
        <v>61.003669859415808</v>
      </c>
      <c r="X35" s="3">
        <v>9</v>
      </c>
      <c r="Y35" s="3">
        <v>71.118397059906968</v>
      </c>
      <c r="Z35" s="3">
        <v>-13.076386140222098</v>
      </c>
      <c r="AA35" s="3">
        <v>-2.5920559992239873</v>
      </c>
      <c r="AC35" s="3"/>
      <c r="AD35" s="3"/>
      <c r="AI35" s="10">
        <v>274</v>
      </c>
      <c r="AJ35" s="50">
        <v>2.2727272727272729</v>
      </c>
      <c r="AK35" s="58">
        <v>61.003669859415808</v>
      </c>
      <c r="AM35" s="3">
        <v>10</v>
      </c>
      <c r="AN35" s="3">
        <v>74.449292147132141</v>
      </c>
      <c r="AO35" s="3">
        <v>1.2935193003964969</v>
      </c>
      <c r="AP35" s="3">
        <v>0.2535052272324374</v>
      </c>
      <c r="AX35" s="71">
        <v>59.164554925608655</v>
      </c>
      <c r="AY35" s="58">
        <v>61.003669859415808</v>
      </c>
      <c r="BA35" s="102"/>
      <c r="BB35" s="102"/>
      <c r="BC35" s="91"/>
      <c r="BD35" s="91"/>
      <c r="BE35" s="92"/>
      <c r="BF35" s="117"/>
      <c r="BG35" s="118"/>
      <c r="BH35" s="104"/>
      <c r="BJ35" s="122"/>
      <c r="BK35" s="122"/>
      <c r="BP35" s="15"/>
    </row>
    <row r="36" spans="3:68">
      <c r="C36" s="10">
        <v>274</v>
      </c>
      <c r="D36" s="50">
        <v>2.2727272727272729</v>
      </c>
      <c r="E36" s="9">
        <v>14.9</v>
      </c>
      <c r="F36" s="58">
        <v>61.003669859415808</v>
      </c>
      <c r="G36" s="2"/>
      <c r="H36" s="3">
        <v>10</v>
      </c>
      <c r="I36" s="3">
        <v>73.966828073374231</v>
      </c>
      <c r="J36" s="3">
        <v>1.7759833741544071</v>
      </c>
      <c r="K36" s="3">
        <v>0.27226518913188147</v>
      </c>
      <c r="R36" s="58"/>
      <c r="S36" s="10">
        <v>474.2</v>
      </c>
      <c r="T36" s="50">
        <v>0.90909090909090906</v>
      </c>
      <c r="U36" s="9">
        <v>17</v>
      </c>
      <c r="V36" s="58">
        <v>74.238641485174966</v>
      </c>
      <c r="X36" s="3">
        <v>10</v>
      </c>
      <c r="Y36" s="3">
        <v>74.781867523332991</v>
      </c>
      <c r="Z36" s="3">
        <v>0.96094392419564656</v>
      </c>
      <c r="AA36" s="3">
        <v>0.19048232722094122</v>
      </c>
      <c r="AC36" s="3"/>
      <c r="AD36" s="3"/>
      <c r="AI36" s="10">
        <v>474.2</v>
      </c>
      <c r="AJ36" s="50">
        <v>0.90909090909090906</v>
      </c>
      <c r="AK36" s="58">
        <v>74.238641485174966</v>
      </c>
      <c r="AM36" s="3">
        <v>11</v>
      </c>
      <c r="AN36" s="3">
        <v>71.111630700957818</v>
      </c>
      <c r="AO36" s="3">
        <v>8.1563830339028414</v>
      </c>
      <c r="AP36" s="3">
        <v>1.5984962371806422</v>
      </c>
      <c r="AX36" s="71">
        <v>74.167052096958457</v>
      </c>
      <c r="AY36" s="58">
        <v>74.238641485174966</v>
      </c>
      <c r="BA36" s="102"/>
      <c r="BB36" s="102"/>
      <c r="BC36" s="91"/>
      <c r="BD36" s="91"/>
      <c r="BE36" s="92"/>
      <c r="BF36" s="117"/>
      <c r="BG36" s="118"/>
      <c r="BH36" s="104"/>
      <c r="BJ36" s="122"/>
      <c r="BK36" s="122"/>
      <c r="BP36" s="15"/>
    </row>
    <row r="37" spans="3:68">
      <c r="C37" s="10">
        <v>474.2</v>
      </c>
      <c r="D37" s="50">
        <v>0.90909090909090906</v>
      </c>
      <c r="E37" s="9">
        <v>17</v>
      </c>
      <c r="F37" s="58">
        <v>74.238641485174966</v>
      </c>
      <c r="G37" s="2"/>
      <c r="H37" s="3">
        <v>11</v>
      </c>
      <c r="I37" s="3">
        <v>69.058877250718808</v>
      </c>
      <c r="J37" s="3">
        <v>10.209136484141851</v>
      </c>
      <c r="K37" s="3">
        <v>1.5651005049816473</v>
      </c>
      <c r="R37" s="58"/>
      <c r="S37" s="10">
        <v>585</v>
      </c>
      <c r="T37" s="50">
        <v>2.3809523809523809</v>
      </c>
      <c r="U37" s="9">
        <v>10.9</v>
      </c>
      <c r="V37" s="58">
        <v>70.167335057636592</v>
      </c>
      <c r="X37" s="3">
        <v>11</v>
      </c>
      <c r="Y37" s="3">
        <v>71.495295289774376</v>
      </c>
      <c r="Z37" s="3">
        <v>7.7727184450862836</v>
      </c>
      <c r="AA37" s="3">
        <v>1.5407407872342509</v>
      </c>
      <c r="AC37" s="3"/>
      <c r="AD37" s="3"/>
      <c r="AI37" s="10">
        <v>585</v>
      </c>
      <c r="AJ37" s="50">
        <v>2.3809523809523809</v>
      </c>
      <c r="AK37" s="58">
        <v>70.167335057636592</v>
      </c>
      <c r="AM37" s="3">
        <v>12</v>
      </c>
      <c r="AN37" s="3">
        <v>77.862080767096685</v>
      </c>
      <c r="AO37" s="3">
        <v>2.8977212769558776</v>
      </c>
      <c r="AP37" s="3">
        <v>0.56789836111900194</v>
      </c>
      <c r="AX37" s="71">
        <v>63.75692903939462</v>
      </c>
      <c r="AY37" s="58">
        <v>70.167335057636592</v>
      </c>
      <c r="BA37" s="102"/>
      <c r="BB37" s="102"/>
      <c r="BC37" s="91"/>
      <c r="BD37" s="91"/>
      <c r="BE37" s="92"/>
      <c r="BG37" s="104"/>
      <c r="BH37" s="104"/>
      <c r="BJ37" s="122"/>
      <c r="BK37" s="122"/>
      <c r="BP37" s="15"/>
    </row>
    <row r="38" spans="3:68">
      <c r="C38" s="10">
        <v>585</v>
      </c>
      <c r="D38" s="50">
        <v>2.3809523809523809</v>
      </c>
      <c r="E38" s="9">
        <v>10.9</v>
      </c>
      <c r="F38" s="58">
        <v>70.167335057636592</v>
      </c>
      <c r="G38" s="2"/>
      <c r="H38" s="3">
        <v>12</v>
      </c>
      <c r="I38" s="3">
        <v>76.969667665071867</v>
      </c>
      <c r="J38" s="3">
        <v>3.7901343789806958</v>
      </c>
      <c r="K38" s="3">
        <v>0.58104240644693561</v>
      </c>
      <c r="R38" s="58"/>
      <c r="S38" s="10">
        <v>205</v>
      </c>
      <c r="T38" s="50">
        <v>0.87719298245614041</v>
      </c>
      <c r="U38" s="9">
        <v>15.5</v>
      </c>
      <c r="V38" s="58">
        <v>67.231512995827103</v>
      </c>
      <c r="X38" s="3">
        <v>12</v>
      </c>
      <c r="Y38" s="3">
        <v>78.678133189861811</v>
      </c>
      <c r="Z38" s="3">
        <v>2.0816688541907524</v>
      </c>
      <c r="AA38" s="3">
        <v>0.41263711426398864</v>
      </c>
      <c r="AC38" s="3"/>
      <c r="AD38" s="3"/>
      <c r="AI38" s="10">
        <v>205</v>
      </c>
      <c r="AJ38" s="50">
        <v>0.87719298245614041</v>
      </c>
      <c r="AK38" s="58">
        <v>67.231512995827103</v>
      </c>
      <c r="AM38" s="3">
        <v>13</v>
      </c>
      <c r="AN38" s="3">
        <v>58.557309108092412</v>
      </c>
      <c r="AO38" s="3">
        <v>8.9847994025790427</v>
      </c>
      <c r="AP38" s="3">
        <v>1.7608501191211423</v>
      </c>
      <c r="AX38" s="71">
        <v>69.672674935477204</v>
      </c>
      <c r="AY38" s="58">
        <v>67.231512995827103</v>
      </c>
      <c r="BA38" s="102"/>
      <c r="BB38" s="102"/>
      <c r="BC38" s="91"/>
      <c r="BD38" s="91"/>
      <c r="BE38" s="92"/>
      <c r="BG38" s="104"/>
      <c r="BH38" s="104"/>
      <c r="BJ38" s="122"/>
      <c r="BK38" s="122"/>
      <c r="BP38" s="15"/>
    </row>
    <row r="39" spans="3:68">
      <c r="C39" s="10">
        <v>205</v>
      </c>
      <c r="D39" s="50">
        <v>0.87719298245614041</v>
      </c>
      <c r="E39" s="9">
        <v>15.5</v>
      </c>
      <c r="F39" s="58">
        <v>67.231512995827103</v>
      </c>
      <c r="G39" s="2"/>
      <c r="H39" s="3">
        <v>13</v>
      </c>
      <c r="I39" s="3">
        <v>57.267547560127824</v>
      </c>
      <c r="J39" s="3">
        <v>10.274560950543631</v>
      </c>
      <c r="K39" s="3">
        <v>1.5751303312615323</v>
      </c>
      <c r="R39" s="58"/>
      <c r="S39" s="10">
        <v>107</v>
      </c>
      <c r="T39" s="50">
        <v>0.7246376811594204</v>
      </c>
      <c r="U39" s="9">
        <v>13.8</v>
      </c>
      <c r="V39" s="58">
        <v>71.939702118503774</v>
      </c>
      <c r="X39" s="3">
        <v>13</v>
      </c>
      <c r="Y39" s="3">
        <v>58.501520694590702</v>
      </c>
      <c r="Z39" s="3">
        <v>9.0405878160807518</v>
      </c>
      <c r="AA39" s="3">
        <v>1.7920631613273379</v>
      </c>
      <c r="AC39" s="15"/>
      <c r="AD39" s="15"/>
      <c r="AI39" s="10">
        <v>107</v>
      </c>
      <c r="AJ39" s="50">
        <v>0.7246376811594204</v>
      </c>
      <c r="AK39" s="58">
        <v>71.939702118503774</v>
      </c>
      <c r="AM39" s="3">
        <v>14</v>
      </c>
      <c r="AN39" s="3">
        <v>71.192351934742703</v>
      </c>
      <c r="AO39" s="3">
        <v>5.8212235583365413</v>
      </c>
      <c r="AP39" s="3">
        <v>1.1408493096891401</v>
      </c>
      <c r="AX39" s="71">
        <v>69.221095544247333</v>
      </c>
      <c r="AY39" s="58">
        <v>71.939702118503774</v>
      </c>
      <c r="BA39" s="102"/>
      <c r="BB39" s="102"/>
      <c r="BC39" s="91"/>
      <c r="BD39" s="91"/>
      <c r="BE39" s="92"/>
      <c r="BG39" s="104"/>
      <c r="BH39" s="104"/>
      <c r="BJ39" s="122"/>
      <c r="BK39" s="122"/>
      <c r="BP39" s="15"/>
    </row>
    <row r="40" spans="3:68">
      <c r="C40" s="10">
        <v>107</v>
      </c>
      <c r="D40" s="50">
        <v>0.7246376811594204</v>
      </c>
      <c r="E40" s="9">
        <v>13.8</v>
      </c>
      <c r="F40" s="58">
        <v>71.939702118503774</v>
      </c>
      <c r="G40" s="2"/>
      <c r="H40" s="3">
        <v>14</v>
      </c>
      <c r="I40" s="3">
        <v>70.842381708525096</v>
      </c>
      <c r="J40" s="3">
        <v>6.1711937845541485</v>
      </c>
      <c r="K40" s="3">
        <v>0.94606811492315634</v>
      </c>
      <c r="R40" s="58"/>
      <c r="S40" s="10">
        <v>175</v>
      </c>
      <c r="T40" s="50">
        <v>1</v>
      </c>
      <c r="U40" s="9">
        <v>12.6</v>
      </c>
      <c r="V40" s="58">
        <v>69.742433471063322</v>
      </c>
      <c r="X40" s="3">
        <v>14</v>
      </c>
      <c r="Y40" s="3">
        <v>71.09105589379206</v>
      </c>
      <c r="Z40" s="3">
        <v>5.9225195992871846</v>
      </c>
      <c r="AA40" s="3">
        <v>1.173986626980507</v>
      </c>
      <c r="AC40" s="15"/>
      <c r="AD40" s="15"/>
      <c r="AI40" s="10">
        <v>175</v>
      </c>
      <c r="AJ40" s="50">
        <v>1</v>
      </c>
      <c r="AK40" s="58">
        <v>69.742433471063322</v>
      </c>
      <c r="AM40" s="3">
        <v>15</v>
      </c>
      <c r="AN40" s="3">
        <v>70.792978417463928</v>
      </c>
      <c r="AO40" s="3">
        <v>3.4810311781075427</v>
      </c>
      <c r="AP40" s="3">
        <v>0.68221602842636786</v>
      </c>
      <c r="AX40" s="71">
        <v>68.109804315131669</v>
      </c>
      <c r="AY40" s="58">
        <v>69.742433471063322</v>
      </c>
      <c r="BA40" s="102"/>
      <c r="BB40" s="102"/>
      <c r="BC40" s="91"/>
      <c r="BD40" s="91"/>
      <c r="BE40" s="92"/>
      <c r="BP40" s="15"/>
    </row>
    <row r="41" spans="3:68">
      <c r="C41" s="10">
        <v>175</v>
      </c>
      <c r="D41" s="50">
        <v>1</v>
      </c>
      <c r="E41" s="9">
        <v>12.6</v>
      </c>
      <c r="F41" s="58">
        <v>69.742433471063322</v>
      </c>
      <c r="G41" s="2"/>
      <c r="H41" s="3">
        <v>15</v>
      </c>
      <c r="I41" s="3">
        <v>63.018351192515567</v>
      </c>
      <c r="J41" s="3">
        <v>-29.753074962879111</v>
      </c>
      <c r="K41" s="3">
        <v>-4.5612626221122703</v>
      </c>
      <c r="M41">
        <f>NORMDIST(K41,0,1,FALSE)</f>
        <v>1.210978339345947E-5</v>
      </c>
      <c r="R41" s="58"/>
      <c r="S41" s="10">
        <v>145</v>
      </c>
      <c r="T41" s="50">
        <v>0.80645161290322587</v>
      </c>
      <c r="U41" s="9">
        <v>13.5</v>
      </c>
      <c r="V41" s="58">
        <v>66.09446849571539</v>
      </c>
      <c r="X41" s="3">
        <v>15</v>
      </c>
      <c r="Y41" s="3">
        <v>71.419253519327484</v>
      </c>
      <c r="Z41" s="3">
        <v>2.8547560762439872</v>
      </c>
      <c r="AA41" s="3">
        <v>0.56588169960723389</v>
      </c>
      <c r="AC41" s="15"/>
      <c r="AD41" s="15"/>
      <c r="AI41" s="10">
        <v>145</v>
      </c>
      <c r="AJ41" s="50">
        <v>0.80645161290322587</v>
      </c>
      <c r="AK41" s="58">
        <v>66.09446849571539</v>
      </c>
      <c r="AM41" s="3">
        <v>16</v>
      </c>
      <c r="AN41" s="3">
        <v>74.712408037130913</v>
      </c>
      <c r="AO41" s="3">
        <v>4.2764824763431903</v>
      </c>
      <c r="AP41" s="3">
        <v>0.83810938235603394</v>
      </c>
      <c r="AX41" s="71">
        <v>69.205752470845169</v>
      </c>
      <c r="AY41" s="58">
        <v>66.09446849571539</v>
      </c>
      <c r="BA41" s="102"/>
      <c r="BB41" s="102"/>
      <c r="BC41" s="91"/>
      <c r="BD41" s="91"/>
      <c r="BE41" s="92"/>
      <c r="BP41" s="15"/>
    </row>
    <row r="42" spans="3:68">
      <c r="C42" s="10">
        <v>145</v>
      </c>
      <c r="D42" s="50">
        <v>0.80645161290322587</v>
      </c>
      <c r="E42" s="9">
        <v>13.5</v>
      </c>
      <c r="F42" s="58">
        <v>66.09446849571539</v>
      </c>
      <c r="G42" s="2"/>
      <c r="H42" s="3">
        <v>16</v>
      </c>
      <c r="I42" s="3">
        <v>67.99894575444317</v>
      </c>
      <c r="J42" s="3">
        <v>6.2750638411283006</v>
      </c>
      <c r="K42" s="3">
        <v>0.96199180036405507</v>
      </c>
      <c r="M42">
        <f>1/M41</f>
        <v>82577.860190307198</v>
      </c>
      <c r="R42" s="58"/>
      <c r="S42" s="10">
        <v>405</v>
      </c>
      <c r="T42" s="50">
        <v>0.94339622641509424</v>
      </c>
      <c r="U42" s="9">
        <v>15.3</v>
      </c>
      <c r="V42" s="58">
        <v>74.706231215871853</v>
      </c>
      <c r="X42" s="3">
        <v>16</v>
      </c>
      <c r="Y42" s="3">
        <v>73.795788733149848</v>
      </c>
      <c r="Z42" s="3">
        <v>5.1931017803242554</v>
      </c>
      <c r="AA42" s="3">
        <v>1.0293983735204708</v>
      </c>
      <c r="AC42" s="15"/>
      <c r="AD42" s="15"/>
      <c r="AI42" s="10">
        <v>405</v>
      </c>
      <c r="AJ42" s="50">
        <v>0.94339622641509424</v>
      </c>
      <c r="AK42" s="58">
        <v>74.706231215871853</v>
      </c>
      <c r="AM42" s="3">
        <v>17</v>
      </c>
      <c r="AN42" s="3">
        <v>71.407420692241459</v>
      </c>
      <c r="AO42" s="3">
        <v>-4.6540144277071533</v>
      </c>
      <c r="AP42" s="3">
        <v>-0.91209847791007048</v>
      </c>
      <c r="AX42" s="71">
        <v>72.654502697043213</v>
      </c>
      <c r="AY42" s="58">
        <v>74.706231215871853</v>
      </c>
      <c r="BA42" s="103"/>
      <c r="BB42" s="104"/>
      <c r="BC42" s="91"/>
      <c r="BD42" s="91"/>
      <c r="BE42" s="92"/>
      <c r="BP42" s="15"/>
    </row>
    <row r="43" spans="3:68">
      <c r="C43" s="10">
        <v>405</v>
      </c>
      <c r="D43" s="50">
        <v>0.94339622641509424</v>
      </c>
      <c r="E43" s="9">
        <v>15.3</v>
      </c>
      <c r="F43" s="58">
        <v>74.706231215871853</v>
      </c>
      <c r="G43" s="2"/>
      <c r="H43" s="3">
        <v>17</v>
      </c>
      <c r="I43" s="3">
        <v>76.488383739882593</v>
      </c>
      <c r="J43" s="3">
        <v>2.5005067735915105</v>
      </c>
      <c r="K43" s="3">
        <v>0.38333745661419311</v>
      </c>
      <c r="R43" s="58"/>
      <c r="S43" s="10">
        <v>161</v>
      </c>
      <c r="T43" s="50">
        <v>0.68965517241379315</v>
      </c>
      <c r="U43" s="9">
        <v>13.8</v>
      </c>
      <c r="V43" s="58">
        <v>67.990201064816347</v>
      </c>
      <c r="X43" s="3">
        <v>17</v>
      </c>
      <c r="Y43" s="3">
        <v>71.986111174217214</v>
      </c>
      <c r="Z43" s="3">
        <v>-5.2327049096829086</v>
      </c>
      <c r="AA43" s="3">
        <v>-1.0372486716029345</v>
      </c>
      <c r="AC43" s="15"/>
      <c r="AD43" s="15"/>
      <c r="AI43" s="10">
        <v>161</v>
      </c>
      <c r="AJ43" s="50">
        <v>0.68965517241379315</v>
      </c>
      <c r="AK43" s="58">
        <v>67.990201064816347</v>
      </c>
      <c r="AM43" s="3">
        <v>18</v>
      </c>
      <c r="AN43" s="3">
        <v>71.281891047324862</v>
      </c>
      <c r="AO43" s="3">
        <v>4.2065806147021902</v>
      </c>
      <c r="AP43" s="3">
        <v>0.82440994446296167</v>
      </c>
      <c r="AX43" s="71">
        <v>70.470430562553076</v>
      </c>
      <c r="AY43" s="58">
        <v>67.990201064816347</v>
      </c>
      <c r="BA43" s="103"/>
      <c r="BB43" s="104"/>
      <c r="BC43" s="91"/>
      <c r="BD43" s="91"/>
      <c r="BE43" s="92"/>
      <c r="BP43" s="15"/>
    </row>
    <row r="44" spans="3:68">
      <c r="C44" s="10">
        <v>161</v>
      </c>
      <c r="D44" s="50">
        <v>0.68965517241379315</v>
      </c>
      <c r="E44" s="9">
        <v>13.8</v>
      </c>
      <c r="F44" s="58">
        <v>67.990201064816347</v>
      </c>
      <c r="G44" s="2"/>
      <c r="H44" s="3">
        <v>18</v>
      </c>
      <c r="I44" s="3">
        <v>71.268077207139896</v>
      </c>
      <c r="J44" s="3">
        <v>-4.5146709426055907</v>
      </c>
      <c r="K44" s="3">
        <v>-0.69211669205066162</v>
      </c>
      <c r="R44" s="58"/>
      <c r="S44" s="10">
        <v>394</v>
      </c>
      <c r="T44" s="50">
        <v>1.0101010101010102</v>
      </c>
      <c r="U44" s="9">
        <v>17.2</v>
      </c>
      <c r="V44" s="58">
        <v>67.100763312446361</v>
      </c>
      <c r="X44" s="3">
        <v>18</v>
      </c>
      <c r="Y44" s="3">
        <v>72.216952970535445</v>
      </c>
      <c r="Z44" s="3">
        <v>3.2715186914916075</v>
      </c>
      <c r="AA44" s="3">
        <v>0.64849412979404419</v>
      </c>
      <c r="AC44" s="15"/>
      <c r="AD44" s="15"/>
      <c r="AI44" s="10">
        <v>394</v>
      </c>
      <c r="AJ44" s="50">
        <v>1.0101010101010102</v>
      </c>
      <c r="AK44" s="58">
        <v>67.100763312446361</v>
      </c>
      <c r="AM44" s="3">
        <v>19</v>
      </c>
      <c r="AN44" s="3">
        <v>69.863719185087277</v>
      </c>
      <c r="AO44" s="3">
        <v>-3.238092941276804</v>
      </c>
      <c r="AP44" s="3">
        <v>-0.63460474584840676</v>
      </c>
      <c r="AX44" s="71">
        <v>71.899277357438592</v>
      </c>
      <c r="AY44" s="58">
        <v>67.100763312446361</v>
      </c>
      <c r="BA44" s="103"/>
      <c r="BB44" s="104"/>
      <c r="BC44" s="91"/>
      <c r="BD44" s="91"/>
      <c r="BE44" s="92"/>
      <c r="BP44" s="15"/>
    </row>
    <row r="45" spans="3:68">
      <c r="C45" s="10">
        <v>394</v>
      </c>
      <c r="D45" s="50">
        <v>1.0101010101010102</v>
      </c>
      <c r="E45" s="9">
        <v>17.2</v>
      </c>
      <c r="F45" s="58">
        <v>67.100763312446361</v>
      </c>
      <c r="G45" s="2"/>
      <c r="H45" s="3">
        <v>19</v>
      </c>
      <c r="I45" s="3">
        <v>68.727706495258346</v>
      </c>
      <c r="J45" s="3">
        <v>6.7607651667687065</v>
      </c>
      <c r="K45" s="3">
        <v>1.0364517109755795</v>
      </c>
      <c r="R45" s="58"/>
      <c r="S45" s="10">
        <v>140</v>
      </c>
      <c r="T45" s="50">
        <v>0.76923076923076916</v>
      </c>
      <c r="U45" s="9">
        <v>14</v>
      </c>
      <c r="V45" s="58">
        <v>68.982305741106487</v>
      </c>
      <c r="X45" s="3">
        <v>19</v>
      </c>
      <c r="Y45" s="3">
        <v>70.174288132911528</v>
      </c>
      <c r="Z45" s="3">
        <v>-3.5486618891010551</v>
      </c>
      <c r="AA45" s="3">
        <v>-0.70343061456165346</v>
      </c>
      <c r="AC45" s="15"/>
      <c r="AD45" s="15"/>
      <c r="AI45" s="10">
        <v>140</v>
      </c>
      <c r="AJ45" s="50">
        <v>0.76923076923076916</v>
      </c>
      <c r="AK45" s="58">
        <v>68.982305741106487</v>
      </c>
      <c r="AM45" s="3">
        <v>20</v>
      </c>
      <c r="AN45" s="3">
        <v>73.332067623207294</v>
      </c>
      <c r="AO45" s="3">
        <v>-0.31295441777389499</v>
      </c>
      <c r="AP45" s="3">
        <v>-6.1333124884064741E-2</v>
      </c>
      <c r="AX45" s="71">
        <v>69.430120327603902</v>
      </c>
      <c r="AY45" s="58">
        <v>68.982305741106487</v>
      </c>
      <c r="BA45" s="103"/>
      <c r="BB45" s="104"/>
      <c r="BC45" s="91"/>
      <c r="BD45" s="91"/>
      <c r="BE45" s="92"/>
      <c r="BP45" s="15"/>
    </row>
    <row r="46" spans="3:68">
      <c r="C46" s="10">
        <v>140</v>
      </c>
      <c r="D46" s="50">
        <v>0.76923076923076916</v>
      </c>
      <c r="E46" s="9">
        <v>14</v>
      </c>
      <c r="F46" s="58">
        <v>68.982305741106487</v>
      </c>
      <c r="G46" s="2"/>
      <c r="H46" s="3">
        <v>20</v>
      </c>
      <c r="I46" s="3">
        <v>67.604129254113232</v>
      </c>
      <c r="J46" s="3">
        <v>-0.97850301030275944</v>
      </c>
      <c r="K46" s="3">
        <v>-0.15000833399864574</v>
      </c>
      <c r="R46" s="58"/>
      <c r="S46" s="10">
        <v>545</v>
      </c>
      <c r="T46" s="50">
        <v>0.67114093959731547</v>
      </c>
      <c r="U46" s="9">
        <v>11.5</v>
      </c>
      <c r="V46" s="58">
        <v>74.797421096440658</v>
      </c>
      <c r="X46" s="3">
        <v>20</v>
      </c>
      <c r="Y46" s="3">
        <v>73.989782388284965</v>
      </c>
      <c r="Z46" s="3">
        <v>-0.97066918285156589</v>
      </c>
      <c r="AA46" s="3">
        <v>-0.19241010870221312</v>
      </c>
      <c r="AC46" s="15"/>
      <c r="AD46" s="15"/>
      <c r="AI46" s="10">
        <v>545</v>
      </c>
      <c r="AJ46" s="50">
        <v>0.67114093959731547</v>
      </c>
      <c r="AK46" s="58">
        <v>74.797421096440658</v>
      </c>
      <c r="AM46" s="3">
        <v>21</v>
      </c>
      <c r="AN46" s="3">
        <v>75.876710170085715</v>
      </c>
      <c r="AO46" s="3">
        <v>5.4473620592688974</v>
      </c>
      <c r="AP46" s="3">
        <v>1.0675795531068057</v>
      </c>
      <c r="AX46" s="71">
        <v>77.419445149952736</v>
      </c>
      <c r="AY46" s="58">
        <v>74.797421096440658</v>
      </c>
      <c r="BA46" s="103"/>
      <c r="BB46" s="104"/>
      <c r="BC46" s="91"/>
      <c r="BD46" s="91"/>
      <c r="BE46" s="92"/>
      <c r="BP46" s="15"/>
    </row>
    <row r="47" spans="3:68">
      <c r="C47" s="10">
        <v>545</v>
      </c>
      <c r="D47" s="50">
        <v>0.67114093959731547</v>
      </c>
      <c r="E47" s="9">
        <v>11.5</v>
      </c>
      <c r="F47" s="58">
        <v>74.797421096440658</v>
      </c>
      <c r="G47" s="2"/>
      <c r="H47" s="3">
        <v>21</v>
      </c>
      <c r="I47" s="3">
        <v>72.260496074995743</v>
      </c>
      <c r="J47" s="3">
        <v>0.75861713043765633</v>
      </c>
      <c r="K47" s="3">
        <v>0.1162989696317598</v>
      </c>
      <c r="R47" s="58"/>
      <c r="S47" s="10">
        <v>495</v>
      </c>
      <c r="T47" s="50">
        <v>1.0416666666666667</v>
      </c>
      <c r="U47" s="9">
        <v>13.7</v>
      </c>
      <c r="V47" s="58">
        <v>78.018826788969349</v>
      </c>
      <c r="X47" s="3">
        <v>21</v>
      </c>
      <c r="Y47" s="3">
        <v>76.520796303676065</v>
      </c>
      <c r="Z47" s="3">
        <v>4.8032759256785482</v>
      </c>
      <c r="AA47" s="3">
        <v>0.9521254607790105</v>
      </c>
      <c r="AC47" s="15"/>
      <c r="AD47" s="15"/>
      <c r="AI47" s="10">
        <v>495</v>
      </c>
      <c r="AJ47" s="50">
        <v>1.0416666666666667</v>
      </c>
      <c r="AK47" s="58">
        <v>78.018826788969349</v>
      </c>
      <c r="AM47" s="3">
        <v>22</v>
      </c>
      <c r="AN47" s="3">
        <v>69.650332750735373</v>
      </c>
      <c r="AO47" s="3">
        <v>-4.4712175186579515</v>
      </c>
      <c r="AP47" s="3">
        <v>-0.87627375387873929</v>
      </c>
      <c r="AX47" s="71">
        <v>73.420791481872897</v>
      </c>
      <c r="AY47" s="58">
        <v>78.018826788969349</v>
      </c>
      <c r="BA47" s="103"/>
      <c r="BB47" s="104"/>
      <c r="BC47" s="91"/>
      <c r="BD47" s="91"/>
      <c r="BE47" s="92"/>
      <c r="BP47" s="15"/>
    </row>
    <row r="48" spans="3:68">
      <c r="C48" s="10">
        <v>495</v>
      </c>
      <c r="D48" s="50">
        <v>1.0416666666666667</v>
      </c>
      <c r="E48" s="9">
        <v>13.7</v>
      </c>
      <c r="F48" s="58">
        <v>78.018826788969349</v>
      </c>
      <c r="G48" s="2"/>
      <c r="H48" s="3">
        <v>22</v>
      </c>
      <c r="I48" s="3">
        <v>75.366086824032024</v>
      </c>
      <c r="J48" s="3">
        <v>5.9579854053225887</v>
      </c>
      <c r="K48" s="3">
        <v>0.91338243748902981</v>
      </c>
      <c r="R48" s="58"/>
      <c r="S48" s="10">
        <v>505</v>
      </c>
      <c r="T48" s="50">
        <v>0.87719298245614041</v>
      </c>
      <c r="U48" s="9">
        <v>15</v>
      </c>
      <c r="V48" s="58">
        <v>71.118013828277427</v>
      </c>
      <c r="X48" s="3">
        <v>22</v>
      </c>
      <c r="Y48" s="3">
        <v>69.722633537966686</v>
      </c>
      <c r="Z48" s="3">
        <v>-4.5435183058892648</v>
      </c>
      <c r="AA48" s="3">
        <v>-0.90063521802394908</v>
      </c>
      <c r="AI48" s="10">
        <v>505</v>
      </c>
      <c r="AJ48" s="50">
        <v>0.87719298245614041</v>
      </c>
      <c r="AK48" s="58">
        <v>71.118013828277427</v>
      </c>
      <c r="AM48" s="3">
        <v>23</v>
      </c>
      <c r="AN48" s="3">
        <v>45.742215447050675</v>
      </c>
      <c r="AO48" s="3">
        <v>-3.5763079149798926</v>
      </c>
      <c r="AP48" s="3">
        <v>-0.70088846015845463</v>
      </c>
      <c r="AX48" s="71">
        <v>74.980027392871577</v>
      </c>
      <c r="AY48" s="58">
        <v>71.118013828277427</v>
      </c>
      <c r="BA48" s="103"/>
      <c r="BB48" s="104"/>
      <c r="BC48" s="91"/>
      <c r="BD48" s="91"/>
      <c r="BE48" s="92"/>
      <c r="BP48" s="15"/>
    </row>
    <row r="49" spans="3:68">
      <c r="C49" s="10">
        <v>505</v>
      </c>
      <c r="D49" s="50">
        <v>0.87719298245614041</v>
      </c>
      <c r="E49" s="9">
        <v>15</v>
      </c>
      <c r="F49" s="58">
        <v>71.118013828277427</v>
      </c>
      <c r="G49" s="2"/>
      <c r="H49" s="3">
        <v>23</v>
      </c>
      <c r="I49" s="3">
        <v>68.153273736802078</v>
      </c>
      <c r="J49" s="3">
        <v>-2.9741585047246559</v>
      </c>
      <c r="K49" s="3">
        <v>-0.45595011731604773</v>
      </c>
      <c r="R49" s="58"/>
      <c r="S49" s="10">
        <v>194.7</v>
      </c>
      <c r="T49" s="50">
        <v>4</v>
      </c>
      <c r="U49" s="9">
        <v>18.7</v>
      </c>
      <c r="V49" s="58">
        <v>53.72259788666959</v>
      </c>
      <c r="X49" s="3">
        <v>23</v>
      </c>
      <c r="Y49" s="3">
        <v>46.471021962399</v>
      </c>
      <c r="Z49" s="3">
        <v>-4.3051144303282172</v>
      </c>
      <c r="AA49" s="3">
        <v>-0.85337780383781781</v>
      </c>
      <c r="AI49" s="10">
        <v>194.7</v>
      </c>
      <c r="AJ49" s="50">
        <v>4</v>
      </c>
      <c r="AK49" s="58">
        <v>53.72259788666959</v>
      </c>
      <c r="AM49" s="3">
        <v>24</v>
      </c>
      <c r="AN49" s="3">
        <v>43.145437030991509</v>
      </c>
      <c r="AO49" s="3">
        <v>-1.4238593796061636</v>
      </c>
      <c r="AP49" s="3">
        <v>-0.27904940843438181</v>
      </c>
      <c r="AX49" s="71">
        <v>43.244727737313582</v>
      </c>
      <c r="AY49" s="58">
        <v>53.72259788666959</v>
      </c>
      <c r="BA49" s="103"/>
      <c r="BB49" s="104"/>
      <c r="BC49" s="91"/>
      <c r="BD49" s="91"/>
      <c r="BE49" s="92"/>
      <c r="BP49" s="15"/>
    </row>
    <row r="50" spans="3:68">
      <c r="C50" s="10">
        <v>194.7</v>
      </c>
      <c r="D50" s="50">
        <v>4</v>
      </c>
      <c r="E50" s="9">
        <v>18.7</v>
      </c>
      <c r="F50" s="58">
        <v>53.72259788666959</v>
      </c>
      <c r="G50" s="2"/>
      <c r="H50" s="3">
        <v>24</v>
      </c>
      <c r="I50" s="3">
        <v>46.594142860471422</v>
      </c>
      <c r="J50" s="3">
        <v>-4.428235328400639</v>
      </c>
      <c r="K50" s="3">
        <v>-0.67886577473256093</v>
      </c>
      <c r="R50" s="58"/>
      <c r="S50" s="10">
        <v>414</v>
      </c>
      <c r="T50" s="50">
        <v>0.98039215686274506</v>
      </c>
      <c r="U50" s="9">
        <v>19.100000000000001</v>
      </c>
      <c r="V50" s="58">
        <v>73.048804150749646</v>
      </c>
      <c r="X50" s="3">
        <v>24</v>
      </c>
      <c r="Y50" s="3">
        <v>42.87800461939328</v>
      </c>
      <c r="Z50" s="3">
        <v>-1.1564269680079349</v>
      </c>
      <c r="AA50" s="3">
        <v>-0.22923179446874775</v>
      </c>
      <c r="AI50" s="10">
        <v>414</v>
      </c>
      <c r="AJ50" s="50">
        <v>0.98039215686274506</v>
      </c>
      <c r="AK50" s="58">
        <v>73.048804150749646</v>
      </c>
      <c r="AM50" s="3">
        <v>25</v>
      </c>
      <c r="AN50" s="3">
        <v>65.758580591806037</v>
      </c>
      <c r="AO50" s="3">
        <v>4.7955623109571661</v>
      </c>
      <c r="AP50" s="3">
        <v>0.93983917593952082</v>
      </c>
      <c r="AX50" s="71">
        <v>72.50278982986579</v>
      </c>
      <c r="AY50" s="58">
        <v>73.048804150749646</v>
      </c>
      <c r="BA50" s="103"/>
      <c r="BB50" s="104"/>
      <c r="BC50" s="91"/>
      <c r="BD50" s="91"/>
      <c r="BE50" s="92"/>
      <c r="BP50" s="15"/>
    </row>
    <row r="51" spans="3:68">
      <c r="C51" s="10">
        <v>414</v>
      </c>
      <c r="D51" s="50">
        <v>0.98039215686274506</v>
      </c>
      <c r="E51" s="9">
        <v>19.100000000000001</v>
      </c>
      <c r="F51" s="58">
        <v>73.048804150749646</v>
      </c>
      <c r="G51" s="2"/>
      <c r="H51" s="3">
        <v>25</v>
      </c>
      <c r="I51" s="3">
        <v>42.518504764208849</v>
      </c>
      <c r="J51" s="3">
        <v>-0.79692711282350359</v>
      </c>
      <c r="K51" s="3">
        <v>-0.12217203958934765</v>
      </c>
      <c r="R51" s="58"/>
      <c r="S51" s="10">
        <v>606</v>
      </c>
      <c r="T51" s="50">
        <v>4.3478260869565215</v>
      </c>
      <c r="U51" s="9">
        <v>11</v>
      </c>
      <c r="V51" s="58">
        <v>46.573858037575839</v>
      </c>
      <c r="X51" s="3">
        <v>25</v>
      </c>
      <c r="Y51" s="3">
        <v>66.301289653381275</v>
      </c>
      <c r="Z51" s="3">
        <v>4.2528532493819284</v>
      </c>
      <c r="AA51" s="3">
        <v>0.84301837378231648</v>
      </c>
      <c r="AI51" s="10">
        <v>606</v>
      </c>
      <c r="AJ51" s="50">
        <v>4.3478260869565215</v>
      </c>
      <c r="AK51" s="58">
        <v>46.573858037575839</v>
      </c>
      <c r="AM51" s="3">
        <v>26</v>
      </c>
      <c r="AN51" s="3">
        <v>74.995232957585301</v>
      </c>
      <c r="AO51" s="3">
        <v>-4.7706173404165497E-2</v>
      </c>
      <c r="AP51" s="3">
        <v>-9.3495043525875406E-3</v>
      </c>
      <c r="AX51" s="71">
        <v>47.597792858138028</v>
      </c>
      <c r="AY51" s="58">
        <v>46.573858037575839</v>
      </c>
      <c r="BA51" s="103"/>
      <c r="BB51" s="104"/>
      <c r="BC51" s="91"/>
      <c r="BD51" s="91"/>
      <c r="BE51" s="92"/>
      <c r="BP51" s="15"/>
    </row>
    <row r="52" spans="3:68">
      <c r="C52" s="10">
        <v>606</v>
      </c>
      <c r="D52" s="50">
        <v>4.3478260869565215</v>
      </c>
      <c r="E52" s="9">
        <v>11</v>
      </c>
      <c r="F52" s="58">
        <v>46.573858037575839</v>
      </c>
      <c r="G52" s="2"/>
      <c r="H52" s="3">
        <v>26</v>
      </c>
      <c r="I52" s="3">
        <v>63.655019055347296</v>
      </c>
      <c r="J52" s="3">
        <v>6.8991238474159076</v>
      </c>
      <c r="K52" s="3">
        <v>1.0576626372165887</v>
      </c>
      <c r="R52" s="58"/>
      <c r="S52" s="10">
        <v>445</v>
      </c>
      <c r="T52" s="50">
        <v>1.1904761904761905</v>
      </c>
      <c r="U52" s="9">
        <v>14.3</v>
      </c>
      <c r="V52" s="58">
        <v>77.56901241553328</v>
      </c>
      <c r="X52" s="3">
        <v>26</v>
      </c>
      <c r="Y52" s="3">
        <v>75.401315485552203</v>
      </c>
      <c r="Z52" s="3">
        <v>-0.4537887013710673</v>
      </c>
      <c r="AA52" s="3">
        <v>-8.9951895971539367E-2</v>
      </c>
      <c r="AI52" s="10">
        <v>445</v>
      </c>
      <c r="AJ52" s="50">
        <v>1.1904761904761905</v>
      </c>
      <c r="AK52" s="58">
        <v>77.56901241553328</v>
      </c>
      <c r="AM52" s="3">
        <v>27</v>
      </c>
      <c r="AN52" s="3">
        <v>71.121421122211558</v>
      </c>
      <c r="AO52" s="3">
        <v>-9.8471082101901288</v>
      </c>
      <c r="AP52" s="3">
        <v>-1.9298462756925781</v>
      </c>
      <c r="AX52" s="71">
        <v>71.285558496785328</v>
      </c>
      <c r="AY52" s="58">
        <v>77.56901241553328</v>
      </c>
      <c r="BA52" s="103"/>
      <c r="BB52" s="104"/>
      <c r="BC52" s="91"/>
      <c r="BD52" s="91"/>
      <c r="BE52" s="92"/>
      <c r="BP52" s="15"/>
    </row>
    <row r="53" spans="3:68">
      <c r="C53" s="10">
        <v>445</v>
      </c>
      <c r="D53" s="50">
        <v>1.1904761904761905</v>
      </c>
      <c r="E53" s="9">
        <v>14.3</v>
      </c>
      <c r="F53" s="58">
        <v>77.56901241553328</v>
      </c>
      <c r="G53" s="2"/>
      <c r="H53" s="3">
        <v>27</v>
      </c>
      <c r="I53" s="3">
        <v>74.951157765062007</v>
      </c>
      <c r="J53" s="3">
        <v>-3.6309808808709931E-3</v>
      </c>
      <c r="K53" s="3">
        <v>-5.5664355345402957E-4</v>
      </c>
      <c r="R53" s="58"/>
      <c r="S53" s="10">
        <v>294</v>
      </c>
      <c r="T53" s="50">
        <v>0.93457943925233644</v>
      </c>
      <c r="U53" s="9">
        <v>15</v>
      </c>
      <c r="V53" s="58">
        <v>74.931543070751815</v>
      </c>
      <c r="X53" s="3">
        <v>27</v>
      </c>
      <c r="Y53" s="3">
        <v>70.35358870747352</v>
      </c>
      <c r="Z53" s="3">
        <v>-9.0792757954520908</v>
      </c>
      <c r="AA53" s="3">
        <v>-1.7997320545484452</v>
      </c>
      <c r="AI53" s="10">
        <v>294</v>
      </c>
      <c r="AJ53" s="50">
        <v>0.93457943925233644</v>
      </c>
      <c r="AK53" s="58">
        <v>74.931543070751815</v>
      </c>
      <c r="AM53" s="3">
        <v>28</v>
      </c>
      <c r="AN53" s="3">
        <v>62.543569323483069</v>
      </c>
      <c r="AO53" s="3">
        <v>3.129893383417226</v>
      </c>
      <c r="AP53" s="3">
        <v>0.61339968652441068</v>
      </c>
      <c r="AX53" s="71">
        <v>70.764883248021604</v>
      </c>
      <c r="AY53" s="58">
        <v>74.931543070751815</v>
      </c>
      <c r="BA53" s="103"/>
      <c r="BB53" s="104"/>
      <c r="BC53" s="91"/>
      <c r="BD53" s="91"/>
      <c r="BE53" s="92"/>
      <c r="BP53" s="15"/>
    </row>
    <row r="54" spans="3:68">
      <c r="C54" s="10">
        <v>294</v>
      </c>
      <c r="D54" s="50">
        <v>0.93457943925233644</v>
      </c>
      <c r="E54" s="9">
        <v>15</v>
      </c>
      <c r="F54" s="58">
        <v>74.931543070751815</v>
      </c>
      <c r="G54" s="2"/>
      <c r="H54" s="3">
        <v>28</v>
      </c>
      <c r="I54" s="3">
        <v>72.053565609454736</v>
      </c>
      <c r="J54" s="3">
        <v>-10.779252697433307</v>
      </c>
      <c r="K54" s="3">
        <v>-1.6525015476365967</v>
      </c>
      <c r="R54" s="58"/>
      <c r="S54" s="10">
        <v>555</v>
      </c>
      <c r="T54" s="50">
        <v>0.84033613445378152</v>
      </c>
      <c r="U54" s="9">
        <v>14</v>
      </c>
      <c r="V54" s="58">
        <v>76.017104417900612</v>
      </c>
      <c r="X54" s="3">
        <v>28</v>
      </c>
      <c r="Y54" s="3">
        <v>61.611260162393485</v>
      </c>
      <c r="Z54" s="3">
        <v>4.0622025445068104</v>
      </c>
      <c r="AA54" s="3">
        <v>0.80522679298708633</v>
      </c>
      <c r="AI54" s="10">
        <v>555</v>
      </c>
      <c r="AJ54" s="50">
        <v>0.84033613445378152</v>
      </c>
      <c r="AK54" s="58">
        <v>76.017104417900612</v>
      </c>
      <c r="AM54" s="3">
        <v>29</v>
      </c>
      <c r="AN54" s="3">
        <v>71.839389423228553</v>
      </c>
      <c r="AO54" s="3">
        <v>4.4712821723123284</v>
      </c>
      <c r="AP54" s="3">
        <v>0.87628642476763852</v>
      </c>
      <c r="AX54" s="71">
        <v>76.174350653959749</v>
      </c>
      <c r="AY54" s="58">
        <v>76.017104417900612</v>
      </c>
      <c r="BA54" s="103"/>
      <c r="BB54" s="104"/>
      <c r="BC54" s="91"/>
      <c r="BD54" s="91"/>
      <c r="BE54" s="92"/>
      <c r="BP54" s="15"/>
    </row>
    <row r="55" spans="3:68">
      <c r="C55" s="10">
        <v>555</v>
      </c>
      <c r="D55" s="50">
        <v>0.84033613445378152</v>
      </c>
      <c r="E55" s="9">
        <v>14</v>
      </c>
      <c r="F55" s="58">
        <v>76.017104417900612</v>
      </c>
      <c r="G55" s="2"/>
      <c r="H55" s="3">
        <v>29</v>
      </c>
      <c r="I55" s="3">
        <v>64.01741988462102</v>
      </c>
      <c r="J55" s="3">
        <v>1.6560428222792751</v>
      </c>
      <c r="K55" s="3">
        <v>0.2538778339819982</v>
      </c>
      <c r="R55" s="58"/>
      <c r="S55" s="10">
        <v>565</v>
      </c>
      <c r="T55" s="50">
        <v>0.90909090909090906</v>
      </c>
      <c r="U55" s="9">
        <v>12</v>
      </c>
      <c r="V55" s="58">
        <v>74.737355627562778</v>
      </c>
      <c r="X55" s="3">
        <v>29</v>
      </c>
      <c r="Y55" s="3">
        <v>71.489587531106707</v>
      </c>
      <c r="Z55" s="3">
        <v>4.8210840644341744</v>
      </c>
      <c r="AA55" s="3">
        <v>0.95565546458905015</v>
      </c>
      <c r="AI55" s="10">
        <v>565</v>
      </c>
      <c r="AJ55" s="50">
        <v>0.90909090909090906</v>
      </c>
      <c r="AK55" s="58">
        <v>74.737355627562778</v>
      </c>
      <c r="AM55" s="3">
        <v>30</v>
      </c>
      <c r="AN55" s="3">
        <v>59.041242925467756</v>
      </c>
      <c r="AO55" s="3">
        <v>-2.651549718693893</v>
      </c>
      <c r="AP55" s="3">
        <v>-0.5196534089205781</v>
      </c>
      <c r="AX55" s="71">
        <v>75.773410774063152</v>
      </c>
      <c r="AY55" s="58">
        <v>74.737355627562778</v>
      </c>
      <c r="BA55" s="103"/>
      <c r="BB55" s="104"/>
      <c r="BC55" s="91"/>
      <c r="BD55" s="91"/>
      <c r="BE55" s="92"/>
      <c r="BP55" s="15"/>
    </row>
    <row r="56" spans="3:68">
      <c r="C56" s="10">
        <v>565</v>
      </c>
      <c r="D56" s="50">
        <v>0.90909090909090906</v>
      </c>
      <c r="E56" s="9">
        <v>12</v>
      </c>
      <c r="F56" s="58">
        <v>74.737355627562778</v>
      </c>
      <c r="G56" s="2"/>
      <c r="H56" s="3">
        <v>30</v>
      </c>
      <c r="I56" s="3">
        <v>71.008575419092168</v>
      </c>
      <c r="J56" s="3">
        <v>5.302096176448714</v>
      </c>
      <c r="K56" s="3">
        <v>0.81283205647325363</v>
      </c>
      <c r="R56" s="58"/>
      <c r="S56" s="10">
        <v>127</v>
      </c>
      <c r="T56" s="50">
        <v>0.68965517241379315</v>
      </c>
      <c r="U56" s="9">
        <v>14.5</v>
      </c>
      <c r="V56" s="58">
        <v>71.516562482884027</v>
      </c>
      <c r="X56" s="3">
        <v>30</v>
      </c>
      <c r="Y56" s="3">
        <v>57.720394695494129</v>
      </c>
      <c r="Z56" s="3">
        <v>-1.3307014887202655</v>
      </c>
      <c r="AA56" s="3">
        <v>-0.26377721948757554</v>
      </c>
      <c r="AI56" s="10">
        <v>127</v>
      </c>
      <c r="AJ56" s="50">
        <v>0.68965517241379315</v>
      </c>
      <c r="AK56" s="58">
        <v>71.516562482884027</v>
      </c>
      <c r="AM56" s="3">
        <v>31</v>
      </c>
      <c r="AN56" s="3">
        <v>72.413776875246782</v>
      </c>
      <c r="AO56" s="3">
        <v>-4.5470290378400335</v>
      </c>
      <c r="AP56" s="3">
        <v>-0.89113137246332408</v>
      </c>
      <c r="AX56" s="71">
        <v>69.868930617381707</v>
      </c>
      <c r="AY56" s="58">
        <v>71.516562482884027</v>
      </c>
      <c r="BA56" s="90"/>
      <c r="BB56" s="91"/>
      <c r="BC56" s="91"/>
      <c r="BD56" s="91"/>
      <c r="BE56" s="92"/>
      <c r="BP56" s="15"/>
    </row>
    <row r="57" spans="3:68">
      <c r="C57" s="10">
        <v>127</v>
      </c>
      <c r="D57" s="50">
        <v>0.68965517241379315</v>
      </c>
      <c r="E57" s="9">
        <v>14.5</v>
      </c>
      <c r="F57" s="58">
        <v>71.516562482884027</v>
      </c>
      <c r="G57" s="2"/>
      <c r="H57" s="3">
        <v>31</v>
      </c>
      <c r="I57" s="3">
        <v>60.601561594334541</v>
      </c>
      <c r="J57" s="3">
        <v>-4.2118683875606777</v>
      </c>
      <c r="K57" s="3">
        <v>-0.64569587746495449</v>
      </c>
      <c r="R57" s="58"/>
      <c r="S57" s="10">
        <v>340</v>
      </c>
      <c r="T57" s="50">
        <v>1.1904761904761905</v>
      </c>
      <c r="U57" s="9">
        <v>17.100000000000001</v>
      </c>
      <c r="V57" s="58">
        <v>71.397957006175034</v>
      </c>
      <c r="X57" s="3">
        <v>31</v>
      </c>
      <c r="Y57" s="3">
        <v>72.168153561038181</v>
      </c>
      <c r="Z57" s="3">
        <v>-4.3014057236314329</v>
      </c>
      <c r="AA57" s="3">
        <v>-0.85264264847152038</v>
      </c>
      <c r="AI57" s="10">
        <v>340</v>
      </c>
      <c r="AJ57" s="50">
        <v>1.1904761904761905</v>
      </c>
      <c r="AK57" s="58">
        <v>71.397957006175034</v>
      </c>
      <c r="AM57" s="3">
        <v>32</v>
      </c>
      <c r="AN57" s="3">
        <v>70.919765505374556</v>
      </c>
      <c r="AO57" s="3">
        <v>6.2898498246931496</v>
      </c>
      <c r="AP57" s="3">
        <v>1.2326911616842404</v>
      </c>
      <c r="AX57" s="71">
        <v>69.427985136697288</v>
      </c>
      <c r="AY57" s="58">
        <v>71.397957006175034</v>
      </c>
      <c r="BA57" s="90"/>
      <c r="BB57" s="91"/>
      <c r="BC57" s="91"/>
      <c r="BD57" s="91"/>
      <c r="BE57" s="92"/>
      <c r="BP57" s="15"/>
    </row>
    <row r="58" spans="3:68">
      <c r="C58" s="10">
        <v>340</v>
      </c>
      <c r="D58" s="50">
        <v>1.1904761904761905</v>
      </c>
      <c r="E58" s="9">
        <v>17.100000000000001</v>
      </c>
      <c r="F58" s="58">
        <v>71.397957006175034</v>
      </c>
      <c r="G58" s="2"/>
      <c r="H58" s="3">
        <v>32</v>
      </c>
      <c r="I58" s="3">
        <v>72.731286155947032</v>
      </c>
      <c r="J58" s="3">
        <v>-4.8645383185402835</v>
      </c>
      <c r="K58" s="3">
        <v>-0.7457527275373611</v>
      </c>
      <c r="R58" s="58"/>
      <c r="S58" s="10">
        <v>485</v>
      </c>
      <c r="T58" s="50">
        <v>2.9411764705882351</v>
      </c>
      <c r="U58" s="9">
        <v>14.6</v>
      </c>
      <c r="V58" s="58">
        <v>60.866154856609441</v>
      </c>
      <c r="X58" s="3">
        <v>32</v>
      </c>
      <c r="Y58" s="3">
        <v>71.404956431939198</v>
      </c>
      <c r="Z58" s="3">
        <v>5.8046588981285083</v>
      </c>
      <c r="AA58" s="3">
        <v>1.150623785425118</v>
      </c>
      <c r="AI58" s="10">
        <v>485</v>
      </c>
      <c r="AJ58" s="50">
        <v>2.9411764705882351</v>
      </c>
      <c r="AK58" s="58">
        <v>60.866154856609441</v>
      </c>
      <c r="AM58" s="3">
        <v>33</v>
      </c>
      <c r="AN58" s="3">
        <v>71.410591380483908</v>
      </c>
      <c r="AO58" s="3">
        <v>1.1951279593856157</v>
      </c>
      <c r="AP58" s="3">
        <v>0.23422239221557908</v>
      </c>
      <c r="AX58" s="71">
        <v>57.279390877122125</v>
      </c>
      <c r="AY58" s="58">
        <v>60.866154856609441</v>
      </c>
      <c r="BA58" s="90"/>
      <c r="BB58" s="91"/>
      <c r="BC58" s="91"/>
      <c r="BD58" s="91"/>
      <c r="BE58" s="92"/>
      <c r="BP58" s="15"/>
    </row>
    <row r="59" spans="3:68">
      <c r="C59" s="10">
        <v>485</v>
      </c>
      <c r="D59" s="50">
        <v>2.9411764705882351</v>
      </c>
      <c r="E59" s="9">
        <v>14.6</v>
      </c>
      <c r="F59" s="58">
        <v>60.866154856609441</v>
      </c>
      <c r="G59" s="2"/>
      <c r="H59" s="3">
        <v>33</v>
      </c>
      <c r="I59" s="3">
        <v>69.042439231995075</v>
      </c>
      <c r="J59" s="3">
        <v>8.1671760980726305</v>
      </c>
      <c r="K59" s="3">
        <v>1.2520600008847826</v>
      </c>
      <c r="R59" s="58"/>
      <c r="S59" s="10">
        <v>554</v>
      </c>
      <c r="T59" s="50">
        <v>0.71942446043165476</v>
      </c>
      <c r="U59" s="9">
        <v>11.3</v>
      </c>
      <c r="V59" s="58">
        <v>78.728091804254873</v>
      </c>
      <c r="X59" s="3">
        <v>33</v>
      </c>
      <c r="Y59" s="3">
        <v>71.339904247992791</v>
      </c>
      <c r="Z59" s="3">
        <v>1.2658150918767319</v>
      </c>
      <c r="AA59" s="3">
        <v>0.25091516628703792</v>
      </c>
      <c r="AI59" s="10">
        <v>554</v>
      </c>
      <c r="AJ59" s="50">
        <v>0.71942446043165476</v>
      </c>
      <c r="AK59" s="58">
        <v>78.728091804254873</v>
      </c>
      <c r="AM59" s="3">
        <v>34</v>
      </c>
      <c r="AN59" s="3">
        <v>59.164554925608655</v>
      </c>
      <c r="AO59" s="3">
        <v>1.8391149338071529</v>
      </c>
      <c r="AP59" s="3">
        <v>0.36043161401491369</v>
      </c>
      <c r="AX59" s="71">
        <v>77.172865380499104</v>
      </c>
      <c r="AY59" s="58">
        <v>78.728091804254873</v>
      </c>
      <c r="BA59" s="90"/>
      <c r="BB59" s="91"/>
      <c r="BC59" s="91"/>
      <c r="BD59" s="91"/>
      <c r="BE59" s="92"/>
      <c r="BP59" s="15"/>
    </row>
    <row r="60" spans="3:68">
      <c r="C60" s="10">
        <v>554</v>
      </c>
      <c r="D60" s="50">
        <v>0.71942446043165476</v>
      </c>
      <c r="E60" s="9">
        <v>11.3</v>
      </c>
      <c r="F60" s="58">
        <v>78.728091804254873</v>
      </c>
      <c r="G60" s="2"/>
      <c r="H60" s="3">
        <v>34</v>
      </c>
      <c r="I60" s="3">
        <v>71.75504982109166</v>
      </c>
      <c r="J60" s="3">
        <v>0.85066951877786323</v>
      </c>
      <c r="K60" s="3">
        <v>0.13041096036670732</v>
      </c>
      <c r="R60" s="58"/>
      <c r="S60" s="10">
        <v>75</v>
      </c>
      <c r="T60" s="50">
        <v>2.9411764705882351</v>
      </c>
      <c r="U60" s="9">
        <v>17.5</v>
      </c>
      <c r="V60" s="58">
        <v>39.476787100156166</v>
      </c>
      <c r="X60" s="3">
        <v>34</v>
      </c>
      <c r="Y60" s="3">
        <v>59.181108236802956</v>
      </c>
      <c r="Z60" s="3">
        <v>1.8225616226128523</v>
      </c>
      <c r="AA60" s="3">
        <v>0.36127579418275035</v>
      </c>
      <c r="AI60" s="10">
        <v>75</v>
      </c>
      <c r="AJ60" s="50">
        <v>2.9411764705882351</v>
      </c>
      <c r="AK60" s="58">
        <v>39.476787100156166</v>
      </c>
      <c r="AM60" s="3">
        <v>35</v>
      </c>
      <c r="AN60" s="3">
        <v>74.167052096958457</v>
      </c>
      <c r="AO60" s="3">
        <v>7.1589388216509064E-2</v>
      </c>
      <c r="AP60" s="3">
        <v>1.4030161066552615E-2</v>
      </c>
      <c r="AX60" s="71">
        <v>50.026009185349821</v>
      </c>
      <c r="AY60" s="58">
        <v>39.476787100156166</v>
      </c>
      <c r="BA60" s="90"/>
      <c r="BB60" s="91"/>
      <c r="BC60" s="91"/>
      <c r="BD60" s="91"/>
      <c r="BE60" s="92"/>
      <c r="BP60" s="15"/>
    </row>
    <row r="61" spans="3:68">
      <c r="C61" s="10">
        <v>75</v>
      </c>
      <c r="D61" s="50">
        <v>2.9411764705882351</v>
      </c>
      <c r="E61" s="9">
        <v>17.5</v>
      </c>
      <c r="F61" s="58">
        <v>39.476787100156166</v>
      </c>
      <c r="G61" s="2"/>
      <c r="H61" s="3">
        <v>35</v>
      </c>
      <c r="I61" s="3">
        <v>58.489442739281131</v>
      </c>
      <c r="J61" s="3">
        <v>2.5142271201346773</v>
      </c>
      <c r="K61" s="3">
        <v>0.38544083933775541</v>
      </c>
      <c r="R61" s="58"/>
      <c r="S61" s="10">
        <v>376</v>
      </c>
      <c r="T61" s="50">
        <v>1.4925373134328357</v>
      </c>
      <c r="U61" s="9">
        <v>16.2</v>
      </c>
      <c r="V61" s="58">
        <v>69.277418985496027</v>
      </c>
      <c r="X61" s="3">
        <v>35</v>
      </c>
      <c r="Y61" s="3">
        <v>72.839603131021676</v>
      </c>
      <c r="Z61" s="3">
        <v>1.3990383541532907</v>
      </c>
      <c r="AA61" s="3">
        <v>0.27732323901578343</v>
      </c>
      <c r="AI61" s="10">
        <v>376</v>
      </c>
      <c r="AJ61" s="50">
        <v>1.4925373134328357</v>
      </c>
      <c r="AK61" s="58">
        <v>69.277418985496027</v>
      </c>
      <c r="AM61" s="3">
        <v>36</v>
      </c>
      <c r="AN61" s="3">
        <v>63.75692903939462</v>
      </c>
      <c r="AO61" s="3">
        <v>6.4104060182419715</v>
      </c>
      <c r="AP61" s="3">
        <v>1.2563178870299727</v>
      </c>
      <c r="AX61" s="71">
        <v>67.526185387739275</v>
      </c>
      <c r="AY61" s="58">
        <v>69.277418985496027</v>
      </c>
      <c r="BA61" s="90"/>
      <c r="BB61" s="91"/>
      <c r="BC61" s="91"/>
      <c r="BD61" s="91"/>
      <c r="BE61" s="92"/>
      <c r="BP61" s="15"/>
    </row>
    <row r="62" spans="3:68">
      <c r="C62" s="10">
        <v>376</v>
      </c>
      <c r="D62" s="50">
        <v>1.4925373134328357</v>
      </c>
      <c r="E62" s="9">
        <v>16.2</v>
      </c>
      <c r="F62" s="58">
        <v>69.277418985496027</v>
      </c>
      <c r="G62" s="2"/>
      <c r="H62" s="3">
        <v>36</v>
      </c>
      <c r="I62" s="3">
        <v>75.72639212989597</v>
      </c>
      <c r="J62" s="3">
        <v>-1.4877506447210038</v>
      </c>
      <c r="K62" s="3">
        <v>-0.22807798572940122</v>
      </c>
      <c r="R62" s="58"/>
      <c r="S62" s="10">
        <v>505</v>
      </c>
      <c r="T62" s="50">
        <v>0.78125</v>
      </c>
      <c r="U62" s="9">
        <v>12.3</v>
      </c>
      <c r="V62" s="58">
        <v>75.00692360982049</v>
      </c>
      <c r="X62" s="3">
        <v>36</v>
      </c>
      <c r="Y62" s="3">
        <v>64.987466014151337</v>
      </c>
      <c r="Z62" s="3">
        <v>5.1798690434852546</v>
      </c>
      <c r="AA62" s="3">
        <v>1.0267753250312419</v>
      </c>
      <c r="AI62" s="10">
        <v>505</v>
      </c>
      <c r="AJ62" s="50">
        <v>0.78125</v>
      </c>
      <c r="AK62" s="58">
        <v>75.00692360982049</v>
      </c>
      <c r="AM62" s="3">
        <v>37</v>
      </c>
      <c r="AN62" s="3">
        <v>69.672674935477204</v>
      </c>
      <c r="AO62" s="3">
        <v>-2.441161939650101</v>
      </c>
      <c r="AP62" s="3">
        <v>-0.47842139814418227</v>
      </c>
      <c r="AX62" s="71">
        <v>75.786383154282589</v>
      </c>
      <c r="AY62" s="58">
        <v>75.00692360982049</v>
      </c>
      <c r="BA62" s="90"/>
      <c r="BB62" s="91"/>
      <c r="BC62" s="91"/>
      <c r="BD62" s="91"/>
      <c r="BE62" s="92"/>
      <c r="BP62" s="15"/>
    </row>
    <row r="63" spans="3:68">
      <c r="C63" s="10">
        <v>505</v>
      </c>
      <c r="D63" s="50">
        <v>0.78125</v>
      </c>
      <c r="E63" s="9">
        <v>12.3</v>
      </c>
      <c r="F63" s="58">
        <v>75.00692360982049</v>
      </c>
      <c r="G63" s="2"/>
      <c r="H63" s="3">
        <v>37</v>
      </c>
      <c r="I63" s="3">
        <v>63.233332408901163</v>
      </c>
      <c r="J63" s="3">
        <v>6.9340026487354294</v>
      </c>
      <c r="K63" s="3">
        <v>1.0630096937128097</v>
      </c>
      <c r="R63" s="58"/>
      <c r="S63" s="10">
        <v>462.5</v>
      </c>
      <c r="T63" s="50">
        <v>0.83333333333333337</v>
      </c>
      <c r="U63" s="9">
        <v>17.3</v>
      </c>
      <c r="V63" s="58">
        <v>76.726705598199516</v>
      </c>
      <c r="X63" s="3">
        <v>37</v>
      </c>
      <c r="Y63" s="3">
        <v>69.417602934562268</v>
      </c>
      <c r="Z63" s="3">
        <v>-2.1860899387351651</v>
      </c>
      <c r="AA63" s="3">
        <v>-0.43333589875508527</v>
      </c>
      <c r="AI63" s="10">
        <v>462.5</v>
      </c>
      <c r="AJ63" s="50">
        <v>0.83333333333333337</v>
      </c>
      <c r="AK63" s="58">
        <v>76.726705598199516</v>
      </c>
      <c r="AM63" s="3">
        <v>38</v>
      </c>
      <c r="AN63" s="3">
        <v>69.221095544247333</v>
      </c>
      <c r="AO63" s="3">
        <v>2.7186065742564409</v>
      </c>
      <c r="AP63" s="3">
        <v>0.53279527963071416</v>
      </c>
      <c r="AX63" s="71">
        <v>74.596772238052395</v>
      </c>
      <c r="AY63" s="58">
        <v>76.726705598199516</v>
      </c>
      <c r="BA63" s="90"/>
      <c r="BB63" s="91"/>
      <c r="BC63" s="91"/>
      <c r="BD63" s="91"/>
      <c r="BE63" s="92"/>
      <c r="BP63" s="15"/>
    </row>
    <row r="64" spans="3:68">
      <c r="C64" s="10">
        <v>462.5</v>
      </c>
      <c r="D64" s="50">
        <v>0.83333333333333337</v>
      </c>
      <c r="E64" s="9">
        <v>17.3</v>
      </c>
      <c r="F64" s="58">
        <v>76.726705598199516</v>
      </c>
      <c r="G64" s="2"/>
      <c r="H64" s="3">
        <v>38</v>
      </c>
      <c r="I64" s="3">
        <v>68.517674873728609</v>
      </c>
      <c r="J64" s="3">
        <v>-1.286161877901506</v>
      </c>
      <c r="K64" s="3">
        <v>-0.19717364027002673</v>
      </c>
      <c r="R64" s="58"/>
      <c r="S64" s="10">
        <v>455</v>
      </c>
      <c r="T64" s="50">
        <v>3.8461538461538458</v>
      </c>
      <c r="U64" s="9">
        <v>14.1</v>
      </c>
      <c r="V64" s="58">
        <v>56.928478339350121</v>
      </c>
      <c r="X64" s="3">
        <v>38</v>
      </c>
      <c r="Y64" s="3">
        <v>69.835985811684594</v>
      </c>
      <c r="Z64" s="3">
        <v>2.1037163068191802</v>
      </c>
      <c r="AA64" s="3">
        <v>0.41700745261590827</v>
      </c>
      <c r="AI64" s="10">
        <v>455</v>
      </c>
      <c r="AJ64" s="50">
        <v>3.8461538461538458</v>
      </c>
      <c r="AK64" s="58">
        <v>56.928478339350121</v>
      </c>
      <c r="AM64" s="3">
        <v>39</v>
      </c>
      <c r="AN64" s="3">
        <v>68.109804315131669</v>
      </c>
      <c r="AO64" s="3">
        <v>1.632629155931653</v>
      </c>
      <c r="AP64" s="3">
        <v>0.31996432139349706</v>
      </c>
      <c r="AX64" s="71">
        <v>49.142745307847143</v>
      </c>
      <c r="AY64" s="58">
        <v>56.928478339350121</v>
      </c>
      <c r="BA64" s="90"/>
      <c r="BB64" s="91"/>
      <c r="BC64" s="91"/>
      <c r="BD64" s="91"/>
      <c r="BE64" s="92"/>
      <c r="BP64" s="15"/>
    </row>
    <row r="65" spans="3:68">
      <c r="C65" s="10">
        <v>455</v>
      </c>
      <c r="D65" s="50">
        <v>3.8461538461538458</v>
      </c>
      <c r="E65" s="9">
        <v>14.1</v>
      </c>
      <c r="F65" s="58">
        <v>56.928478339350121</v>
      </c>
      <c r="G65" s="2"/>
      <c r="H65" s="3">
        <v>39</v>
      </c>
      <c r="I65" s="3">
        <v>66.443772363576599</v>
      </c>
      <c r="J65" s="3">
        <v>5.4959297549271753</v>
      </c>
      <c r="K65" s="3">
        <v>0.84254750126432598</v>
      </c>
      <c r="R65" s="58"/>
      <c r="S65" s="10">
        <v>375.5</v>
      </c>
      <c r="T65" s="50">
        <v>1.0101010101010102</v>
      </c>
      <c r="U65" s="9">
        <v>15.3</v>
      </c>
      <c r="V65" s="58">
        <v>70.178149844535241</v>
      </c>
      <c r="X65" s="3">
        <v>39</v>
      </c>
      <c r="Y65" s="3">
        <v>69.151919063096145</v>
      </c>
      <c r="Z65" s="3">
        <v>0.59051440796717714</v>
      </c>
      <c r="AA65" s="3">
        <v>0.11705423787474091</v>
      </c>
      <c r="AI65" s="10">
        <v>375.5</v>
      </c>
      <c r="AJ65" s="50">
        <v>1.0101010101010102</v>
      </c>
      <c r="AK65" s="58">
        <v>70.178149844535241</v>
      </c>
      <c r="AM65" s="3">
        <v>40</v>
      </c>
      <c r="AN65" s="3">
        <v>69.205752470845169</v>
      </c>
      <c r="AO65" s="3">
        <v>-3.1112839751297798</v>
      </c>
      <c r="AP65" s="3">
        <v>-0.60975259577352348</v>
      </c>
      <c r="AX65" s="71">
        <v>71.571990622565934</v>
      </c>
      <c r="AY65" s="58">
        <v>70.178149844535241</v>
      </c>
      <c r="BA65" s="90"/>
      <c r="BB65" s="91"/>
      <c r="BC65" s="91"/>
      <c r="BD65" s="91"/>
      <c r="BE65" s="92"/>
      <c r="BP65" s="15"/>
    </row>
    <row r="66" spans="3:68" ht="13" thickBot="1">
      <c r="C66" s="10">
        <v>375.5</v>
      </c>
      <c r="D66" s="50">
        <v>1.0101010101010102</v>
      </c>
      <c r="E66" s="9">
        <v>15.3</v>
      </c>
      <c r="F66" s="58">
        <v>70.178149844535241</v>
      </c>
      <c r="G66" s="2"/>
      <c r="H66" s="3">
        <v>40</v>
      </c>
      <c r="I66" s="3">
        <v>65.249642418730502</v>
      </c>
      <c r="J66" s="3">
        <v>4.4927910523328194</v>
      </c>
      <c r="K66" s="3">
        <v>0.68876241939811644</v>
      </c>
      <c r="R66" s="58"/>
      <c r="S66" s="10">
        <v>429.8</v>
      </c>
      <c r="T66" s="50">
        <v>1.3157894736842106</v>
      </c>
      <c r="U66" s="9">
        <v>15</v>
      </c>
      <c r="V66" s="58">
        <v>69.785891184669595</v>
      </c>
      <c r="X66" s="3">
        <v>40</v>
      </c>
      <c r="Y66" s="3">
        <v>69.894681536707409</v>
      </c>
      <c r="Z66" s="3">
        <v>-3.8002130409920198</v>
      </c>
      <c r="AA66" s="3">
        <v>-0.75329413689716052</v>
      </c>
      <c r="AI66" s="10">
        <v>429.8</v>
      </c>
      <c r="AJ66" s="50">
        <v>1.3157894736842106</v>
      </c>
      <c r="AK66" s="58">
        <v>69.785891184669595</v>
      </c>
      <c r="AM66" s="3">
        <v>41</v>
      </c>
      <c r="AN66" s="3">
        <v>72.654502697043213</v>
      </c>
      <c r="AO66" s="3">
        <v>2.0517285188286394</v>
      </c>
      <c r="AP66" s="3">
        <v>0.40209984050914055</v>
      </c>
      <c r="AX66" s="72">
        <v>69.963453277101053</v>
      </c>
      <c r="AY66" s="58">
        <v>69.785891184669595</v>
      </c>
      <c r="BA66" s="90"/>
      <c r="BB66" s="91"/>
      <c r="BC66" s="91"/>
      <c r="BD66" s="91"/>
      <c r="BE66" s="92"/>
      <c r="BP66" s="15"/>
    </row>
    <row r="67" spans="3:68">
      <c r="C67" s="10">
        <v>429.8</v>
      </c>
      <c r="D67" s="50">
        <v>1.3157894736842106</v>
      </c>
      <c r="E67" s="9">
        <v>15</v>
      </c>
      <c r="F67" s="58">
        <v>69.785891184669595</v>
      </c>
      <c r="G67" s="2"/>
      <c r="H67" s="3">
        <v>41</v>
      </c>
      <c r="I67" s="3">
        <v>66.560498043213741</v>
      </c>
      <c r="J67" s="3">
        <v>-0.46602954749835135</v>
      </c>
      <c r="K67" s="3">
        <v>-7.1444150174601956E-2</v>
      </c>
      <c r="X67" s="3">
        <v>41</v>
      </c>
      <c r="Y67" s="3">
        <v>72.167480741893158</v>
      </c>
      <c r="Z67" s="3">
        <v>2.5387504739786948</v>
      </c>
      <c r="AA67" s="3">
        <v>0.50324174630846807</v>
      </c>
      <c r="AM67" s="3">
        <v>42</v>
      </c>
      <c r="AN67" s="3">
        <v>70.470430562553076</v>
      </c>
      <c r="AO67" s="3">
        <v>-2.4802294977367296</v>
      </c>
      <c r="AP67" s="3">
        <v>-0.4860778978864988</v>
      </c>
      <c r="BA67" s="90"/>
      <c r="BB67" s="91"/>
      <c r="BC67" s="91"/>
      <c r="BD67" s="91"/>
      <c r="BE67" s="92"/>
      <c r="BP67" s="15"/>
    </row>
    <row r="68" spans="3:68">
      <c r="G68" s="2"/>
      <c r="H68" s="3">
        <v>42</v>
      </c>
      <c r="I68" s="3">
        <v>72.837515355423179</v>
      </c>
      <c r="J68" s="3">
        <v>1.868715860448674</v>
      </c>
      <c r="K68" s="3">
        <v>0.28648144153998711</v>
      </c>
      <c r="X68" s="3">
        <v>42</v>
      </c>
      <c r="Y68" s="3">
        <v>70.994835739206778</v>
      </c>
      <c r="Z68" s="3">
        <v>-3.0046346743904309</v>
      </c>
      <c r="AA68" s="3">
        <v>-0.59559126273230778</v>
      </c>
      <c r="AM68" s="3">
        <v>43</v>
      </c>
      <c r="AN68" s="3">
        <v>71.899277357438592</v>
      </c>
      <c r="AO68" s="3">
        <v>-4.7985140449922312</v>
      </c>
      <c r="AP68" s="3">
        <v>-0.94041765977587299</v>
      </c>
      <c r="BA68" s="90"/>
      <c r="BB68" s="91"/>
      <c r="BC68" s="91"/>
      <c r="BD68" s="91"/>
      <c r="BE68" s="92"/>
      <c r="BP68" s="15"/>
    </row>
    <row r="69" spans="3:68">
      <c r="G69" s="2"/>
      <c r="H69" s="3">
        <v>43</v>
      </c>
      <c r="I69" s="3">
        <v>68.071223528137466</v>
      </c>
      <c r="J69" s="3">
        <v>-8.1022463321119176E-2</v>
      </c>
      <c r="K69" s="3">
        <v>-1.2421060141150589E-2</v>
      </c>
      <c r="X69" s="3">
        <v>43</v>
      </c>
      <c r="Y69" s="3">
        <v>70.625339762352226</v>
      </c>
      <c r="Z69" s="3">
        <v>-3.5245764499058652</v>
      </c>
      <c r="AA69" s="3">
        <v>-0.69865629798134044</v>
      </c>
      <c r="AM69" s="3">
        <v>44</v>
      </c>
      <c r="AN69" s="3">
        <v>69.430120327603902</v>
      </c>
      <c r="AO69" s="3">
        <v>-0.44781458649741523</v>
      </c>
      <c r="AP69" s="3">
        <v>-8.7763157823180088E-2</v>
      </c>
      <c r="BA69" s="90"/>
      <c r="BB69" s="91"/>
      <c r="BC69" s="91"/>
      <c r="BD69" s="91"/>
      <c r="BE69" s="92"/>
    </row>
    <row r="70" spans="3:68">
      <c r="G70" s="2"/>
      <c r="H70" s="3">
        <v>44</v>
      </c>
      <c r="I70" s="3">
        <v>73.012274857202129</v>
      </c>
      <c r="J70" s="3">
        <v>-5.9115115447557685</v>
      </c>
      <c r="K70" s="3">
        <v>-0.90625781311413189</v>
      </c>
      <c r="X70" s="3">
        <v>44</v>
      </c>
      <c r="Y70" s="3">
        <v>69.910379579241962</v>
      </c>
      <c r="Z70" s="3">
        <v>-0.92807383813547517</v>
      </c>
      <c r="AA70" s="3">
        <v>-0.18396668116601148</v>
      </c>
      <c r="AM70" s="3">
        <v>45</v>
      </c>
      <c r="AN70" s="3">
        <v>77.419445149952736</v>
      </c>
      <c r="AO70" s="3">
        <v>-2.622024053512078</v>
      </c>
      <c r="AP70" s="3">
        <v>-0.51386693904818381</v>
      </c>
      <c r="BA70" s="90"/>
      <c r="BB70" s="91"/>
      <c r="BC70" s="91"/>
      <c r="BD70" s="91"/>
      <c r="BE70" s="92"/>
    </row>
    <row r="71" spans="3:68">
      <c r="G71" s="2"/>
      <c r="H71" s="3">
        <v>45</v>
      </c>
      <c r="I71" s="3">
        <v>67.002747315268323</v>
      </c>
      <c r="J71" s="3">
        <v>1.9795584258381638</v>
      </c>
      <c r="K71" s="3">
        <v>0.30347403982036297</v>
      </c>
      <c r="X71" s="3">
        <v>45</v>
      </c>
      <c r="Y71" s="3">
        <v>78.302842696439427</v>
      </c>
      <c r="Z71" s="3">
        <v>-3.505421599998769</v>
      </c>
      <c r="AA71" s="3">
        <v>-0.69485934344944555</v>
      </c>
      <c r="AM71" s="3">
        <v>46</v>
      </c>
      <c r="AN71" s="3">
        <v>73.420791481872897</v>
      </c>
      <c r="AO71" s="3">
        <v>4.5980353070964526</v>
      </c>
      <c r="AP71" s="3">
        <v>0.90112763295527332</v>
      </c>
      <c r="BA71" s="90"/>
      <c r="BB71" s="91"/>
      <c r="BC71" s="91"/>
      <c r="BD71" s="91"/>
      <c r="BE71" s="92"/>
    </row>
    <row r="72" spans="3:68">
      <c r="G72" s="2"/>
      <c r="H72" s="3">
        <v>46</v>
      </c>
      <c r="I72" s="3">
        <v>76.555280630170614</v>
      </c>
      <c r="J72" s="3">
        <v>-1.7578595337299561</v>
      </c>
      <c r="K72" s="3">
        <v>-0.26948673359408193</v>
      </c>
      <c r="X72" s="3">
        <v>46</v>
      </c>
      <c r="Y72" s="3">
        <v>73.479984005698824</v>
      </c>
      <c r="Z72" s="3">
        <v>4.5388427832705247</v>
      </c>
      <c r="AA72" s="3">
        <v>0.89970841635845422</v>
      </c>
      <c r="AM72" s="3">
        <v>47</v>
      </c>
      <c r="AN72" s="3">
        <v>74.980027392871577</v>
      </c>
      <c r="AO72" s="3">
        <v>-3.8620135645941502</v>
      </c>
      <c r="AP72" s="3">
        <v>-0.75688134376278315</v>
      </c>
      <c r="BA72" s="90"/>
      <c r="BB72" s="91"/>
      <c r="BC72" s="91"/>
      <c r="BD72" s="91"/>
      <c r="BE72" s="92"/>
    </row>
    <row r="73" spans="3:68">
      <c r="G73" s="2"/>
      <c r="H73" s="3">
        <v>47</v>
      </c>
      <c r="I73" s="3">
        <v>73.430589306054813</v>
      </c>
      <c r="J73" s="3">
        <v>4.5882374829145363</v>
      </c>
      <c r="K73" s="3">
        <v>0.70339473006750386</v>
      </c>
      <c r="X73" s="3">
        <v>47</v>
      </c>
      <c r="Y73" s="3">
        <v>74.453328217912841</v>
      </c>
      <c r="Z73" s="3">
        <v>-3.335314389635414</v>
      </c>
      <c r="AA73" s="3">
        <v>-0.66113998013259401</v>
      </c>
      <c r="AM73" s="3">
        <v>48</v>
      </c>
      <c r="AN73" s="3">
        <v>43.244727737313582</v>
      </c>
      <c r="AO73" s="3">
        <v>10.477870149356008</v>
      </c>
      <c r="AP73" s="3">
        <v>2.0534636416405041</v>
      </c>
      <c r="BA73" s="90"/>
      <c r="BB73" s="91"/>
      <c r="BC73" s="91"/>
      <c r="BD73" s="91"/>
      <c r="BE73" s="92"/>
    </row>
    <row r="74" spans="3:68">
      <c r="G74" s="2"/>
      <c r="H74" s="3">
        <v>48</v>
      </c>
      <c r="I74" s="3">
        <v>75.70597658838058</v>
      </c>
      <c r="J74" s="3">
        <v>-4.587962760103153</v>
      </c>
      <c r="K74" s="3">
        <v>-0.70335261398731497</v>
      </c>
      <c r="X74" s="3">
        <v>48</v>
      </c>
      <c r="Y74" s="3">
        <v>41.925289620975725</v>
      </c>
      <c r="Z74" s="3">
        <v>11.797308265693864</v>
      </c>
      <c r="AA74" s="3">
        <v>2.3385118286409927</v>
      </c>
      <c r="AM74" s="3">
        <v>49</v>
      </c>
      <c r="AN74" s="3">
        <v>72.50278982986579</v>
      </c>
      <c r="AO74" s="3">
        <v>0.54601432088385593</v>
      </c>
      <c r="AP74" s="3">
        <v>0.10700844157903047</v>
      </c>
      <c r="BA74" s="90"/>
      <c r="BB74" s="91"/>
      <c r="BC74" s="91"/>
      <c r="BD74" s="91"/>
      <c r="BE74" s="92"/>
    </row>
    <row r="75" spans="3:68">
      <c r="G75" s="2"/>
      <c r="H75" s="3">
        <v>49</v>
      </c>
      <c r="I75" s="3">
        <v>44.364178509015204</v>
      </c>
      <c r="J75" s="3">
        <v>9.3584193776543856</v>
      </c>
      <c r="K75" s="3">
        <v>1.4346822492331566</v>
      </c>
      <c r="X75" s="3">
        <v>49</v>
      </c>
      <c r="Y75" s="3">
        <v>70.383037401630133</v>
      </c>
      <c r="Z75" s="3">
        <v>2.6657667491195127</v>
      </c>
      <c r="AA75" s="3">
        <v>0.52841944406435959</v>
      </c>
      <c r="AM75" s="3">
        <v>50</v>
      </c>
      <c r="AN75" s="3">
        <v>47.597792858138028</v>
      </c>
      <c r="AO75" s="3">
        <v>-1.0239348205621894</v>
      </c>
      <c r="AP75" s="3">
        <v>-0.20067178686723663</v>
      </c>
      <c r="BA75" s="90"/>
      <c r="BB75" s="91"/>
      <c r="BC75" s="91"/>
      <c r="BD75" s="91"/>
      <c r="BE75" s="92"/>
    </row>
    <row r="76" spans="3:68">
      <c r="G76" s="2"/>
      <c r="H76" s="3">
        <v>50</v>
      </c>
      <c r="I76" s="3">
        <v>74.746372904076935</v>
      </c>
      <c r="J76" s="3">
        <v>-1.697568753327289</v>
      </c>
      <c r="K76" s="3">
        <v>-0.26024392143259051</v>
      </c>
      <c r="X76" s="3">
        <v>50</v>
      </c>
      <c r="Y76" s="3">
        <v>48.930897768135793</v>
      </c>
      <c r="Z76" s="3">
        <v>-2.3570397305599542</v>
      </c>
      <c r="AA76" s="3">
        <v>-0.46722228209631705</v>
      </c>
      <c r="AM76" s="3">
        <v>51</v>
      </c>
      <c r="AN76" s="3">
        <v>71.285558496785328</v>
      </c>
      <c r="AO76" s="3">
        <v>6.2834539187479521</v>
      </c>
      <c r="AP76" s="3">
        <v>1.2314376855362636</v>
      </c>
      <c r="BA76" s="90"/>
      <c r="BB76" s="91"/>
      <c r="BC76" s="91"/>
      <c r="BD76" s="91"/>
      <c r="BE76" s="92"/>
    </row>
    <row r="77" spans="3:68">
      <c r="G77" s="2"/>
      <c r="H77" s="3">
        <v>51</v>
      </c>
      <c r="I77" s="3">
        <v>47.700788985635903</v>
      </c>
      <c r="J77" s="3">
        <v>-1.126930948060064</v>
      </c>
      <c r="K77" s="3">
        <v>-0.17276291669015814</v>
      </c>
      <c r="X77" s="3">
        <v>51</v>
      </c>
      <c r="Y77" s="3">
        <v>71.18310524703837</v>
      </c>
      <c r="Z77" s="3">
        <v>6.38590716849491</v>
      </c>
      <c r="AA77" s="3">
        <v>1.265841250716045</v>
      </c>
      <c r="AM77" s="3">
        <v>52</v>
      </c>
      <c r="AN77" s="3">
        <v>70.764883248021604</v>
      </c>
      <c r="AO77" s="3">
        <v>4.1666598227302103</v>
      </c>
      <c r="AP77" s="3">
        <v>0.81658622707656192</v>
      </c>
      <c r="BA77" s="90"/>
      <c r="BB77" s="91"/>
      <c r="BC77" s="91"/>
      <c r="BD77" s="91"/>
      <c r="BE77" s="92"/>
    </row>
    <row r="78" spans="3:68">
      <c r="G78" s="2"/>
      <c r="H78" s="3">
        <v>52</v>
      </c>
      <c r="I78" s="3">
        <v>71.284306339671488</v>
      </c>
      <c r="J78" s="3">
        <v>6.2847060758617914</v>
      </c>
      <c r="K78" s="3">
        <v>0.96346999261606181</v>
      </c>
      <c r="X78" s="3">
        <v>52</v>
      </c>
      <c r="Y78" s="3">
        <v>70.5845212532478</v>
      </c>
      <c r="Z78" s="3">
        <v>4.3470218175040145</v>
      </c>
      <c r="AA78" s="3">
        <v>0.86168486155055246</v>
      </c>
      <c r="AM78" s="3">
        <v>53</v>
      </c>
      <c r="AN78" s="3">
        <v>76.174350653959749</v>
      </c>
      <c r="AO78" s="3">
        <v>-0.15724623605913735</v>
      </c>
      <c r="AP78" s="3">
        <v>-3.0817277168881944E-2</v>
      </c>
      <c r="BA78" s="90"/>
      <c r="BB78" s="91"/>
      <c r="BC78" s="91"/>
      <c r="BD78" s="91"/>
      <c r="BE78" s="92"/>
    </row>
    <row r="79" spans="3:68">
      <c r="G79" s="2"/>
      <c r="H79" s="3">
        <v>53</v>
      </c>
      <c r="I79" s="3">
        <v>69.99627126134942</v>
      </c>
      <c r="J79" s="3">
        <v>4.9352718094023942</v>
      </c>
      <c r="K79" s="3">
        <v>0.756596448006704</v>
      </c>
      <c r="X79" s="3">
        <v>53</v>
      </c>
      <c r="Y79" s="3">
        <v>75.9901861686198</v>
      </c>
      <c r="Z79" s="3">
        <v>2.6918249280811324E-2</v>
      </c>
      <c r="AA79" s="3">
        <v>5.3358480537917712E-3</v>
      </c>
      <c r="AM79" s="3">
        <v>54</v>
      </c>
      <c r="AN79" s="3">
        <v>75.773410774063152</v>
      </c>
      <c r="AO79" s="3">
        <v>-1.0360551465003738</v>
      </c>
      <c r="AP79" s="3">
        <v>-0.20304714066377358</v>
      </c>
      <c r="BA79" s="90"/>
      <c r="BB79" s="91"/>
      <c r="BC79" s="91"/>
      <c r="BD79" s="91"/>
      <c r="BE79" s="92"/>
    </row>
    <row r="80" spans="3:68">
      <c r="G80" s="2"/>
      <c r="H80" s="3">
        <v>54</v>
      </c>
      <c r="I80" s="3">
        <v>76.726203900682464</v>
      </c>
      <c r="J80" s="3">
        <v>-0.70909948278185198</v>
      </c>
      <c r="K80" s="3">
        <v>-0.10870772080557495</v>
      </c>
      <c r="X80" s="3">
        <v>54</v>
      </c>
      <c r="Y80" s="3">
        <v>76.432791835381266</v>
      </c>
      <c r="Z80" s="3">
        <v>-1.6954362078184886</v>
      </c>
      <c r="AA80" s="3">
        <v>-0.33607646230786803</v>
      </c>
      <c r="AM80" s="3">
        <v>55</v>
      </c>
      <c r="AN80" s="3">
        <v>69.868930617381707</v>
      </c>
      <c r="AO80" s="3">
        <v>1.6476318655023192</v>
      </c>
      <c r="AP80" s="3">
        <v>0.32290456766399972</v>
      </c>
      <c r="BA80" s="90"/>
      <c r="BB80" s="91"/>
      <c r="BC80" s="91"/>
      <c r="BD80" s="91"/>
      <c r="BE80" s="92"/>
    </row>
    <row r="81" spans="7:57">
      <c r="G81" s="2"/>
      <c r="H81" s="3">
        <v>55</v>
      </c>
      <c r="I81" s="3">
        <v>75.365034247983658</v>
      </c>
      <c r="J81" s="3">
        <v>-0.62767862042088041</v>
      </c>
      <c r="K81" s="3">
        <v>-9.6225584535270275E-2</v>
      </c>
      <c r="X81" s="3">
        <v>55</v>
      </c>
      <c r="Y81" s="3">
        <v>70.149594422624034</v>
      </c>
      <c r="Z81" s="3">
        <v>1.3669680602599925</v>
      </c>
      <c r="AA81" s="3">
        <v>0.27096613111214757</v>
      </c>
      <c r="AM81" s="3">
        <v>56</v>
      </c>
      <c r="AN81" s="3">
        <v>69.427985136697288</v>
      </c>
      <c r="AO81" s="3">
        <v>1.9699718694777459</v>
      </c>
      <c r="AP81" s="3">
        <v>0.38607708927140644</v>
      </c>
      <c r="BA81" s="90"/>
      <c r="BB81" s="91"/>
      <c r="BC81" s="91"/>
      <c r="BD81" s="91"/>
      <c r="BE81" s="92"/>
    </row>
    <row r="82" spans="7:57">
      <c r="G82" s="2"/>
      <c r="H82" s="3">
        <v>56</v>
      </c>
      <c r="I82" s="3">
        <v>67.593167180482794</v>
      </c>
      <c r="J82" s="3">
        <v>3.9233953024012322</v>
      </c>
      <c r="K82" s="3">
        <v>0.60147182659072307</v>
      </c>
      <c r="X82" s="3">
        <v>56</v>
      </c>
      <c r="Y82" s="3">
        <v>68.300450852425968</v>
      </c>
      <c r="Z82" s="3">
        <v>3.097506153749066</v>
      </c>
      <c r="AA82" s="3">
        <v>0.61400063613616385</v>
      </c>
      <c r="AM82" s="3">
        <v>57</v>
      </c>
      <c r="AN82" s="3">
        <v>57.279390877122125</v>
      </c>
      <c r="AO82" s="3">
        <v>3.5867639794873156</v>
      </c>
      <c r="AP82" s="3">
        <v>0.70293765030822564</v>
      </c>
      <c r="BA82" s="90"/>
      <c r="BB82" s="91"/>
      <c r="BC82" s="91"/>
      <c r="BD82" s="91"/>
      <c r="BE82" s="92"/>
    </row>
    <row r="83" spans="7:57">
      <c r="G83" s="2"/>
      <c r="H83" s="3">
        <v>57</v>
      </c>
      <c r="I83" s="3">
        <v>70.141906202002559</v>
      </c>
      <c r="J83" s="3">
        <v>1.2560508041724745</v>
      </c>
      <c r="K83" s="3">
        <v>0.19255749503854214</v>
      </c>
      <c r="X83" s="3">
        <v>57</v>
      </c>
      <c r="Y83" s="3">
        <v>57.143750566804506</v>
      </c>
      <c r="Z83" s="3">
        <v>3.7224042898049348</v>
      </c>
      <c r="AA83" s="3">
        <v>0.73787056052492095</v>
      </c>
      <c r="AM83" s="3">
        <v>58</v>
      </c>
      <c r="AN83" s="3">
        <v>77.172865380499104</v>
      </c>
      <c r="AO83" s="3">
        <v>1.5552264237557694</v>
      </c>
      <c r="AP83" s="3">
        <v>0.30479485526906874</v>
      </c>
      <c r="BA83" s="90"/>
      <c r="BB83" s="91"/>
      <c r="BC83" s="91"/>
      <c r="BD83" s="91"/>
      <c r="BE83" s="92"/>
    </row>
    <row r="84" spans="7:57">
      <c r="G84" s="2"/>
      <c r="H84" s="3">
        <v>58</v>
      </c>
      <c r="I84" s="3">
        <v>58.098443201927651</v>
      </c>
      <c r="J84" s="3">
        <v>2.7677116546817899</v>
      </c>
      <c r="K84" s="3">
        <v>0.42430100872044257</v>
      </c>
      <c r="X84" s="3">
        <v>58</v>
      </c>
      <c r="Y84" s="3">
        <v>78.13145686500809</v>
      </c>
      <c r="Z84" s="3">
        <v>0.59663493924678335</v>
      </c>
      <c r="AA84" s="3">
        <v>0.1182674752058826</v>
      </c>
      <c r="AM84" s="3">
        <v>59</v>
      </c>
      <c r="AN84" s="3">
        <v>50.026009185349821</v>
      </c>
      <c r="AO84" s="3">
        <v>-10.549222085193655</v>
      </c>
      <c r="AP84" s="3">
        <v>-2.0674472665484993</v>
      </c>
      <c r="BA84" s="90"/>
      <c r="BB84" s="91"/>
      <c r="BC84" s="91"/>
      <c r="BD84" s="91"/>
      <c r="BE84" s="92"/>
    </row>
    <row r="85" spans="7:57">
      <c r="G85" s="2"/>
      <c r="H85" s="3">
        <v>59</v>
      </c>
      <c r="I85" s="3">
        <v>76.278745501522977</v>
      </c>
      <c r="J85" s="3">
        <v>2.4493463027318967</v>
      </c>
      <c r="K85" s="3">
        <v>0.37549435657318009</v>
      </c>
      <c r="X85" s="3">
        <v>59</v>
      </c>
      <c r="Y85" s="3">
        <v>49.315687774520768</v>
      </c>
      <c r="Z85" s="3">
        <v>-9.8389006743646021</v>
      </c>
      <c r="AA85" s="3">
        <v>-1.9503080778801887</v>
      </c>
      <c r="AM85" s="3">
        <v>60</v>
      </c>
      <c r="AN85" s="3">
        <v>67.526185387739275</v>
      </c>
      <c r="AO85" s="3">
        <v>1.7512335977567517</v>
      </c>
      <c r="AP85" s="3">
        <v>0.34320854045264199</v>
      </c>
      <c r="BA85" s="90"/>
      <c r="BB85" s="91"/>
      <c r="BC85" s="91"/>
      <c r="BD85" s="91"/>
      <c r="BE85" s="92"/>
    </row>
    <row r="86" spans="7:57">
      <c r="G86" s="2"/>
      <c r="H86" s="3">
        <v>60</v>
      </c>
      <c r="I86" s="3">
        <v>49.434279915757777</v>
      </c>
      <c r="J86" s="3">
        <v>-9.9574928156016114</v>
      </c>
      <c r="K86" s="3">
        <v>-1.5265225475491515</v>
      </c>
      <c r="X86" s="3">
        <v>60</v>
      </c>
      <c r="Y86" s="3">
        <v>66.752022919592591</v>
      </c>
      <c r="Z86" s="3">
        <v>2.5253960659034362</v>
      </c>
      <c r="AA86" s="3">
        <v>0.50059457963746523</v>
      </c>
      <c r="AM86" s="3">
        <v>61</v>
      </c>
      <c r="AN86" s="3">
        <v>75.786383154282589</v>
      </c>
      <c r="AO86" s="3">
        <v>-0.77945954446209953</v>
      </c>
      <c r="AP86" s="3">
        <v>-0.15275927377101226</v>
      </c>
      <c r="BA86" s="90"/>
      <c r="BB86" s="91"/>
      <c r="BC86" s="91"/>
      <c r="BD86" s="91"/>
      <c r="BE86" s="92"/>
    </row>
    <row r="87" spans="7:57">
      <c r="G87" s="2"/>
      <c r="H87" s="3">
        <v>61</v>
      </c>
      <c r="I87" s="3">
        <v>68.091458456660675</v>
      </c>
      <c r="J87" s="3">
        <v>1.1859605288353521</v>
      </c>
      <c r="K87" s="3">
        <v>0.18181238202189959</v>
      </c>
      <c r="X87" s="3">
        <v>61</v>
      </c>
      <c r="Y87" s="3">
        <v>76.403098060116932</v>
      </c>
      <c r="Z87" s="3">
        <v>-1.3961744502964422</v>
      </c>
      <c r="AA87" s="3">
        <v>-0.27675554400481162</v>
      </c>
      <c r="AM87" s="3">
        <v>62</v>
      </c>
      <c r="AN87" s="3">
        <v>74.596772238052395</v>
      </c>
      <c r="AO87" s="3">
        <v>2.1299333601471204</v>
      </c>
      <c r="AP87" s="3">
        <v>0.41742650479860366</v>
      </c>
      <c r="BA87" s="90"/>
      <c r="BB87" s="91"/>
      <c r="BC87" s="91"/>
      <c r="BD87" s="91"/>
      <c r="BE87" s="92"/>
    </row>
    <row r="88" spans="7:57">
      <c r="G88" s="2"/>
      <c r="H88" s="3">
        <v>62</v>
      </c>
      <c r="I88" s="3">
        <v>75.078887303190058</v>
      </c>
      <c r="J88" s="3">
        <v>-7.1963693369568205E-2</v>
      </c>
      <c r="K88" s="3">
        <v>-1.103231531951872E-2</v>
      </c>
      <c r="X88" s="3">
        <v>62</v>
      </c>
      <c r="Y88" s="3">
        <v>73.153318845444545</v>
      </c>
      <c r="Z88" s="3">
        <v>3.5733867527549705</v>
      </c>
      <c r="AA88" s="3">
        <v>0.70833168053484274</v>
      </c>
      <c r="AM88" s="3">
        <v>63</v>
      </c>
      <c r="AN88" s="3">
        <v>49.142745307847143</v>
      </c>
      <c r="AO88" s="3">
        <v>7.7857330315029785</v>
      </c>
      <c r="AP88" s="3">
        <v>1.525855872979444</v>
      </c>
      <c r="BA88" s="90"/>
      <c r="BB88" s="91"/>
      <c r="BC88" s="91"/>
      <c r="BD88" s="91"/>
      <c r="BE88" s="92"/>
    </row>
    <row r="89" spans="7:57">
      <c r="G89" s="2"/>
      <c r="H89" s="3">
        <v>63</v>
      </c>
      <c r="I89" s="3">
        <v>76.213181891939001</v>
      </c>
      <c r="J89" s="3">
        <v>0.51352370626051425</v>
      </c>
      <c r="K89" s="3">
        <v>7.8725190248637944E-2</v>
      </c>
      <c r="X89" s="3">
        <v>63</v>
      </c>
      <c r="Y89" s="3">
        <v>49.35141276134393</v>
      </c>
      <c r="Z89" s="3">
        <v>7.5770655780061915</v>
      </c>
      <c r="AA89" s="3">
        <v>1.5019576569074102</v>
      </c>
      <c r="AM89" s="3">
        <v>64</v>
      </c>
      <c r="AN89" s="3">
        <v>71.571990622565934</v>
      </c>
      <c r="AO89" s="3">
        <v>-1.3938407780306932</v>
      </c>
      <c r="AP89" s="3">
        <v>-0.27316633238653543</v>
      </c>
      <c r="BA89" s="90"/>
      <c r="BB89" s="91"/>
      <c r="BC89" s="91"/>
      <c r="BD89" s="91"/>
      <c r="BE89" s="92"/>
    </row>
    <row r="90" spans="7:57" ht="13" thickBot="1">
      <c r="G90" s="2"/>
      <c r="H90" s="3">
        <v>64</v>
      </c>
      <c r="I90" s="3">
        <v>49.681139978484538</v>
      </c>
      <c r="J90" s="3">
        <v>7.2473383608655837</v>
      </c>
      <c r="K90" s="3">
        <v>1.1110452824274326</v>
      </c>
      <c r="X90" s="3">
        <v>64</v>
      </c>
      <c r="Y90" s="3">
        <v>71.138736326635694</v>
      </c>
      <c r="Z90" s="3">
        <v>-0.96058648210045305</v>
      </c>
      <c r="AA90" s="3">
        <v>-0.19041147355255866</v>
      </c>
      <c r="AM90" s="4">
        <v>65</v>
      </c>
      <c r="AN90" s="4">
        <v>69.963453277101053</v>
      </c>
      <c r="AO90" s="4">
        <v>-0.17756209243145804</v>
      </c>
      <c r="AP90" s="4">
        <v>-3.4798799349886944E-2</v>
      </c>
      <c r="BA90" s="90"/>
      <c r="BB90" s="91"/>
      <c r="BC90" s="91"/>
      <c r="BD90" s="91"/>
      <c r="BE90" s="92"/>
    </row>
    <row r="91" spans="7:57" ht="13" thickBot="1">
      <c r="G91" s="2"/>
      <c r="H91" s="3">
        <v>65</v>
      </c>
      <c r="I91" s="3">
        <v>71.558706677967436</v>
      </c>
      <c r="J91" s="3">
        <v>-1.3805568334321947</v>
      </c>
      <c r="K91" s="3">
        <v>-0.2116447557065072</v>
      </c>
      <c r="X91" s="4">
        <v>65</v>
      </c>
      <c r="Y91" s="4">
        <v>69.598282511115485</v>
      </c>
      <c r="Z91" s="4">
        <v>0.18760867355410937</v>
      </c>
      <c r="AA91" s="4">
        <v>3.718857661266068E-2</v>
      </c>
      <c r="BA91" s="90"/>
      <c r="BB91" s="91"/>
      <c r="BC91" s="91"/>
      <c r="BD91" s="91"/>
      <c r="BE91" s="92"/>
    </row>
    <row r="92" spans="7:57" ht="13" thickBot="1">
      <c r="H92" s="4">
        <v>66</v>
      </c>
      <c r="I92" s="4">
        <v>70.246944652386318</v>
      </c>
      <c r="J92" s="4">
        <v>-0.46105346771672373</v>
      </c>
      <c r="K92" s="4">
        <v>-7.0681297705036894E-2</v>
      </c>
      <c r="X92" s="4">
        <v>66</v>
      </c>
      <c r="Y92" s="4">
        <v>70.246944652386318</v>
      </c>
      <c r="Z92" s="4">
        <v>-0.46105346771672373</v>
      </c>
      <c r="AA92" s="4">
        <v>-7.0681297705036894E-2</v>
      </c>
      <c r="BA92" s="90"/>
      <c r="BB92" s="91"/>
      <c r="BC92" s="91"/>
      <c r="BD92" s="91"/>
      <c r="BE92" s="92"/>
    </row>
    <row r="93" spans="7:57">
      <c r="H93" s="9"/>
      <c r="BA93" s="90"/>
      <c r="BB93" s="91"/>
      <c r="BC93" s="91"/>
      <c r="BD93" s="91"/>
      <c r="BE93" s="92"/>
    </row>
    <row r="94" spans="7:57">
      <c r="H94" s="9"/>
      <c r="BA94" s="90"/>
      <c r="BB94" s="91"/>
      <c r="BC94" s="91"/>
      <c r="BD94" s="91"/>
      <c r="BE94" s="92"/>
    </row>
    <row r="95" spans="7:57">
      <c r="H95" s="9"/>
      <c r="BA95" s="90"/>
      <c r="BB95" s="91"/>
      <c r="BC95" s="91"/>
      <c r="BD95" s="91"/>
      <c r="BE95" s="92"/>
    </row>
    <row r="96" spans="7:57">
      <c r="H96" s="9"/>
      <c r="BA96" s="90"/>
      <c r="BB96" s="91"/>
      <c r="BC96" s="91"/>
      <c r="BD96" s="91"/>
      <c r="BE96" s="92"/>
    </row>
    <row r="97" spans="8:57">
      <c r="H97" s="9"/>
      <c r="BA97" s="90"/>
      <c r="BB97" s="91"/>
      <c r="BC97" s="91"/>
      <c r="BD97" s="91"/>
      <c r="BE97" s="92"/>
    </row>
    <row r="98" spans="8:57">
      <c r="H98" s="9"/>
      <c r="BA98" s="90"/>
      <c r="BB98" s="91"/>
      <c r="BC98" s="91"/>
      <c r="BD98" s="91"/>
      <c r="BE98" s="92"/>
    </row>
    <row r="99" spans="8:57">
      <c r="H99" s="2"/>
      <c r="BA99" s="90"/>
      <c r="BB99" s="91"/>
      <c r="BC99" s="91"/>
      <c r="BD99" s="91"/>
      <c r="BE99" s="92"/>
    </row>
    <row r="100" spans="8:57">
      <c r="H100" s="9"/>
      <c r="BA100" s="90"/>
      <c r="BB100" s="91"/>
      <c r="BC100" s="91"/>
      <c r="BD100" s="91"/>
      <c r="BE100" s="92"/>
    </row>
    <row r="101" spans="8:57">
      <c r="H101" s="9"/>
      <c r="BA101" s="90"/>
      <c r="BB101" s="91"/>
      <c r="BC101" s="91"/>
      <c r="BD101" s="91"/>
      <c r="BE101" s="92"/>
    </row>
    <row r="102" spans="8:57">
      <c r="H102" s="9"/>
      <c r="BA102" s="90"/>
      <c r="BB102" s="91"/>
      <c r="BC102" s="91"/>
      <c r="BD102" s="91"/>
      <c r="BE102" s="92"/>
    </row>
    <row r="103" spans="8:57">
      <c r="H103" s="9"/>
      <c r="BA103" s="90"/>
      <c r="BB103" s="91"/>
      <c r="BC103" s="91"/>
      <c r="BD103" s="91"/>
      <c r="BE103" s="92"/>
    </row>
    <row r="104" spans="8:57">
      <c r="H104" s="9"/>
      <c r="BA104" s="90"/>
      <c r="BB104" s="91"/>
      <c r="BC104" s="91"/>
      <c r="BD104" s="91"/>
      <c r="BE104" s="92"/>
    </row>
    <row r="105" spans="8:57">
      <c r="H105" s="9"/>
      <c r="BA105" s="90"/>
      <c r="BB105" s="91"/>
      <c r="BC105" s="91"/>
      <c r="BD105" s="91"/>
      <c r="BE105" s="92"/>
    </row>
    <row r="106" spans="8:57">
      <c r="H106" s="9"/>
      <c r="BA106" s="90"/>
      <c r="BB106" s="91"/>
      <c r="BC106" s="91"/>
      <c r="BD106" s="91"/>
      <c r="BE106" s="92"/>
    </row>
    <row r="107" spans="8:57">
      <c r="H107" s="9"/>
      <c r="BA107" s="90"/>
      <c r="BB107" s="91"/>
      <c r="BC107" s="91"/>
      <c r="BD107" s="91"/>
      <c r="BE107" s="92"/>
    </row>
    <row r="108" spans="8:57">
      <c r="H108" s="9"/>
      <c r="BA108" s="90"/>
      <c r="BB108" s="91"/>
      <c r="BC108" s="91"/>
      <c r="BD108" s="91"/>
      <c r="BE108" s="92"/>
    </row>
    <row r="109" spans="8:57">
      <c r="H109" s="9"/>
      <c r="BA109" s="90"/>
      <c r="BB109" s="91"/>
      <c r="BC109" s="91"/>
      <c r="BD109" s="91"/>
      <c r="BE109" s="92"/>
    </row>
    <row r="110" spans="8:57">
      <c r="H110" s="9"/>
      <c r="BA110" s="90"/>
      <c r="BB110" s="91"/>
      <c r="BC110" s="91"/>
      <c r="BD110" s="91"/>
      <c r="BE110" s="92"/>
    </row>
    <row r="111" spans="8:57">
      <c r="H111" s="9"/>
      <c r="BA111" s="90"/>
      <c r="BB111" s="91"/>
      <c r="BC111" s="91"/>
      <c r="BD111" s="91"/>
      <c r="BE111" s="92"/>
    </row>
    <row r="112" spans="8:57">
      <c r="H112" s="9"/>
      <c r="BA112" s="90"/>
      <c r="BB112" s="91"/>
      <c r="BC112" s="91"/>
      <c r="BD112" s="91"/>
      <c r="BE112" s="92"/>
    </row>
    <row r="113" spans="8:57">
      <c r="H113" s="9"/>
      <c r="BA113" s="90"/>
      <c r="BB113" s="91"/>
      <c r="BC113" s="91"/>
      <c r="BD113" s="91"/>
      <c r="BE113" s="92"/>
    </row>
    <row r="114" spans="8:57">
      <c r="H114" s="9"/>
      <c r="BA114" s="90"/>
      <c r="BB114" s="91"/>
      <c r="BC114" s="91"/>
      <c r="BD114" s="91"/>
      <c r="BE114" s="92"/>
    </row>
    <row r="115" spans="8:57">
      <c r="H115" s="9"/>
      <c r="BA115" s="90"/>
      <c r="BB115" s="91"/>
      <c r="BC115" s="91"/>
      <c r="BD115" s="91"/>
      <c r="BE115" s="92"/>
    </row>
    <row r="116" spans="8:57">
      <c r="H116" s="9"/>
      <c r="BA116" s="90"/>
      <c r="BB116" s="91"/>
      <c r="BC116" s="91"/>
      <c r="BD116" s="91"/>
      <c r="BE116" s="92"/>
    </row>
    <row r="117" spans="8:57">
      <c r="H117" s="9"/>
      <c r="BA117" s="90"/>
      <c r="BB117" s="91"/>
      <c r="BC117" s="91"/>
      <c r="BD117" s="91"/>
      <c r="BE117" s="92"/>
    </row>
    <row r="118" spans="8:57">
      <c r="H118" s="9"/>
      <c r="BA118" s="90"/>
      <c r="BB118" s="91"/>
      <c r="BC118" s="91"/>
      <c r="BD118" s="91"/>
      <c r="BE118" s="92"/>
    </row>
    <row r="119" spans="8:57">
      <c r="H119" s="9"/>
      <c r="BA119" s="90"/>
      <c r="BB119" s="91"/>
      <c r="BC119" s="91"/>
      <c r="BD119" s="91"/>
      <c r="BE119" s="92"/>
    </row>
    <row r="120" spans="8:57">
      <c r="H120" s="9"/>
      <c r="BA120" s="90"/>
      <c r="BB120" s="91"/>
      <c r="BC120" s="91"/>
      <c r="BD120" s="91"/>
      <c r="BE120" s="92"/>
    </row>
    <row r="121" spans="8:57">
      <c r="H121" s="9"/>
      <c r="BA121" s="90"/>
      <c r="BB121" s="91"/>
      <c r="BC121" s="91"/>
      <c r="BD121" s="91"/>
      <c r="BE121" s="92"/>
    </row>
    <row r="122" spans="8:57">
      <c r="H122" s="9"/>
      <c r="BA122" s="90"/>
      <c r="BB122" s="91"/>
      <c r="BC122" s="91"/>
      <c r="BD122" s="91"/>
      <c r="BE122" s="92"/>
    </row>
    <row r="123" spans="8:57">
      <c r="H123" s="2"/>
      <c r="BA123" s="90"/>
      <c r="BB123" s="91"/>
      <c r="BC123" s="91"/>
      <c r="BD123" s="91"/>
      <c r="BE123" s="92"/>
    </row>
    <row r="124" spans="8:57">
      <c r="H124" s="9"/>
      <c r="BA124" s="90"/>
      <c r="BB124" s="91"/>
      <c r="BC124" s="91"/>
      <c r="BD124" s="91"/>
      <c r="BE124" s="92"/>
    </row>
    <row r="125" spans="8:57">
      <c r="H125" s="9"/>
      <c r="BA125" s="90"/>
      <c r="BB125" s="91"/>
      <c r="BC125" s="91"/>
      <c r="BD125" s="91"/>
      <c r="BE125" s="92"/>
    </row>
    <row r="126" spans="8:57">
      <c r="H126" s="9"/>
      <c r="BA126" s="90"/>
      <c r="BB126" s="91"/>
      <c r="BC126" s="91"/>
      <c r="BD126" s="91"/>
      <c r="BE126" s="92"/>
    </row>
    <row r="127" spans="8:57">
      <c r="H127" s="9"/>
      <c r="BA127" s="90"/>
      <c r="BB127" s="91"/>
      <c r="BC127" s="91"/>
      <c r="BD127" s="91"/>
      <c r="BE127" s="92"/>
    </row>
    <row r="128" spans="8:57">
      <c r="H128" s="9"/>
      <c r="BA128" s="90"/>
      <c r="BB128" s="91"/>
      <c r="BC128" s="91"/>
      <c r="BD128" s="91"/>
      <c r="BE128" s="92"/>
    </row>
    <row r="129" spans="8:57">
      <c r="H129" s="9"/>
      <c r="BA129" s="90"/>
      <c r="BB129" s="91"/>
      <c r="BC129" s="91"/>
      <c r="BD129" s="91"/>
      <c r="BE129" s="92"/>
    </row>
    <row r="130" spans="8:57">
      <c r="H130" s="2"/>
      <c r="BA130" s="90"/>
      <c r="BB130" s="91"/>
      <c r="BC130" s="91"/>
      <c r="BD130" s="91"/>
      <c r="BE130" s="92"/>
    </row>
    <row r="131" spans="8:57">
      <c r="H131" s="2"/>
      <c r="BA131" s="90"/>
      <c r="BB131" s="91"/>
      <c r="BC131" s="91"/>
      <c r="BD131" s="91"/>
      <c r="BE131" s="92"/>
    </row>
    <row r="132" spans="8:57">
      <c r="H132" s="9"/>
      <c r="BA132" s="90"/>
      <c r="BB132" s="91"/>
      <c r="BC132" s="91"/>
      <c r="BD132" s="91"/>
      <c r="BE132" s="92"/>
    </row>
    <row r="133" spans="8:57">
      <c r="H133" s="9"/>
      <c r="BA133" s="90"/>
      <c r="BB133" s="91"/>
      <c r="BC133" s="91"/>
      <c r="BD133" s="91"/>
      <c r="BE133" s="92"/>
    </row>
    <row r="134" spans="8:57">
      <c r="H134" s="2"/>
      <c r="BA134" s="90"/>
      <c r="BB134" s="91"/>
      <c r="BC134" s="91"/>
      <c r="BD134" s="91"/>
      <c r="BE134" s="92"/>
    </row>
    <row r="135" spans="8:57">
      <c r="H135" s="9"/>
      <c r="BA135" s="90"/>
      <c r="BB135" s="91"/>
      <c r="BC135" s="91"/>
      <c r="BD135" s="91"/>
      <c r="BE135" s="92"/>
    </row>
    <row r="136" spans="8:57">
      <c r="H136" s="9"/>
      <c r="BA136" s="90"/>
      <c r="BB136" s="91"/>
      <c r="BC136" s="91"/>
      <c r="BD136" s="91"/>
      <c r="BE136" s="92"/>
    </row>
    <row r="137" spans="8:57">
      <c r="H137" s="9"/>
      <c r="BA137" s="90"/>
      <c r="BB137" s="91"/>
      <c r="BC137" s="91"/>
      <c r="BD137" s="91"/>
      <c r="BE137" s="92"/>
    </row>
    <row r="138" spans="8:57">
      <c r="H138" s="9"/>
      <c r="BA138" s="90"/>
      <c r="BB138" s="91"/>
      <c r="BC138" s="91"/>
      <c r="BD138" s="91"/>
      <c r="BE138" s="92"/>
    </row>
    <row r="139" spans="8:57">
      <c r="H139" s="9"/>
    </row>
    <row r="140" spans="8:57">
      <c r="H140" s="9"/>
    </row>
    <row r="141" spans="8:57">
      <c r="H141" s="9"/>
    </row>
    <row r="142" spans="8:57">
      <c r="H142" s="9"/>
    </row>
    <row r="143" spans="8:57">
      <c r="H143" s="9"/>
    </row>
    <row r="144" spans="8:57">
      <c r="H144" s="9"/>
    </row>
    <row r="145" spans="8:8">
      <c r="H145" s="9"/>
    </row>
    <row r="146" spans="8:8">
      <c r="H146" s="9"/>
    </row>
    <row r="147" spans="8:8">
      <c r="H147" s="9"/>
    </row>
    <row r="148" spans="8:8">
      <c r="H148" s="9"/>
    </row>
  </sheetData>
  <mergeCells count="2">
    <mergeCell ref="BG1:BI1"/>
    <mergeCell ref="BJ1:BL1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Ex.5.1</vt:lpstr>
      <vt:lpstr>Ex.5.2</vt:lpstr>
      <vt:lpstr>Ex.5.3</vt:lpstr>
      <vt:lpstr>Ex.5.4</vt:lpstr>
      <vt:lpstr>Ex.5.5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TJNM</dc:creator>
  <cp:lastModifiedBy>Tim Napier-Munn</cp:lastModifiedBy>
  <dcterms:created xsi:type="dcterms:W3CDTF">2010-10-23T07:49:31Z</dcterms:created>
  <dcterms:modified xsi:type="dcterms:W3CDTF">2017-05-21T23:19:56Z</dcterms:modified>
</cp:coreProperties>
</file>