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orkTools\SolitaireColors\Excel\"/>
    </mc:Choice>
  </mc:AlternateContent>
  <xr:revisionPtr revIDLastSave="0" documentId="13_ncr:1_{9C329A57-53B0-48F2-9EDE-34CCEE78783E}" xr6:coauthVersionLast="47" xr6:coauthVersionMax="47" xr10:uidLastSave="{00000000-0000-0000-0000-000000000000}"/>
  <bookViews>
    <workbookView xWindow="-120" yWindow="-120" windowWidth="38640" windowHeight="21240" tabRatio="732" activeTab="18" xr2:uid="{031A2387-799E-4D87-83E3-B9CB1055F2EC}"/>
  </bookViews>
  <sheets>
    <sheet name="离线奖励" sheetId="1" r:id="rId1"/>
    <sheet name="关卡消耗" sheetId="3" r:id="rId2"/>
    <sheet name="关卡道具消耗" sheetId="10" r:id="rId3"/>
    <sheet name="关卡奖励" sheetId="5" r:id="rId4"/>
    <sheet name="道具定价" sheetId="8" r:id="rId5"/>
    <sheet name="道具资源" sheetId="27" r:id="rId6"/>
    <sheet name="道具图标" sheetId="28" r:id="rId7"/>
    <sheet name="初始资源" sheetId="30" r:id="rId8"/>
    <sheet name="功能开启" sheetId="7" r:id="rId9"/>
    <sheet name="功能开启Test" sheetId="34" r:id="rId10"/>
    <sheet name="关卡进度奖励" sheetId="31" r:id="rId11"/>
    <sheet name="签到" sheetId="6" r:id="rId12"/>
    <sheet name="商城" sheetId="22" r:id="rId13"/>
    <sheet name="转盘" sheetId="15" r:id="rId14"/>
    <sheet name="进度礼包" sheetId="18" r:id="rId15"/>
    <sheet name="限时礼包" sheetId="21" r:id="rId16"/>
    <sheet name="内购" sheetId="24" r:id="rId17"/>
    <sheet name="验算胜率" sheetId="33" r:id="rId18"/>
    <sheet name="产销" sheetId="26" r:id="rId19"/>
  </sheets>
  <definedNames>
    <definedName name="base_k">离线奖励!$P$6:$P$69</definedName>
    <definedName name="base_v">离线奖励!$R$6:$R$69</definedName>
    <definedName name="gift_k_level">进度礼包!$K$8:$K$57</definedName>
    <definedName name="gift_k_time">限时礼包!$K$8:$K$28</definedName>
    <definedName name="gift_v_level">进度礼包!$O$8:$W$57</definedName>
    <definedName name="item_cost_mf">道具定价!$H$6:$K$46</definedName>
    <definedName name="item_id">道具定价!$E$6:$E$46</definedName>
    <definedName name="item_name">道具定价!$F$6:$F$46</definedName>
    <definedName name="leve_cost_k">关卡消耗!$T$6:$T$47</definedName>
    <definedName name="leve_cost_v">关卡消耗!$U$6:$U$47</definedName>
    <definedName name="turn_k_1">转盘!$N$9:$N$107</definedName>
    <definedName name="turn_k_2">转盘!$P$9:$P$107</definedName>
    <definedName name="turn_k_4">转盘!$R$9:$R$107</definedName>
    <definedName name="turn_v">转盘!$X$9:$AE$107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" i="15" l="1"/>
  <c r="F34" i="15"/>
  <c r="L24" i="26"/>
  <c r="J12" i="8"/>
  <c r="L18" i="26"/>
  <c r="L7" i="26"/>
  <c r="L8" i="26"/>
  <c r="L9" i="26"/>
  <c r="L10" i="26"/>
  <c r="L11" i="26"/>
  <c r="L12" i="26"/>
  <c r="L13" i="26"/>
  <c r="L14" i="26"/>
  <c r="L15" i="26"/>
  <c r="L16" i="26"/>
  <c r="L17" i="26"/>
  <c r="L19" i="26"/>
  <c r="L20" i="26"/>
  <c r="L21" i="26"/>
  <c r="L22" i="26"/>
  <c r="L23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6" i="26"/>
  <c r="F8" i="10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6" i="5"/>
  <c r="AI12" i="5" l="1"/>
  <c r="AD33" i="5"/>
  <c r="AI33" i="5"/>
  <c r="R3" i="7"/>
  <c r="Q3" i="7"/>
  <c r="P3" i="7"/>
  <c r="O3" i="7"/>
  <c r="N3" i="7"/>
  <c r="M3" i="7"/>
  <c r="L3" i="7"/>
  <c r="K3" i="7"/>
  <c r="J3" i="7"/>
  <c r="I3" i="7"/>
  <c r="W7" i="26"/>
  <c r="W8" i="26"/>
  <c r="V8" i="26" s="1"/>
  <c r="W9" i="26"/>
  <c r="W10" i="26"/>
  <c r="W11" i="26"/>
  <c r="W12" i="26"/>
  <c r="W13" i="26"/>
  <c r="W14" i="26"/>
  <c r="W15" i="26"/>
  <c r="W16" i="26"/>
  <c r="W17" i="26"/>
  <c r="V17" i="26" s="1"/>
  <c r="W18" i="26"/>
  <c r="W19" i="26"/>
  <c r="W20" i="26"/>
  <c r="V20" i="26" s="1"/>
  <c r="W21" i="26"/>
  <c r="W22" i="26"/>
  <c r="W23" i="26"/>
  <c r="W24" i="26"/>
  <c r="W25" i="26"/>
  <c r="W26" i="26"/>
  <c r="W27" i="26"/>
  <c r="W28" i="26"/>
  <c r="W29" i="26"/>
  <c r="W30" i="26"/>
  <c r="W31" i="26"/>
  <c r="W32" i="26"/>
  <c r="W33" i="26"/>
  <c r="W34" i="26"/>
  <c r="W35" i="26"/>
  <c r="W36" i="26"/>
  <c r="W37" i="26"/>
  <c r="W38" i="26"/>
  <c r="W39" i="26"/>
  <c r="W40" i="26"/>
  <c r="W41" i="26"/>
  <c r="W42" i="26"/>
  <c r="W43" i="26"/>
  <c r="W44" i="26"/>
  <c r="W45" i="26"/>
  <c r="W46" i="26"/>
  <c r="W47" i="26"/>
  <c r="W48" i="26"/>
  <c r="W49" i="26"/>
  <c r="W50" i="26"/>
  <c r="W51" i="26"/>
  <c r="W52" i="26"/>
  <c r="W53" i="26"/>
  <c r="W54" i="26"/>
  <c r="W55" i="26"/>
  <c r="W56" i="26"/>
  <c r="W57" i="26"/>
  <c r="W58" i="26"/>
  <c r="W59" i="26"/>
  <c r="W60" i="26"/>
  <c r="W61" i="26"/>
  <c r="W62" i="26"/>
  <c r="W63" i="26"/>
  <c r="W64" i="26"/>
  <c r="W65" i="26"/>
  <c r="W66" i="26"/>
  <c r="W67" i="26"/>
  <c r="W68" i="26"/>
  <c r="W69" i="26"/>
  <c r="W70" i="26"/>
  <c r="W71" i="26"/>
  <c r="W72" i="26"/>
  <c r="W73" i="26"/>
  <c r="W74" i="26"/>
  <c r="W75" i="26"/>
  <c r="W76" i="26"/>
  <c r="W77" i="26"/>
  <c r="W78" i="26"/>
  <c r="W79" i="26"/>
  <c r="W80" i="26"/>
  <c r="W81" i="26"/>
  <c r="W82" i="26"/>
  <c r="W83" i="26"/>
  <c r="W84" i="26"/>
  <c r="W85" i="26"/>
  <c r="W86" i="26"/>
  <c r="W87" i="26"/>
  <c r="W88" i="26"/>
  <c r="W89" i="26"/>
  <c r="W90" i="26"/>
  <c r="W91" i="26"/>
  <c r="W92" i="26"/>
  <c r="W93" i="26"/>
  <c r="W94" i="26"/>
  <c r="W95" i="26"/>
  <c r="W96" i="26"/>
  <c r="W97" i="26"/>
  <c r="W98" i="26"/>
  <c r="W99" i="26"/>
  <c r="W100" i="26"/>
  <c r="W101" i="26"/>
  <c r="W102" i="26"/>
  <c r="W103" i="26"/>
  <c r="W104" i="26"/>
  <c r="W105" i="26"/>
  <c r="W106" i="26"/>
  <c r="W107" i="26"/>
  <c r="W108" i="26"/>
  <c r="W109" i="26"/>
  <c r="W110" i="26"/>
  <c r="W111" i="26"/>
  <c r="W112" i="26"/>
  <c r="W113" i="26"/>
  <c r="W114" i="26"/>
  <c r="W115" i="26"/>
  <c r="W116" i="26"/>
  <c r="W117" i="26"/>
  <c r="W118" i="26"/>
  <c r="W119" i="26"/>
  <c r="W120" i="26"/>
  <c r="W121" i="26"/>
  <c r="W122" i="26"/>
  <c r="W123" i="26"/>
  <c r="W124" i="26"/>
  <c r="W125" i="26"/>
  <c r="W126" i="26"/>
  <c r="W127" i="26"/>
  <c r="W128" i="26"/>
  <c r="W129" i="26"/>
  <c r="W130" i="26"/>
  <c r="W131" i="26"/>
  <c r="W132" i="26"/>
  <c r="W133" i="26"/>
  <c r="W134" i="26"/>
  <c r="W135" i="26"/>
  <c r="W136" i="26"/>
  <c r="W137" i="26"/>
  <c r="W138" i="26"/>
  <c r="W139" i="26"/>
  <c r="W140" i="26"/>
  <c r="W141" i="26"/>
  <c r="W142" i="26"/>
  <c r="W143" i="26"/>
  <c r="W144" i="26"/>
  <c r="W145" i="26"/>
  <c r="W146" i="26"/>
  <c r="W147" i="26"/>
  <c r="W148" i="26"/>
  <c r="W149" i="26"/>
  <c r="W150" i="26"/>
  <c r="W151" i="26"/>
  <c r="W152" i="26"/>
  <c r="W153" i="26"/>
  <c r="W154" i="26"/>
  <c r="W155" i="26"/>
  <c r="W156" i="26"/>
  <c r="W157" i="26"/>
  <c r="W158" i="26"/>
  <c r="W159" i="26"/>
  <c r="W160" i="26"/>
  <c r="W161" i="26"/>
  <c r="W162" i="26"/>
  <c r="W163" i="26"/>
  <c r="W164" i="26"/>
  <c r="W165" i="26"/>
  <c r="W166" i="26"/>
  <c r="W167" i="26"/>
  <c r="W168" i="26"/>
  <c r="W169" i="26"/>
  <c r="W170" i="26"/>
  <c r="W171" i="26"/>
  <c r="W172" i="26"/>
  <c r="W173" i="26"/>
  <c r="W174" i="26"/>
  <c r="W175" i="26"/>
  <c r="W176" i="26"/>
  <c r="W177" i="26"/>
  <c r="W178" i="26"/>
  <c r="W179" i="26"/>
  <c r="W180" i="26"/>
  <c r="W181" i="26"/>
  <c r="W182" i="26"/>
  <c r="W183" i="26"/>
  <c r="W184" i="26"/>
  <c r="W185" i="26"/>
  <c r="W186" i="26"/>
  <c r="W187" i="26"/>
  <c r="W188" i="26"/>
  <c r="W189" i="26"/>
  <c r="W190" i="26"/>
  <c r="W191" i="26"/>
  <c r="W192" i="26"/>
  <c r="W193" i="26"/>
  <c r="W194" i="26"/>
  <c r="W195" i="26"/>
  <c r="W196" i="26"/>
  <c r="W197" i="26"/>
  <c r="W198" i="26"/>
  <c r="W199" i="26"/>
  <c r="W200" i="26"/>
  <c r="W201" i="26"/>
  <c r="W202" i="26"/>
  <c r="W203" i="26"/>
  <c r="W204" i="26"/>
  <c r="W205" i="26"/>
  <c r="W206" i="26"/>
  <c r="W207" i="26"/>
  <c r="W208" i="26"/>
  <c r="W209" i="26"/>
  <c r="W210" i="26"/>
  <c r="W211" i="26"/>
  <c r="W212" i="26"/>
  <c r="W213" i="26"/>
  <c r="W214" i="26"/>
  <c r="W215" i="26"/>
  <c r="W6" i="26"/>
  <c r="I4" i="34"/>
  <c r="J4" i="34"/>
  <c r="K4" i="34"/>
  <c r="L4" i="34"/>
  <c r="M4" i="34"/>
  <c r="N4" i="34"/>
  <c r="O4" i="34"/>
  <c r="P4" i="34"/>
  <c r="Q4" i="34"/>
  <c r="H4" i="34"/>
  <c r="G19" i="34"/>
  <c r="G11" i="34"/>
  <c r="G8" i="34"/>
  <c r="C6" i="21"/>
  <c r="K8" i="21" s="1"/>
  <c r="G20" i="34" s="1"/>
  <c r="G11" i="7"/>
  <c r="G19" i="7"/>
  <c r="AU7" i="15"/>
  <c r="AV7" i="15"/>
  <c r="AW7" i="15"/>
  <c r="AX7" i="15"/>
  <c r="AY7" i="15"/>
  <c r="AZ7" i="15"/>
  <c r="BA7" i="15"/>
  <c r="BB7" i="15"/>
  <c r="BC7" i="15"/>
  <c r="BD7" i="15"/>
  <c r="BE7" i="15"/>
  <c r="BF7" i="15"/>
  <c r="X7" i="15"/>
  <c r="N8" i="21"/>
  <c r="C18" i="15"/>
  <c r="C9" i="5"/>
  <c r="AB33" i="5" s="1"/>
  <c r="C14" i="1"/>
  <c r="P7" i="1"/>
  <c r="H5" i="28"/>
  <c r="I5" i="27"/>
  <c r="AE3" i="22"/>
  <c r="AF3" i="22"/>
  <c r="AG3" i="22"/>
  <c r="AH3" i="22"/>
  <c r="AI3" i="22"/>
  <c r="AJ3" i="22"/>
  <c r="AK3" i="22"/>
  <c r="AL3" i="22"/>
  <c r="AM3" i="22"/>
  <c r="AD3" i="22"/>
  <c r="V204" i="26" l="1"/>
  <c r="V192" i="26"/>
  <c r="V180" i="26"/>
  <c r="V12" i="26"/>
  <c r="V107" i="26"/>
  <c r="V71" i="26"/>
  <c r="V47" i="26"/>
  <c r="V35" i="26"/>
  <c r="V23" i="26"/>
  <c r="V11" i="26"/>
  <c r="V207" i="26"/>
  <c r="V51" i="26"/>
  <c r="V39" i="26"/>
  <c r="V15" i="26"/>
  <c r="V83" i="26"/>
  <c r="V27" i="26"/>
  <c r="V168" i="26"/>
  <c r="V156" i="26"/>
  <c r="V196" i="26"/>
  <c r="V184" i="26"/>
  <c r="V160" i="26"/>
  <c r="V148" i="26"/>
  <c r="V136" i="26"/>
  <c r="V124" i="26"/>
  <c r="V112" i="26"/>
  <c r="V100" i="26"/>
  <c r="V88" i="26"/>
  <c r="V76" i="26"/>
  <c r="V64" i="26"/>
  <c r="V52" i="26"/>
  <c r="V16" i="26"/>
  <c r="V144" i="26"/>
  <c r="V172" i="26"/>
  <c r="V40" i="26"/>
  <c r="V59" i="26"/>
  <c r="V132" i="26"/>
  <c r="V36" i="26"/>
  <c r="V120" i="26"/>
  <c r="V24" i="26"/>
  <c r="V108" i="26"/>
  <c r="V187" i="26"/>
  <c r="V175" i="26"/>
  <c r="V163" i="26"/>
  <c r="V151" i="26"/>
  <c r="V139" i="26"/>
  <c r="V127" i="26"/>
  <c r="V103" i="26"/>
  <c r="V91" i="26"/>
  <c r="V79" i="26"/>
  <c r="V67" i="26"/>
  <c r="V55" i="26"/>
  <c r="V43" i="26"/>
  <c r="V19" i="26"/>
  <c r="V96" i="26"/>
  <c r="V84" i="26"/>
  <c r="V72" i="26"/>
  <c r="V49" i="26"/>
  <c r="V37" i="26"/>
  <c r="V13" i="26"/>
  <c r="V41" i="26"/>
  <c r="V29" i="26"/>
  <c r="V28" i="26"/>
  <c r="V60" i="26"/>
  <c r="V210" i="26"/>
  <c r="V198" i="26"/>
  <c r="V186" i="26"/>
  <c r="V174" i="26"/>
  <c r="V162" i="26"/>
  <c r="V150" i="26"/>
  <c r="V138" i="26"/>
  <c r="V126" i="26"/>
  <c r="V114" i="26"/>
  <c r="V102" i="26"/>
  <c r="V18" i="26"/>
  <c r="V205" i="26"/>
  <c r="V193" i="26"/>
  <c r="V181" i="26"/>
  <c r="V169" i="26"/>
  <c r="V157" i="26"/>
  <c r="V145" i="26"/>
  <c r="V133" i="26"/>
  <c r="V121" i="26"/>
  <c r="V109" i="26"/>
  <c r="V25" i="26"/>
  <c r="V48" i="26"/>
  <c r="V211" i="26"/>
  <c r="V199" i="26"/>
  <c r="V31" i="26"/>
  <c r="V191" i="26"/>
  <c r="V167" i="26"/>
  <c r="V214" i="26"/>
  <c r="V202" i="26"/>
  <c r="V190" i="26"/>
  <c r="V178" i="26"/>
  <c r="V166" i="26"/>
  <c r="V154" i="26"/>
  <c r="V142" i="26"/>
  <c r="V130" i="26"/>
  <c r="V118" i="26"/>
  <c r="V106" i="26"/>
  <c r="V94" i="26"/>
  <c r="V82" i="26"/>
  <c r="V70" i="26"/>
  <c r="V58" i="26"/>
  <c r="V46" i="26"/>
  <c r="V34" i="26"/>
  <c r="V22" i="26"/>
  <c r="V10" i="26"/>
  <c r="V212" i="26"/>
  <c r="V200" i="26"/>
  <c r="V188" i="26"/>
  <c r="V176" i="26"/>
  <c r="V164" i="26"/>
  <c r="V152" i="26"/>
  <c r="V140" i="26"/>
  <c r="V128" i="26"/>
  <c r="V116" i="26"/>
  <c r="V104" i="26"/>
  <c r="V92" i="26"/>
  <c r="V80" i="26"/>
  <c r="V68" i="26"/>
  <c r="V56" i="26"/>
  <c r="V44" i="26"/>
  <c r="V78" i="26"/>
  <c r="V66" i="26"/>
  <c r="V54" i="26"/>
  <c r="V97" i="26"/>
  <c r="V85" i="26"/>
  <c r="V73" i="26"/>
  <c r="V61" i="26"/>
  <c r="V206" i="26"/>
  <c r="V194" i="26"/>
  <c r="V182" i="26"/>
  <c r="V170" i="26"/>
  <c r="V158" i="26"/>
  <c r="V146" i="26"/>
  <c r="V134" i="26"/>
  <c r="V122" i="26"/>
  <c r="V110" i="26"/>
  <c r="V98" i="26"/>
  <c r="V86" i="26"/>
  <c r="V74" i="26"/>
  <c r="V62" i="26"/>
  <c r="V50" i="26"/>
  <c r="V38" i="26"/>
  <c r="V26" i="26"/>
  <c r="V14" i="26"/>
  <c r="V179" i="26"/>
  <c r="V155" i="26"/>
  <c r="V143" i="26"/>
  <c r="V131" i="26"/>
  <c r="V95" i="26"/>
  <c r="V32" i="26"/>
  <c r="V115" i="26"/>
  <c r="V7" i="26"/>
  <c r="V185" i="26"/>
  <c r="V173" i="26"/>
  <c r="V161" i="26"/>
  <c r="V149" i="26"/>
  <c r="V137" i="26"/>
  <c r="V101" i="26"/>
  <c r="V89" i="26"/>
  <c r="V77" i="26"/>
  <c r="V208" i="26"/>
  <c r="V195" i="26"/>
  <c r="V183" i="26"/>
  <c r="V171" i="26"/>
  <c r="V159" i="26"/>
  <c r="V147" i="26"/>
  <c r="V135" i="26"/>
  <c r="V87" i="26"/>
  <c r="V75" i="26"/>
  <c r="V63" i="26"/>
  <c r="V90" i="26"/>
  <c r="V42" i="26"/>
  <c r="V30" i="26"/>
  <c r="V209" i="26"/>
  <c r="V197" i="26"/>
  <c r="V125" i="26"/>
  <c r="V113" i="26"/>
  <c r="V65" i="26"/>
  <c r="V53" i="26"/>
  <c r="V123" i="26"/>
  <c r="V111" i="26"/>
  <c r="V99" i="26"/>
  <c r="V215" i="26"/>
  <c r="V203" i="26"/>
  <c r="V119" i="26"/>
  <c r="V213" i="26"/>
  <c r="V201" i="26"/>
  <c r="V189" i="26"/>
  <c r="V177" i="26"/>
  <c r="V165" i="26"/>
  <c r="V153" i="26"/>
  <c r="V141" i="26"/>
  <c r="V129" i="26"/>
  <c r="V117" i="26"/>
  <c r="V105" i="26"/>
  <c r="V93" i="26"/>
  <c r="V81" i="26"/>
  <c r="V69" i="26"/>
  <c r="V57" i="26"/>
  <c r="V45" i="26"/>
  <c r="V33" i="26"/>
  <c r="V21" i="26"/>
  <c r="V9" i="26"/>
  <c r="G20" i="7"/>
  <c r="K43" i="21"/>
  <c r="K31" i="21"/>
  <c r="K19" i="21"/>
  <c r="K18" i="21"/>
  <c r="K41" i="21"/>
  <c r="K29" i="21"/>
  <c r="K17" i="21"/>
  <c r="K30" i="21"/>
  <c r="K40" i="21"/>
  <c r="K28" i="21"/>
  <c r="K16" i="21"/>
  <c r="K42" i="21"/>
  <c r="K39" i="21"/>
  <c r="K27" i="21"/>
  <c r="K15" i="21"/>
  <c r="K38" i="21"/>
  <c r="K26" i="21"/>
  <c r="K14" i="21"/>
  <c r="K37" i="21"/>
  <c r="K25" i="21"/>
  <c r="K13" i="21"/>
  <c r="K48" i="21"/>
  <c r="K36" i="21"/>
  <c r="K24" i="21"/>
  <c r="K12" i="21"/>
  <c r="K47" i="21"/>
  <c r="K35" i="21"/>
  <c r="K23" i="21"/>
  <c r="K11" i="21"/>
  <c r="K46" i="21"/>
  <c r="K34" i="21"/>
  <c r="K22" i="21"/>
  <c r="K10" i="21"/>
  <c r="K45" i="21"/>
  <c r="K33" i="21"/>
  <c r="K21" i="21"/>
  <c r="K9" i="21"/>
  <c r="K44" i="21"/>
  <c r="K32" i="21"/>
  <c r="K20" i="21"/>
  <c r="D18" i="15"/>
  <c r="L9" i="15" l="1"/>
  <c r="P9" i="15" s="1"/>
  <c r="F107" i="33" l="1"/>
  <c r="F108" i="33"/>
  <c r="F109" i="33"/>
  <c r="F110" i="33"/>
  <c r="F111" i="33"/>
  <c r="F112" i="33"/>
  <c r="F113" i="33"/>
  <c r="F114" i="33"/>
  <c r="F115" i="33"/>
  <c r="F116" i="33"/>
  <c r="F117" i="33"/>
  <c r="F118" i="33"/>
  <c r="F119" i="33"/>
  <c r="F120" i="33"/>
  <c r="F121" i="33"/>
  <c r="F122" i="33"/>
  <c r="F123" i="33"/>
  <c r="F124" i="33"/>
  <c r="F125" i="33"/>
  <c r="F126" i="33"/>
  <c r="F127" i="33"/>
  <c r="F128" i="33"/>
  <c r="F129" i="33"/>
  <c r="F130" i="33"/>
  <c r="F131" i="33"/>
  <c r="F132" i="33"/>
  <c r="F133" i="33"/>
  <c r="F134" i="33"/>
  <c r="F135" i="33"/>
  <c r="F136" i="33"/>
  <c r="F137" i="33"/>
  <c r="F138" i="33"/>
  <c r="F139" i="33"/>
  <c r="F140" i="33"/>
  <c r="F141" i="33"/>
  <c r="F142" i="33"/>
  <c r="F143" i="33"/>
  <c r="F144" i="33"/>
  <c r="F145" i="33"/>
  <c r="F146" i="33"/>
  <c r="F147" i="33"/>
  <c r="F148" i="33"/>
  <c r="F149" i="33"/>
  <c r="F150" i="33"/>
  <c r="F151" i="33"/>
  <c r="F152" i="33"/>
  <c r="F153" i="33"/>
  <c r="F154" i="33"/>
  <c r="F155" i="33"/>
  <c r="F156" i="33"/>
  <c r="F157" i="33"/>
  <c r="F158" i="33"/>
  <c r="F159" i="33"/>
  <c r="F160" i="33"/>
  <c r="F161" i="33"/>
  <c r="F162" i="33"/>
  <c r="F163" i="33"/>
  <c r="F164" i="33"/>
  <c r="F165" i="33"/>
  <c r="F166" i="33"/>
  <c r="F167" i="33"/>
  <c r="F168" i="33"/>
  <c r="F169" i="33"/>
  <c r="F170" i="33"/>
  <c r="F171" i="33"/>
  <c r="F172" i="33"/>
  <c r="F173" i="33"/>
  <c r="F174" i="33"/>
  <c r="F175" i="33"/>
  <c r="F176" i="33"/>
  <c r="F177" i="33"/>
  <c r="F178" i="33"/>
  <c r="F179" i="33"/>
  <c r="F180" i="33"/>
  <c r="F181" i="33"/>
  <c r="F182" i="33"/>
  <c r="F183" i="33"/>
  <c r="F184" i="33"/>
  <c r="F185" i="33"/>
  <c r="F186" i="33"/>
  <c r="F187" i="33"/>
  <c r="F188" i="33"/>
  <c r="F189" i="33"/>
  <c r="F190" i="33"/>
  <c r="F191" i="33"/>
  <c r="F192" i="33"/>
  <c r="F193" i="33"/>
  <c r="F194" i="33"/>
  <c r="F195" i="33"/>
  <c r="F196" i="33"/>
  <c r="F197" i="33"/>
  <c r="F198" i="33"/>
  <c r="F199" i="33"/>
  <c r="F200" i="33"/>
  <c r="F201" i="33"/>
  <c r="F202" i="33"/>
  <c r="F203" i="33"/>
  <c r="F204" i="33"/>
  <c r="F205" i="33"/>
  <c r="F206" i="33"/>
  <c r="F207" i="33"/>
  <c r="F208" i="33"/>
  <c r="F209" i="33"/>
  <c r="F210" i="33"/>
  <c r="F211" i="33"/>
  <c r="F212" i="33"/>
  <c r="F213" i="33"/>
  <c r="F214" i="33"/>
  <c r="F215" i="33"/>
  <c r="F216" i="33"/>
  <c r="F217" i="33"/>
  <c r="F218" i="33"/>
  <c r="F219" i="33"/>
  <c r="F220" i="33"/>
  <c r="F221" i="33"/>
  <c r="F222" i="33"/>
  <c r="F223" i="33"/>
  <c r="F224" i="33"/>
  <c r="F225" i="33"/>
  <c r="F226" i="33"/>
  <c r="F227" i="33"/>
  <c r="F228" i="33"/>
  <c r="F229" i="33"/>
  <c r="F230" i="33"/>
  <c r="F231" i="33"/>
  <c r="F232" i="33"/>
  <c r="F233" i="33"/>
  <c r="F234" i="33"/>
  <c r="F235" i="33"/>
  <c r="F236" i="33"/>
  <c r="F237" i="33"/>
  <c r="F238" i="33"/>
  <c r="F239" i="33"/>
  <c r="F240" i="33"/>
  <c r="F241" i="33"/>
  <c r="F242" i="33"/>
  <c r="F243" i="33"/>
  <c r="F244" i="33"/>
  <c r="F245" i="33"/>
  <c r="F246" i="33"/>
  <c r="F247" i="33"/>
  <c r="F248" i="33"/>
  <c r="F249" i="33"/>
  <c r="F250" i="33"/>
  <c r="F251" i="33"/>
  <c r="F252" i="33"/>
  <c r="F253" i="33"/>
  <c r="F254" i="33"/>
  <c r="F255" i="33"/>
  <c r="F256" i="33"/>
  <c r="F257" i="33"/>
  <c r="F258" i="33"/>
  <c r="F259" i="33"/>
  <c r="F260" i="33"/>
  <c r="F261" i="33"/>
  <c r="F262" i="33"/>
  <c r="F263" i="33"/>
  <c r="F264" i="33"/>
  <c r="F265" i="33"/>
  <c r="F266" i="33"/>
  <c r="F267" i="33"/>
  <c r="F268" i="33"/>
  <c r="F269" i="33"/>
  <c r="F270" i="33"/>
  <c r="F271" i="33"/>
  <c r="F272" i="33"/>
  <c r="F273" i="33"/>
  <c r="F274" i="33"/>
  <c r="F275" i="33"/>
  <c r="F276" i="33"/>
  <c r="F277" i="33"/>
  <c r="F278" i="33"/>
  <c r="F279" i="33"/>
  <c r="F280" i="33"/>
  <c r="F281" i="33"/>
  <c r="F282" i="33"/>
  <c r="F283" i="33"/>
  <c r="F284" i="33"/>
  <c r="F285" i="33"/>
  <c r="F286" i="33"/>
  <c r="F287" i="33"/>
  <c r="F288" i="33"/>
  <c r="F289" i="33"/>
  <c r="F290" i="33"/>
  <c r="F291" i="33"/>
  <c r="F292" i="33"/>
  <c r="F293" i="33"/>
  <c r="F294" i="33"/>
  <c r="F295" i="33"/>
  <c r="F296" i="33"/>
  <c r="F297" i="33"/>
  <c r="F298" i="33"/>
  <c r="F299" i="33"/>
  <c r="F300" i="33"/>
  <c r="F301" i="33"/>
  <c r="F302" i="33"/>
  <c r="F303" i="33"/>
  <c r="F304" i="33"/>
  <c r="F305" i="33"/>
  <c r="F306" i="33"/>
  <c r="F307" i="33"/>
  <c r="F308" i="33"/>
  <c r="F309" i="33"/>
  <c r="F310" i="33"/>
  <c r="F311" i="33"/>
  <c r="F312" i="33"/>
  <c r="F313" i="33"/>
  <c r="F314" i="33"/>
  <c r="F315" i="33"/>
  <c r="F316" i="33"/>
  <c r="F317" i="33"/>
  <c r="F318" i="33"/>
  <c r="F319" i="33"/>
  <c r="F320" i="33"/>
  <c r="F321" i="33"/>
  <c r="F322" i="33"/>
  <c r="F323" i="33"/>
  <c r="F324" i="33"/>
  <c r="F325" i="33"/>
  <c r="F326" i="33"/>
  <c r="F327" i="33"/>
  <c r="F328" i="33"/>
  <c r="F329" i="33"/>
  <c r="F330" i="33"/>
  <c r="F331" i="33"/>
  <c r="F332" i="33"/>
  <c r="F333" i="33"/>
  <c r="F334" i="33"/>
  <c r="F335" i="33"/>
  <c r="F336" i="33"/>
  <c r="F337" i="33"/>
  <c r="F338" i="33"/>
  <c r="F339" i="33"/>
  <c r="F340" i="33"/>
  <c r="F341" i="33"/>
  <c r="F342" i="33"/>
  <c r="F343" i="33"/>
  <c r="F344" i="33"/>
  <c r="F345" i="33"/>
  <c r="F346" i="33"/>
  <c r="F347" i="33"/>
  <c r="F348" i="33"/>
  <c r="F349" i="33"/>
  <c r="F350" i="33"/>
  <c r="F351" i="33"/>
  <c r="F352" i="33"/>
  <c r="F353" i="33"/>
  <c r="F354" i="33"/>
  <c r="F355" i="33"/>
  <c r="F356" i="33"/>
  <c r="F357" i="33"/>
  <c r="F358" i="33"/>
  <c r="F359" i="33"/>
  <c r="F360" i="33"/>
  <c r="F361" i="33"/>
  <c r="F362" i="33"/>
  <c r="F363" i="33"/>
  <c r="F364" i="33"/>
  <c r="F365" i="33"/>
  <c r="F366" i="33"/>
  <c r="F367" i="33"/>
  <c r="F368" i="33"/>
  <c r="F369" i="33"/>
  <c r="F370" i="33"/>
  <c r="F371" i="33"/>
  <c r="F372" i="33"/>
  <c r="F373" i="33"/>
  <c r="F374" i="33"/>
  <c r="F375" i="33"/>
  <c r="F376" i="33"/>
  <c r="F377" i="33"/>
  <c r="F378" i="33"/>
  <c r="F379" i="33"/>
  <c r="F380" i="33"/>
  <c r="F381" i="33"/>
  <c r="F382" i="33"/>
  <c r="F383" i="33"/>
  <c r="F384" i="33"/>
  <c r="F385" i="33"/>
  <c r="F386" i="33"/>
  <c r="F387" i="33"/>
  <c r="F388" i="33"/>
  <c r="F389" i="33"/>
  <c r="F390" i="33"/>
  <c r="F391" i="33"/>
  <c r="F392" i="33"/>
  <c r="F393" i="33"/>
  <c r="F394" i="33"/>
  <c r="F395" i="33"/>
  <c r="F396" i="33"/>
  <c r="F397" i="33"/>
  <c r="F398" i="33"/>
  <c r="F399" i="33"/>
  <c r="F400" i="33"/>
  <c r="F401" i="33"/>
  <c r="F402" i="33"/>
  <c r="F403" i="33"/>
  <c r="F404" i="33"/>
  <c r="F405" i="33"/>
  <c r="F406" i="33"/>
  <c r="F407" i="33"/>
  <c r="F408" i="33"/>
  <c r="F409" i="33"/>
  <c r="F410" i="33"/>
  <c r="F411" i="33"/>
  <c r="F412" i="33"/>
  <c r="F413" i="33"/>
  <c r="F414" i="33"/>
  <c r="F415" i="33"/>
  <c r="F416" i="33"/>
  <c r="F417" i="33"/>
  <c r="F418" i="33"/>
  <c r="F419" i="33"/>
  <c r="F420" i="33"/>
  <c r="F421" i="33"/>
  <c r="F422" i="33"/>
  <c r="F423" i="33"/>
  <c r="F424" i="33"/>
  <c r="F425" i="33"/>
  <c r="F426" i="33"/>
  <c r="F427" i="33"/>
  <c r="F428" i="33"/>
  <c r="F429" i="33"/>
  <c r="F430" i="33"/>
  <c r="F431" i="33"/>
  <c r="F432" i="33"/>
  <c r="F433" i="33"/>
  <c r="F434" i="33"/>
  <c r="F435" i="33"/>
  <c r="F436" i="33"/>
  <c r="F437" i="33"/>
  <c r="F438" i="33"/>
  <c r="F439" i="33"/>
  <c r="F440" i="33"/>
  <c r="F441" i="33"/>
  <c r="F442" i="33"/>
  <c r="F443" i="33"/>
  <c r="F444" i="33"/>
  <c r="F445" i="33"/>
  <c r="F446" i="33"/>
  <c r="F447" i="33"/>
  <c r="F448" i="33"/>
  <c r="F449" i="33"/>
  <c r="F450" i="33"/>
  <c r="F451" i="33"/>
  <c r="F452" i="33"/>
  <c r="F453" i="33"/>
  <c r="F454" i="33"/>
  <c r="F455" i="33"/>
  <c r="F456" i="33"/>
  <c r="F457" i="33"/>
  <c r="F458" i="33"/>
  <c r="F459" i="33"/>
  <c r="F460" i="33"/>
  <c r="F461" i="33"/>
  <c r="F462" i="33"/>
  <c r="F463" i="33"/>
  <c r="F464" i="33"/>
  <c r="F465" i="33"/>
  <c r="F466" i="33"/>
  <c r="F467" i="33"/>
  <c r="F468" i="33"/>
  <c r="F469" i="33"/>
  <c r="F470" i="33"/>
  <c r="F471" i="33"/>
  <c r="F472" i="33"/>
  <c r="F473" i="33"/>
  <c r="F474" i="33"/>
  <c r="F475" i="33"/>
  <c r="F476" i="33"/>
  <c r="F477" i="33"/>
  <c r="F478" i="33"/>
  <c r="F479" i="33"/>
  <c r="F480" i="33"/>
  <c r="F481" i="33"/>
  <c r="F482" i="33"/>
  <c r="F483" i="33"/>
  <c r="F484" i="33"/>
  <c r="F485" i="33"/>
  <c r="F486" i="33"/>
  <c r="F487" i="33"/>
  <c r="F488" i="33"/>
  <c r="F489" i="33"/>
  <c r="F490" i="33"/>
  <c r="F491" i="33"/>
  <c r="F492" i="33"/>
  <c r="F493" i="33"/>
  <c r="F494" i="33"/>
  <c r="F495" i="33"/>
  <c r="F496" i="33"/>
  <c r="F497" i="33"/>
  <c r="F498" i="33"/>
  <c r="F499" i="33"/>
  <c r="F500" i="33"/>
  <c r="F501" i="33"/>
  <c r="F502" i="33"/>
  <c r="F503" i="33"/>
  <c r="F504" i="33"/>
  <c r="F505" i="33"/>
  <c r="F506" i="33"/>
  <c r="F507" i="33"/>
  <c r="F508" i="33"/>
  <c r="F509" i="33"/>
  <c r="F510" i="33"/>
  <c r="F511" i="33"/>
  <c r="F512" i="33"/>
  <c r="F513" i="33"/>
  <c r="F514" i="33"/>
  <c r="F515" i="33"/>
  <c r="F516" i="33"/>
  <c r="F517" i="33"/>
  <c r="F518" i="33"/>
  <c r="F519" i="33"/>
  <c r="F520" i="33"/>
  <c r="F521" i="33"/>
  <c r="F522" i="33"/>
  <c r="F523" i="33"/>
  <c r="F524" i="33"/>
  <c r="F525" i="33"/>
  <c r="F526" i="33"/>
  <c r="F527" i="33"/>
  <c r="F528" i="33"/>
  <c r="F529" i="33"/>
  <c r="F530" i="33"/>
  <c r="F531" i="33"/>
  <c r="F532" i="33"/>
  <c r="F533" i="33"/>
  <c r="F534" i="33"/>
  <c r="F535" i="33"/>
  <c r="F536" i="33"/>
  <c r="F537" i="33"/>
  <c r="F538" i="33"/>
  <c r="F539" i="33"/>
  <c r="F540" i="33"/>
  <c r="F541" i="33"/>
  <c r="F542" i="33"/>
  <c r="F543" i="33"/>
  <c r="F544" i="33"/>
  <c r="F545" i="33"/>
  <c r="F546" i="33"/>
  <c r="F547" i="33"/>
  <c r="F548" i="33"/>
  <c r="F549" i="33"/>
  <c r="F550" i="33"/>
  <c r="F551" i="33"/>
  <c r="F552" i="33"/>
  <c r="F553" i="33"/>
  <c r="F554" i="33"/>
  <c r="F555" i="33"/>
  <c r="F556" i="33"/>
  <c r="F557" i="33"/>
  <c r="F558" i="33"/>
  <c r="F559" i="33"/>
  <c r="F560" i="33"/>
  <c r="F561" i="33"/>
  <c r="F562" i="33"/>
  <c r="F563" i="33"/>
  <c r="F564" i="33"/>
  <c r="F565" i="33"/>
  <c r="F566" i="33"/>
  <c r="F567" i="33"/>
  <c r="F568" i="33"/>
  <c r="F569" i="33"/>
  <c r="F570" i="33"/>
  <c r="F571" i="33"/>
  <c r="F572" i="33"/>
  <c r="F573" i="33"/>
  <c r="F574" i="33"/>
  <c r="F575" i="33"/>
  <c r="F576" i="33"/>
  <c r="F577" i="33"/>
  <c r="F578" i="33"/>
  <c r="F579" i="33"/>
  <c r="F580" i="33"/>
  <c r="F581" i="33"/>
  <c r="F582" i="33"/>
  <c r="F583" i="33"/>
  <c r="F584" i="33"/>
  <c r="F585" i="33"/>
  <c r="F586" i="33"/>
  <c r="F587" i="33"/>
  <c r="F588" i="33"/>
  <c r="F589" i="33"/>
  <c r="F590" i="33"/>
  <c r="F591" i="33"/>
  <c r="F592" i="33"/>
  <c r="F593" i="33"/>
  <c r="F594" i="33"/>
  <c r="F595" i="33"/>
  <c r="F596" i="33"/>
  <c r="F597" i="33"/>
  <c r="F598" i="33"/>
  <c r="F599" i="33"/>
  <c r="F600" i="33"/>
  <c r="F601" i="33"/>
  <c r="F602" i="33"/>
  <c r="F603" i="33"/>
  <c r="F604" i="33"/>
  <c r="F605" i="33"/>
  <c r="F606" i="33"/>
  <c r="F607" i="33"/>
  <c r="F608" i="33"/>
  <c r="F609" i="33"/>
  <c r="F610" i="33"/>
  <c r="F611" i="33"/>
  <c r="F612" i="33"/>
  <c r="F613" i="33"/>
  <c r="F614" i="33"/>
  <c r="F615" i="33"/>
  <c r="F616" i="33"/>
  <c r="F617" i="33"/>
  <c r="F618" i="33"/>
  <c r="F619" i="33"/>
  <c r="F620" i="33"/>
  <c r="F621" i="33"/>
  <c r="F622" i="33"/>
  <c r="F623" i="33"/>
  <c r="F624" i="33"/>
  <c r="F625" i="33"/>
  <c r="F626" i="33"/>
  <c r="F627" i="33"/>
  <c r="F628" i="33"/>
  <c r="F629" i="33"/>
  <c r="F630" i="33"/>
  <c r="F631" i="33"/>
  <c r="F632" i="33"/>
  <c r="F633" i="33"/>
  <c r="F634" i="33"/>
  <c r="F635" i="33"/>
  <c r="F636" i="33"/>
  <c r="F637" i="33"/>
  <c r="F638" i="33"/>
  <c r="F639" i="33"/>
  <c r="F640" i="33"/>
  <c r="F641" i="33"/>
  <c r="F642" i="33"/>
  <c r="F643" i="33"/>
  <c r="F644" i="33"/>
  <c r="F645" i="33"/>
  <c r="F646" i="33"/>
  <c r="F647" i="33"/>
  <c r="F648" i="33"/>
  <c r="F649" i="33"/>
  <c r="F650" i="33"/>
  <c r="F651" i="33"/>
  <c r="F652" i="33"/>
  <c r="F653" i="33"/>
  <c r="F654" i="33"/>
  <c r="F655" i="33"/>
  <c r="F656" i="33"/>
  <c r="F657" i="33"/>
  <c r="F658" i="33"/>
  <c r="F659" i="33"/>
  <c r="F660" i="33"/>
  <c r="F661" i="33"/>
  <c r="F662" i="33"/>
  <c r="F663" i="33"/>
  <c r="F664" i="33"/>
  <c r="F665" i="33"/>
  <c r="F666" i="33"/>
  <c r="F667" i="33"/>
  <c r="F668" i="33"/>
  <c r="F669" i="33"/>
  <c r="F670" i="33"/>
  <c r="F671" i="33"/>
  <c r="F672" i="33"/>
  <c r="F673" i="33"/>
  <c r="F674" i="33"/>
  <c r="F675" i="33"/>
  <c r="F676" i="33"/>
  <c r="F677" i="33"/>
  <c r="F678" i="33"/>
  <c r="F679" i="33"/>
  <c r="F680" i="33"/>
  <c r="F681" i="33"/>
  <c r="F682" i="33"/>
  <c r="F683" i="33"/>
  <c r="F684" i="33"/>
  <c r="F685" i="33"/>
  <c r="F686" i="33"/>
  <c r="F687" i="33"/>
  <c r="F688" i="33"/>
  <c r="F689" i="33"/>
  <c r="F690" i="33"/>
  <c r="F691" i="33"/>
  <c r="F692" i="33"/>
  <c r="F693" i="33"/>
  <c r="F694" i="33"/>
  <c r="F695" i="33"/>
  <c r="F696" i="33"/>
  <c r="F697" i="33"/>
  <c r="F698" i="33"/>
  <c r="F699" i="33"/>
  <c r="F700" i="33"/>
  <c r="F701" i="33"/>
  <c r="F702" i="33"/>
  <c r="F703" i="33"/>
  <c r="F704" i="33"/>
  <c r="F705" i="33"/>
  <c r="F706" i="33"/>
  <c r="F707" i="33"/>
  <c r="F708" i="33"/>
  <c r="F709" i="33"/>
  <c r="F710" i="33"/>
  <c r="F711" i="33"/>
  <c r="F712" i="33"/>
  <c r="F713" i="33"/>
  <c r="F714" i="33"/>
  <c r="F715" i="33"/>
  <c r="F716" i="33"/>
  <c r="F717" i="33"/>
  <c r="F718" i="33"/>
  <c r="F719" i="33"/>
  <c r="F720" i="33"/>
  <c r="F721" i="33"/>
  <c r="F722" i="33"/>
  <c r="F723" i="33"/>
  <c r="F724" i="33"/>
  <c r="F725" i="33"/>
  <c r="F726" i="33"/>
  <c r="F727" i="33"/>
  <c r="F728" i="33"/>
  <c r="F729" i="33"/>
  <c r="F730" i="33"/>
  <c r="F731" i="33"/>
  <c r="F732" i="33"/>
  <c r="F733" i="33"/>
  <c r="F734" i="33"/>
  <c r="F735" i="33"/>
  <c r="F736" i="33"/>
  <c r="F737" i="33"/>
  <c r="F738" i="33"/>
  <c r="F739" i="33"/>
  <c r="F740" i="33"/>
  <c r="F741" i="33"/>
  <c r="F742" i="33"/>
  <c r="F743" i="33"/>
  <c r="F744" i="33"/>
  <c r="F745" i="33"/>
  <c r="F746" i="33"/>
  <c r="F747" i="33"/>
  <c r="F748" i="33"/>
  <c r="F749" i="33"/>
  <c r="F750" i="33"/>
  <c r="F751" i="33"/>
  <c r="F752" i="33"/>
  <c r="F753" i="33"/>
  <c r="F754" i="33"/>
  <c r="F755" i="33"/>
  <c r="F756" i="33"/>
  <c r="F757" i="33"/>
  <c r="F758" i="33"/>
  <c r="F759" i="33"/>
  <c r="F760" i="33"/>
  <c r="F761" i="33"/>
  <c r="F762" i="33"/>
  <c r="F763" i="33"/>
  <c r="F764" i="33"/>
  <c r="F765" i="33"/>
  <c r="F766" i="33"/>
  <c r="F767" i="33"/>
  <c r="F768" i="33"/>
  <c r="F769" i="33"/>
  <c r="F770" i="33"/>
  <c r="F771" i="33"/>
  <c r="F772" i="33"/>
  <c r="F773" i="33"/>
  <c r="F774" i="33"/>
  <c r="F775" i="33"/>
  <c r="F776" i="33"/>
  <c r="F777" i="33"/>
  <c r="F778" i="33"/>
  <c r="F779" i="33"/>
  <c r="F780" i="33"/>
  <c r="F781" i="33"/>
  <c r="F782" i="33"/>
  <c r="F783" i="33"/>
  <c r="F784" i="33"/>
  <c r="F785" i="33"/>
  <c r="F786" i="33"/>
  <c r="F787" i="33"/>
  <c r="F788" i="33"/>
  <c r="F789" i="33"/>
  <c r="F790" i="33"/>
  <c r="F791" i="33"/>
  <c r="F792" i="33"/>
  <c r="F793" i="33"/>
  <c r="F794" i="33"/>
  <c r="F795" i="33"/>
  <c r="F796" i="33"/>
  <c r="F797" i="33"/>
  <c r="F798" i="33"/>
  <c r="F799" i="33"/>
  <c r="F800" i="33"/>
  <c r="F801" i="33"/>
  <c r="F802" i="33"/>
  <c r="F803" i="33"/>
  <c r="F804" i="33"/>
  <c r="F805" i="33"/>
  <c r="F806" i="33"/>
  <c r="F807" i="33"/>
  <c r="F808" i="33"/>
  <c r="F809" i="33"/>
  <c r="F810" i="33"/>
  <c r="F811" i="33"/>
  <c r="F812" i="33"/>
  <c r="F813" i="33"/>
  <c r="F814" i="33"/>
  <c r="F815" i="33"/>
  <c r="F816" i="33"/>
  <c r="F817" i="33"/>
  <c r="F818" i="33"/>
  <c r="F819" i="33"/>
  <c r="F820" i="33"/>
  <c r="F821" i="33"/>
  <c r="F822" i="33"/>
  <c r="F823" i="33"/>
  <c r="F824" i="33"/>
  <c r="F825" i="33"/>
  <c r="F826" i="33"/>
  <c r="F827" i="33"/>
  <c r="F828" i="33"/>
  <c r="F829" i="33"/>
  <c r="F830" i="33"/>
  <c r="F831" i="33"/>
  <c r="F832" i="33"/>
  <c r="F833" i="33"/>
  <c r="F834" i="33"/>
  <c r="F835" i="33"/>
  <c r="F836" i="33"/>
  <c r="F837" i="33"/>
  <c r="F838" i="33"/>
  <c r="F839" i="33"/>
  <c r="F840" i="33"/>
  <c r="F841" i="33"/>
  <c r="F842" i="33"/>
  <c r="F843" i="33"/>
  <c r="F844" i="33"/>
  <c r="F845" i="33"/>
  <c r="F846" i="33"/>
  <c r="F847" i="33"/>
  <c r="F848" i="33"/>
  <c r="F849" i="33"/>
  <c r="F850" i="33"/>
  <c r="F851" i="33"/>
  <c r="F852" i="33"/>
  <c r="F853" i="33"/>
  <c r="F854" i="33"/>
  <c r="F855" i="33"/>
  <c r="F856" i="33"/>
  <c r="F857" i="33"/>
  <c r="F858" i="33"/>
  <c r="F859" i="33"/>
  <c r="F860" i="33"/>
  <c r="F861" i="33"/>
  <c r="F862" i="33"/>
  <c r="F863" i="33"/>
  <c r="F864" i="33"/>
  <c r="F865" i="33"/>
  <c r="F866" i="33"/>
  <c r="F867" i="33"/>
  <c r="F868" i="33"/>
  <c r="F869" i="33"/>
  <c r="F870" i="33"/>
  <c r="F871" i="33"/>
  <c r="F872" i="33"/>
  <c r="F873" i="33"/>
  <c r="F874" i="33"/>
  <c r="F875" i="33"/>
  <c r="F876" i="33"/>
  <c r="F877" i="33"/>
  <c r="F878" i="33"/>
  <c r="F879" i="33"/>
  <c r="F880" i="33"/>
  <c r="F881" i="33"/>
  <c r="F882" i="33"/>
  <c r="F883" i="33"/>
  <c r="F884" i="33"/>
  <c r="F885" i="33"/>
  <c r="F886" i="33"/>
  <c r="F887" i="33"/>
  <c r="F888" i="33"/>
  <c r="F889" i="33"/>
  <c r="F890" i="33"/>
  <c r="F891" i="33"/>
  <c r="F892" i="33"/>
  <c r="F893" i="33"/>
  <c r="F894" i="33"/>
  <c r="F895" i="33"/>
  <c r="F896" i="33"/>
  <c r="F897" i="33"/>
  <c r="F898" i="33"/>
  <c r="F899" i="33"/>
  <c r="F900" i="33"/>
  <c r="F901" i="33"/>
  <c r="F902" i="33"/>
  <c r="F903" i="33"/>
  <c r="F904" i="33"/>
  <c r="F905" i="33"/>
  <c r="F906" i="33"/>
  <c r="F907" i="33"/>
  <c r="F908" i="33"/>
  <c r="F909" i="33"/>
  <c r="F910" i="33"/>
  <c r="F911" i="33"/>
  <c r="F912" i="33"/>
  <c r="F913" i="33"/>
  <c r="F914" i="33"/>
  <c r="F915" i="33"/>
  <c r="F916" i="33"/>
  <c r="F917" i="33"/>
  <c r="F918" i="33"/>
  <c r="F919" i="33"/>
  <c r="F920" i="33"/>
  <c r="F921" i="33"/>
  <c r="F922" i="33"/>
  <c r="F923" i="33"/>
  <c r="F924" i="33"/>
  <c r="F925" i="33"/>
  <c r="F926" i="33"/>
  <c r="F927" i="33"/>
  <c r="F928" i="33"/>
  <c r="F929" i="33"/>
  <c r="F930" i="33"/>
  <c r="F931" i="33"/>
  <c r="F932" i="33"/>
  <c r="F933" i="33"/>
  <c r="F934" i="33"/>
  <c r="F935" i="33"/>
  <c r="F936" i="33"/>
  <c r="F937" i="33"/>
  <c r="F938" i="33"/>
  <c r="F939" i="33"/>
  <c r="F940" i="33"/>
  <c r="F941" i="33"/>
  <c r="F942" i="33"/>
  <c r="F943" i="33"/>
  <c r="F944" i="33"/>
  <c r="F945" i="33"/>
  <c r="F946" i="33"/>
  <c r="F947" i="33"/>
  <c r="F948" i="33"/>
  <c r="F949" i="33"/>
  <c r="F950" i="33"/>
  <c r="F951" i="33"/>
  <c r="F952" i="33"/>
  <c r="F953" i="33"/>
  <c r="F954" i="33"/>
  <c r="F955" i="33"/>
  <c r="F956" i="33"/>
  <c r="F957" i="33"/>
  <c r="F958" i="33"/>
  <c r="F959" i="33"/>
  <c r="F960" i="33"/>
  <c r="F961" i="33"/>
  <c r="F962" i="33"/>
  <c r="F963" i="33"/>
  <c r="F964" i="33"/>
  <c r="F965" i="33"/>
  <c r="F966" i="33"/>
  <c r="F967" i="33"/>
  <c r="F968" i="33"/>
  <c r="F969" i="33"/>
  <c r="F970" i="33"/>
  <c r="F971" i="33"/>
  <c r="F972" i="33"/>
  <c r="F973" i="33"/>
  <c r="F974" i="33"/>
  <c r="F975" i="33"/>
  <c r="F976" i="33"/>
  <c r="F977" i="33"/>
  <c r="F978" i="33"/>
  <c r="F979" i="33"/>
  <c r="F980" i="33"/>
  <c r="F981" i="33"/>
  <c r="F982" i="33"/>
  <c r="F983" i="33"/>
  <c r="F984" i="33"/>
  <c r="F985" i="33"/>
  <c r="F986" i="33"/>
  <c r="F987" i="33"/>
  <c r="F988" i="33"/>
  <c r="F989" i="33"/>
  <c r="F990" i="33"/>
  <c r="F991" i="33"/>
  <c r="F992" i="33"/>
  <c r="F993" i="33"/>
  <c r="F994" i="33"/>
  <c r="F995" i="33"/>
  <c r="F996" i="33"/>
  <c r="F997" i="33"/>
  <c r="F998" i="33"/>
  <c r="F999" i="33"/>
  <c r="F1000" i="33"/>
  <c r="F1001" i="33"/>
  <c r="F1002" i="33"/>
  <c r="F1003" i="33"/>
  <c r="F1004" i="33"/>
  <c r="F1005" i="33"/>
  <c r="F106" i="33"/>
  <c r="C12" i="5"/>
  <c r="AC33" i="5" s="1"/>
  <c r="AF33" i="5" s="1"/>
  <c r="AG33" i="5" s="1"/>
  <c r="C13" i="5"/>
  <c r="AC19" i="5"/>
  <c r="AD14" i="5"/>
  <c r="AI14" i="5"/>
  <c r="AD15" i="5"/>
  <c r="AI15" i="5"/>
  <c r="AC16" i="5"/>
  <c r="AD16" i="5"/>
  <c r="AI16" i="5"/>
  <c r="AD17" i="5"/>
  <c r="AI17" i="5"/>
  <c r="AD18" i="5"/>
  <c r="AI18" i="5"/>
  <c r="AD19" i="5"/>
  <c r="AI19" i="5"/>
  <c r="AD20" i="5"/>
  <c r="AI20" i="5"/>
  <c r="AD21" i="5"/>
  <c r="AI21" i="5"/>
  <c r="AC22" i="5"/>
  <c r="AD22" i="5"/>
  <c r="AI22" i="5"/>
  <c r="AD23" i="5"/>
  <c r="AI23" i="5"/>
  <c r="AD24" i="5"/>
  <c r="AI24" i="5"/>
  <c r="AC25" i="5"/>
  <c r="AD25" i="5"/>
  <c r="AI25" i="5"/>
  <c r="AD26" i="5"/>
  <c r="AI26" i="5"/>
  <c r="AD27" i="5"/>
  <c r="AI27" i="5"/>
  <c r="AD28" i="5"/>
  <c r="AI28" i="5"/>
  <c r="AD29" i="5"/>
  <c r="AI29" i="5"/>
  <c r="AC30" i="5"/>
  <c r="AD30" i="5"/>
  <c r="AI30" i="5"/>
  <c r="AD31" i="5"/>
  <c r="AI31" i="5"/>
  <c r="AD32" i="5"/>
  <c r="AI32" i="5"/>
  <c r="AC14" i="5"/>
  <c r="AC27" i="5" l="1"/>
  <c r="AC24" i="5"/>
  <c r="AC32" i="5"/>
  <c r="AC29" i="5"/>
  <c r="AC21" i="5"/>
  <c r="AC18" i="5"/>
  <c r="AC15" i="5"/>
  <c r="AC26" i="5"/>
  <c r="AC23" i="5"/>
  <c r="AC31" i="5"/>
  <c r="AC20" i="5"/>
  <c r="AC17" i="5"/>
  <c r="AC28" i="5"/>
  <c r="AU7" i="26"/>
  <c r="AU8" i="26" s="1"/>
  <c r="AU9" i="26" s="1"/>
  <c r="AG5" i="26"/>
  <c r="S7" i="26"/>
  <c r="S8" i="26"/>
  <c r="S9" i="26"/>
  <c r="S10" i="26"/>
  <c r="S11" i="26"/>
  <c r="S12" i="26"/>
  <c r="S13" i="26"/>
  <c r="S16" i="26"/>
  <c r="S17" i="26"/>
  <c r="S18" i="26"/>
  <c r="S19" i="26"/>
  <c r="S20" i="26"/>
  <c r="S21" i="26"/>
  <c r="S22" i="26"/>
  <c r="S23" i="26"/>
  <c r="S24" i="26"/>
  <c r="S25" i="26"/>
  <c r="S26" i="26"/>
  <c r="S27" i="26"/>
  <c r="S28" i="26"/>
  <c r="S31" i="26"/>
  <c r="S32" i="26"/>
  <c r="S33" i="26"/>
  <c r="S34" i="26"/>
  <c r="S35" i="26"/>
  <c r="S36" i="26"/>
  <c r="S37" i="26"/>
  <c r="S38" i="26"/>
  <c r="S39" i="26"/>
  <c r="S40" i="26"/>
  <c r="S41" i="26"/>
  <c r="S42" i="26"/>
  <c r="S43" i="26"/>
  <c r="S44" i="26"/>
  <c r="S45" i="26"/>
  <c r="S46" i="26"/>
  <c r="S47" i="26"/>
  <c r="S48" i="26"/>
  <c r="S49" i="26"/>
  <c r="S50" i="26"/>
  <c r="S51" i="26"/>
  <c r="S52" i="26"/>
  <c r="S53" i="26"/>
  <c r="S56" i="26"/>
  <c r="S57" i="26"/>
  <c r="S58" i="26"/>
  <c r="S59" i="26"/>
  <c r="S60" i="26"/>
  <c r="S61" i="26"/>
  <c r="S62" i="26"/>
  <c r="S63" i="26"/>
  <c r="S64" i="26"/>
  <c r="S65" i="26"/>
  <c r="S66" i="26"/>
  <c r="S67" i="26"/>
  <c r="S68" i="26"/>
  <c r="S69" i="26"/>
  <c r="S70" i="26"/>
  <c r="S71" i="26"/>
  <c r="S72" i="26"/>
  <c r="S73" i="26"/>
  <c r="S74" i="26"/>
  <c r="S75" i="26"/>
  <c r="S76" i="26"/>
  <c r="S77" i="26"/>
  <c r="S78" i="26"/>
  <c r="S79" i="26"/>
  <c r="S80" i="26"/>
  <c r="S81" i="26"/>
  <c r="S82" i="26"/>
  <c r="S83" i="26"/>
  <c r="S84" i="26"/>
  <c r="S85" i="26"/>
  <c r="S86" i="26"/>
  <c r="S87" i="26"/>
  <c r="S88" i="26"/>
  <c r="S89" i="26"/>
  <c r="S90" i="26"/>
  <c r="S91" i="26"/>
  <c r="S92" i="26"/>
  <c r="S93" i="26"/>
  <c r="S94" i="26"/>
  <c r="S95" i="26"/>
  <c r="S96" i="26"/>
  <c r="S97" i="26"/>
  <c r="S98" i="26"/>
  <c r="S99" i="26"/>
  <c r="S100" i="26"/>
  <c r="S101" i="26"/>
  <c r="S102" i="26"/>
  <c r="S103" i="26"/>
  <c r="S106" i="26"/>
  <c r="S107" i="26"/>
  <c r="S108" i="26"/>
  <c r="S109" i="26"/>
  <c r="S110" i="26"/>
  <c r="S111" i="26"/>
  <c r="S112" i="26"/>
  <c r="S113" i="26"/>
  <c r="S114" i="26"/>
  <c r="S115" i="26"/>
  <c r="S116" i="26"/>
  <c r="S117" i="26"/>
  <c r="S118" i="26"/>
  <c r="S119" i="26"/>
  <c r="S120" i="26"/>
  <c r="S121" i="26"/>
  <c r="S122" i="26"/>
  <c r="S123" i="26"/>
  <c r="S124" i="26"/>
  <c r="S125" i="26"/>
  <c r="S126" i="26"/>
  <c r="S127" i="26"/>
  <c r="S128" i="26"/>
  <c r="S129" i="26"/>
  <c r="S130" i="26"/>
  <c r="S131" i="26"/>
  <c r="S132" i="26"/>
  <c r="S133" i="26"/>
  <c r="S134" i="26"/>
  <c r="S135" i="26"/>
  <c r="S136" i="26"/>
  <c r="S137" i="26"/>
  <c r="S138" i="26"/>
  <c r="S139" i="26"/>
  <c r="S140" i="26"/>
  <c r="S141" i="26"/>
  <c r="S142" i="26"/>
  <c r="S143" i="26"/>
  <c r="S144" i="26"/>
  <c r="S145" i="26"/>
  <c r="S146" i="26"/>
  <c r="S147" i="26"/>
  <c r="S148" i="26"/>
  <c r="S149" i="26"/>
  <c r="S150" i="26"/>
  <c r="S151" i="26"/>
  <c r="S152" i="26"/>
  <c r="S153" i="26"/>
  <c r="S156" i="26"/>
  <c r="S157" i="26"/>
  <c r="S158" i="26"/>
  <c r="S159" i="26"/>
  <c r="S160" i="26"/>
  <c r="S161" i="26"/>
  <c r="S162" i="26"/>
  <c r="S163" i="26"/>
  <c r="S164" i="26"/>
  <c r="S165" i="26"/>
  <c r="S166" i="26"/>
  <c r="S167" i="26"/>
  <c r="S168" i="26"/>
  <c r="S169" i="26"/>
  <c r="S170" i="26"/>
  <c r="S171" i="26"/>
  <c r="S172" i="26"/>
  <c r="S173" i="26"/>
  <c r="S174" i="26"/>
  <c r="S175" i="26"/>
  <c r="S176" i="26"/>
  <c r="S177" i="26"/>
  <c r="S178" i="26"/>
  <c r="S179" i="26"/>
  <c r="S180" i="26"/>
  <c r="S181" i="26"/>
  <c r="S182" i="26"/>
  <c r="S183" i="26"/>
  <c r="S184" i="26"/>
  <c r="S185" i="26"/>
  <c r="S186" i="26"/>
  <c r="S187" i="26"/>
  <c r="S188" i="26"/>
  <c r="S189" i="26"/>
  <c r="S190" i="26"/>
  <c r="S191" i="26"/>
  <c r="S192" i="26"/>
  <c r="S193" i="26"/>
  <c r="S194" i="26"/>
  <c r="S195" i="26"/>
  <c r="S196" i="26"/>
  <c r="S197" i="26"/>
  <c r="S198" i="26"/>
  <c r="S199" i="26"/>
  <c r="S200" i="26"/>
  <c r="S201" i="26"/>
  <c r="S202" i="26"/>
  <c r="S203" i="26"/>
  <c r="S206" i="26"/>
  <c r="S207" i="26"/>
  <c r="S208" i="26"/>
  <c r="S209" i="26"/>
  <c r="S210" i="26"/>
  <c r="S211" i="26"/>
  <c r="S212" i="26"/>
  <c r="S213" i="26"/>
  <c r="S214" i="26"/>
  <c r="S215" i="26"/>
  <c r="S6" i="26"/>
  <c r="G7" i="26"/>
  <c r="Q7" i="26" s="1"/>
  <c r="G8" i="26"/>
  <c r="Q8" i="26" s="1"/>
  <c r="G9" i="26"/>
  <c r="Q9" i="26" s="1"/>
  <c r="G10" i="26"/>
  <c r="Q10" i="26" s="1"/>
  <c r="G11" i="26"/>
  <c r="Q11" i="26" s="1"/>
  <c r="G12" i="26"/>
  <c r="Q12" i="26" s="1"/>
  <c r="G13" i="26"/>
  <c r="Q13" i="26" s="1"/>
  <c r="G14" i="26"/>
  <c r="Q14" i="26" s="1"/>
  <c r="G15" i="26"/>
  <c r="Q15" i="26" s="1"/>
  <c r="G16" i="26"/>
  <c r="Q16" i="26" s="1"/>
  <c r="G17" i="26"/>
  <c r="Q17" i="26" s="1"/>
  <c r="G18" i="26"/>
  <c r="Q18" i="26" s="1"/>
  <c r="G19" i="26"/>
  <c r="Q19" i="26" s="1"/>
  <c r="G20" i="26"/>
  <c r="Q20" i="26" s="1"/>
  <c r="G21" i="26"/>
  <c r="Q21" i="26" s="1"/>
  <c r="G22" i="26"/>
  <c r="Q22" i="26" s="1"/>
  <c r="G23" i="26"/>
  <c r="Q23" i="26" s="1"/>
  <c r="G24" i="26"/>
  <c r="Q24" i="26" s="1"/>
  <c r="G25" i="26"/>
  <c r="Q25" i="26" s="1"/>
  <c r="G26" i="26"/>
  <c r="Q26" i="26" s="1"/>
  <c r="G27" i="26"/>
  <c r="Q27" i="26" s="1"/>
  <c r="G28" i="26"/>
  <c r="Q28" i="26" s="1"/>
  <c r="G29" i="26"/>
  <c r="Q29" i="26" s="1"/>
  <c r="G30" i="26"/>
  <c r="Q30" i="26" s="1"/>
  <c r="G31" i="26"/>
  <c r="Q31" i="26" s="1"/>
  <c r="G32" i="26"/>
  <c r="Q32" i="26" s="1"/>
  <c r="G33" i="26"/>
  <c r="Q33" i="26" s="1"/>
  <c r="G34" i="26"/>
  <c r="Q34" i="26" s="1"/>
  <c r="G35" i="26"/>
  <c r="Q35" i="26" s="1"/>
  <c r="G36" i="26"/>
  <c r="Q36" i="26" s="1"/>
  <c r="G37" i="26"/>
  <c r="Q37" i="26" s="1"/>
  <c r="G38" i="26"/>
  <c r="Q38" i="26" s="1"/>
  <c r="G39" i="26"/>
  <c r="Q39" i="26" s="1"/>
  <c r="G40" i="26"/>
  <c r="Q40" i="26" s="1"/>
  <c r="G41" i="26"/>
  <c r="Q41" i="26" s="1"/>
  <c r="G42" i="26"/>
  <c r="Q42" i="26" s="1"/>
  <c r="G43" i="26"/>
  <c r="Q43" i="26" s="1"/>
  <c r="G44" i="26"/>
  <c r="Q44" i="26" s="1"/>
  <c r="G45" i="26"/>
  <c r="Q45" i="26" s="1"/>
  <c r="G46" i="26"/>
  <c r="Q46" i="26" s="1"/>
  <c r="G47" i="26"/>
  <c r="Q47" i="26" s="1"/>
  <c r="G48" i="26"/>
  <c r="Q48" i="26" s="1"/>
  <c r="G49" i="26"/>
  <c r="Q49" i="26" s="1"/>
  <c r="G50" i="26"/>
  <c r="Q50" i="26" s="1"/>
  <c r="G51" i="26"/>
  <c r="Q51" i="26" s="1"/>
  <c r="G52" i="26"/>
  <c r="Q52" i="26" s="1"/>
  <c r="G53" i="26"/>
  <c r="Q53" i="26" s="1"/>
  <c r="G54" i="26"/>
  <c r="Q54" i="26" s="1"/>
  <c r="G55" i="26"/>
  <c r="Q55" i="26" s="1"/>
  <c r="G56" i="26"/>
  <c r="Q56" i="26" s="1"/>
  <c r="G57" i="26"/>
  <c r="Q57" i="26" s="1"/>
  <c r="G58" i="26"/>
  <c r="Q58" i="26" s="1"/>
  <c r="G59" i="26"/>
  <c r="Q59" i="26" s="1"/>
  <c r="G60" i="26"/>
  <c r="Q60" i="26" s="1"/>
  <c r="G61" i="26"/>
  <c r="Q61" i="26" s="1"/>
  <c r="G62" i="26"/>
  <c r="Q62" i="26" s="1"/>
  <c r="G63" i="26"/>
  <c r="Q63" i="26" s="1"/>
  <c r="G64" i="26"/>
  <c r="Q64" i="26" s="1"/>
  <c r="G65" i="26"/>
  <c r="Q65" i="26" s="1"/>
  <c r="G66" i="26"/>
  <c r="Q66" i="26" s="1"/>
  <c r="G67" i="26"/>
  <c r="Q67" i="26" s="1"/>
  <c r="G68" i="26"/>
  <c r="Q68" i="26" s="1"/>
  <c r="G69" i="26"/>
  <c r="Q69" i="26" s="1"/>
  <c r="G70" i="26"/>
  <c r="Q70" i="26" s="1"/>
  <c r="G71" i="26"/>
  <c r="Q71" i="26" s="1"/>
  <c r="G72" i="26"/>
  <c r="Q72" i="26" s="1"/>
  <c r="G73" i="26"/>
  <c r="Q73" i="26" s="1"/>
  <c r="G74" i="26"/>
  <c r="Q74" i="26" s="1"/>
  <c r="G75" i="26"/>
  <c r="Q75" i="26" s="1"/>
  <c r="G76" i="26"/>
  <c r="Q76" i="26" s="1"/>
  <c r="G77" i="26"/>
  <c r="Q77" i="26" s="1"/>
  <c r="G78" i="26"/>
  <c r="Q78" i="26" s="1"/>
  <c r="G79" i="26"/>
  <c r="Q79" i="26" s="1"/>
  <c r="G80" i="26"/>
  <c r="Q80" i="26" s="1"/>
  <c r="G81" i="26"/>
  <c r="Q81" i="26" s="1"/>
  <c r="G82" i="26"/>
  <c r="Q82" i="26" s="1"/>
  <c r="G83" i="26"/>
  <c r="Q83" i="26" s="1"/>
  <c r="G84" i="26"/>
  <c r="Q84" i="26" s="1"/>
  <c r="G85" i="26"/>
  <c r="Q85" i="26" s="1"/>
  <c r="G86" i="26"/>
  <c r="Q86" i="26" s="1"/>
  <c r="G87" i="26"/>
  <c r="Q87" i="26" s="1"/>
  <c r="G88" i="26"/>
  <c r="Q88" i="26" s="1"/>
  <c r="G89" i="26"/>
  <c r="Q89" i="26" s="1"/>
  <c r="G90" i="26"/>
  <c r="Q90" i="26" s="1"/>
  <c r="G91" i="26"/>
  <c r="Q91" i="26" s="1"/>
  <c r="G92" i="26"/>
  <c r="Q92" i="26" s="1"/>
  <c r="G93" i="26"/>
  <c r="Q93" i="26" s="1"/>
  <c r="G94" i="26"/>
  <c r="Q94" i="26" s="1"/>
  <c r="G95" i="26"/>
  <c r="Q95" i="26" s="1"/>
  <c r="G96" i="26"/>
  <c r="Q96" i="26" s="1"/>
  <c r="G97" i="26"/>
  <c r="Q97" i="26" s="1"/>
  <c r="G98" i="26"/>
  <c r="Q98" i="26" s="1"/>
  <c r="G99" i="26"/>
  <c r="Q99" i="26" s="1"/>
  <c r="G100" i="26"/>
  <c r="Q100" i="26" s="1"/>
  <c r="G101" i="26"/>
  <c r="Q101" i="26" s="1"/>
  <c r="G102" i="26"/>
  <c r="Q102" i="26" s="1"/>
  <c r="G103" i="26"/>
  <c r="Q103" i="26" s="1"/>
  <c r="G104" i="26"/>
  <c r="Q104" i="26" s="1"/>
  <c r="G105" i="26"/>
  <c r="Q105" i="26" s="1"/>
  <c r="G106" i="26"/>
  <c r="Q106" i="26" s="1"/>
  <c r="G107" i="26"/>
  <c r="Q107" i="26" s="1"/>
  <c r="G108" i="26"/>
  <c r="Q108" i="26" s="1"/>
  <c r="G109" i="26"/>
  <c r="Q109" i="26" s="1"/>
  <c r="G110" i="26"/>
  <c r="Q110" i="26" s="1"/>
  <c r="G111" i="26"/>
  <c r="Q111" i="26" s="1"/>
  <c r="G112" i="26"/>
  <c r="Q112" i="26" s="1"/>
  <c r="G113" i="26"/>
  <c r="Q113" i="26" s="1"/>
  <c r="G114" i="26"/>
  <c r="Q114" i="26" s="1"/>
  <c r="G115" i="26"/>
  <c r="Q115" i="26" s="1"/>
  <c r="G116" i="26"/>
  <c r="Q116" i="26" s="1"/>
  <c r="G117" i="26"/>
  <c r="Q117" i="26" s="1"/>
  <c r="G118" i="26"/>
  <c r="Q118" i="26" s="1"/>
  <c r="G119" i="26"/>
  <c r="Q119" i="26" s="1"/>
  <c r="G120" i="26"/>
  <c r="Q120" i="26" s="1"/>
  <c r="G121" i="26"/>
  <c r="Q121" i="26" s="1"/>
  <c r="G122" i="26"/>
  <c r="Q122" i="26" s="1"/>
  <c r="G123" i="26"/>
  <c r="Q123" i="26" s="1"/>
  <c r="G124" i="26"/>
  <c r="Q124" i="26" s="1"/>
  <c r="G125" i="26"/>
  <c r="Q125" i="26" s="1"/>
  <c r="G126" i="26"/>
  <c r="Q126" i="26" s="1"/>
  <c r="G127" i="26"/>
  <c r="Q127" i="26" s="1"/>
  <c r="G128" i="26"/>
  <c r="Q128" i="26" s="1"/>
  <c r="G129" i="26"/>
  <c r="Q129" i="26" s="1"/>
  <c r="G130" i="26"/>
  <c r="Q130" i="26" s="1"/>
  <c r="G131" i="26"/>
  <c r="Q131" i="26" s="1"/>
  <c r="G132" i="26"/>
  <c r="Q132" i="26" s="1"/>
  <c r="G133" i="26"/>
  <c r="Q133" i="26" s="1"/>
  <c r="G134" i="26"/>
  <c r="Q134" i="26" s="1"/>
  <c r="G135" i="26"/>
  <c r="Q135" i="26" s="1"/>
  <c r="G136" i="26"/>
  <c r="Q136" i="26" s="1"/>
  <c r="G137" i="26"/>
  <c r="Q137" i="26" s="1"/>
  <c r="G138" i="26"/>
  <c r="Q138" i="26" s="1"/>
  <c r="G139" i="26"/>
  <c r="Q139" i="26" s="1"/>
  <c r="G140" i="26"/>
  <c r="Q140" i="26" s="1"/>
  <c r="G141" i="26"/>
  <c r="Q141" i="26" s="1"/>
  <c r="G142" i="26"/>
  <c r="Q142" i="26" s="1"/>
  <c r="G143" i="26"/>
  <c r="Q143" i="26" s="1"/>
  <c r="G144" i="26"/>
  <c r="Q144" i="26" s="1"/>
  <c r="G145" i="26"/>
  <c r="Q145" i="26" s="1"/>
  <c r="G146" i="26"/>
  <c r="Q146" i="26" s="1"/>
  <c r="G147" i="26"/>
  <c r="Q147" i="26" s="1"/>
  <c r="G148" i="26"/>
  <c r="Q148" i="26" s="1"/>
  <c r="G149" i="26"/>
  <c r="Q149" i="26" s="1"/>
  <c r="G150" i="26"/>
  <c r="Q150" i="26" s="1"/>
  <c r="G151" i="26"/>
  <c r="Q151" i="26" s="1"/>
  <c r="G152" i="26"/>
  <c r="Q152" i="26" s="1"/>
  <c r="G153" i="26"/>
  <c r="Q153" i="26" s="1"/>
  <c r="G154" i="26"/>
  <c r="Q154" i="26" s="1"/>
  <c r="G155" i="26"/>
  <c r="Q155" i="26" s="1"/>
  <c r="G156" i="26"/>
  <c r="Q156" i="26" s="1"/>
  <c r="G157" i="26"/>
  <c r="Q157" i="26" s="1"/>
  <c r="G158" i="26"/>
  <c r="Q158" i="26" s="1"/>
  <c r="G159" i="26"/>
  <c r="Q159" i="26" s="1"/>
  <c r="G160" i="26"/>
  <c r="Q160" i="26" s="1"/>
  <c r="G161" i="26"/>
  <c r="Q161" i="26" s="1"/>
  <c r="G162" i="26"/>
  <c r="Q162" i="26" s="1"/>
  <c r="G163" i="26"/>
  <c r="Q163" i="26" s="1"/>
  <c r="G164" i="26"/>
  <c r="Q164" i="26" s="1"/>
  <c r="G165" i="26"/>
  <c r="Q165" i="26" s="1"/>
  <c r="G166" i="26"/>
  <c r="Q166" i="26" s="1"/>
  <c r="G167" i="26"/>
  <c r="Q167" i="26" s="1"/>
  <c r="G168" i="26"/>
  <c r="Q168" i="26" s="1"/>
  <c r="G169" i="26"/>
  <c r="Q169" i="26" s="1"/>
  <c r="G170" i="26"/>
  <c r="Q170" i="26" s="1"/>
  <c r="G171" i="26"/>
  <c r="Q171" i="26" s="1"/>
  <c r="G172" i="26"/>
  <c r="Q172" i="26" s="1"/>
  <c r="G173" i="26"/>
  <c r="Q173" i="26" s="1"/>
  <c r="G174" i="26"/>
  <c r="Q174" i="26" s="1"/>
  <c r="G175" i="26"/>
  <c r="Q175" i="26" s="1"/>
  <c r="G176" i="26"/>
  <c r="Q176" i="26" s="1"/>
  <c r="G177" i="26"/>
  <c r="Q177" i="26" s="1"/>
  <c r="G178" i="26"/>
  <c r="Q178" i="26" s="1"/>
  <c r="G179" i="26"/>
  <c r="Q179" i="26" s="1"/>
  <c r="G180" i="26"/>
  <c r="Q180" i="26" s="1"/>
  <c r="G181" i="26"/>
  <c r="Q181" i="26" s="1"/>
  <c r="G182" i="26"/>
  <c r="Q182" i="26" s="1"/>
  <c r="G183" i="26"/>
  <c r="Q183" i="26" s="1"/>
  <c r="G184" i="26"/>
  <c r="Q184" i="26" s="1"/>
  <c r="G185" i="26"/>
  <c r="Q185" i="26" s="1"/>
  <c r="G186" i="26"/>
  <c r="Q186" i="26" s="1"/>
  <c r="G187" i="26"/>
  <c r="Q187" i="26" s="1"/>
  <c r="G188" i="26"/>
  <c r="Q188" i="26" s="1"/>
  <c r="G189" i="26"/>
  <c r="Q189" i="26" s="1"/>
  <c r="G190" i="26"/>
  <c r="Q190" i="26" s="1"/>
  <c r="G191" i="26"/>
  <c r="Q191" i="26" s="1"/>
  <c r="G192" i="26"/>
  <c r="Q192" i="26" s="1"/>
  <c r="G193" i="26"/>
  <c r="Q193" i="26" s="1"/>
  <c r="G194" i="26"/>
  <c r="Q194" i="26" s="1"/>
  <c r="G195" i="26"/>
  <c r="Q195" i="26" s="1"/>
  <c r="G196" i="26"/>
  <c r="Q196" i="26" s="1"/>
  <c r="G197" i="26"/>
  <c r="Q197" i="26" s="1"/>
  <c r="G198" i="26"/>
  <c r="Q198" i="26" s="1"/>
  <c r="G199" i="26"/>
  <c r="Q199" i="26" s="1"/>
  <c r="G200" i="26"/>
  <c r="Q200" i="26" s="1"/>
  <c r="G201" i="26"/>
  <c r="Q201" i="26" s="1"/>
  <c r="G202" i="26"/>
  <c r="Q202" i="26" s="1"/>
  <c r="G203" i="26"/>
  <c r="Q203" i="26" s="1"/>
  <c r="G204" i="26"/>
  <c r="Q204" i="26" s="1"/>
  <c r="G205" i="26"/>
  <c r="Q205" i="26" s="1"/>
  <c r="G206" i="26"/>
  <c r="Q206" i="26" s="1"/>
  <c r="G207" i="26"/>
  <c r="Q207" i="26" s="1"/>
  <c r="G208" i="26"/>
  <c r="Q208" i="26" s="1"/>
  <c r="G209" i="26"/>
  <c r="Q209" i="26" s="1"/>
  <c r="G210" i="26"/>
  <c r="Q210" i="26" s="1"/>
  <c r="G211" i="26"/>
  <c r="Q211" i="26" s="1"/>
  <c r="G212" i="26"/>
  <c r="Q212" i="26" s="1"/>
  <c r="G213" i="26"/>
  <c r="Q213" i="26" s="1"/>
  <c r="G214" i="26"/>
  <c r="Q214" i="26" s="1"/>
  <c r="G215" i="26"/>
  <c r="Q215" i="26" s="1"/>
  <c r="G6" i="26"/>
  <c r="Q6" i="26" l="1"/>
  <c r="AU10" i="26"/>
  <c r="AO16" i="26"/>
  <c r="AO134" i="26"/>
  <c r="AO182" i="26"/>
  <c r="AO74" i="26"/>
  <c r="AO207" i="26"/>
  <c r="AO195" i="26"/>
  <c r="AO183" i="26"/>
  <c r="AO171" i="26"/>
  <c r="AO159" i="26"/>
  <c r="AO147" i="26"/>
  <c r="AO135" i="26"/>
  <c r="AO123" i="26"/>
  <c r="AO111" i="26"/>
  <c r="AO99" i="26"/>
  <c r="AO87" i="26"/>
  <c r="AO75" i="26"/>
  <c r="AO63" i="26"/>
  <c r="AO51" i="26"/>
  <c r="AO39" i="26"/>
  <c r="AO27" i="26"/>
  <c r="AO15" i="26"/>
  <c r="AO38" i="26"/>
  <c r="AO205" i="26"/>
  <c r="AO193" i="26"/>
  <c r="AO181" i="26"/>
  <c r="AO169" i="26"/>
  <c r="AO157" i="26"/>
  <c r="AO145" i="26"/>
  <c r="AO133" i="26"/>
  <c r="AO121" i="26"/>
  <c r="AO109" i="26"/>
  <c r="AO97" i="26"/>
  <c r="AO85" i="26"/>
  <c r="AO73" i="26"/>
  <c r="AO61" i="26"/>
  <c r="AO49" i="26"/>
  <c r="AO37" i="26"/>
  <c r="AO25" i="26"/>
  <c r="AO13" i="26"/>
  <c r="AO50" i="26"/>
  <c r="AO6" i="26"/>
  <c r="AO204" i="26"/>
  <c r="AO192" i="26"/>
  <c r="AO180" i="26"/>
  <c r="AO168" i="26"/>
  <c r="AO156" i="26"/>
  <c r="AO144" i="26"/>
  <c r="AO132" i="26"/>
  <c r="AO120" i="26"/>
  <c r="AO108" i="26"/>
  <c r="AO96" i="26"/>
  <c r="AO84" i="26"/>
  <c r="AO72" i="26"/>
  <c r="AO60" i="26"/>
  <c r="AO48" i="26"/>
  <c r="AO36" i="26"/>
  <c r="AO24" i="26"/>
  <c r="AO12" i="26"/>
  <c r="AO62" i="26"/>
  <c r="AO215" i="26"/>
  <c r="AO203" i="26"/>
  <c r="AO191" i="26"/>
  <c r="AO179" i="26"/>
  <c r="AO167" i="26"/>
  <c r="AO155" i="26"/>
  <c r="AO143" i="26"/>
  <c r="AO131" i="26"/>
  <c r="AO119" i="26"/>
  <c r="AO107" i="26"/>
  <c r="AO95" i="26"/>
  <c r="AO83" i="26"/>
  <c r="AO71" i="26"/>
  <c r="AO59" i="26"/>
  <c r="AO47" i="26"/>
  <c r="AO35" i="26"/>
  <c r="AO23" i="26"/>
  <c r="AO11" i="26"/>
  <c r="AO158" i="26"/>
  <c r="AO110" i="26"/>
  <c r="AO214" i="26"/>
  <c r="AO202" i="26"/>
  <c r="AO190" i="26"/>
  <c r="AO178" i="26"/>
  <c r="AO166" i="26"/>
  <c r="AO154" i="26"/>
  <c r="AO142" i="26"/>
  <c r="AO130" i="26"/>
  <c r="AO118" i="26"/>
  <c r="AO106" i="26"/>
  <c r="AO94" i="26"/>
  <c r="AO82" i="26"/>
  <c r="AO70" i="26"/>
  <c r="AO58" i="26"/>
  <c r="AO46" i="26"/>
  <c r="AO34" i="26"/>
  <c r="AO22" i="26"/>
  <c r="AO10" i="26"/>
  <c r="AO14" i="26"/>
  <c r="AO213" i="26"/>
  <c r="AO201" i="26"/>
  <c r="AO189" i="26"/>
  <c r="AO177" i="26"/>
  <c r="AO165" i="26"/>
  <c r="AO153" i="26"/>
  <c r="AO141" i="26"/>
  <c r="AO129" i="26"/>
  <c r="AO117" i="26"/>
  <c r="AO105" i="26"/>
  <c r="AO93" i="26"/>
  <c r="AO81" i="26"/>
  <c r="AO69" i="26"/>
  <c r="AO57" i="26"/>
  <c r="AO45" i="26"/>
  <c r="AO33" i="26"/>
  <c r="AO21" i="26"/>
  <c r="AO9" i="26"/>
  <c r="AO206" i="26"/>
  <c r="AO86" i="26"/>
  <c r="AO212" i="26"/>
  <c r="AO200" i="26"/>
  <c r="AO188" i="26"/>
  <c r="AO176" i="26"/>
  <c r="AO164" i="26"/>
  <c r="AO152" i="26"/>
  <c r="AO140" i="26"/>
  <c r="AO128" i="26"/>
  <c r="AO116" i="26"/>
  <c r="AO104" i="26"/>
  <c r="AO92" i="26"/>
  <c r="AO80" i="26"/>
  <c r="AO68" i="26"/>
  <c r="AO56" i="26"/>
  <c r="AO44" i="26"/>
  <c r="AO32" i="26"/>
  <c r="AO20" i="26"/>
  <c r="AO8" i="26"/>
  <c r="AO146" i="26"/>
  <c r="AO122" i="26"/>
  <c r="AO211" i="26"/>
  <c r="AO199" i="26"/>
  <c r="AO187" i="26"/>
  <c r="AO175" i="26"/>
  <c r="AO163" i="26"/>
  <c r="AO151" i="26"/>
  <c r="AO139" i="26"/>
  <c r="AO127" i="26"/>
  <c r="AO115" i="26"/>
  <c r="AO103" i="26"/>
  <c r="AO91" i="26"/>
  <c r="AO79" i="26"/>
  <c r="AO67" i="26"/>
  <c r="AO55" i="26"/>
  <c r="AO43" i="26"/>
  <c r="AO31" i="26"/>
  <c r="AO19" i="26"/>
  <c r="AO7" i="26"/>
  <c r="AO194" i="26"/>
  <c r="AO98" i="26"/>
  <c r="AO210" i="26"/>
  <c r="AO198" i="26"/>
  <c r="AO186" i="26"/>
  <c r="AO174" i="26"/>
  <c r="AO162" i="26"/>
  <c r="AO150" i="26"/>
  <c r="AO138" i="26"/>
  <c r="AO126" i="26"/>
  <c r="AO114" i="26"/>
  <c r="AO102" i="26"/>
  <c r="AO90" i="26"/>
  <c r="AO78" i="26"/>
  <c r="AO66" i="26"/>
  <c r="AO54" i="26"/>
  <c r="AO42" i="26"/>
  <c r="AO30" i="26"/>
  <c r="AO18" i="26"/>
  <c r="AO26" i="26"/>
  <c r="AO209" i="26"/>
  <c r="AO197" i="26"/>
  <c r="AO185" i="26"/>
  <c r="AO173" i="26"/>
  <c r="AO161" i="26"/>
  <c r="AO149" i="26"/>
  <c r="AO137" i="26"/>
  <c r="AO125" i="26"/>
  <c r="AO113" i="26"/>
  <c r="AO101" i="26"/>
  <c r="AO89" i="26"/>
  <c r="AO77" i="26"/>
  <c r="AO65" i="26"/>
  <c r="AO53" i="26"/>
  <c r="AO41" i="26"/>
  <c r="AO29" i="26"/>
  <c r="AO17" i="26"/>
  <c r="AO170" i="26"/>
  <c r="AO208" i="26"/>
  <c r="AO196" i="26"/>
  <c r="AO184" i="26"/>
  <c r="AO172" i="26"/>
  <c r="AO160" i="26"/>
  <c r="AO148" i="26"/>
  <c r="AO136" i="26"/>
  <c r="AO124" i="26"/>
  <c r="AO112" i="26"/>
  <c r="AO100" i="26"/>
  <c r="AO88" i="26"/>
  <c r="AO76" i="26"/>
  <c r="AO64" i="26"/>
  <c r="AO52" i="26"/>
  <c r="AO40" i="26"/>
  <c r="AO28" i="26"/>
  <c r="AG9" i="26"/>
  <c r="AG13" i="26"/>
  <c r="AG7" i="26"/>
  <c r="AG12" i="26"/>
  <c r="AG11" i="26"/>
  <c r="AG10" i="26"/>
  <c r="AG8" i="26"/>
  <c r="AG6" i="26"/>
  <c r="G8" i="7"/>
  <c r="BC10" i="26" l="1"/>
  <c r="BE11" i="26" s="1"/>
  <c r="AU11" i="26"/>
  <c r="BC9" i="26"/>
  <c r="BE10" i="26" s="1"/>
  <c r="BC8" i="26"/>
  <c r="BE9" i="26" s="1"/>
  <c r="BC7" i="26"/>
  <c r="BE8" i="26" s="1"/>
  <c r="T6" i="31"/>
  <c r="S6" i="31"/>
  <c r="R6" i="31"/>
  <c r="Q6" i="31"/>
  <c r="P6" i="31"/>
  <c r="O6" i="31"/>
  <c r="N6" i="31"/>
  <c r="M6" i="31"/>
  <c r="L6" i="31"/>
  <c r="K6" i="31"/>
  <c r="J6" i="31"/>
  <c r="I6" i="31"/>
  <c r="C7" i="30"/>
  <c r="O6" i="30"/>
  <c r="N6" i="30"/>
  <c r="M6" i="30"/>
  <c r="L6" i="30"/>
  <c r="K6" i="30"/>
  <c r="J6" i="30"/>
  <c r="I6" i="30"/>
  <c r="H6" i="30"/>
  <c r="G6" i="30"/>
  <c r="F6" i="30"/>
  <c r="E6" i="30"/>
  <c r="D6" i="30"/>
  <c r="F6" i="1"/>
  <c r="P6" i="1" s="1"/>
  <c r="V6" i="1" l="1"/>
  <c r="BD10" i="26"/>
  <c r="AW10" i="26"/>
  <c r="AW8" i="26"/>
  <c r="AW9" i="26"/>
  <c r="BD9" i="26"/>
  <c r="AU12" i="26"/>
  <c r="BC11" i="26"/>
  <c r="BE12" i="26" s="1"/>
  <c r="BD7" i="26"/>
  <c r="AW7" i="26"/>
  <c r="AV7" i="26" s="1"/>
  <c r="B7" i="28"/>
  <c r="C7" i="28"/>
  <c r="B8" i="28"/>
  <c r="C8" i="28"/>
  <c r="B9" i="28"/>
  <c r="C9" i="28"/>
  <c r="B10" i="28"/>
  <c r="C10" i="28"/>
  <c r="B11" i="28"/>
  <c r="C11" i="28"/>
  <c r="C6" i="28"/>
  <c r="B6" i="28"/>
  <c r="J5" i="27"/>
  <c r="J5" i="28" s="1"/>
  <c r="K5" i="27"/>
  <c r="K5" i="28" s="1"/>
  <c r="L5" i="27"/>
  <c r="L5" i="28" s="1"/>
  <c r="M5" i="27"/>
  <c r="M5" i="28" s="1"/>
  <c r="I5" i="28"/>
  <c r="G6" i="27"/>
  <c r="G6" i="28" s="1"/>
  <c r="H6" i="27"/>
  <c r="H6" i="28" s="1"/>
  <c r="K6" i="28" s="1"/>
  <c r="M6" i="28" s="1"/>
  <c r="G7" i="27"/>
  <c r="G7" i="28" s="1"/>
  <c r="H7" i="27"/>
  <c r="H7" i="28" s="1"/>
  <c r="K7" i="28" s="1"/>
  <c r="G8" i="27"/>
  <c r="G8" i="28" s="1"/>
  <c r="H8" i="27"/>
  <c r="H8" i="28" s="1"/>
  <c r="K8" i="28" s="1"/>
  <c r="G9" i="27"/>
  <c r="G9" i="28" s="1"/>
  <c r="H9" i="27"/>
  <c r="H9" i="28" s="1"/>
  <c r="K9" i="28" s="1"/>
  <c r="G10" i="27"/>
  <c r="G10" i="28" s="1"/>
  <c r="H10" i="27"/>
  <c r="H10" i="28" s="1"/>
  <c r="K10" i="28" s="1"/>
  <c r="G11" i="27"/>
  <c r="G11" i="28" s="1"/>
  <c r="H11" i="27"/>
  <c r="H11" i="28" s="1"/>
  <c r="K11" i="28" s="1"/>
  <c r="G12" i="27"/>
  <c r="G12" i="28" s="1"/>
  <c r="H12" i="27"/>
  <c r="H12" i="28" s="1"/>
  <c r="K12" i="28" s="1"/>
  <c r="G13" i="27"/>
  <c r="G13" i="28" s="1"/>
  <c r="H13" i="27"/>
  <c r="H13" i="28" s="1"/>
  <c r="K13" i="28" s="1"/>
  <c r="G14" i="27"/>
  <c r="G14" i="28" s="1"/>
  <c r="H14" i="27"/>
  <c r="H14" i="28" s="1"/>
  <c r="K14" i="28" s="1"/>
  <c r="M14" i="28" s="1"/>
  <c r="G15" i="27"/>
  <c r="G15" i="28" s="1"/>
  <c r="H15" i="27"/>
  <c r="H15" i="28" s="1"/>
  <c r="K15" i="28" s="1"/>
  <c r="M15" i="28" s="1"/>
  <c r="G16" i="27"/>
  <c r="G16" i="28" s="1"/>
  <c r="H16" i="27"/>
  <c r="H16" i="28" s="1"/>
  <c r="K16" i="28" s="1"/>
  <c r="G17" i="27"/>
  <c r="G17" i="28" s="1"/>
  <c r="H17" i="27"/>
  <c r="H17" i="28" s="1"/>
  <c r="K17" i="28" s="1"/>
  <c r="G18" i="27"/>
  <c r="G18" i="28" s="1"/>
  <c r="H18" i="27"/>
  <c r="H18" i="28" s="1"/>
  <c r="K18" i="28" s="1"/>
  <c r="G19" i="27"/>
  <c r="G19" i="28" s="1"/>
  <c r="H19" i="27"/>
  <c r="H19" i="28" s="1"/>
  <c r="K19" i="28" s="1"/>
  <c r="G20" i="27"/>
  <c r="G20" i="28" s="1"/>
  <c r="H20" i="27"/>
  <c r="H20" i="28" s="1"/>
  <c r="K20" i="28" s="1"/>
  <c r="G21" i="27"/>
  <c r="G21" i="28" s="1"/>
  <c r="H21" i="27"/>
  <c r="H21" i="28" s="1"/>
  <c r="K21" i="28" s="1"/>
  <c r="G22" i="27"/>
  <c r="G22" i="28" s="1"/>
  <c r="H22" i="27"/>
  <c r="H22" i="28" s="1"/>
  <c r="K22" i="28" s="1"/>
  <c r="G23" i="27"/>
  <c r="G23" i="28" s="1"/>
  <c r="H23" i="27"/>
  <c r="H23" i="28" s="1"/>
  <c r="K23" i="28" s="1"/>
  <c r="G5" i="27"/>
  <c r="G5" i="28" s="1"/>
  <c r="H5" i="27"/>
  <c r="F5" i="27"/>
  <c r="F5" i="28" s="1"/>
  <c r="M8" i="22"/>
  <c r="M9" i="22"/>
  <c r="M10" i="22"/>
  <c r="M11" i="22"/>
  <c r="M12" i="22"/>
  <c r="M13" i="22"/>
  <c r="M14" i="22"/>
  <c r="M15" i="22"/>
  <c r="M16" i="22"/>
  <c r="M7" i="22"/>
  <c r="Y5" i="6"/>
  <c r="Z5" i="6"/>
  <c r="AA5" i="6"/>
  <c r="AB5" i="6"/>
  <c r="AC5" i="6"/>
  <c r="AD5" i="6"/>
  <c r="AE5" i="6"/>
  <c r="AF5" i="6"/>
  <c r="AG5" i="6"/>
  <c r="X5" i="6"/>
  <c r="Y5" i="15"/>
  <c r="Z5" i="15"/>
  <c r="AA5" i="15"/>
  <c r="AB5" i="15"/>
  <c r="AC5" i="15"/>
  <c r="AD5" i="15"/>
  <c r="AE5" i="15"/>
  <c r="X5" i="15"/>
  <c r="AH5" i="15"/>
  <c r="AI5" i="15"/>
  <c r="AJ5" i="15"/>
  <c r="AK5" i="15"/>
  <c r="AL5" i="15"/>
  <c r="AM5" i="15"/>
  <c r="AN5" i="15"/>
  <c r="AO5" i="15"/>
  <c r="AP5" i="15"/>
  <c r="AQ5" i="15"/>
  <c r="AV5" i="15"/>
  <c r="AW5" i="15"/>
  <c r="AX5" i="15"/>
  <c r="AY5" i="15"/>
  <c r="AZ5" i="15"/>
  <c r="BA5" i="15"/>
  <c r="BB5" i="15"/>
  <c r="BC5" i="15"/>
  <c r="BD5" i="15"/>
  <c r="BE5" i="15"/>
  <c r="BF5" i="15"/>
  <c r="AR5" i="15"/>
  <c r="AI6" i="15"/>
  <c r="AI19" i="15" s="1"/>
  <c r="AJ6" i="15"/>
  <c r="AK6" i="15"/>
  <c r="AK12" i="15" s="1"/>
  <c r="AL6" i="15"/>
  <c r="AL17" i="15" s="1"/>
  <c r="AM6" i="15"/>
  <c r="AN6" i="15"/>
  <c r="AO6" i="15"/>
  <c r="AP6" i="15"/>
  <c r="AQ6" i="15"/>
  <c r="AQ20" i="15" s="1"/>
  <c r="AR6" i="15"/>
  <c r="AR13" i="15" s="1"/>
  <c r="Y7" i="15"/>
  <c r="Z7" i="15"/>
  <c r="AA7" i="15"/>
  <c r="AB7" i="15"/>
  <c r="AC7" i="15"/>
  <c r="AD7" i="15"/>
  <c r="AE7" i="15"/>
  <c r="Y6" i="15"/>
  <c r="Y40" i="15" s="1"/>
  <c r="Z6" i="15"/>
  <c r="AA6" i="15"/>
  <c r="AA33" i="15" s="1"/>
  <c r="AB6" i="15"/>
  <c r="AB12" i="15" s="1"/>
  <c r="AC6" i="15"/>
  <c r="AC31" i="15" s="1"/>
  <c r="AD6" i="15"/>
  <c r="AE6" i="15"/>
  <c r="AE25" i="15" s="1"/>
  <c r="X6" i="15"/>
  <c r="M9" i="15"/>
  <c r="K7" i="5"/>
  <c r="O7" i="5" s="1"/>
  <c r="K8" i="5"/>
  <c r="O8" i="5" s="1"/>
  <c r="K9" i="5"/>
  <c r="O9" i="5" s="1"/>
  <c r="K10" i="5"/>
  <c r="O10" i="5" s="1"/>
  <c r="K11" i="5"/>
  <c r="O11" i="5" s="1"/>
  <c r="K12" i="5"/>
  <c r="O12" i="5" s="1"/>
  <c r="K13" i="5"/>
  <c r="O13" i="5" s="1"/>
  <c r="K14" i="5"/>
  <c r="O14" i="5" s="1"/>
  <c r="K15" i="5"/>
  <c r="O15" i="5" s="1"/>
  <c r="K16" i="5"/>
  <c r="O16" i="5" s="1"/>
  <c r="K17" i="5"/>
  <c r="O17" i="5" s="1"/>
  <c r="K18" i="5"/>
  <c r="O18" i="5" s="1"/>
  <c r="K19" i="5"/>
  <c r="O19" i="5" s="1"/>
  <c r="K20" i="5"/>
  <c r="O20" i="5" s="1"/>
  <c r="K21" i="5"/>
  <c r="O21" i="5" s="1"/>
  <c r="K22" i="5"/>
  <c r="O22" i="5" s="1"/>
  <c r="K23" i="5"/>
  <c r="O23" i="5" s="1"/>
  <c r="K24" i="5"/>
  <c r="O24" i="5" s="1"/>
  <c r="K25" i="5"/>
  <c r="O25" i="5" s="1"/>
  <c r="K26" i="5"/>
  <c r="O26" i="5" s="1"/>
  <c r="K27" i="5"/>
  <c r="O27" i="5" s="1"/>
  <c r="K28" i="5"/>
  <c r="O28" i="5" s="1"/>
  <c r="K29" i="5"/>
  <c r="O29" i="5" s="1"/>
  <c r="K30" i="5"/>
  <c r="O30" i="5" s="1"/>
  <c r="K31" i="5"/>
  <c r="O31" i="5" s="1"/>
  <c r="K32" i="5"/>
  <c r="O32" i="5" s="1"/>
  <c r="K33" i="5"/>
  <c r="O33" i="5" s="1"/>
  <c r="K34" i="5"/>
  <c r="O34" i="5" s="1"/>
  <c r="K35" i="5"/>
  <c r="O35" i="5" s="1"/>
  <c r="K36" i="5"/>
  <c r="O36" i="5" s="1"/>
  <c r="K37" i="5"/>
  <c r="O37" i="5" s="1"/>
  <c r="K38" i="5"/>
  <c r="O38" i="5" s="1"/>
  <c r="K39" i="5"/>
  <c r="O39" i="5" s="1"/>
  <c r="K40" i="5"/>
  <c r="O40" i="5" s="1"/>
  <c r="K41" i="5"/>
  <c r="O41" i="5" s="1"/>
  <c r="K42" i="5"/>
  <c r="O42" i="5" s="1"/>
  <c r="K43" i="5"/>
  <c r="O43" i="5" s="1"/>
  <c r="K44" i="5"/>
  <c r="O44" i="5" s="1"/>
  <c r="K45" i="5"/>
  <c r="O45" i="5" s="1"/>
  <c r="K46" i="5"/>
  <c r="O46" i="5" s="1"/>
  <c r="K47" i="5"/>
  <c r="O47" i="5" s="1"/>
  <c r="K48" i="5"/>
  <c r="O48" i="5" s="1"/>
  <c r="K49" i="5"/>
  <c r="O49" i="5" s="1"/>
  <c r="K50" i="5"/>
  <c r="O50" i="5" s="1"/>
  <c r="K51" i="5"/>
  <c r="O51" i="5" s="1"/>
  <c r="K52" i="5"/>
  <c r="O52" i="5" s="1"/>
  <c r="K53" i="5"/>
  <c r="O53" i="5" s="1"/>
  <c r="K54" i="5"/>
  <c r="O54" i="5" s="1"/>
  <c r="K55" i="5"/>
  <c r="O55" i="5" s="1"/>
  <c r="K56" i="5"/>
  <c r="O56" i="5" s="1"/>
  <c r="K57" i="5"/>
  <c r="O57" i="5" s="1"/>
  <c r="K58" i="5"/>
  <c r="O58" i="5" s="1"/>
  <c r="K59" i="5"/>
  <c r="O59" i="5" s="1"/>
  <c r="K60" i="5"/>
  <c r="O60" i="5" s="1"/>
  <c r="K61" i="5"/>
  <c r="O61" i="5" s="1"/>
  <c r="K62" i="5"/>
  <c r="O62" i="5" s="1"/>
  <c r="K63" i="5"/>
  <c r="O63" i="5" s="1"/>
  <c r="K64" i="5"/>
  <c r="O64" i="5" s="1"/>
  <c r="K65" i="5"/>
  <c r="O65" i="5" s="1"/>
  <c r="K66" i="5"/>
  <c r="O66" i="5" s="1"/>
  <c r="K67" i="5"/>
  <c r="O67" i="5" s="1"/>
  <c r="K68" i="5"/>
  <c r="O68" i="5" s="1"/>
  <c r="K69" i="5"/>
  <c r="O69" i="5" s="1"/>
  <c r="K70" i="5"/>
  <c r="O70" i="5" s="1"/>
  <c r="K71" i="5"/>
  <c r="O71" i="5" s="1"/>
  <c r="K72" i="5"/>
  <c r="O72" i="5" s="1"/>
  <c r="K73" i="5"/>
  <c r="O73" i="5" s="1"/>
  <c r="K74" i="5"/>
  <c r="O74" i="5" s="1"/>
  <c r="K6" i="5"/>
  <c r="O6" i="5" s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6" i="5"/>
  <c r="AL51" i="15" l="1"/>
  <c r="AK10" i="15"/>
  <c r="AI10" i="15"/>
  <c r="AB35" i="15"/>
  <c r="AR51" i="15"/>
  <c r="AR16" i="15"/>
  <c r="AR45" i="15"/>
  <c r="AI45" i="15"/>
  <c r="AK39" i="15"/>
  <c r="AI39" i="15"/>
  <c r="AL32" i="15"/>
  <c r="AK32" i="15"/>
  <c r="AL25" i="15"/>
  <c r="AR23" i="15"/>
  <c r="AI17" i="15"/>
  <c r="Y9" i="15"/>
  <c r="AC35" i="15"/>
  <c r="AI46" i="15"/>
  <c r="AL39" i="15"/>
  <c r="AI33" i="15"/>
  <c r="AK26" i="15"/>
  <c r="AQ18" i="15"/>
  <c r="AQ10" i="15"/>
  <c r="Y50" i="15"/>
  <c r="Y34" i="15"/>
  <c r="AK51" i="15"/>
  <c r="AL44" i="15"/>
  <c r="AK38" i="15"/>
  <c r="AL31" i="15"/>
  <c r="AQ23" i="15"/>
  <c r="AQ16" i="15"/>
  <c r="AC49" i="15"/>
  <c r="AB28" i="15"/>
  <c r="AI51" i="15"/>
  <c r="AK44" i="15"/>
  <c r="AO37" i="15"/>
  <c r="AQ30" i="15"/>
  <c r="AQ22" i="15"/>
  <c r="AR15" i="15"/>
  <c r="AA35" i="15"/>
  <c r="AB48" i="15"/>
  <c r="AA28" i="15"/>
  <c r="AK50" i="15"/>
  <c r="AL43" i="15"/>
  <c r="AL37" i="15"/>
  <c r="AI29" i="15"/>
  <c r="AK22" i="15"/>
  <c r="AL15" i="15"/>
  <c r="AA45" i="15"/>
  <c r="Y28" i="15"/>
  <c r="AL49" i="15"/>
  <c r="AQ42" i="15"/>
  <c r="AR35" i="15"/>
  <c r="AR28" i="15"/>
  <c r="AI22" i="15"/>
  <c r="AK15" i="15"/>
  <c r="AE42" i="15"/>
  <c r="AA21" i="15"/>
  <c r="AR47" i="15"/>
  <c r="AO42" i="15"/>
  <c r="AQ35" i="15"/>
  <c r="AQ28" i="15"/>
  <c r="AR21" i="15"/>
  <c r="AI15" i="15"/>
  <c r="AC42" i="15"/>
  <c r="Y21" i="15"/>
  <c r="AQ47" i="15"/>
  <c r="AI41" i="15"/>
  <c r="AQ34" i="15"/>
  <c r="AR27" i="15"/>
  <c r="AI21" i="15"/>
  <c r="AK14" i="15"/>
  <c r="AB42" i="15"/>
  <c r="Y14" i="15"/>
  <c r="AO47" i="15"/>
  <c r="AR40" i="15"/>
  <c r="AK34" i="15"/>
  <c r="AL27" i="15"/>
  <c r="AL20" i="15"/>
  <c r="AL13" i="15"/>
  <c r="AA41" i="15"/>
  <c r="AC13" i="15"/>
  <c r="AQ46" i="15"/>
  <c r="AQ40" i="15"/>
  <c r="AI34" i="15"/>
  <c r="AK27" i="15"/>
  <c r="AK20" i="15"/>
  <c r="AR11" i="15"/>
  <c r="Y38" i="15"/>
  <c r="AK46" i="15"/>
  <c r="AR39" i="15"/>
  <c r="AR33" i="15"/>
  <c r="AI27" i="15"/>
  <c r="AL19" i="15"/>
  <c r="AQ11" i="15"/>
  <c r="AN10" i="15"/>
  <c r="AN22" i="15"/>
  <c r="AN34" i="15"/>
  <c r="AN46" i="15"/>
  <c r="AN17" i="15"/>
  <c r="AN29" i="15"/>
  <c r="AN41" i="15"/>
  <c r="AN19" i="15"/>
  <c r="AN31" i="15"/>
  <c r="AN43" i="15"/>
  <c r="AN14" i="15"/>
  <c r="AN26" i="15"/>
  <c r="AN38" i="15"/>
  <c r="AN50" i="15"/>
  <c r="AN21" i="15"/>
  <c r="AN33" i="15"/>
  <c r="AN45" i="15"/>
  <c r="AN16" i="15"/>
  <c r="AN28" i="15"/>
  <c r="AN40" i="15"/>
  <c r="AN11" i="15"/>
  <c r="AN23" i="15"/>
  <c r="AN35" i="15"/>
  <c r="AN47" i="15"/>
  <c r="AN18" i="15"/>
  <c r="AN30" i="15"/>
  <c r="AN15" i="15"/>
  <c r="AN27" i="15"/>
  <c r="AN39" i="15"/>
  <c r="AN51" i="15"/>
  <c r="AN48" i="15"/>
  <c r="AE26" i="15"/>
  <c r="AB14" i="15"/>
  <c r="AB26" i="15"/>
  <c r="AB38" i="15"/>
  <c r="AB50" i="15"/>
  <c r="AB19" i="15"/>
  <c r="AB31" i="15"/>
  <c r="AB43" i="15"/>
  <c r="AB17" i="15"/>
  <c r="AB29" i="15"/>
  <c r="AB41" i="15"/>
  <c r="AB10" i="15"/>
  <c r="AB22" i="15"/>
  <c r="AB34" i="15"/>
  <c r="AB46" i="15"/>
  <c r="AB15" i="15"/>
  <c r="AB27" i="15"/>
  <c r="AB39" i="15"/>
  <c r="AB51" i="15"/>
  <c r="AB20" i="15"/>
  <c r="AB32" i="15"/>
  <c r="AB44" i="15"/>
  <c r="AB13" i="15"/>
  <c r="AB25" i="15"/>
  <c r="AB37" i="15"/>
  <c r="AB49" i="15"/>
  <c r="AB21" i="15"/>
  <c r="AB33" i="15"/>
  <c r="AB45" i="15"/>
  <c r="AE9" i="15"/>
  <c r="AC47" i="15"/>
  <c r="AB40" i="15"/>
  <c r="Y26" i="15"/>
  <c r="AE18" i="15"/>
  <c r="AC11" i="15"/>
  <c r="AN9" i="15"/>
  <c r="AO41" i="15"/>
  <c r="AN36" i="15"/>
  <c r="AO25" i="15"/>
  <c r="AC19" i="15"/>
  <c r="AA19" i="15"/>
  <c r="AA31" i="15"/>
  <c r="AA43" i="15"/>
  <c r="AA12" i="15"/>
  <c r="AA24" i="15"/>
  <c r="AA36" i="15"/>
  <c r="AA48" i="15"/>
  <c r="AA10" i="15"/>
  <c r="AA22" i="15"/>
  <c r="AA34" i="15"/>
  <c r="AA46" i="15"/>
  <c r="AA15" i="15"/>
  <c r="AA27" i="15"/>
  <c r="AA39" i="15"/>
  <c r="AA51" i="15"/>
  <c r="AA20" i="15"/>
  <c r="AA32" i="15"/>
  <c r="AA44" i="15"/>
  <c r="AA13" i="15"/>
  <c r="AA25" i="15"/>
  <c r="AA37" i="15"/>
  <c r="AA49" i="15"/>
  <c r="AA18" i="15"/>
  <c r="AA30" i="15"/>
  <c r="AA42" i="15"/>
  <c r="AA14" i="15"/>
  <c r="AA26" i="15"/>
  <c r="AA38" i="15"/>
  <c r="AA50" i="15"/>
  <c r="AC9" i="15"/>
  <c r="AB47" i="15"/>
  <c r="AA40" i="15"/>
  <c r="Y33" i="15"/>
  <c r="AC18" i="15"/>
  <c r="AB11" i="15"/>
  <c r="AN25" i="15"/>
  <c r="AE16" i="15"/>
  <c r="AE28" i="15"/>
  <c r="AE40" i="15"/>
  <c r="AE21" i="15"/>
  <c r="AE33" i="15"/>
  <c r="AE45" i="15"/>
  <c r="AE19" i="15"/>
  <c r="AE31" i="15"/>
  <c r="AE43" i="15"/>
  <c r="AE12" i="15"/>
  <c r="AE24" i="15"/>
  <c r="AE36" i="15"/>
  <c r="AE48" i="15"/>
  <c r="AE17" i="15"/>
  <c r="AE29" i="15"/>
  <c r="AE41" i="15"/>
  <c r="AE10" i="15"/>
  <c r="AE22" i="15"/>
  <c r="AE34" i="15"/>
  <c r="AE46" i="15"/>
  <c r="AE15" i="15"/>
  <c r="AE27" i="15"/>
  <c r="AE39" i="15"/>
  <c r="AE51" i="15"/>
  <c r="AE11" i="15"/>
  <c r="AE23" i="15"/>
  <c r="AE35" i="15"/>
  <c r="AE47" i="15"/>
  <c r="AE49" i="15"/>
  <c r="AE13" i="15"/>
  <c r="AN42" i="15"/>
  <c r="AB9" i="15"/>
  <c r="AA47" i="15"/>
  <c r="AE32" i="15"/>
  <c r="AC25" i="15"/>
  <c r="AB18" i="15"/>
  <c r="AA11" i="15"/>
  <c r="AO30" i="15"/>
  <c r="AO13" i="15"/>
  <c r="AN32" i="15"/>
  <c r="AN20" i="15"/>
  <c r="Y12" i="15"/>
  <c r="Y24" i="15"/>
  <c r="Y36" i="15"/>
  <c r="Y48" i="15"/>
  <c r="Y17" i="15"/>
  <c r="Y29" i="15"/>
  <c r="Y41" i="15"/>
  <c r="Y15" i="15"/>
  <c r="Y27" i="15"/>
  <c r="Y39" i="15"/>
  <c r="Y51" i="15"/>
  <c r="Y20" i="15"/>
  <c r="Y32" i="15"/>
  <c r="Y44" i="15"/>
  <c r="Y13" i="15"/>
  <c r="Y25" i="15"/>
  <c r="Y37" i="15"/>
  <c r="Y49" i="15"/>
  <c r="Y18" i="15"/>
  <c r="Y30" i="15"/>
  <c r="Y42" i="15"/>
  <c r="Y11" i="15"/>
  <c r="Y23" i="15"/>
  <c r="Y35" i="15"/>
  <c r="Y47" i="15"/>
  <c r="Y19" i="15"/>
  <c r="Y31" i="15"/>
  <c r="Y43" i="15"/>
  <c r="AA9" i="15"/>
  <c r="Y46" i="15"/>
  <c r="AE38" i="15"/>
  <c r="AB24" i="15"/>
  <c r="AA17" i="15"/>
  <c r="Y10" i="15"/>
  <c r="AO35" i="15"/>
  <c r="AO29" i="15"/>
  <c r="AN24" i="15"/>
  <c r="AN13" i="15"/>
  <c r="AC21" i="15"/>
  <c r="AC33" i="15"/>
  <c r="AC45" i="15"/>
  <c r="AC14" i="15"/>
  <c r="AC26" i="15"/>
  <c r="AC38" i="15"/>
  <c r="AC50" i="15"/>
  <c r="AC12" i="15"/>
  <c r="AC24" i="15"/>
  <c r="AC36" i="15"/>
  <c r="AC48" i="15"/>
  <c r="AC17" i="15"/>
  <c r="AC29" i="15"/>
  <c r="AC41" i="15"/>
  <c r="AC10" i="15"/>
  <c r="AC22" i="15"/>
  <c r="AC34" i="15"/>
  <c r="AC46" i="15"/>
  <c r="AC15" i="15"/>
  <c r="AC27" i="15"/>
  <c r="AC39" i="15"/>
  <c r="AC51" i="15"/>
  <c r="AC20" i="15"/>
  <c r="AC32" i="15"/>
  <c r="AC44" i="15"/>
  <c r="AC16" i="15"/>
  <c r="AC28" i="15"/>
  <c r="AC40" i="15"/>
  <c r="AE30" i="15"/>
  <c r="AC23" i="15"/>
  <c r="AB16" i="15"/>
  <c r="AO18" i="15"/>
  <c r="AE20" i="15"/>
  <c r="Y45" i="15"/>
  <c r="AE37" i="15"/>
  <c r="AC30" i="15"/>
  <c r="AB23" i="15"/>
  <c r="AA16" i="15"/>
  <c r="AO49" i="15"/>
  <c r="AN44" i="15"/>
  <c r="AO17" i="15"/>
  <c r="AN12" i="15"/>
  <c r="AN37" i="15"/>
  <c r="AE44" i="15"/>
  <c r="AC37" i="15"/>
  <c r="AB30" i="15"/>
  <c r="AA23" i="15"/>
  <c r="Y16" i="15"/>
  <c r="AN49" i="15"/>
  <c r="AE50" i="15"/>
  <c r="AC43" i="15"/>
  <c r="AB36" i="15"/>
  <c r="AA29" i="15"/>
  <c r="Y22" i="15"/>
  <c r="AE14" i="15"/>
  <c r="AO15" i="15"/>
  <c r="AO27" i="15"/>
  <c r="AO39" i="15"/>
  <c r="AO51" i="15"/>
  <c r="AO10" i="15"/>
  <c r="AO22" i="15"/>
  <c r="AO34" i="15"/>
  <c r="AO46" i="15"/>
  <c r="AO12" i="15"/>
  <c r="AO24" i="15"/>
  <c r="AO36" i="15"/>
  <c r="AO48" i="15"/>
  <c r="AO9" i="15"/>
  <c r="AO19" i="15"/>
  <c r="AO31" i="15"/>
  <c r="AO43" i="15"/>
  <c r="AO14" i="15"/>
  <c r="AO26" i="15"/>
  <c r="AO38" i="15"/>
  <c r="AO50" i="15"/>
  <c r="AO21" i="15"/>
  <c r="AO33" i="15"/>
  <c r="AO45" i="15"/>
  <c r="AO16" i="15"/>
  <c r="AO28" i="15"/>
  <c r="AO40" i="15"/>
  <c r="AO11" i="15"/>
  <c r="AO23" i="15"/>
  <c r="AO20" i="15"/>
  <c r="AO32" i="15"/>
  <c r="AO44" i="15"/>
  <c r="AI9" i="15"/>
  <c r="AQ49" i="15"/>
  <c r="AI48" i="15"/>
  <c r="AL46" i="15"/>
  <c r="AR42" i="15"/>
  <c r="AK41" i="15"/>
  <c r="AQ37" i="15"/>
  <c r="AI36" i="15"/>
  <c r="AL34" i="15"/>
  <c r="AR30" i="15"/>
  <c r="AK29" i="15"/>
  <c r="AQ25" i="15"/>
  <c r="AI24" i="15"/>
  <c r="AL22" i="15"/>
  <c r="AR18" i="15"/>
  <c r="AK17" i="15"/>
  <c r="AQ13" i="15"/>
  <c r="AI12" i="15"/>
  <c r="AL10" i="15"/>
  <c r="AR50" i="15"/>
  <c r="AK49" i="15"/>
  <c r="AQ45" i="15"/>
  <c r="AI44" i="15"/>
  <c r="AL42" i="15"/>
  <c r="AR38" i="15"/>
  <c r="AK37" i="15"/>
  <c r="AQ33" i="15"/>
  <c r="AI32" i="15"/>
  <c r="AL30" i="15"/>
  <c r="AR26" i="15"/>
  <c r="AK25" i="15"/>
  <c r="AQ21" i="15"/>
  <c r="AI20" i="15"/>
  <c r="AL18" i="15"/>
  <c r="AR14" i="15"/>
  <c r="AK13" i="15"/>
  <c r="AQ50" i="15"/>
  <c r="AI49" i="15"/>
  <c r="AL47" i="15"/>
  <c r="AR43" i="15"/>
  <c r="AK42" i="15"/>
  <c r="AQ38" i="15"/>
  <c r="AI37" i="15"/>
  <c r="AL35" i="15"/>
  <c r="AR31" i="15"/>
  <c r="AK30" i="15"/>
  <c r="AQ26" i="15"/>
  <c r="AI25" i="15"/>
  <c r="AL23" i="15"/>
  <c r="AR19" i="15"/>
  <c r="AK18" i="15"/>
  <c r="AQ14" i="15"/>
  <c r="AI13" i="15"/>
  <c r="AL11" i="15"/>
  <c r="AR9" i="15"/>
  <c r="AR48" i="15"/>
  <c r="AK47" i="15"/>
  <c r="AQ43" i="15"/>
  <c r="AI42" i="15"/>
  <c r="AL40" i="15"/>
  <c r="AR36" i="15"/>
  <c r="AK35" i="15"/>
  <c r="AQ31" i="15"/>
  <c r="AI30" i="15"/>
  <c r="AL28" i="15"/>
  <c r="AR24" i="15"/>
  <c r="AK23" i="15"/>
  <c r="AQ19" i="15"/>
  <c r="AI18" i="15"/>
  <c r="AL16" i="15"/>
  <c r="AR12" i="15"/>
  <c r="AK11" i="15"/>
  <c r="AQ9" i="15"/>
  <c r="AQ48" i="15"/>
  <c r="AI47" i="15"/>
  <c r="AL45" i="15"/>
  <c r="AR41" i="15"/>
  <c r="AK40" i="15"/>
  <c r="AQ36" i="15"/>
  <c r="AI35" i="15"/>
  <c r="AL33" i="15"/>
  <c r="AR29" i="15"/>
  <c r="AK28" i="15"/>
  <c r="AQ24" i="15"/>
  <c r="AI23" i="15"/>
  <c r="AL21" i="15"/>
  <c r="AR17" i="15"/>
  <c r="AK16" i="15"/>
  <c r="AQ12" i="15"/>
  <c r="AI11" i="15"/>
  <c r="AL50" i="15"/>
  <c r="AR46" i="15"/>
  <c r="AK45" i="15"/>
  <c r="AQ41" i="15"/>
  <c r="AI40" i="15"/>
  <c r="AL38" i="15"/>
  <c r="AR34" i="15"/>
  <c r="AK33" i="15"/>
  <c r="AQ29" i="15"/>
  <c r="AI28" i="15"/>
  <c r="AL26" i="15"/>
  <c r="AR22" i="15"/>
  <c r="AK21" i="15"/>
  <c r="AQ17" i="15"/>
  <c r="AI16" i="15"/>
  <c r="AL14" i="15"/>
  <c r="AR10" i="15"/>
  <c r="AL9" i="15"/>
  <c r="AQ51" i="15"/>
  <c r="AI50" i="15"/>
  <c r="AL48" i="15"/>
  <c r="AR44" i="15"/>
  <c r="AK43" i="15"/>
  <c r="AQ39" i="15"/>
  <c r="AI38" i="15"/>
  <c r="AL36" i="15"/>
  <c r="AR32" i="15"/>
  <c r="AK31" i="15"/>
  <c r="AQ27" i="15"/>
  <c r="AI26" i="15"/>
  <c r="AL24" i="15"/>
  <c r="AR20" i="15"/>
  <c r="AK19" i="15"/>
  <c r="AQ15" i="15"/>
  <c r="AI14" i="15"/>
  <c r="AL12" i="15"/>
  <c r="AK9" i="15"/>
  <c r="AR49" i="15"/>
  <c r="AK48" i="15"/>
  <c r="AQ44" i="15"/>
  <c r="AI43" i="15"/>
  <c r="AL41" i="15"/>
  <c r="AR37" i="15"/>
  <c r="AK36" i="15"/>
  <c r="AQ32" i="15"/>
  <c r="AI31" i="15"/>
  <c r="AL29" i="15"/>
  <c r="AR25" i="15"/>
  <c r="AK24" i="15"/>
  <c r="I9" i="28"/>
  <c r="J9" i="28"/>
  <c r="M9" i="28"/>
  <c r="L9" i="28"/>
  <c r="M21" i="28"/>
  <c r="I21" i="28"/>
  <c r="L21" i="28"/>
  <c r="M20" i="28"/>
  <c r="I20" i="28"/>
  <c r="L20" i="28"/>
  <c r="I8" i="28"/>
  <c r="L8" i="28"/>
  <c r="M8" i="28"/>
  <c r="J8" i="28"/>
  <c r="M19" i="28"/>
  <c r="I19" i="28"/>
  <c r="L19" i="28"/>
  <c r="L7" i="28"/>
  <c r="I7" i="28"/>
  <c r="M7" i="28"/>
  <c r="J7" i="28"/>
  <c r="I18" i="28"/>
  <c r="L18" i="28"/>
  <c r="M18" i="28"/>
  <c r="M23" i="28"/>
  <c r="I23" i="28"/>
  <c r="L23" i="28"/>
  <c r="I17" i="28"/>
  <c r="L17" i="28"/>
  <c r="M17" i="28"/>
  <c r="L12" i="28"/>
  <c r="M22" i="28"/>
  <c r="I22" i="28"/>
  <c r="L22" i="28"/>
  <c r="I16" i="28"/>
  <c r="L16" i="28"/>
  <c r="M16" i="28"/>
  <c r="AV9" i="26"/>
  <c r="AV10" i="26"/>
  <c r="BD11" i="26"/>
  <c r="AW11" i="26"/>
  <c r="AV11" i="26" s="1"/>
  <c r="BC12" i="26"/>
  <c r="BE13" i="26" s="1"/>
  <c r="AU13" i="26"/>
  <c r="AV8" i="26"/>
  <c r="I6" i="28"/>
  <c r="J19" i="28"/>
  <c r="J16" i="28"/>
  <c r="J17" i="28"/>
  <c r="I13" i="28"/>
  <c r="I14" i="28"/>
  <c r="I15" i="28"/>
  <c r="I10" i="28"/>
  <c r="I12" i="28"/>
  <c r="I11" i="28"/>
  <c r="M12" i="28"/>
  <c r="M13" i="28"/>
  <c r="M11" i="28"/>
  <c r="M10" i="28"/>
  <c r="J18" i="28"/>
  <c r="J12" i="28"/>
  <c r="L15" i="28"/>
  <c r="J15" i="28"/>
  <c r="L14" i="28"/>
  <c r="L10" i="28"/>
  <c r="J11" i="28"/>
  <c r="J14" i="28"/>
  <c r="J10" i="28"/>
  <c r="L11" i="28"/>
  <c r="J23" i="28"/>
  <c r="L6" i="28"/>
  <c r="J22" i="28"/>
  <c r="L13" i="28"/>
  <c r="J6" i="28"/>
  <c r="J21" i="28"/>
  <c r="J13" i="28"/>
  <c r="J20" i="28"/>
  <c r="B26" i="10"/>
  <c r="B27" i="10"/>
  <c r="B28" i="10"/>
  <c r="B29" i="10"/>
  <c r="B30" i="10"/>
  <c r="B25" i="10"/>
  <c r="AL6" i="26"/>
  <c r="AL7" i="26"/>
  <c r="AL8" i="26"/>
  <c r="AL9" i="26"/>
  <c r="AL10" i="26"/>
  <c r="AL11" i="26"/>
  <c r="AL12" i="26"/>
  <c r="AL13" i="26"/>
  <c r="AL14" i="26"/>
  <c r="AL15" i="26"/>
  <c r="AL16" i="26"/>
  <c r="AL17" i="26"/>
  <c r="AL18" i="26"/>
  <c r="AL19" i="26"/>
  <c r="AL20" i="26"/>
  <c r="AL21" i="26"/>
  <c r="AL22" i="26"/>
  <c r="AL23" i="26"/>
  <c r="AL24" i="26"/>
  <c r="AL25" i="26"/>
  <c r="AL26" i="26"/>
  <c r="AL27" i="26"/>
  <c r="AL28" i="26"/>
  <c r="AL29" i="26"/>
  <c r="AL30" i="26"/>
  <c r="AL31" i="26"/>
  <c r="AL32" i="26"/>
  <c r="AL33" i="26"/>
  <c r="AL34" i="26"/>
  <c r="AL35" i="26"/>
  <c r="AL36" i="26"/>
  <c r="AL37" i="26"/>
  <c r="AL38" i="26"/>
  <c r="AL39" i="26"/>
  <c r="AL40" i="26"/>
  <c r="AL41" i="26"/>
  <c r="AL42" i="26"/>
  <c r="AL43" i="26"/>
  <c r="AL44" i="26"/>
  <c r="AL45" i="26"/>
  <c r="AL46" i="26"/>
  <c r="AL47" i="26"/>
  <c r="AL48" i="26"/>
  <c r="AL49" i="26"/>
  <c r="AL50" i="26"/>
  <c r="AL51" i="26"/>
  <c r="AL52" i="26"/>
  <c r="AL53" i="26"/>
  <c r="AL54" i="26"/>
  <c r="AL55" i="26"/>
  <c r="AL56" i="26"/>
  <c r="AL57" i="26"/>
  <c r="AL58" i="26"/>
  <c r="AL59" i="26"/>
  <c r="AL60" i="26"/>
  <c r="AL61" i="26"/>
  <c r="AL62" i="26"/>
  <c r="AL63" i="26"/>
  <c r="AL64" i="26"/>
  <c r="AL65" i="26"/>
  <c r="AL66" i="26"/>
  <c r="AL67" i="26"/>
  <c r="AL68" i="26"/>
  <c r="AL69" i="26"/>
  <c r="AL70" i="26"/>
  <c r="AL71" i="26"/>
  <c r="AL72" i="26"/>
  <c r="AL73" i="26"/>
  <c r="AL74" i="26"/>
  <c r="AL75" i="26"/>
  <c r="AL76" i="26"/>
  <c r="AL77" i="26"/>
  <c r="AL78" i="26"/>
  <c r="AL79" i="26"/>
  <c r="AL80" i="26"/>
  <c r="AL81" i="26"/>
  <c r="AL82" i="26"/>
  <c r="AL83" i="26"/>
  <c r="AL84" i="26"/>
  <c r="AL85" i="26"/>
  <c r="AL86" i="26"/>
  <c r="AL87" i="26"/>
  <c r="AL88" i="26"/>
  <c r="AL89" i="26"/>
  <c r="AL90" i="26"/>
  <c r="AL91" i="26"/>
  <c r="AL92" i="26"/>
  <c r="AL93" i="26"/>
  <c r="AL94" i="26"/>
  <c r="AL95" i="26"/>
  <c r="AL96" i="26"/>
  <c r="AL97" i="26"/>
  <c r="AL98" i="26"/>
  <c r="AL99" i="26"/>
  <c r="AL100" i="26"/>
  <c r="AL101" i="26"/>
  <c r="AL102" i="26"/>
  <c r="AL103" i="26"/>
  <c r="AL104" i="26"/>
  <c r="AL105" i="26"/>
  <c r="AL106" i="26"/>
  <c r="AL107" i="26"/>
  <c r="AL108" i="26"/>
  <c r="AL109" i="26"/>
  <c r="AL110" i="26"/>
  <c r="AL111" i="26"/>
  <c r="AL112" i="26"/>
  <c r="AL113" i="26"/>
  <c r="AL114" i="26"/>
  <c r="AL115" i="26"/>
  <c r="AL116" i="26"/>
  <c r="AL117" i="26"/>
  <c r="AL118" i="26"/>
  <c r="AL119" i="26"/>
  <c r="AL120" i="26"/>
  <c r="AL121" i="26"/>
  <c r="AL122" i="26"/>
  <c r="AL123" i="26"/>
  <c r="AL124" i="26"/>
  <c r="AL125" i="26"/>
  <c r="AL126" i="26"/>
  <c r="AL127" i="26"/>
  <c r="AL128" i="26"/>
  <c r="AL129" i="26"/>
  <c r="AL130" i="26"/>
  <c r="AL131" i="26"/>
  <c r="AL132" i="26"/>
  <c r="AL133" i="26"/>
  <c r="AL134" i="26"/>
  <c r="AL135" i="26"/>
  <c r="AL136" i="26"/>
  <c r="AL137" i="26"/>
  <c r="AL138" i="26"/>
  <c r="AL139" i="26"/>
  <c r="AL140" i="26"/>
  <c r="AL141" i="26"/>
  <c r="AL142" i="26"/>
  <c r="AL143" i="26"/>
  <c r="AL144" i="26"/>
  <c r="AL145" i="26"/>
  <c r="AL146" i="26"/>
  <c r="AL147" i="26"/>
  <c r="AL148" i="26"/>
  <c r="AL149" i="26"/>
  <c r="AL150" i="26"/>
  <c r="AL151" i="26"/>
  <c r="AL152" i="26"/>
  <c r="AL153" i="26"/>
  <c r="AL154" i="26"/>
  <c r="AL155" i="26"/>
  <c r="AL156" i="26"/>
  <c r="AL157" i="26"/>
  <c r="AL158" i="26"/>
  <c r="AL159" i="26"/>
  <c r="AL160" i="26"/>
  <c r="AL161" i="26"/>
  <c r="AL162" i="26"/>
  <c r="AL163" i="26"/>
  <c r="AL164" i="26"/>
  <c r="AL165" i="26"/>
  <c r="AL166" i="26"/>
  <c r="AL167" i="26"/>
  <c r="AL168" i="26"/>
  <c r="AL169" i="26"/>
  <c r="AL170" i="26"/>
  <c r="AL171" i="26"/>
  <c r="AL172" i="26"/>
  <c r="AL173" i="26"/>
  <c r="AL174" i="26"/>
  <c r="AL175" i="26"/>
  <c r="AL176" i="26"/>
  <c r="AL177" i="26"/>
  <c r="AL178" i="26"/>
  <c r="AL179" i="26"/>
  <c r="AL180" i="26"/>
  <c r="AL181" i="26"/>
  <c r="AL182" i="26"/>
  <c r="AL183" i="26"/>
  <c r="AL184" i="26"/>
  <c r="AL185" i="26"/>
  <c r="AL186" i="26"/>
  <c r="AL187" i="26"/>
  <c r="AL188" i="26"/>
  <c r="AL189" i="26"/>
  <c r="AL190" i="26"/>
  <c r="AL191" i="26"/>
  <c r="AL192" i="26"/>
  <c r="AL193" i="26"/>
  <c r="AL194" i="26"/>
  <c r="AL195" i="26"/>
  <c r="AL196" i="26"/>
  <c r="AL197" i="26"/>
  <c r="AL198" i="26"/>
  <c r="AL199" i="26"/>
  <c r="AL200" i="26"/>
  <c r="AL201" i="26"/>
  <c r="AL202" i="26"/>
  <c r="AL203" i="26"/>
  <c r="AL204" i="26"/>
  <c r="AL205" i="26"/>
  <c r="AL206" i="26"/>
  <c r="AL207" i="26"/>
  <c r="AL208" i="26"/>
  <c r="AL209" i="26"/>
  <c r="AL210" i="26"/>
  <c r="AL211" i="26"/>
  <c r="AL212" i="26"/>
  <c r="AL213" i="26"/>
  <c r="AL214" i="26"/>
  <c r="AL215" i="26"/>
  <c r="AL5" i="26"/>
  <c r="BC13" i="26" l="1"/>
  <c r="BE14" i="26" s="1"/>
  <c r="AU14" i="26"/>
  <c r="BD12" i="26"/>
  <c r="AW12" i="26"/>
  <c r="AV12" i="26" s="1"/>
  <c r="AN5" i="26"/>
  <c r="AC5" i="26"/>
  <c r="AD5" i="26"/>
  <c r="AF5" i="26"/>
  <c r="AH5" i="26"/>
  <c r="AI5" i="26"/>
  <c r="AJ5" i="26"/>
  <c r="AK5" i="26"/>
  <c r="AB5" i="26"/>
  <c r="AI7" i="5"/>
  <c r="AI8" i="5"/>
  <c r="AI13" i="5"/>
  <c r="AI6" i="5"/>
  <c r="J18" i="24"/>
  <c r="I18" i="24"/>
  <c r="I17" i="24"/>
  <c r="D18" i="24"/>
  <c r="AA4" i="26" s="1"/>
  <c r="F18" i="24"/>
  <c r="F17" i="24"/>
  <c r="D17" i="24"/>
  <c r="Z4" i="26" s="1"/>
  <c r="F16" i="24"/>
  <c r="D16" i="24"/>
  <c r="Y4" i="26" s="1"/>
  <c r="F7" i="24"/>
  <c r="F8" i="24"/>
  <c r="F9" i="24"/>
  <c r="F10" i="24"/>
  <c r="F11" i="24"/>
  <c r="F12" i="24"/>
  <c r="F13" i="24"/>
  <c r="F14" i="24"/>
  <c r="F15" i="24"/>
  <c r="F6" i="24"/>
  <c r="D7" i="24"/>
  <c r="H7" i="24" s="1"/>
  <c r="D8" i="24"/>
  <c r="H8" i="24" s="1"/>
  <c r="D9" i="24"/>
  <c r="H9" i="24" s="1"/>
  <c r="D10" i="24"/>
  <c r="H10" i="24" s="1"/>
  <c r="D11" i="24"/>
  <c r="H11" i="24" s="1"/>
  <c r="D12" i="24"/>
  <c r="H12" i="24" s="1"/>
  <c r="D13" i="24"/>
  <c r="H13" i="24" s="1"/>
  <c r="D14" i="24"/>
  <c r="H14" i="24" s="1"/>
  <c r="D15" i="24"/>
  <c r="H15" i="24" s="1"/>
  <c r="D6" i="24"/>
  <c r="H6" i="24" s="1"/>
  <c r="AB6" i="22" a="1"/>
  <c r="AB6" i="22" s="1"/>
  <c r="AJ6" i="22" l="1"/>
  <c r="Q13" i="22" s="1"/>
  <c r="AG6" i="22"/>
  <c r="Q10" i="22" s="1"/>
  <c r="AK6" i="22"/>
  <c r="Q14" i="22" s="1"/>
  <c r="AF6" i="22"/>
  <c r="Q9" i="22" s="1"/>
  <c r="AE6" i="22"/>
  <c r="Q8" i="22" s="1"/>
  <c r="AM6" i="22"/>
  <c r="Q16" i="22" s="1"/>
  <c r="AD6" i="22"/>
  <c r="Q7" i="22" s="1"/>
  <c r="AH6" i="22"/>
  <c r="Q11" i="22" s="1"/>
  <c r="AI6" i="22"/>
  <c r="Q12" i="22" s="1"/>
  <c r="AL6" i="22"/>
  <c r="Q15" i="22" s="1"/>
  <c r="BC14" i="26"/>
  <c r="BE15" i="26" s="1"/>
  <c r="AU15" i="26"/>
  <c r="BD13" i="26"/>
  <c r="AW13" i="26"/>
  <c r="AV13" i="26" s="1"/>
  <c r="AC6" i="22"/>
  <c r="AB7" i="22" a="1"/>
  <c r="AB7" i="22" s="1"/>
  <c r="AJ7" i="22" l="1"/>
  <c r="AK7" i="22"/>
  <c r="AF7" i="22"/>
  <c r="AG7" i="22"/>
  <c r="AE7" i="22"/>
  <c r="AH7" i="22"/>
  <c r="AI7" i="22"/>
  <c r="AD7" i="22"/>
  <c r="AL7" i="22"/>
  <c r="AM7" i="22"/>
  <c r="AU16" i="26"/>
  <c r="BC15" i="26"/>
  <c r="BE16" i="26" s="1"/>
  <c r="BD14" i="26"/>
  <c r="AW14" i="26"/>
  <c r="AV14" i="26" s="1"/>
  <c r="AQ6" i="22"/>
  <c r="AU6" i="22"/>
  <c r="AP6" i="22"/>
  <c r="AV6" i="22"/>
  <c r="AW6" i="22"/>
  <c r="AX6" i="22"/>
  <c r="AT6" i="22"/>
  <c r="AS6" i="22"/>
  <c r="AR6" i="22"/>
  <c r="AO6" i="22"/>
  <c r="AB8" i="22" a="1"/>
  <c r="AB8" i="22" s="1"/>
  <c r="AJ8" i="22" l="1"/>
  <c r="AM8" i="22"/>
  <c r="AK8" i="22"/>
  <c r="AF8" i="22"/>
  <c r="AE8" i="22"/>
  <c r="AD8" i="22"/>
  <c r="AL8" i="22"/>
  <c r="AG8" i="22"/>
  <c r="AH8" i="22"/>
  <c r="AI8" i="22"/>
  <c r="BD15" i="26"/>
  <c r="AW15" i="26"/>
  <c r="AV15" i="26" s="1"/>
  <c r="BC16" i="26"/>
  <c r="BE17" i="26" s="1"/>
  <c r="AU17" i="26"/>
  <c r="AT7" i="22"/>
  <c r="AU7" i="22"/>
  <c r="AO7" i="22"/>
  <c r="AQ7" i="22"/>
  <c r="AP7" i="22"/>
  <c r="AS7" i="22"/>
  <c r="AR7" i="22"/>
  <c r="AX7" i="22"/>
  <c r="AW7" i="22"/>
  <c r="AV7" i="22"/>
  <c r="BC17" i="26" l="1"/>
  <c r="BE18" i="26" s="1"/>
  <c r="AU18" i="26"/>
  <c r="BD16" i="26"/>
  <c r="AW16" i="26"/>
  <c r="AV16" i="26" s="1"/>
  <c r="AP8" i="22"/>
  <c r="AW8" i="22"/>
  <c r="AX8" i="22"/>
  <c r="AQ8" i="22"/>
  <c r="AV8" i="22"/>
  <c r="AU8" i="22"/>
  <c r="AS8" i="22"/>
  <c r="AR8" i="22"/>
  <c r="AT8" i="22"/>
  <c r="AO8" i="22"/>
  <c r="S5" i="21"/>
  <c r="R5" i="21"/>
  <c r="Q5" i="21"/>
  <c r="P5" i="21"/>
  <c r="O5" i="21"/>
  <c r="S3" i="21"/>
  <c r="R3" i="21"/>
  <c r="Q3" i="21"/>
  <c r="P3" i="21"/>
  <c r="O3" i="21"/>
  <c r="Z3" i="18"/>
  <c r="AA3" i="18"/>
  <c r="AB3" i="18"/>
  <c r="AC3" i="18"/>
  <c r="AD3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8" i="18"/>
  <c r="P2" i="18"/>
  <c r="Q2" i="18"/>
  <c r="R2" i="18"/>
  <c r="S2" i="18"/>
  <c r="T2" i="18"/>
  <c r="U2" i="18"/>
  <c r="V2" i="18"/>
  <c r="W2" i="18"/>
  <c r="O2" i="18"/>
  <c r="P5" i="18"/>
  <c r="Q5" i="18"/>
  <c r="R5" i="18"/>
  <c r="S5" i="18"/>
  <c r="T5" i="18"/>
  <c r="U5" i="18"/>
  <c r="V5" i="18"/>
  <c r="W5" i="18"/>
  <c r="O5" i="18"/>
  <c r="R23" i="18" l="1"/>
  <c r="P19" i="21"/>
  <c r="P43" i="21"/>
  <c r="P46" i="21"/>
  <c r="P30" i="21"/>
  <c r="P33" i="21"/>
  <c r="P36" i="21"/>
  <c r="P39" i="21"/>
  <c r="P42" i="21"/>
  <c r="P44" i="21"/>
  <c r="P47" i="21"/>
  <c r="P31" i="21"/>
  <c r="P34" i="21"/>
  <c r="P37" i="21"/>
  <c r="P40" i="21"/>
  <c r="P48" i="21"/>
  <c r="P45" i="21"/>
  <c r="P29" i="21"/>
  <c r="P32" i="21"/>
  <c r="P35" i="21"/>
  <c r="P38" i="21"/>
  <c r="P41" i="21"/>
  <c r="Q11" i="21"/>
  <c r="Q32" i="21"/>
  <c r="Q45" i="21"/>
  <c r="Q43" i="21"/>
  <c r="Q46" i="21"/>
  <c r="Q30" i="21"/>
  <c r="Q33" i="21"/>
  <c r="Q36" i="21"/>
  <c r="Q39" i="21"/>
  <c r="Q42" i="21"/>
  <c r="Q29" i="21"/>
  <c r="Q44" i="21"/>
  <c r="Q47" i="21"/>
  <c r="Q31" i="21"/>
  <c r="Q34" i="21"/>
  <c r="Q37" i="21"/>
  <c r="Q40" i="21"/>
  <c r="Q35" i="21"/>
  <c r="Q38" i="21"/>
  <c r="Q48" i="21"/>
  <c r="Q41" i="21"/>
  <c r="R20" i="21"/>
  <c r="R43" i="21"/>
  <c r="R46" i="21"/>
  <c r="R30" i="21"/>
  <c r="R33" i="21"/>
  <c r="R36" i="21"/>
  <c r="R39" i="21"/>
  <c r="R42" i="21"/>
  <c r="R44" i="21"/>
  <c r="R47" i="21"/>
  <c r="R31" i="21"/>
  <c r="R34" i="21"/>
  <c r="R37" i="21"/>
  <c r="R40" i="21"/>
  <c r="R48" i="21"/>
  <c r="R45" i="21"/>
  <c r="R29" i="21"/>
  <c r="R32" i="21"/>
  <c r="R35" i="21"/>
  <c r="R38" i="21"/>
  <c r="R41" i="21"/>
  <c r="S21" i="21"/>
  <c r="S48" i="21"/>
  <c r="S45" i="21"/>
  <c r="S29" i="21"/>
  <c r="S32" i="21"/>
  <c r="S35" i="21"/>
  <c r="S38" i="21"/>
  <c r="S41" i="21"/>
  <c r="S43" i="21"/>
  <c r="S46" i="21"/>
  <c r="S30" i="21"/>
  <c r="S33" i="21"/>
  <c r="S36" i="21"/>
  <c r="S39" i="21"/>
  <c r="S42" i="21"/>
  <c r="S44" i="21"/>
  <c r="S47" i="21"/>
  <c r="S31" i="21"/>
  <c r="S34" i="21"/>
  <c r="S37" i="21"/>
  <c r="S40" i="21"/>
  <c r="T22" i="18"/>
  <c r="S35" i="18"/>
  <c r="AU19" i="26"/>
  <c r="BC18" i="26"/>
  <c r="BE19" i="26" s="1"/>
  <c r="BD17" i="26"/>
  <c r="AW17" i="26"/>
  <c r="AV17" i="26" s="1"/>
  <c r="Q8" i="18"/>
  <c r="O21" i="18"/>
  <c r="Q21" i="18"/>
  <c r="P21" i="18"/>
  <c r="R8" i="21"/>
  <c r="R10" i="21"/>
  <c r="P24" i="21"/>
  <c r="R14" i="21"/>
  <c r="Q24" i="21"/>
  <c r="R9" i="21"/>
  <c r="R26" i="21"/>
  <c r="S9" i="21"/>
  <c r="R18" i="21"/>
  <c r="P11" i="21"/>
  <c r="Q13" i="21"/>
  <c r="Q14" i="21"/>
  <c r="Q18" i="21"/>
  <c r="S15" i="21"/>
  <c r="Q20" i="21"/>
  <c r="P28" i="21"/>
  <c r="P20" i="21"/>
  <c r="P14" i="21"/>
  <c r="P9" i="21"/>
  <c r="P27" i="21"/>
  <c r="P21" i="21"/>
  <c r="P15" i="21"/>
  <c r="P12" i="21"/>
  <c r="P25" i="21"/>
  <c r="P22" i="21"/>
  <c r="P16" i="21"/>
  <c r="P23" i="21"/>
  <c r="P17" i="21"/>
  <c r="P18" i="21"/>
  <c r="P8" i="21"/>
  <c r="P26" i="21"/>
  <c r="S19" i="21"/>
  <c r="Q9" i="21"/>
  <c r="Q27" i="21"/>
  <c r="Q21" i="21"/>
  <c r="Q15" i="21"/>
  <c r="Q12" i="21"/>
  <c r="Q25" i="21"/>
  <c r="Q22" i="21"/>
  <c r="Q16" i="21"/>
  <c r="Q23" i="21"/>
  <c r="Q17" i="21"/>
  <c r="Q10" i="21"/>
  <c r="Q28" i="21"/>
  <c r="Q26" i="21"/>
  <c r="Q19" i="21"/>
  <c r="Q8" i="21"/>
  <c r="S27" i="21"/>
  <c r="P13" i="21"/>
  <c r="S12" i="21"/>
  <c r="S25" i="21"/>
  <c r="S22" i="21"/>
  <c r="S16" i="21"/>
  <c r="S23" i="21"/>
  <c r="S17" i="21"/>
  <c r="S10" i="21"/>
  <c r="S28" i="21"/>
  <c r="S13" i="21"/>
  <c r="S18" i="21"/>
  <c r="S8" i="21"/>
  <c r="S26" i="21"/>
  <c r="S24" i="21"/>
  <c r="S11" i="21"/>
  <c r="S20" i="21"/>
  <c r="S14" i="21"/>
  <c r="P10" i="21"/>
  <c r="R11" i="21"/>
  <c r="R24" i="21"/>
  <c r="R19" i="21"/>
  <c r="R13" i="21"/>
  <c r="R28" i="21"/>
  <c r="R17" i="21"/>
  <c r="R23" i="21"/>
  <c r="R16" i="21"/>
  <c r="R22" i="21"/>
  <c r="R25" i="21"/>
  <c r="R12" i="21"/>
  <c r="R15" i="21"/>
  <c r="R21" i="21"/>
  <c r="R27" i="21"/>
  <c r="O37" i="18"/>
  <c r="R22" i="18"/>
  <c r="W24" i="18"/>
  <c r="T28" i="18"/>
  <c r="T45" i="18"/>
  <c r="W15" i="18"/>
  <c r="V15" i="18"/>
  <c r="O36" i="18"/>
  <c r="V21" i="18"/>
  <c r="P13" i="18"/>
  <c r="P12" i="18"/>
  <c r="P10" i="18"/>
  <c r="V44" i="18"/>
  <c r="V32" i="18"/>
  <c r="U12" i="18"/>
  <c r="R16" i="18"/>
  <c r="W10" i="18"/>
  <c r="V25" i="18"/>
  <c r="R40" i="18"/>
  <c r="V35" i="18"/>
  <c r="T35" i="18"/>
  <c r="O16" i="18"/>
  <c r="Q40" i="18"/>
  <c r="V29" i="18"/>
  <c r="O13" i="18"/>
  <c r="Q37" i="18"/>
  <c r="W14" i="18"/>
  <c r="O12" i="18"/>
  <c r="Q36" i="18"/>
  <c r="V14" i="18"/>
  <c r="O10" i="18"/>
  <c r="Q16" i="18"/>
  <c r="W47" i="18"/>
  <c r="W11" i="18"/>
  <c r="P40" i="18"/>
  <c r="Q13" i="18"/>
  <c r="V45" i="18"/>
  <c r="T11" i="18"/>
  <c r="P37" i="18"/>
  <c r="Q12" i="18"/>
  <c r="W41" i="18"/>
  <c r="O34" i="18"/>
  <c r="P36" i="18"/>
  <c r="R46" i="18"/>
  <c r="V38" i="18"/>
  <c r="P34" i="18"/>
  <c r="V20" i="18"/>
  <c r="O40" i="18"/>
  <c r="P16" i="18"/>
  <c r="U39" i="18"/>
  <c r="U29" i="18"/>
  <c r="S26" i="18"/>
  <c r="S22" i="18"/>
  <c r="O39" i="18"/>
  <c r="O15" i="18"/>
  <c r="P39" i="18"/>
  <c r="P15" i="18"/>
  <c r="Q39" i="18"/>
  <c r="Q15" i="18"/>
  <c r="R41" i="18"/>
  <c r="R17" i="18"/>
  <c r="U45" i="18"/>
  <c r="W38" i="18"/>
  <c r="U35" i="18"/>
  <c r="T29" i="18"/>
  <c r="T25" i="18"/>
  <c r="W21" i="18"/>
  <c r="U15" i="18"/>
  <c r="V11" i="18"/>
  <c r="R43" i="18"/>
  <c r="R31" i="18"/>
  <c r="R19" i="18"/>
  <c r="S25" i="18"/>
  <c r="U21" i="18"/>
  <c r="Q34" i="18"/>
  <c r="Q10" i="18"/>
  <c r="R37" i="18"/>
  <c r="R13" i="18"/>
  <c r="V41" i="18"/>
  <c r="T38" i="18"/>
  <c r="T34" i="18"/>
  <c r="S28" i="18"/>
  <c r="V24" i="18"/>
  <c r="W17" i="18"/>
  <c r="U14" i="18"/>
  <c r="S11" i="18"/>
  <c r="S18" i="18"/>
  <c r="O33" i="18"/>
  <c r="O9" i="18"/>
  <c r="P33" i="18"/>
  <c r="P9" i="18"/>
  <c r="Q33" i="18"/>
  <c r="Q9" i="18"/>
  <c r="R35" i="18"/>
  <c r="R11" i="18"/>
  <c r="V47" i="18"/>
  <c r="U41" i="18"/>
  <c r="S38" i="18"/>
  <c r="S34" i="18"/>
  <c r="W27" i="18"/>
  <c r="U24" i="18"/>
  <c r="V17" i="18"/>
  <c r="T14" i="18"/>
  <c r="T10" i="18"/>
  <c r="R38" i="18"/>
  <c r="R14" i="18"/>
  <c r="O28" i="18"/>
  <c r="P28" i="18"/>
  <c r="Q28" i="18"/>
  <c r="R8" i="18"/>
  <c r="R34" i="18"/>
  <c r="R10" i="18"/>
  <c r="U47" i="18"/>
  <c r="T41" i="18"/>
  <c r="T37" i="18"/>
  <c r="W33" i="18"/>
  <c r="V27" i="18"/>
  <c r="W23" i="18"/>
  <c r="U17" i="18"/>
  <c r="S14" i="18"/>
  <c r="S10" i="18"/>
  <c r="Q23" i="18"/>
  <c r="O27" i="18"/>
  <c r="P27" i="18"/>
  <c r="Q27" i="18"/>
  <c r="R29" i="18"/>
  <c r="T47" i="18"/>
  <c r="S41" i="18"/>
  <c r="S37" i="18"/>
  <c r="V33" i="18"/>
  <c r="U27" i="18"/>
  <c r="V23" i="18"/>
  <c r="T17" i="18"/>
  <c r="T13" i="18"/>
  <c r="W9" i="18"/>
  <c r="P23" i="18"/>
  <c r="O25" i="18"/>
  <c r="P25" i="18"/>
  <c r="Q25" i="18"/>
  <c r="R28" i="18"/>
  <c r="S47" i="18"/>
  <c r="T40" i="18"/>
  <c r="W36" i="18"/>
  <c r="U33" i="18"/>
  <c r="W26" i="18"/>
  <c r="U23" i="18"/>
  <c r="S17" i="18"/>
  <c r="S13" i="18"/>
  <c r="V9" i="18"/>
  <c r="U38" i="18"/>
  <c r="O24" i="18"/>
  <c r="P24" i="18"/>
  <c r="Q24" i="18"/>
  <c r="R26" i="18"/>
  <c r="T46" i="18"/>
  <c r="S40" i="18"/>
  <c r="V36" i="18"/>
  <c r="U32" i="18"/>
  <c r="V26" i="18"/>
  <c r="T23" i="18"/>
  <c r="T16" i="18"/>
  <c r="W12" i="18"/>
  <c r="U9" i="18"/>
  <c r="S29" i="18"/>
  <c r="U11" i="18"/>
  <c r="O46" i="18"/>
  <c r="O22" i="18"/>
  <c r="P46" i="18"/>
  <c r="P22" i="18"/>
  <c r="Q46" i="18"/>
  <c r="Q22" i="18"/>
  <c r="R25" i="18"/>
  <c r="S46" i="18"/>
  <c r="W39" i="18"/>
  <c r="U36" i="18"/>
  <c r="W29" i="18"/>
  <c r="U26" i="18"/>
  <c r="S23" i="18"/>
  <c r="S16" i="18"/>
  <c r="V12" i="18"/>
  <c r="S8" i="18"/>
  <c r="U44" i="18"/>
  <c r="O45" i="18"/>
  <c r="P45" i="18"/>
  <c r="Q45" i="18"/>
  <c r="R47" i="18"/>
  <c r="W45" i="18"/>
  <c r="V39" i="18"/>
  <c r="W35" i="18"/>
  <c r="T26" i="18"/>
  <c r="Q26" i="18"/>
  <c r="P41" i="18"/>
  <c r="Q41" i="18"/>
  <c r="T24" i="18"/>
  <c r="P11" i="18"/>
  <c r="V16" i="18"/>
  <c r="P26" i="18"/>
  <c r="Q11" i="18"/>
  <c r="V22" i="18"/>
  <c r="P35" i="18"/>
  <c r="P17" i="18"/>
  <c r="Q35" i="18"/>
  <c r="Q17" i="18"/>
  <c r="S45" i="18"/>
  <c r="V37" i="18"/>
  <c r="V10" i="18"/>
  <c r="S30" i="18"/>
  <c r="W22" i="18"/>
  <c r="T15" i="18"/>
  <c r="T42" i="18"/>
  <c r="T30" i="18"/>
  <c r="T18" i="18"/>
  <c r="S42" i="18"/>
  <c r="S15" i="18"/>
  <c r="P47" i="18"/>
  <c r="P29" i="18"/>
  <c r="P14" i="18"/>
  <c r="Q47" i="18"/>
  <c r="Q29" i="18"/>
  <c r="Q14" i="18"/>
  <c r="W46" i="18"/>
  <c r="V34" i="18"/>
  <c r="T27" i="18"/>
  <c r="V46" i="18"/>
  <c r="T39" i="18"/>
  <c r="S27" i="18"/>
  <c r="T12" i="18"/>
  <c r="W34" i="18"/>
  <c r="S39" i="18"/>
  <c r="W16" i="18"/>
  <c r="S12" i="18"/>
  <c r="T36" i="18"/>
  <c r="W28" i="18"/>
  <c r="S24" i="18"/>
  <c r="T9" i="18"/>
  <c r="W40" i="18"/>
  <c r="S36" i="18"/>
  <c r="V28" i="18"/>
  <c r="W13" i="18"/>
  <c r="S9" i="18"/>
  <c r="P38" i="18"/>
  <c r="Q38" i="18"/>
  <c r="V40" i="18"/>
  <c r="T21" i="18"/>
  <c r="V13" i="18"/>
  <c r="T33" i="18"/>
  <c r="W25" i="18"/>
  <c r="S21" i="18"/>
  <c r="W37" i="18"/>
  <c r="S33" i="18"/>
  <c r="W43" i="18"/>
  <c r="W31" i="18"/>
  <c r="W19" i="18"/>
  <c r="T44" i="18"/>
  <c r="S20" i="18"/>
  <c r="V43" i="18"/>
  <c r="V31" i="18"/>
  <c r="V19" i="18"/>
  <c r="T32" i="18"/>
  <c r="S32" i="18"/>
  <c r="U20" i="18"/>
  <c r="T20" i="18"/>
  <c r="S44" i="18"/>
  <c r="T43" i="18"/>
  <c r="T31" i="18"/>
  <c r="T19" i="18"/>
  <c r="S43" i="18"/>
  <c r="S31" i="18"/>
  <c r="S19" i="18"/>
  <c r="W42" i="18"/>
  <c r="W30" i="18"/>
  <c r="W18" i="18"/>
  <c r="P44" i="18"/>
  <c r="P32" i="18"/>
  <c r="P20" i="18"/>
  <c r="Q44" i="18"/>
  <c r="Q32" i="18"/>
  <c r="Q20" i="18"/>
  <c r="V42" i="18"/>
  <c r="V30" i="18"/>
  <c r="V18" i="18"/>
  <c r="O43" i="18"/>
  <c r="O31" i="18"/>
  <c r="O19" i="18"/>
  <c r="P43" i="18"/>
  <c r="P31" i="18"/>
  <c r="P19" i="18"/>
  <c r="Q43" i="18"/>
  <c r="Q31" i="18"/>
  <c r="Q19" i="18"/>
  <c r="R44" i="18"/>
  <c r="R32" i="18"/>
  <c r="R20" i="18"/>
  <c r="W44" i="18"/>
  <c r="U42" i="18"/>
  <c r="W32" i="18"/>
  <c r="U30" i="18"/>
  <c r="W20" i="18"/>
  <c r="U18" i="18"/>
  <c r="O42" i="18"/>
  <c r="O30" i="18"/>
  <c r="O18" i="18"/>
  <c r="P42" i="18"/>
  <c r="P30" i="18"/>
  <c r="P18" i="18"/>
  <c r="Q42" i="18"/>
  <c r="Q30" i="18"/>
  <c r="Q18" i="18"/>
  <c r="P8" i="18"/>
  <c r="W8" i="18"/>
  <c r="V8" i="18"/>
  <c r="U8" i="18"/>
  <c r="T8" i="18"/>
  <c r="BD18" i="26" l="1"/>
  <c r="AW18" i="26"/>
  <c r="AV18" i="26" s="1"/>
  <c r="AU20" i="26"/>
  <c r="BC19" i="26"/>
  <c r="BE20" i="26" s="1"/>
  <c r="AD5" i="18"/>
  <c r="AV6" i="15"/>
  <c r="AW6" i="15"/>
  <c r="AX6" i="15"/>
  <c r="AY6" i="15"/>
  <c r="AY16" i="15" s="1"/>
  <c r="AZ6" i="15"/>
  <c r="AZ17" i="15" s="1"/>
  <c r="BA6" i="15"/>
  <c r="BB6" i="15"/>
  <c r="BB19" i="15" s="1"/>
  <c r="BC6" i="15"/>
  <c r="BC49" i="15" s="1"/>
  <c r="BD6" i="15"/>
  <c r="BE6" i="15"/>
  <c r="BE37" i="15" s="1"/>
  <c r="BF6" i="15"/>
  <c r="BF11" i="15" s="1"/>
  <c r="AU5" i="15"/>
  <c r="AU6" i="15"/>
  <c r="AT6" i="15"/>
  <c r="AG6" i="15"/>
  <c r="AH6" i="15"/>
  <c r="D88" i="15"/>
  <c r="D89" i="15"/>
  <c r="D90" i="15"/>
  <c r="D91" i="15"/>
  <c r="D92" i="15"/>
  <c r="D93" i="15"/>
  <c r="D94" i="15"/>
  <c r="D87" i="15"/>
  <c r="D59" i="15"/>
  <c r="D60" i="15"/>
  <c r="D61" i="15"/>
  <c r="D62" i="15"/>
  <c r="D63" i="15"/>
  <c r="D64" i="15"/>
  <c r="D65" i="15"/>
  <c r="D58" i="15"/>
  <c r="AU21" i="26" l="1"/>
  <c r="BC20" i="26"/>
  <c r="BE21" i="26" s="1"/>
  <c r="BD19" i="26"/>
  <c r="AW19" i="26"/>
  <c r="AV19" i="26" s="1"/>
  <c r="AD11" i="18"/>
  <c r="AD14" i="18"/>
  <c r="AD17" i="18"/>
  <c r="AD20" i="18"/>
  <c r="AD23" i="18"/>
  <c r="AD26" i="18"/>
  <c r="AD29" i="18"/>
  <c r="AD32" i="18"/>
  <c r="AD35" i="18"/>
  <c r="AD38" i="18"/>
  <c r="AD41" i="18"/>
  <c r="AD44" i="18"/>
  <c r="AD47" i="18"/>
  <c r="AD9" i="18"/>
  <c r="AD12" i="18"/>
  <c r="AD15" i="18"/>
  <c r="AD18" i="18"/>
  <c r="AD21" i="18"/>
  <c r="AD24" i="18"/>
  <c r="AD27" i="18"/>
  <c r="AD30" i="18"/>
  <c r="AD33" i="18"/>
  <c r="AD36" i="18"/>
  <c r="AD39" i="18"/>
  <c r="AD42" i="18"/>
  <c r="AD45" i="18"/>
  <c r="AD8" i="18"/>
  <c r="AD10" i="18"/>
  <c r="AD13" i="18"/>
  <c r="AD16" i="18"/>
  <c r="AD19" i="18"/>
  <c r="AD22" i="18"/>
  <c r="AD25" i="18"/>
  <c r="AD28" i="18"/>
  <c r="AD31" i="18"/>
  <c r="AD34" i="18"/>
  <c r="AD37" i="18"/>
  <c r="AD40" i="18"/>
  <c r="AD43" i="18"/>
  <c r="AD46" i="18"/>
  <c r="AV16" i="15"/>
  <c r="BC23" i="15"/>
  <c r="BB12" i="15"/>
  <c r="BE9" i="15"/>
  <c r="AV46" i="15"/>
  <c r="AV42" i="15"/>
  <c r="BE10" i="15"/>
  <c r="BE15" i="15"/>
  <c r="AV49" i="15"/>
  <c r="AV35" i="15"/>
  <c r="AV15" i="15"/>
  <c r="BC20" i="15"/>
  <c r="BC9" i="15"/>
  <c r="BF51" i="15"/>
  <c r="BF15" i="15"/>
  <c r="BF50" i="15"/>
  <c r="BF14" i="15"/>
  <c r="BF49" i="15"/>
  <c r="BF13" i="15"/>
  <c r="BF46" i="15"/>
  <c r="BF10" i="15"/>
  <c r="BF39" i="15"/>
  <c r="BF38" i="15"/>
  <c r="BF37" i="15"/>
  <c r="BF34" i="15"/>
  <c r="BF22" i="15"/>
  <c r="BF27" i="15"/>
  <c r="BF26" i="15"/>
  <c r="BF25" i="15"/>
  <c r="AW14" i="15"/>
  <c r="BB34" i="15"/>
  <c r="BF45" i="15"/>
  <c r="BF33" i="15"/>
  <c r="BF21" i="15"/>
  <c r="AW31" i="15"/>
  <c r="BF44" i="15"/>
  <c r="BF32" i="15"/>
  <c r="BF20" i="15"/>
  <c r="AV31" i="15"/>
  <c r="BF43" i="15"/>
  <c r="BF31" i="15"/>
  <c r="BF19" i="15"/>
  <c r="AV27" i="15"/>
  <c r="BF42" i="15"/>
  <c r="BF30" i="15"/>
  <c r="BF18" i="15"/>
  <c r="BF41" i="15"/>
  <c r="BF29" i="15"/>
  <c r="BF17" i="15"/>
  <c r="AV20" i="15"/>
  <c r="BF40" i="15"/>
  <c r="BF28" i="15"/>
  <c r="BF16" i="15"/>
  <c r="AV38" i="15"/>
  <c r="AV12" i="15"/>
  <c r="BF9" i="15"/>
  <c r="BF48" i="15"/>
  <c r="BF36" i="15"/>
  <c r="BF24" i="15"/>
  <c r="BF12" i="15"/>
  <c r="BF47" i="15"/>
  <c r="BF35" i="15"/>
  <c r="BF23" i="15"/>
  <c r="AV9" i="15"/>
  <c r="AY45" i="15"/>
  <c r="AW41" i="15"/>
  <c r="BC37" i="15"/>
  <c r="AV34" i="15"/>
  <c r="AV26" i="15"/>
  <c r="AV23" i="15"/>
  <c r="AW19" i="15"/>
  <c r="BC11" i="15"/>
  <c r="BB48" i="15"/>
  <c r="AV45" i="15"/>
  <c r="AV41" i="15"/>
  <c r="AV37" i="15"/>
  <c r="AV30" i="15"/>
  <c r="AV19" i="15"/>
  <c r="BE51" i="15"/>
  <c r="AV48" i="15"/>
  <c r="BE25" i="15"/>
  <c r="BB22" i="15"/>
  <c r="AV14" i="15"/>
  <c r="AV11" i="15"/>
  <c r="AV51" i="15"/>
  <c r="AV44" i="15"/>
  <c r="AV40" i="15"/>
  <c r="AY33" i="15"/>
  <c r="AW29" i="15"/>
  <c r="BC25" i="15"/>
  <c r="AV22" i="15"/>
  <c r="AV18" i="15"/>
  <c r="AY19" i="15"/>
  <c r="BC47" i="15"/>
  <c r="BB36" i="15"/>
  <c r="AV33" i="15"/>
  <c r="AV29" i="15"/>
  <c r="AV25" i="15"/>
  <c r="BE13" i="15"/>
  <c r="BB10" i="15"/>
  <c r="AY43" i="15"/>
  <c r="BE39" i="15"/>
  <c r="AV36" i="15"/>
  <c r="AW17" i="15"/>
  <c r="BC13" i="15"/>
  <c r="AV10" i="15"/>
  <c r="AV50" i="15"/>
  <c r="AV47" i="15"/>
  <c r="AW43" i="15"/>
  <c r="AV39" i="15"/>
  <c r="AV32" i="15"/>
  <c r="AV28" i="15"/>
  <c r="AY21" i="15"/>
  <c r="AV17" i="15"/>
  <c r="AV13" i="15"/>
  <c r="AV43" i="15"/>
  <c r="BC35" i="15"/>
  <c r="BB24" i="15"/>
  <c r="AV21" i="15"/>
  <c r="BE49" i="15"/>
  <c r="BB46" i="15"/>
  <c r="AY31" i="15"/>
  <c r="BE27" i="15"/>
  <c r="AV24" i="15"/>
  <c r="AZ32" i="15"/>
  <c r="AW51" i="15"/>
  <c r="BE47" i="15"/>
  <c r="BC45" i="15"/>
  <c r="BB44" i="15"/>
  <c r="AZ42" i="15"/>
  <c r="AY41" i="15"/>
  <c r="AW39" i="15"/>
  <c r="BE35" i="15"/>
  <c r="BC33" i="15"/>
  <c r="BB32" i="15"/>
  <c r="AZ30" i="15"/>
  <c r="AY29" i="15"/>
  <c r="AW27" i="15"/>
  <c r="BE23" i="15"/>
  <c r="BC21" i="15"/>
  <c r="BB20" i="15"/>
  <c r="AZ18" i="15"/>
  <c r="AY17" i="15"/>
  <c r="AW15" i="15"/>
  <c r="BE11" i="15"/>
  <c r="BE48" i="15"/>
  <c r="BC46" i="15"/>
  <c r="BB45" i="15"/>
  <c r="AZ43" i="15"/>
  <c r="AY42" i="15"/>
  <c r="AW40" i="15"/>
  <c r="BE36" i="15"/>
  <c r="BC34" i="15"/>
  <c r="BB33" i="15"/>
  <c r="AZ31" i="15"/>
  <c r="AY30" i="15"/>
  <c r="AW28" i="15"/>
  <c r="BE24" i="15"/>
  <c r="BC22" i="15"/>
  <c r="BB21" i="15"/>
  <c r="AZ19" i="15"/>
  <c r="AY18" i="15"/>
  <c r="AW16" i="15"/>
  <c r="BE12" i="15"/>
  <c r="BC10" i="15"/>
  <c r="AZ44" i="15"/>
  <c r="AZ20" i="15"/>
  <c r="BE50" i="15"/>
  <c r="BC48" i="15"/>
  <c r="BB47" i="15"/>
  <c r="AZ45" i="15"/>
  <c r="AY44" i="15"/>
  <c r="AW42" i="15"/>
  <c r="BE38" i="15"/>
  <c r="BC36" i="15"/>
  <c r="BB35" i="15"/>
  <c r="AZ33" i="15"/>
  <c r="AY32" i="15"/>
  <c r="AW30" i="15"/>
  <c r="BE26" i="15"/>
  <c r="BC24" i="15"/>
  <c r="BB23" i="15"/>
  <c r="AZ21" i="15"/>
  <c r="AY20" i="15"/>
  <c r="AW18" i="15"/>
  <c r="BE14" i="15"/>
  <c r="BC12" i="15"/>
  <c r="BB11" i="15"/>
  <c r="AZ10" i="15"/>
  <c r="BB9" i="15"/>
  <c r="BC50" i="15"/>
  <c r="BB49" i="15"/>
  <c r="AZ47" i="15"/>
  <c r="AY46" i="15"/>
  <c r="AW44" i="15"/>
  <c r="BE40" i="15"/>
  <c r="BC38" i="15"/>
  <c r="BB37" i="15"/>
  <c r="AZ35" i="15"/>
  <c r="AY34" i="15"/>
  <c r="AW32" i="15"/>
  <c r="BE28" i="15"/>
  <c r="BC26" i="15"/>
  <c r="BB25" i="15"/>
  <c r="AZ23" i="15"/>
  <c r="AY22" i="15"/>
  <c r="AW20" i="15"/>
  <c r="BE16" i="15"/>
  <c r="BC14" i="15"/>
  <c r="BB13" i="15"/>
  <c r="AZ11" i="15"/>
  <c r="AY10" i="15"/>
  <c r="AZ34" i="15"/>
  <c r="BC51" i="15"/>
  <c r="BB50" i="15"/>
  <c r="AZ48" i="15"/>
  <c r="AY47" i="15"/>
  <c r="AW45" i="15"/>
  <c r="BE41" i="15"/>
  <c r="BC39" i="15"/>
  <c r="BB38" i="15"/>
  <c r="AZ36" i="15"/>
  <c r="AY35" i="15"/>
  <c r="AW33" i="15"/>
  <c r="BE29" i="15"/>
  <c r="BC27" i="15"/>
  <c r="BB26" i="15"/>
  <c r="AZ24" i="15"/>
  <c r="AY23" i="15"/>
  <c r="AW21" i="15"/>
  <c r="BE17" i="15"/>
  <c r="BC15" i="15"/>
  <c r="BB14" i="15"/>
  <c r="AZ12" i="15"/>
  <c r="AY11" i="15"/>
  <c r="AZ9" i="15"/>
  <c r="BB51" i="15"/>
  <c r="AZ49" i="15"/>
  <c r="AY48" i="15"/>
  <c r="AW46" i="15"/>
  <c r="BE42" i="15"/>
  <c r="BC40" i="15"/>
  <c r="BB39" i="15"/>
  <c r="AZ37" i="15"/>
  <c r="AY36" i="15"/>
  <c r="AW34" i="15"/>
  <c r="BE30" i="15"/>
  <c r="BC28" i="15"/>
  <c r="BB27" i="15"/>
  <c r="AZ25" i="15"/>
  <c r="AY24" i="15"/>
  <c r="AW22" i="15"/>
  <c r="BE18" i="15"/>
  <c r="BC16" i="15"/>
  <c r="BB15" i="15"/>
  <c r="AZ13" i="15"/>
  <c r="AY12" i="15"/>
  <c r="AW10" i="15"/>
  <c r="AY9" i="15"/>
  <c r="AZ50" i="15"/>
  <c r="AY49" i="15"/>
  <c r="AW47" i="15"/>
  <c r="BE43" i="15"/>
  <c r="BC41" i="15"/>
  <c r="BB40" i="15"/>
  <c r="AZ38" i="15"/>
  <c r="AY37" i="15"/>
  <c r="AW35" i="15"/>
  <c r="BE31" i="15"/>
  <c r="BC29" i="15"/>
  <c r="BB28" i="15"/>
  <c r="AZ26" i="15"/>
  <c r="AY25" i="15"/>
  <c r="AW23" i="15"/>
  <c r="BE19" i="15"/>
  <c r="BC17" i="15"/>
  <c r="BB16" i="15"/>
  <c r="AZ14" i="15"/>
  <c r="AY13" i="15"/>
  <c r="AW11" i="15"/>
  <c r="AZ51" i="15"/>
  <c r="AY50" i="15"/>
  <c r="AW48" i="15"/>
  <c r="BE44" i="15"/>
  <c r="BC42" i="15"/>
  <c r="BB41" i="15"/>
  <c r="AZ39" i="15"/>
  <c r="AY38" i="15"/>
  <c r="AW36" i="15"/>
  <c r="BE32" i="15"/>
  <c r="BC30" i="15"/>
  <c r="BB29" i="15"/>
  <c r="AZ27" i="15"/>
  <c r="AY26" i="15"/>
  <c r="AW24" i="15"/>
  <c r="BE20" i="15"/>
  <c r="BC18" i="15"/>
  <c r="BB17" i="15"/>
  <c r="AZ15" i="15"/>
  <c r="AY14" i="15"/>
  <c r="AW12" i="15"/>
  <c r="AZ46" i="15"/>
  <c r="AZ22" i="15"/>
  <c r="AW9" i="15"/>
  <c r="AY51" i="15"/>
  <c r="AW49" i="15"/>
  <c r="BE45" i="15"/>
  <c r="BC43" i="15"/>
  <c r="BB42" i="15"/>
  <c r="AZ40" i="15"/>
  <c r="AY39" i="15"/>
  <c r="AW37" i="15"/>
  <c r="BE33" i="15"/>
  <c r="BC31" i="15"/>
  <c r="BB30" i="15"/>
  <c r="AZ28" i="15"/>
  <c r="AY27" i="15"/>
  <c r="AW25" i="15"/>
  <c r="BE21" i="15"/>
  <c r="BC19" i="15"/>
  <c r="BB18" i="15"/>
  <c r="AZ16" i="15"/>
  <c r="AY15" i="15"/>
  <c r="AW13" i="15"/>
  <c r="AW50" i="15"/>
  <c r="BE46" i="15"/>
  <c r="BC44" i="15"/>
  <c r="BB43" i="15"/>
  <c r="AZ41" i="15"/>
  <c r="AY40" i="15"/>
  <c r="AW38" i="15"/>
  <c r="BE34" i="15"/>
  <c r="BC32" i="15"/>
  <c r="BB31" i="15"/>
  <c r="AZ29" i="15"/>
  <c r="AY28" i="15"/>
  <c r="AW26" i="15"/>
  <c r="BE22" i="15"/>
  <c r="E31" i="15"/>
  <c r="BD20" i="26" l="1"/>
  <c r="AW20" i="26"/>
  <c r="AV20" i="26" s="1"/>
  <c r="BC21" i="26"/>
  <c r="BE22" i="26" s="1"/>
  <c r="AU22" i="26"/>
  <c r="E35" i="15"/>
  <c r="AW21" i="26" l="1"/>
  <c r="AV21" i="26" s="1"/>
  <c r="BD21" i="26"/>
  <c r="AU23" i="26"/>
  <c r="BC22" i="26"/>
  <c r="BE23" i="26" s="1"/>
  <c r="AW22" i="26" l="1"/>
  <c r="AV22" i="26" s="1"/>
  <c r="BD22" i="26"/>
  <c r="AU24" i="26"/>
  <c r="BC23" i="26"/>
  <c r="BE24" i="26" s="1"/>
  <c r="AW23" i="26" l="1"/>
  <c r="AV23" i="26" s="1"/>
  <c r="BD23" i="26"/>
  <c r="BC24" i="26"/>
  <c r="BE25" i="26" s="1"/>
  <c r="AU25" i="26"/>
  <c r="E18" i="15"/>
  <c r="E19" i="15" s="1"/>
  <c r="Q6" i="1"/>
  <c r="D19" i="15"/>
  <c r="F18" i="15"/>
  <c r="AW24" i="26" l="1"/>
  <c r="AV24" i="26" s="1"/>
  <c r="BD24" i="26"/>
  <c r="BC25" i="26"/>
  <c r="BE26" i="26" s="1"/>
  <c r="AU26" i="26"/>
  <c r="F19" i="15"/>
  <c r="C19" i="15"/>
  <c r="J7" i="1"/>
  <c r="J8" i="1"/>
  <c r="J9" i="1"/>
  <c r="J6" i="1"/>
  <c r="BC26" i="26" l="1"/>
  <c r="BE27" i="26" s="1"/>
  <c r="AU27" i="26"/>
  <c r="BD25" i="26"/>
  <c r="AW25" i="26"/>
  <c r="AV25" i="26" s="1"/>
  <c r="AC7" i="5"/>
  <c r="AD7" i="5"/>
  <c r="AC8" i="5"/>
  <c r="AD8" i="5"/>
  <c r="AD6" i="5"/>
  <c r="AC6" i="5"/>
  <c r="J19" i="8"/>
  <c r="J18" i="8"/>
  <c r="J17" i="8"/>
  <c r="J16" i="8"/>
  <c r="I16" i="8"/>
  <c r="BC27" i="26" l="1"/>
  <c r="BE28" i="26" s="1"/>
  <c r="AU28" i="26"/>
  <c r="BD26" i="26"/>
  <c r="AW26" i="26"/>
  <c r="AV26" i="26" s="1"/>
  <c r="I19" i="8"/>
  <c r="I17" i="8"/>
  <c r="I18" i="8"/>
  <c r="J14" i="8"/>
  <c r="J13" i="8"/>
  <c r="I13" i="8"/>
  <c r="E8" i="10"/>
  <c r="I25" i="10"/>
  <c r="C23" i="5"/>
  <c r="AH33" i="5" s="1"/>
  <c r="D19" i="10"/>
  <c r="D20" i="10" s="1"/>
  <c r="E19" i="10"/>
  <c r="E20" i="10" s="1"/>
  <c r="F19" i="10"/>
  <c r="F20" i="10" s="1"/>
  <c r="C19" i="10"/>
  <c r="C20" i="10" s="1"/>
  <c r="S7" i="10"/>
  <c r="S9" i="10"/>
  <c r="S12" i="10"/>
  <c r="S14" i="10"/>
  <c r="S19" i="10"/>
  <c r="S21" i="10"/>
  <c r="S22" i="10"/>
  <c r="S24" i="10"/>
  <c r="S31" i="10"/>
  <c r="S33" i="10"/>
  <c r="S36" i="10"/>
  <c r="S38" i="10"/>
  <c r="S43" i="10"/>
  <c r="S45" i="10"/>
  <c r="S48" i="10"/>
  <c r="S50" i="10"/>
  <c r="S55" i="10"/>
  <c r="S57" i="10"/>
  <c r="S60" i="10"/>
  <c r="S67" i="10"/>
  <c r="S72" i="10"/>
  <c r="S74" i="10"/>
  <c r="S79" i="10"/>
  <c r="S81" i="10"/>
  <c r="S82" i="10"/>
  <c r="L9" i="10"/>
  <c r="L13" i="10" s="1"/>
  <c r="O81" i="10" s="1"/>
  <c r="F26" i="10"/>
  <c r="D7" i="10"/>
  <c r="F7" i="10" s="1"/>
  <c r="D12" i="10"/>
  <c r="D10" i="10"/>
  <c r="H9" i="6"/>
  <c r="H8" i="6"/>
  <c r="H10" i="6"/>
  <c r="H11" i="6"/>
  <c r="H12" i="6"/>
  <c r="H13" i="6"/>
  <c r="H7" i="6"/>
  <c r="AB14" i="5" l="1"/>
  <c r="AF14" i="5" s="1"/>
  <c r="AG14" i="5" s="1"/>
  <c r="AB28" i="5"/>
  <c r="AF28" i="5" s="1"/>
  <c r="AG28" i="5" s="1"/>
  <c r="AB17" i="5"/>
  <c r="AF17" i="5" s="1"/>
  <c r="AG17" i="5" s="1"/>
  <c r="AB20" i="5"/>
  <c r="AF20" i="5" s="1"/>
  <c r="AG20" i="5" s="1"/>
  <c r="AB31" i="5"/>
  <c r="AF31" i="5" s="1"/>
  <c r="AG31" i="5" s="1"/>
  <c r="AB23" i="5"/>
  <c r="AF23" i="5" s="1"/>
  <c r="AG23" i="5" s="1"/>
  <c r="AB26" i="5"/>
  <c r="AF26" i="5" s="1"/>
  <c r="AG26" i="5" s="1"/>
  <c r="AB15" i="5"/>
  <c r="AF15" i="5" s="1"/>
  <c r="AG15" i="5" s="1"/>
  <c r="AB18" i="5"/>
  <c r="AF18" i="5" s="1"/>
  <c r="AG18" i="5" s="1"/>
  <c r="AB21" i="5"/>
  <c r="AF21" i="5" s="1"/>
  <c r="AG21" i="5" s="1"/>
  <c r="AB29" i="5"/>
  <c r="AF29" i="5" s="1"/>
  <c r="AG29" i="5" s="1"/>
  <c r="AB32" i="5"/>
  <c r="AF32" i="5" s="1"/>
  <c r="AG32" i="5" s="1"/>
  <c r="AB24" i="5"/>
  <c r="AF24" i="5" s="1"/>
  <c r="AG24" i="5" s="1"/>
  <c r="AB22" i="5"/>
  <c r="AF22" i="5" s="1"/>
  <c r="AG22" i="5" s="1"/>
  <c r="AB27" i="5"/>
  <c r="AF27" i="5" s="1"/>
  <c r="AG27" i="5" s="1"/>
  <c r="AB25" i="5"/>
  <c r="AF25" i="5" s="1"/>
  <c r="AG25" i="5" s="1"/>
  <c r="AB16" i="5"/>
  <c r="AF16" i="5" s="1"/>
  <c r="AG16" i="5" s="1"/>
  <c r="AB19" i="5"/>
  <c r="AF19" i="5" s="1"/>
  <c r="AG19" i="5" s="1"/>
  <c r="AB30" i="5"/>
  <c r="AF30" i="5" s="1"/>
  <c r="AG30" i="5" s="1"/>
  <c r="BC28" i="26"/>
  <c r="BE29" i="26" s="1"/>
  <c r="AU29" i="26"/>
  <c r="BD27" i="26"/>
  <c r="AW27" i="26"/>
  <c r="AV27" i="26" s="1"/>
  <c r="AB13" i="5"/>
  <c r="AB12" i="5"/>
  <c r="AB10" i="5"/>
  <c r="AB11" i="5"/>
  <c r="AB9" i="5"/>
  <c r="AB8" i="5"/>
  <c r="AF8" i="5" s="1"/>
  <c r="AG8" i="5" s="1"/>
  <c r="AB7" i="5"/>
  <c r="AF7" i="5" s="1"/>
  <c r="AG7" i="5" s="1"/>
  <c r="AB6" i="5"/>
  <c r="AF6" i="5" s="1"/>
  <c r="AG6" i="5" s="1"/>
  <c r="O24" i="10"/>
  <c r="O36" i="10"/>
  <c r="O35" i="10"/>
  <c r="O47" i="10"/>
  <c r="O48" i="10"/>
  <c r="O59" i="10"/>
  <c r="O60" i="10"/>
  <c r="O71" i="10"/>
  <c r="O11" i="10"/>
  <c r="O72" i="10"/>
  <c r="O12" i="10"/>
  <c r="O83" i="10"/>
  <c r="O13" i="10"/>
  <c r="O23" i="10"/>
  <c r="E7" i="10"/>
  <c r="O10" i="10"/>
  <c r="O22" i="10"/>
  <c r="O34" i="10"/>
  <c r="O46" i="10"/>
  <c r="O58" i="10"/>
  <c r="O70" i="10"/>
  <c r="O82" i="10"/>
  <c r="O25" i="10"/>
  <c r="O37" i="10"/>
  <c r="O49" i="10"/>
  <c r="O61" i="10"/>
  <c r="O73" i="10"/>
  <c r="O14" i="10"/>
  <c r="O26" i="10"/>
  <c r="O38" i="10"/>
  <c r="O50" i="10"/>
  <c r="O62" i="10"/>
  <c r="O74" i="10"/>
  <c r="O15" i="10"/>
  <c r="O27" i="10"/>
  <c r="O39" i="10"/>
  <c r="O51" i="10"/>
  <c r="O63" i="10"/>
  <c r="O75" i="10"/>
  <c r="O16" i="10"/>
  <c r="O28" i="10"/>
  <c r="O40" i="10"/>
  <c r="O52" i="10"/>
  <c r="O64" i="10"/>
  <c r="O76" i="10"/>
  <c r="O17" i="10"/>
  <c r="O29" i="10"/>
  <c r="O41" i="10"/>
  <c r="O53" i="10"/>
  <c r="O65" i="10"/>
  <c r="O77" i="10"/>
  <c r="O6" i="10"/>
  <c r="O18" i="10"/>
  <c r="O30" i="10"/>
  <c r="O42" i="10"/>
  <c r="O54" i="10"/>
  <c r="O66" i="10"/>
  <c r="O78" i="10"/>
  <c r="O7" i="10"/>
  <c r="O19" i="10"/>
  <c r="O31" i="10"/>
  <c r="O43" i="10"/>
  <c r="O55" i="10"/>
  <c r="O67" i="10"/>
  <c r="O79" i="10"/>
  <c r="O8" i="10"/>
  <c r="O20" i="10"/>
  <c r="O32" i="10"/>
  <c r="O44" i="10"/>
  <c r="O56" i="10"/>
  <c r="O68" i="10"/>
  <c r="O80" i="10"/>
  <c r="O9" i="10"/>
  <c r="O21" i="10"/>
  <c r="O33" i="10"/>
  <c r="O45" i="10"/>
  <c r="O57" i="10"/>
  <c r="O69" i="10"/>
  <c r="S77" i="10"/>
  <c r="S41" i="10"/>
  <c r="S76" i="10"/>
  <c r="S40" i="10"/>
  <c r="S75" i="10"/>
  <c r="S39" i="10"/>
  <c r="S65" i="10"/>
  <c r="S29" i="10"/>
  <c r="S64" i="10"/>
  <c r="S28" i="10"/>
  <c r="S63" i="10"/>
  <c r="S27" i="10"/>
  <c r="S62" i="10"/>
  <c r="S26" i="10"/>
  <c r="S53" i="10"/>
  <c r="S17" i="10"/>
  <c r="S52" i="10"/>
  <c r="S16" i="10"/>
  <c r="S51" i="10"/>
  <c r="S15" i="10"/>
  <c r="S78" i="10"/>
  <c r="S66" i="10"/>
  <c r="S54" i="10"/>
  <c r="S42" i="10"/>
  <c r="S30" i="10"/>
  <c r="S18" i="10"/>
  <c r="S73" i="10"/>
  <c r="S61" i="10"/>
  <c r="S49" i="10"/>
  <c r="S37" i="10"/>
  <c r="S25" i="10"/>
  <c r="S13" i="10"/>
  <c r="S6" i="10"/>
  <c r="S83" i="10"/>
  <c r="S71" i="10"/>
  <c r="S59" i="10"/>
  <c r="S47" i="10"/>
  <c r="S35" i="10"/>
  <c r="S23" i="10"/>
  <c r="S11" i="10"/>
  <c r="S70" i="10"/>
  <c r="S58" i="10"/>
  <c r="S46" i="10"/>
  <c r="S34" i="10"/>
  <c r="S10" i="10"/>
  <c r="S69" i="10"/>
  <c r="S80" i="10"/>
  <c r="S68" i="10"/>
  <c r="S56" i="10"/>
  <c r="S44" i="10"/>
  <c r="S32" i="10"/>
  <c r="S20" i="10"/>
  <c r="S8" i="10"/>
  <c r="P12" i="10"/>
  <c r="P9" i="10"/>
  <c r="P10" i="10"/>
  <c r="P21" i="10"/>
  <c r="P22" i="10"/>
  <c r="P23" i="10"/>
  <c r="P11" i="10"/>
  <c r="P20" i="10"/>
  <c r="P8" i="10"/>
  <c r="P19" i="10"/>
  <c r="P7" i="10"/>
  <c r="P18" i="10"/>
  <c r="P17" i="10"/>
  <c r="P16" i="10"/>
  <c r="P15" i="10"/>
  <c r="P14" i="10"/>
  <c r="P13" i="10"/>
  <c r="P6" i="10"/>
  <c r="D7" i="8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6" i="8"/>
  <c r="E6" i="8" s="1"/>
  <c r="C13" i="1"/>
  <c r="Q3" i="22" l="1"/>
  <c r="I5" i="31"/>
  <c r="I3" i="31" s="1"/>
  <c r="D5" i="30"/>
  <c r="AH6" i="5"/>
  <c r="AH30" i="5"/>
  <c r="AH26" i="5"/>
  <c r="AH29" i="5"/>
  <c r="AH15" i="5"/>
  <c r="AH19" i="5"/>
  <c r="AH23" i="5"/>
  <c r="AH16" i="5"/>
  <c r="AH31" i="5"/>
  <c r="AH25" i="5"/>
  <c r="AH20" i="5"/>
  <c r="AH18" i="5"/>
  <c r="AH27" i="5"/>
  <c r="AH17" i="5"/>
  <c r="AH21" i="5"/>
  <c r="AH22" i="5"/>
  <c r="AH28" i="5"/>
  <c r="AH24" i="5"/>
  <c r="AH14" i="5"/>
  <c r="AH32" i="5"/>
  <c r="AU30" i="26"/>
  <c r="BC29" i="26"/>
  <c r="BE30" i="26" s="1"/>
  <c r="BD28" i="26"/>
  <c r="AW28" i="26"/>
  <c r="AV28" i="26" s="1"/>
  <c r="I3" i="6"/>
  <c r="F6" i="27"/>
  <c r="F6" i="28" s="1"/>
  <c r="Q6" i="22"/>
  <c r="E18" i="21"/>
  <c r="O7" i="21" s="1"/>
  <c r="G25" i="18"/>
  <c r="E25" i="18"/>
  <c r="U7" i="18" s="1"/>
  <c r="G22" i="18"/>
  <c r="E22" i="18"/>
  <c r="R7" i="18" s="1"/>
  <c r="G18" i="21"/>
  <c r="U6" i="18"/>
  <c r="O6" i="21"/>
  <c r="R6" i="18"/>
  <c r="O6" i="18"/>
  <c r="F78" i="15"/>
  <c r="F81" i="15"/>
  <c r="C93" i="15" s="1"/>
  <c r="D75" i="15"/>
  <c r="AX8" i="15" s="1"/>
  <c r="D78" i="15"/>
  <c r="BA8" i="15" s="1"/>
  <c r="D81" i="15"/>
  <c r="BD8" i="15" s="1"/>
  <c r="F50" i="15"/>
  <c r="F72" i="15"/>
  <c r="G19" i="18"/>
  <c r="F53" i="15"/>
  <c r="G37" i="18"/>
  <c r="D72" i="15"/>
  <c r="AU8" i="15" s="1"/>
  <c r="D45" i="15"/>
  <c r="AH8" i="15" s="1"/>
  <c r="D53" i="15"/>
  <c r="AP8" i="15" s="1"/>
  <c r="E37" i="18"/>
  <c r="Z5" i="18" s="1"/>
  <c r="Z6" i="18" s="1"/>
  <c r="D50" i="15"/>
  <c r="AM8" i="15" s="1"/>
  <c r="D47" i="15"/>
  <c r="AJ8" i="15" s="1"/>
  <c r="E19" i="18"/>
  <c r="O7" i="18" s="1"/>
  <c r="F75" i="15"/>
  <c r="F45" i="15"/>
  <c r="F47" i="15"/>
  <c r="D29" i="15"/>
  <c r="X8" i="15" s="1"/>
  <c r="F29" i="15"/>
  <c r="D31" i="15"/>
  <c r="Z8" i="15" s="1"/>
  <c r="D35" i="15"/>
  <c r="AD8" i="15" s="1"/>
  <c r="F31" i="15"/>
  <c r="F35" i="15"/>
  <c r="AH7" i="5"/>
  <c r="AH8" i="5"/>
  <c r="Y52" i="10"/>
  <c r="Y53" i="10"/>
  <c r="X75" i="10"/>
  <c r="W57" i="10"/>
  <c r="V61" i="10"/>
  <c r="X69" i="10"/>
  <c r="U73" i="10"/>
  <c r="T40" i="10"/>
  <c r="U67" i="10"/>
  <c r="V56" i="10"/>
  <c r="W83" i="10"/>
  <c r="T41" i="10"/>
  <c r="T65" i="10"/>
  <c r="R6" i="10"/>
  <c r="AA6" i="10" s="1"/>
  <c r="Y33" i="10"/>
  <c r="V37" i="10"/>
  <c r="U52" i="10"/>
  <c r="Y75" i="10"/>
  <c r="X54" i="10"/>
  <c r="W40" i="10"/>
  <c r="Y71" i="10"/>
  <c r="Y69" i="10"/>
  <c r="U59" i="10"/>
  <c r="X45" i="10"/>
  <c r="W47" i="10"/>
  <c r="U49" i="10"/>
  <c r="X51" i="10"/>
  <c r="V78" i="10"/>
  <c r="U57" i="10"/>
  <c r="X71" i="10"/>
  <c r="T57" i="10"/>
  <c r="X63" i="10"/>
  <c r="U79" i="10"/>
  <c r="T81" i="10"/>
  <c r="V83" i="10"/>
  <c r="X81" i="10"/>
  <c r="T37" i="10"/>
  <c r="T53" i="10"/>
  <c r="T32" i="10"/>
  <c r="V32" i="10"/>
  <c r="T34" i="10"/>
  <c r="U36" i="10"/>
  <c r="W38" i="10"/>
  <c r="X42" i="10"/>
  <c r="V44" i="10"/>
  <c r="T46" i="10"/>
  <c r="V50" i="10"/>
  <c r="W54" i="10"/>
  <c r="W56" i="10"/>
  <c r="V58" i="10"/>
  <c r="U60" i="10"/>
  <c r="V62" i="10"/>
  <c r="Y66" i="10"/>
  <c r="Y59" i="10"/>
  <c r="X78" i="10"/>
  <c r="X61" i="10"/>
  <c r="U34" i="10"/>
  <c r="X40" i="10"/>
  <c r="W71" i="10"/>
  <c r="V55" i="10"/>
  <c r="U80" i="10"/>
  <c r="W82" i="10"/>
  <c r="X64" i="10"/>
  <c r="W66" i="10"/>
  <c r="T58" i="10"/>
  <c r="U43" i="10"/>
  <c r="Y76" i="10"/>
  <c r="T38" i="10"/>
  <c r="X35" i="10"/>
  <c r="W69" i="10"/>
  <c r="U47" i="10"/>
  <c r="U68" i="10"/>
  <c r="W70" i="10"/>
  <c r="W72" i="10"/>
  <c r="X72" i="10"/>
  <c r="Y72" i="10"/>
  <c r="T72" i="10"/>
  <c r="V72" i="10"/>
  <c r="X74" i="10"/>
  <c r="Y74" i="10"/>
  <c r="V77" i="10"/>
  <c r="W77" i="10"/>
  <c r="U77" i="10"/>
  <c r="X77" i="10"/>
  <c r="W80" i="10"/>
  <c r="W73" i="10"/>
  <c r="V59" i="10"/>
  <c r="T76" i="10"/>
  <c r="V52" i="10"/>
  <c r="U81" i="10"/>
  <c r="V33" i="10"/>
  <c r="V69" i="10"/>
  <c r="V38" i="10"/>
  <c r="W50" i="10"/>
  <c r="V79" i="10"/>
  <c r="Y45" i="10"/>
  <c r="W51" i="10"/>
  <c r="V80" i="10"/>
  <c r="X68" i="10"/>
  <c r="U35" i="10"/>
  <c r="V73" i="10"/>
  <c r="Y82" i="10"/>
  <c r="W76" i="10"/>
  <c r="U39" i="10"/>
  <c r="V39" i="10"/>
  <c r="T50" i="10"/>
  <c r="W37" i="10"/>
  <c r="U83" i="10"/>
  <c r="Y32" i="10"/>
  <c r="Y68" i="10"/>
  <c r="W59" i="10"/>
  <c r="Y6" i="10"/>
  <c r="Y42" i="10"/>
  <c r="Y78" i="10"/>
  <c r="W45" i="10"/>
  <c r="V74" i="10"/>
  <c r="Y57" i="10"/>
  <c r="X57" i="10"/>
  <c r="T44" i="10"/>
  <c r="X58" i="10"/>
  <c r="T49" i="10"/>
  <c r="T45" i="10"/>
  <c r="T69" i="10"/>
  <c r="U71" i="10"/>
  <c r="U38" i="10"/>
  <c r="Y43" i="10"/>
  <c r="W43" i="10"/>
  <c r="X43" i="10"/>
  <c r="U51" i="10"/>
  <c r="V51" i="10"/>
  <c r="V41" i="10"/>
  <c r="X41" i="10"/>
  <c r="U41" i="10"/>
  <c r="W41" i="10"/>
  <c r="W32" i="10"/>
  <c r="T62" i="10"/>
  <c r="Y39" i="10"/>
  <c r="T39" i="10"/>
  <c r="V35" i="10"/>
  <c r="V71" i="10"/>
  <c r="Y81" i="10"/>
  <c r="U33" i="10"/>
  <c r="Y61" i="10"/>
  <c r="V45" i="10"/>
  <c r="V81" i="10"/>
  <c r="Y47" i="10"/>
  <c r="X76" i="10"/>
  <c r="T33" i="10"/>
  <c r="T56" i="10"/>
  <c r="U46" i="10"/>
  <c r="V46" i="10"/>
  <c r="U61" i="10"/>
  <c r="T61" i="10"/>
  <c r="T70" i="10"/>
  <c r="T83" i="10"/>
  <c r="U50" i="10"/>
  <c r="X82" i="10"/>
  <c r="X55" i="10"/>
  <c r="Y55" i="10"/>
  <c r="W55" i="10"/>
  <c r="V63" i="10"/>
  <c r="U63" i="10"/>
  <c r="U65" i="10"/>
  <c r="X65" i="10"/>
  <c r="W65" i="10"/>
  <c r="V65" i="10"/>
  <c r="Y34" i="10"/>
  <c r="T74" i="10"/>
  <c r="V42" i="10"/>
  <c r="T51" i="10"/>
  <c r="T35" i="10"/>
  <c r="X37" i="10"/>
  <c r="X73" i="10"/>
  <c r="X6" i="10"/>
  <c r="W35" i="10"/>
  <c r="V64" i="10"/>
  <c r="T77" i="10"/>
  <c r="X47" i="10"/>
  <c r="X83" i="10"/>
  <c r="V34" i="10"/>
  <c r="X33" i="10"/>
  <c r="W62" i="10"/>
  <c r="T68" i="10"/>
  <c r="U70" i="10"/>
  <c r="T59" i="10"/>
  <c r="X34" i="10"/>
  <c r="W63" i="10"/>
  <c r="T73" i="10"/>
  <c r="T71" i="10"/>
  <c r="U76" i="10"/>
  <c r="U62" i="10"/>
  <c r="X67" i="10"/>
  <c r="W67" i="10"/>
  <c r="Y67" i="10"/>
  <c r="U75" i="10"/>
  <c r="V75" i="10"/>
  <c r="W44" i="10"/>
  <c r="W49" i="10"/>
  <c r="T63" i="10"/>
  <c r="W6" i="10"/>
  <c r="W42" i="10"/>
  <c r="W78" i="10"/>
  <c r="Y37" i="10"/>
  <c r="X66" i="10"/>
  <c r="W52" i="10"/>
  <c r="T42" i="10"/>
  <c r="X52" i="10"/>
  <c r="W81" i="10"/>
  <c r="Y64" i="10"/>
  <c r="T80" i="10"/>
  <c r="T82" i="10"/>
  <c r="U37" i="10"/>
  <c r="Y65" i="10"/>
  <c r="U6" i="10"/>
  <c r="U74" i="10"/>
  <c r="U42" i="10"/>
  <c r="W79" i="10"/>
  <c r="Y79" i="10"/>
  <c r="X79" i="10"/>
  <c r="Y46" i="10"/>
  <c r="Y51" i="10"/>
  <c r="T75" i="10"/>
  <c r="Y44" i="10"/>
  <c r="Y80" i="10"/>
  <c r="V40" i="10"/>
  <c r="U69" i="10"/>
  <c r="Y54" i="10"/>
  <c r="T54" i="10"/>
  <c r="U55" i="10"/>
  <c r="Y83" i="10"/>
  <c r="V67" i="10"/>
  <c r="W39" i="10"/>
  <c r="V68" i="10"/>
  <c r="U54" i="10"/>
  <c r="X80" i="10"/>
  <c r="V53" i="10"/>
  <c r="W53" i="10"/>
  <c r="U53" i="10"/>
  <c r="X53" i="10"/>
  <c r="V6" i="10"/>
  <c r="V54" i="10"/>
  <c r="V47" i="10"/>
  <c r="V57" i="10"/>
  <c r="T66" i="10"/>
  <c r="U82" i="10"/>
  <c r="T43" i="10"/>
  <c r="Y40" i="10"/>
  <c r="T47" i="10"/>
  <c r="Y41" i="10"/>
  <c r="X70" i="10"/>
  <c r="T6" i="10"/>
  <c r="U58" i="10"/>
  <c r="U40" i="10"/>
  <c r="U66" i="10"/>
  <c r="U32" i="10"/>
  <c r="W34" i="10"/>
  <c r="W36" i="10"/>
  <c r="T36" i="10"/>
  <c r="X36" i="10"/>
  <c r="Y36" i="10"/>
  <c r="V36" i="10"/>
  <c r="Y38" i="10"/>
  <c r="X38" i="10"/>
  <c r="Y58" i="10"/>
  <c r="W61" i="10"/>
  <c r="X49" i="10"/>
  <c r="U45" i="10"/>
  <c r="Y73" i="10"/>
  <c r="X59" i="10"/>
  <c r="T78" i="10"/>
  <c r="T55" i="10"/>
  <c r="V43" i="10"/>
  <c r="U72" i="10"/>
  <c r="X32" i="10"/>
  <c r="V70" i="10"/>
  <c r="U78" i="10"/>
  <c r="U64" i="10"/>
  <c r="U44" i="10"/>
  <c r="W46" i="10"/>
  <c r="W48" i="10"/>
  <c r="T48" i="10"/>
  <c r="X48" i="10"/>
  <c r="V48" i="10"/>
  <c r="Y48" i="10"/>
  <c r="X50" i="10"/>
  <c r="Y50" i="10"/>
  <c r="W68" i="10"/>
  <c r="Y63" i="10"/>
  <c r="T52" i="10"/>
  <c r="V76" i="10"/>
  <c r="W64" i="10"/>
  <c r="V82" i="10"/>
  <c r="W33" i="10"/>
  <c r="T67" i="10"/>
  <c r="W74" i="10"/>
  <c r="X46" i="10"/>
  <c r="W75" i="10"/>
  <c r="X44" i="10"/>
  <c r="V49" i="10"/>
  <c r="U56" i="10"/>
  <c r="W58" i="10"/>
  <c r="X60" i="10"/>
  <c r="V60" i="10"/>
  <c r="W60" i="10"/>
  <c r="Y60" i="10"/>
  <c r="T60" i="10"/>
  <c r="Y62" i="10"/>
  <c r="X62" i="10"/>
  <c r="Y70" i="10"/>
  <c r="V66" i="10"/>
  <c r="Y56" i="10"/>
  <c r="T64" i="10"/>
  <c r="Y49" i="10"/>
  <c r="Y35" i="10"/>
  <c r="T79" i="10"/>
  <c r="U48" i="10"/>
  <c r="Y77" i="10"/>
  <c r="X56" i="10"/>
  <c r="X39" i="10"/>
  <c r="I6" i="6"/>
  <c r="X6" i="6" s="1"/>
  <c r="D22" i="8"/>
  <c r="D23" i="8" s="1"/>
  <c r="E21" i="8"/>
  <c r="F21" i="27" s="1"/>
  <c r="F21" i="28" s="1"/>
  <c r="E12" i="8"/>
  <c r="E14" i="8"/>
  <c r="E13" i="8"/>
  <c r="E11" i="8"/>
  <c r="E10" i="8"/>
  <c r="E9" i="8"/>
  <c r="E8" i="8"/>
  <c r="E7" i="8"/>
  <c r="C89" i="15" l="1"/>
  <c r="C91" i="15"/>
  <c r="C87" i="15"/>
  <c r="C58" i="15"/>
  <c r="AH7" i="15"/>
  <c r="C64" i="15"/>
  <c r="AP7" i="15"/>
  <c r="C62" i="15"/>
  <c r="AM7" i="15"/>
  <c r="C60" i="15"/>
  <c r="AJ7" i="15"/>
  <c r="E26" i="18"/>
  <c r="V7" i="18" s="1"/>
  <c r="S3" i="22"/>
  <c r="F13" i="27"/>
  <c r="F13" i="28" s="1"/>
  <c r="P5" i="31"/>
  <c r="P3" i="31" s="1"/>
  <c r="K5" i="30"/>
  <c r="F14" i="27"/>
  <c r="F14" i="28" s="1"/>
  <c r="L5" i="30"/>
  <c r="Q5" i="31"/>
  <c r="Q3" i="31" s="1"/>
  <c r="F12" i="27"/>
  <c r="F12" i="28" s="1"/>
  <c r="O5" i="31"/>
  <c r="J5" i="30"/>
  <c r="F11" i="27"/>
  <c r="F11" i="28" s="1"/>
  <c r="N5" i="31"/>
  <c r="I5" i="30"/>
  <c r="E20" i="18"/>
  <c r="P7" i="18" s="1"/>
  <c r="J5" i="31"/>
  <c r="E5" i="30"/>
  <c r="F8" i="27"/>
  <c r="F8" i="28" s="1"/>
  <c r="K5" i="31"/>
  <c r="F5" i="30"/>
  <c r="F9" i="27"/>
  <c r="F9" i="28" s="1"/>
  <c r="L5" i="31"/>
  <c r="G5" i="30"/>
  <c r="F10" i="27"/>
  <c r="F10" i="28" s="1"/>
  <c r="H5" i="30"/>
  <c r="M5" i="31"/>
  <c r="BD29" i="26"/>
  <c r="AW29" i="26"/>
  <c r="AV29" i="26" s="1"/>
  <c r="AU31" i="26"/>
  <c r="BC30" i="26"/>
  <c r="BE31" i="26" s="1"/>
  <c r="J11" i="27"/>
  <c r="I11" i="27"/>
  <c r="M11" i="27"/>
  <c r="L11" i="27"/>
  <c r="K11" i="27"/>
  <c r="I13" i="27"/>
  <c r="J13" i="27"/>
  <c r="K13" i="27"/>
  <c r="L13" i="27"/>
  <c r="M13" i="27"/>
  <c r="D74" i="15"/>
  <c r="AW8" i="15" s="1"/>
  <c r="E23" i="18"/>
  <c r="S7" i="18" s="1"/>
  <c r="K9" i="27"/>
  <c r="J9" i="27"/>
  <c r="I9" i="27"/>
  <c r="L9" i="27"/>
  <c r="M9" i="27"/>
  <c r="K21" i="27"/>
  <c r="J21" i="27"/>
  <c r="I21" i="27"/>
  <c r="L21" i="27"/>
  <c r="M21" i="27"/>
  <c r="J6" i="27"/>
  <c r="I6" i="27"/>
  <c r="M6" i="27"/>
  <c r="K6" i="27"/>
  <c r="L6" i="27"/>
  <c r="J6" i="6"/>
  <c r="Y6" i="6" s="1"/>
  <c r="D77" i="15"/>
  <c r="AZ8" i="15" s="1"/>
  <c r="K6" i="6"/>
  <c r="Z6" i="6" s="1"/>
  <c r="F7" i="27"/>
  <c r="F7" i="28" s="1"/>
  <c r="P3" i="6"/>
  <c r="S6" i="22"/>
  <c r="E39" i="18"/>
  <c r="AB5" i="18" s="1"/>
  <c r="D73" i="15"/>
  <c r="AV8" i="15" s="1"/>
  <c r="D49" i="15"/>
  <c r="AL8" i="15" s="1"/>
  <c r="D76" i="15"/>
  <c r="AY8" i="15" s="1"/>
  <c r="D32" i="15"/>
  <c r="AA8" i="15" s="1"/>
  <c r="D36" i="15"/>
  <c r="AE8" i="15" s="1"/>
  <c r="I20" i="8"/>
  <c r="J20" i="8"/>
  <c r="H20" i="8"/>
  <c r="C11" i="10"/>
  <c r="X5" i="10" s="1"/>
  <c r="C28" i="10"/>
  <c r="C29" i="10"/>
  <c r="C30" i="10"/>
  <c r="C12" i="10"/>
  <c r="C10" i="10"/>
  <c r="R15" i="10"/>
  <c r="AA15" i="10" s="1"/>
  <c r="U15" i="10"/>
  <c r="V15" i="10"/>
  <c r="Y15" i="10"/>
  <c r="X15" i="10"/>
  <c r="W15" i="10"/>
  <c r="T15" i="10"/>
  <c r="U27" i="10"/>
  <c r="V27" i="10"/>
  <c r="W27" i="10"/>
  <c r="X27" i="10"/>
  <c r="T27" i="10"/>
  <c r="Y27" i="10"/>
  <c r="W29" i="10"/>
  <c r="T29" i="10"/>
  <c r="X29" i="10"/>
  <c r="U29" i="10"/>
  <c r="V29" i="10"/>
  <c r="Y29" i="10"/>
  <c r="R20" i="10"/>
  <c r="AA20" i="10" s="1"/>
  <c r="U20" i="10"/>
  <c r="V20" i="10"/>
  <c r="Y20" i="10"/>
  <c r="X20" i="10"/>
  <c r="T20" i="10"/>
  <c r="W20" i="10"/>
  <c r="R7" i="10"/>
  <c r="AA7" i="10" s="1"/>
  <c r="X7" i="10"/>
  <c r="T7" i="10"/>
  <c r="Y7" i="10"/>
  <c r="U7" i="10"/>
  <c r="W7" i="10"/>
  <c r="V7" i="10"/>
  <c r="R8" i="10"/>
  <c r="AA8" i="10" s="1"/>
  <c r="U8" i="10"/>
  <c r="X8" i="10"/>
  <c r="Y8" i="10"/>
  <c r="T8" i="10"/>
  <c r="V8" i="10"/>
  <c r="W8" i="10"/>
  <c r="R18" i="10"/>
  <c r="AA18" i="10" s="1"/>
  <c r="T18" i="10"/>
  <c r="V18" i="10"/>
  <c r="X18" i="10"/>
  <c r="W18" i="10"/>
  <c r="Y18" i="10"/>
  <c r="U18" i="10"/>
  <c r="T28" i="10"/>
  <c r="W28" i="10"/>
  <c r="X28" i="10"/>
  <c r="U28" i="10"/>
  <c r="Y28" i="10"/>
  <c r="V28" i="10"/>
  <c r="T30" i="10"/>
  <c r="Y30" i="10"/>
  <c r="W30" i="10"/>
  <c r="V30" i="10"/>
  <c r="U30" i="10"/>
  <c r="X30" i="10"/>
  <c r="R23" i="10"/>
  <c r="AA23" i="10" s="1"/>
  <c r="U23" i="10"/>
  <c r="X23" i="10"/>
  <c r="T23" i="10"/>
  <c r="Y23" i="10"/>
  <c r="W23" i="10"/>
  <c r="V23" i="10"/>
  <c r="R10" i="10"/>
  <c r="AA10" i="10" s="1"/>
  <c r="W10" i="10"/>
  <c r="T10" i="10"/>
  <c r="Y10" i="10"/>
  <c r="X10" i="10"/>
  <c r="V10" i="10"/>
  <c r="U10" i="10"/>
  <c r="R16" i="10"/>
  <c r="AA16" i="10" s="1"/>
  <c r="T16" i="10"/>
  <c r="Y16" i="10"/>
  <c r="V16" i="10"/>
  <c r="U16" i="10"/>
  <c r="W16" i="10"/>
  <c r="X16" i="10"/>
  <c r="R19" i="10"/>
  <c r="AA19" i="10" s="1"/>
  <c r="X19" i="10"/>
  <c r="T19" i="10"/>
  <c r="W19" i="10"/>
  <c r="Y19" i="10"/>
  <c r="V19" i="10"/>
  <c r="U19" i="10"/>
  <c r="R9" i="10"/>
  <c r="AA9" i="10" s="1"/>
  <c r="Y9" i="10"/>
  <c r="X9" i="10"/>
  <c r="U9" i="10"/>
  <c r="T9" i="10"/>
  <c r="V9" i="10"/>
  <c r="W9" i="10"/>
  <c r="R12" i="10"/>
  <c r="AA12" i="10" s="1"/>
  <c r="Y12" i="10"/>
  <c r="W12" i="10"/>
  <c r="V12" i="10"/>
  <c r="X12" i="10"/>
  <c r="U12" i="10"/>
  <c r="T12" i="10"/>
  <c r="W24" i="10"/>
  <c r="X24" i="10"/>
  <c r="Y24" i="10"/>
  <c r="V24" i="10"/>
  <c r="T24" i="10"/>
  <c r="U24" i="10"/>
  <c r="R11" i="10"/>
  <c r="AA11" i="10" s="1"/>
  <c r="U11" i="10"/>
  <c r="Y11" i="10"/>
  <c r="T11" i="10"/>
  <c r="V11" i="10"/>
  <c r="W11" i="10"/>
  <c r="X11" i="10"/>
  <c r="R17" i="10"/>
  <c r="AA17" i="10" s="1"/>
  <c r="V17" i="10"/>
  <c r="W17" i="10"/>
  <c r="X17" i="10"/>
  <c r="U17" i="10"/>
  <c r="T17" i="10"/>
  <c r="Y17" i="10"/>
  <c r="X31" i="10"/>
  <c r="W31" i="10"/>
  <c r="Y31" i="10"/>
  <c r="T31" i="10"/>
  <c r="U31" i="10"/>
  <c r="V31" i="10"/>
  <c r="R21" i="10"/>
  <c r="AA21" i="10" s="1"/>
  <c r="U21" i="10"/>
  <c r="Y21" i="10"/>
  <c r="V21" i="10"/>
  <c r="T21" i="10"/>
  <c r="W21" i="10"/>
  <c r="X21" i="10"/>
  <c r="R22" i="10"/>
  <c r="AA22" i="10" s="1"/>
  <c r="W22" i="10"/>
  <c r="T22" i="10"/>
  <c r="V22" i="10"/>
  <c r="U22" i="10"/>
  <c r="Y22" i="10"/>
  <c r="X22" i="10"/>
  <c r="R13" i="10"/>
  <c r="AA13" i="10" s="1"/>
  <c r="T13" i="10"/>
  <c r="X13" i="10"/>
  <c r="W13" i="10"/>
  <c r="U13" i="10"/>
  <c r="Y13" i="10"/>
  <c r="V13" i="10"/>
  <c r="T25" i="10"/>
  <c r="V25" i="10"/>
  <c r="X25" i="10"/>
  <c r="Y25" i="10"/>
  <c r="W25" i="10"/>
  <c r="U25" i="10"/>
  <c r="R14" i="10"/>
  <c r="AA14" i="10" s="1"/>
  <c r="X14" i="10"/>
  <c r="Y14" i="10"/>
  <c r="W14" i="10"/>
  <c r="V14" i="10"/>
  <c r="U14" i="10"/>
  <c r="T14" i="10"/>
  <c r="Y26" i="10"/>
  <c r="X26" i="10"/>
  <c r="V26" i="10"/>
  <c r="U26" i="10"/>
  <c r="W26" i="10"/>
  <c r="T26" i="10"/>
  <c r="J10" i="8" s="1"/>
  <c r="P6" i="6"/>
  <c r="AE6" i="6" s="1"/>
  <c r="L6" i="6"/>
  <c r="AA6" i="6" s="1"/>
  <c r="E15" i="8"/>
  <c r="K14" i="27" l="1"/>
  <c r="M14" i="27"/>
  <c r="I14" i="27"/>
  <c r="J14" i="27"/>
  <c r="L12" i="27"/>
  <c r="L14" i="27"/>
  <c r="J8" i="27"/>
  <c r="M8" i="27"/>
  <c r="K8" i="27"/>
  <c r="I8" i="27"/>
  <c r="K12" i="27"/>
  <c r="M12" i="27"/>
  <c r="I12" i="27"/>
  <c r="J12" i="27"/>
  <c r="I10" i="27"/>
  <c r="L10" i="27"/>
  <c r="M10" i="27"/>
  <c r="K10" i="27"/>
  <c r="F15" i="27"/>
  <c r="F15" i="28" s="1"/>
  <c r="R5" i="31"/>
  <c r="R3" i="31" s="1"/>
  <c r="M5" i="30"/>
  <c r="L8" i="27"/>
  <c r="J10" i="27"/>
  <c r="BD30" i="26"/>
  <c r="AW30" i="26"/>
  <c r="AV30" i="26" s="1"/>
  <c r="AU32" i="26"/>
  <c r="BC31" i="26"/>
  <c r="BE32" i="26" s="1"/>
  <c r="I7" i="27"/>
  <c r="J7" i="27"/>
  <c r="K7" i="27"/>
  <c r="L7" i="27"/>
  <c r="M7" i="27"/>
  <c r="AB35" i="18"/>
  <c r="AB10" i="18"/>
  <c r="AB24" i="18"/>
  <c r="AB37" i="18"/>
  <c r="AB29" i="18"/>
  <c r="AB38" i="18"/>
  <c r="AB22" i="18"/>
  <c r="AB27" i="18"/>
  <c r="AB31" i="18"/>
  <c r="AB28" i="18"/>
  <c r="AB41" i="18"/>
  <c r="AB43" i="18"/>
  <c r="AB30" i="18"/>
  <c r="AB25" i="18"/>
  <c r="AB44" i="18"/>
  <c r="AB33" i="18"/>
  <c r="AB11" i="18"/>
  <c r="AB47" i="18"/>
  <c r="AB13" i="18"/>
  <c r="AB36" i="18"/>
  <c r="AB40" i="18"/>
  <c r="AB14" i="18"/>
  <c r="AB34" i="18"/>
  <c r="AB39" i="18"/>
  <c r="AB18" i="18"/>
  <c r="AB17" i="18"/>
  <c r="AB42" i="18"/>
  <c r="AB20" i="18"/>
  <c r="AB9" i="18"/>
  <c r="AB45" i="18"/>
  <c r="AB23" i="18"/>
  <c r="AB16" i="18"/>
  <c r="AB12" i="18"/>
  <c r="AB26" i="18"/>
  <c r="AB19" i="18"/>
  <c r="AB15" i="18"/>
  <c r="AB32" i="18"/>
  <c r="AB46" i="18"/>
  <c r="AB21" i="18"/>
  <c r="AB8" i="18"/>
  <c r="AG5" i="10"/>
  <c r="W5" i="10"/>
  <c r="AF5" i="10"/>
  <c r="Y5" i="10"/>
  <c r="AH5" i="10"/>
  <c r="E16" i="8"/>
  <c r="M6" i="3"/>
  <c r="M15" i="27" l="1"/>
  <c r="L15" i="27"/>
  <c r="S5" i="31"/>
  <c r="S3" i="31" s="1"/>
  <c r="N5" i="30"/>
  <c r="K15" i="27"/>
  <c r="I15" i="27"/>
  <c r="J15" i="27"/>
  <c r="Q3" i="6"/>
  <c r="BD31" i="26"/>
  <c r="AW31" i="26"/>
  <c r="AV31" i="26" s="1"/>
  <c r="AU33" i="26"/>
  <c r="BC32" i="26"/>
  <c r="BE33" i="26" s="1"/>
  <c r="F16" i="27"/>
  <c r="F16" i="28" s="1"/>
  <c r="F6" i="3"/>
  <c r="G6" i="3" s="1"/>
  <c r="E17" i="8"/>
  <c r="F17" i="27" s="1"/>
  <c r="F17" i="28" s="1"/>
  <c r="O6" i="1"/>
  <c r="R6" i="1" s="1"/>
  <c r="S6" i="1" s="1"/>
  <c r="Y6" i="22" s="1"/>
  <c r="AW32" i="26" l="1"/>
  <c r="AV32" i="26" s="1"/>
  <c r="BD32" i="26"/>
  <c r="BC33" i="26"/>
  <c r="BE34" i="26" s="1"/>
  <c r="AU34" i="26"/>
  <c r="L17" i="27"/>
  <c r="M17" i="27"/>
  <c r="I17" i="27"/>
  <c r="J17" i="27"/>
  <c r="K17" i="27"/>
  <c r="I16" i="27"/>
  <c r="J16" i="27"/>
  <c r="K16" i="27"/>
  <c r="L16" i="27"/>
  <c r="M16" i="27"/>
  <c r="X7" i="22"/>
  <c r="I6" i="3"/>
  <c r="J6" i="3" s="1"/>
  <c r="F7" i="3"/>
  <c r="I7" i="3" s="1"/>
  <c r="J7" i="3" s="1"/>
  <c r="O7" i="1"/>
  <c r="E18" i="8"/>
  <c r="AW33" i="26" l="1"/>
  <c r="AV33" i="26" s="1"/>
  <c r="BD33" i="26"/>
  <c r="BC34" i="26"/>
  <c r="BE35" i="26" s="1"/>
  <c r="AU35" i="26"/>
  <c r="F18" i="27"/>
  <c r="F18" i="28" s="1"/>
  <c r="R7" i="1"/>
  <c r="S7" i="1" s="1"/>
  <c r="Y7" i="22" s="1"/>
  <c r="Q7" i="1"/>
  <c r="P8" i="1" s="1"/>
  <c r="F8" i="3" s="1"/>
  <c r="G7" i="3"/>
  <c r="E19" i="8"/>
  <c r="F19" i="27" s="1"/>
  <c r="F19" i="28" s="1"/>
  <c r="H6" i="3"/>
  <c r="K6" i="3" s="1"/>
  <c r="H7" i="3" l="1"/>
  <c r="K7" i="3" s="1"/>
  <c r="AW34" i="26"/>
  <c r="AV34" i="26" s="1"/>
  <c r="BD34" i="26"/>
  <c r="BC35" i="26"/>
  <c r="BE36" i="26" s="1"/>
  <c r="AU36" i="26"/>
  <c r="I19" i="27"/>
  <c r="J19" i="27"/>
  <c r="K19" i="27"/>
  <c r="L19" i="27"/>
  <c r="M19" i="27"/>
  <c r="J18" i="27"/>
  <c r="I18" i="27"/>
  <c r="L18" i="27"/>
  <c r="K18" i="27"/>
  <c r="M18" i="27"/>
  <c r="X8" i="22"/>
  <c r="G8" i="3"/>
  <c r="I8" i="3"/>
  <c r="J8" i="3" s="1"/>
  <c r="O8" i="1"/>
  <c r="AW35" i="26" l="1"/>
  <c r="AV35" i="26" s="1"/>
  <c r="BD35" i="26"/>
  <c r="AU37" i="26"/>
  <c r="BC36" i="26"/>
  <c r="BE37" i="26" s="1"/>
  <c r="R8" i="1"/>
  <c r="S8" i="1" s="1"/>
  <c r="Y8" i="22" s="1"/>
  <c r="Q8" i="1"/>
  <c r="E20" i="8"/>
  <c r="T5" i="31" l="1"/>
  <c r="T3" i="31" s="1"/>
  <c r="O5" i="30"/>
  <c r="BD36" i="26"/>
  <c r="AW36" i="26"/>
  <c r="AV36" i="26" s="1"/>
  <c r="BC37" i="26"/>
  <c r="BE38" i="26" s="1"/>
  <c r="AU38" i="26"/>
  <c r="F20" i="27"/>
  <c r="F20" i="28" s="1"/>
  <c r="R3" i="6"/>
  <c r="E23" i="8"/>
  <c r="E22" i="8"/>
  <c r="F22" i="27" s="1"/>
  <c r="F22" i="28" s="1"/>
  <c r="H8" i="3"/>
  <c r="K8" i="3" s="1"/>
  <c r="P9" i="1"/>
  <c r="BC38" i="26" l="1"/>
  <c r="BE39" i="26" s="1"/>
  <c r="AU39" i="26"/>
  <c r="BD37" i="26"/>
  <c r="AW37" i="26"/>
  <c r="AV37" i="26" s="1"/>
  <c r="I22" i="27"/>
  <c r="K22" i="27"/>
  <c r="M22" i="27"/>
  <c r="L22" i="27"/>
  <c r="J22" i="27"/>
  <c r="C26" i="10"/>
  <c r="F23" i="27"/>
  <c r="F23" i="28" s="1"/>
  <c r="I20" i="27"/>
  <c r="J20" i="27"/>
  <c r="K20" i="27"/>
  <c r="L20" i="27"/>
  <c r="M20" i="27"/>
  <c r="F83" i="15"/>
  <c r="D33" i="15"/>
  <c r="AB8" i="15" s="1"/>
  <c r="D55" i="15"/>
  <c r="AR8" i="15" s="1"/>
  <c r="F55" i="15"/>
  <c r="AR7" i="15" s="1"/>
  <c r="D83" i="15"/>
  <c r="BF8" i="15" s="1"/>
  <c r="Q6" i="6"/>
  <c r="AF6" i="6" s="1"/>
  <c r="F33" i="15"/>
  <c r="Q6" i="21"/>
  <c r="F30" i="15"/>
  <c r="C7" i="10"/>
  <c r="N6" i="6"/>
  <c r="AC6" i="6" s="1"/>
  <c r="O6" i="6"/>
  <c r="AD6" i="6" s="1"/>
  <c r="D46" i="15"/>
  <c r="AI8" i="15" s="1"/>
  <c r="E41" i="18"/>
  <c r="AD7" i="18" s="1"/>
  <c r="E22" i="21"/>
  <c r="S7" i="21" s="1"/>
  <c r="D48" i="15"/>
  <c r="AK8" i="15" s="1"/>
  <c r="E38" i="18"/>
  <c r="D51" i="15"/>
  <c r="AN8" i="15" s="1"/>
  <c r="T6" i="22"/>
  <c r="R6" i="6"/>
  <c r="AG6" i="6" s="1"/>
  <c r="D82" i="15"/>
  <c r="BE8" i="15" s="1"/>
  <c r="D34" i="15"/>
  <c r="AC8" i="15" s="1"/>
  <c r="E21" i="21"/>
  <c r="R7" i="21" s="1"/>
  <c r="E27" i="18"/>
  <c r="W7" i="18" s="1"/>
  <c r="R6" i="22"/>
  <c r="E20" i="21"/>
  <c r="Q7" i="21" s="1"/>
  <c r="G20" i="21"/>
  <c r="E19" i="21"/>
  <c r="P7" i="21" s="1"/>
  <c r="C25" i="10"/>
  <c r="M6" i="6"/>
  <c r="AB6" i="6" s="1"/>
  <c r="D30" i="15"/>
  <c r="Y8" i="15" s="1"/>
  <c r="C8" i="10"/>
  <c r="C9" i="10"/>
  <c r="E21" i="18"/>
  <c r="Q7" i="18" s="1"/>
  <c r="D54" i="15"/>
  <c r="AQ8" i="15" s="1"/>
  <c r="E40" i="18"/>
  <c r="U6" i="22"/>
  <c r="D52" i="15"/>
  <c r="AO8" i="15" s="1"/>
  <c r="D79" i="15"/>
  <c r="BB8" i="15" s="1"/>
  <c r="E24" i="18"/>
  <c r="T7" i="18" s="1"/>
  <c r="C27" i="10"/>
  <c r="D80" i="15"/>
  <c r="BC8" i="15" s="1"/>
  <c r="X9" i="22"/>
  <c r="F9" i="3"/>
  <c r="G9" i="3" s="1"/>
  <c r="O9" i="1"/>
  <c r="R9" i="1" s="1"/>
  <c r="S9" i="1" s="1"/>
  <c r="Y9" i="22" s="1"/>
  <c r="C59" i="15" l="1"/>
  <c r="AI7" i="15"/>
  <c r="BC39" i="26"/>
  <c r="BE40" i="26" s="1"/>
  <c r="AU40" i="26"/>
  <c r="AW38" i="26"/>
  <c r="AV38" i="26" s="1"/>
  <c r="BD38" i="26"/>
  <c r="J23" i="27"/>
  <c r="I23" i="27"/>
  <c r="M23" i="27"/>
  <c r="L23" i="27"/>
  <c r="K23" i="27"/>
  <c r="I9" i="3"/>
  <c r="J9" i="3" s="1"/>
  <c r="V5" i="10"/>
  <c r="AE5" i="10"/>
  <c r="AD5" i="10"/>
  <c r="U5" i="10"/>
  <c r="AA5" i="18"/>
  <c r="AA7" i="18"/>
  <c r="AC5" i="18"/>
  <c r="AC7" i="18"/>
  <c r="AC5" i="10"/>
  <c r="T5" i="10"/>
  <c r="Q9" i="1"/>
  <c r="BC40" i="26" l="1"/>
  <c r="BE41" i="26" s="1"/>
  <c r="AU41" i="26"/>
  <c r="BD39" i="26"/>
  <c r="AW39" i="26"/>
  <c r="AV39" i="26" s="1"/>
  <c r="AC26" i="18"/>
  <c r="AC21" i="18"/>
  <c r="AC8" i="18"/>
  <c r="AC15" i="18"/>
  <c r="AC29" i="18"/>
  <c r="AC16" i="18"/>
  <c r="AC24" i="18"/>
  <c r="AC13" i="18"/>
  <c r="AC32" i="18"/>
  <c r="AC25" i="18"/>
  <c r="AC27" i="18"/>
  <c r="AC22" i="18"/>
  <c r="AC35" i="18"/>
  <c r="AC46" i="18"/>
  <c r="AC30" i="18"/>
  <c r="AC43" i="18"/>
  <c r="AC38" i="18"/>
  <c r="AC10" i="18"/>
  <c r="AC33" i="18"/>
  <c r="AC41" i="18"/>
  <c r="AC28" i="18"/>
  <c r="AC36" i="18"/>
  <c r="AC31" i="18"/>
  <c r="AC40" i="18"/>
  <c r="AC44" i="18"/>
  <c r="AC39" i="18"/>
  <c r="AC19" i="18"/>
  <c r="AC11" i="18"/>
  <c r="AC47" i="18"/>
  <c r="AC37" i="18"/>
  <c r="AC42" i="18"/>
  <c r="AC14" i="18"/>
  <c r="AC9" i="18"/>
  <c r="AC45" i="18"/>
  <c r="AC17" i="18"/>
  <c r="AC12" i="18"/>
  <c r="AC20" i="18"/>
  <c r="AC23" i="18"/>
  <c r="AC34" i="18"/>
  <c r="AC18" i="18"/>
  <c r="AA36" i="18"/>
  <c r="AA22" i="18"/>
  <c r="AA11" i="18"/>
  <c r="AA47" i="18"/>
  <c r="AA39" i="18"/>
  <c r="AA25" i="18"/>
  <c r="AA14" i="18"/>
  <c r="AA42" i="18"/>
  <c r="AA28" i="18"/>
  <c r="AA17" i="18"/>
  <c r="AA9" i="18"/>
  <c r="AA45" i="18"/>
  <c r="AA31" i="18"/>
  <c r="AA20" i="18"/>
  <c r="AA12" i="18"/>
  <c r="AA34" i="18"/>
  <c r="AA23" i="18"/>
  <c r="AA15" i="18"/>
  <c r="AA37" i="18"/>
  <c r="AA26" i="18"/>
  <c r="AA18" i="18"/>
  <c r="AA40" i="18"/>
  <c r="AA29" i="18"/>
  <c r="AA41" i="18"/>
  <c r="AA21" i="18"/>
  <c r="AA8" i="18"/>
  <c r="AA43" i="18"/>
  <c r="AA32" i="18"/>
  <c r="AA24" i="18"/>
  <c r="AA10" i="18"/>
  <c r="AA46" i="18"/>
  <c r="AA35" i="18"/>
  <c r="AA30" i="18"/>
  <c r="AA27" i="18"/>
  <c r="AA13" i="18"/>
  <c r="AA38" i="18"/>
  <c r="AA16" i="18"/>
  <c r="AA33" i="18"/>
  <c r="AA19" i="18"/>
  <c r="AA44" i="18"/>
  <c r="J11" i="8"/>
  <c r="I8" i="8"/>
  <c r="I12" i="8"/>
  <c r="H10" i="8"/>
  <c r="T3" i="22" s="1"/>
  <c r="H7" i="8"/>
  <c r="J7" i="8"/>
  <c r="H8" i="8"/>
  <c r="H9" i="8"/>
  <c r="J8" i="8"/>
  <c r="I10" i="8"/>
  <c r="I7" i="8"/>
  <c r="H11" i="8"/>
  <c r="H12" i="8"/>
  <c r="U3" i="22" s="1"/>
  <c r="I9" i="8"/>
  <c r="J9" i="8"/>
  <c r="I11" i="8"/>
  <c r="H9" i="3"/>
  <c r="K9" i="3" s="1"/>
  <c r="P10" i="1"/>
  <c r="N3" i="31" l="1"/>
  <c r="R3" i="22"/>
  <c r="BC41" i="26"/>
  <c r="BE42" i="26" s="1"/>
  <c r="AU42" i="26"/>
  <c r="BD40" i="26"/>
  <c r="AW40" i="26"/>
  <c r="AV40" i="26" s="1"/>
  <c r="J3" i="6"/>
  <c r="J3" i="31"/>
  <c r="M3" i="6"/>
  <c r="M3" i="31"/>
  <c r="O3" i="6"/>
  <c r="O3" i="31"/>
  <c r="L3" i="6"/>
  <c r="L3" i="31"/>
  <c r="K3" i="6"/>
  <c r="K3" i="31"/>
  <c r="AA6" i="18"/>
  <c r="N3" i="6"/>
  <c r="G24" i="18"/>
  <c r="G21" i="21"/>
  <c r="Q6" i="18"/>
  <c r="G40" i="18"/>
  <c r="R6" i="21"/>
  <c r="G27" i="18"/>
  <c r="W6" i="18"/>
  <c r="G21" i="18"/>
  <c r="T6" i="18"/>
  <c r="G19" i="21"/>
  <c r="G38" i="18"/>
  <c r="P6" i="21"/>
  <c r="G41" i="18"/>
  <c r="G22" i="21"/>
  <c r="AD6" i="18"/>
  <c r="S6" i="21"/>
  <c r="AC6" i="18"/>
  <c r="F54" i="15"/>
  <c r="F80" i="15"/>
  <c r="F52" i="15"/>
  <c r="AO7" i="15" s="1"/>
  <c r="F82" i="15"/>
  <c r="C94" i="15" s="1"/>
  <c r="F51" i="15"/>
  <c r="AN7" i="15" s="1"/>
  <c r="F79" i="15"/>
  <c r="F48" i="15"/>
  <c r="AK7" i="15" s="1"/>
  <c r="G26" i="18"/>
  <c r="V6" i="18"/>
  <c r="F77" i="15"/>
  <c r="F74" i="15"/>
  <c r="G23" i="18"/>
  <c r="S6" i="18"/>
  <c r="P6" i="18"/>
  <c r="G20" i="18"/>
  <c r="F76" i="15"/>
  <c r="AB6" i="18"/>
  <c r="F36" i="15"/>
  <c r="G39" i="18"/>
  <c r="F73" i="15"/>
  <c r="F32" i="15"/>
  <c r="F49" i="15"/>
  <c r="AL7" i="15" s="1"/>
  <c r="X10" i="22"/>
  <c r="F10" i="3"/>
  <c r="O10" i="1"/>
  <c r="R10" i="1" s="1"/>
  <c r="S10" i="1" s="1"/>
  <c r="Y10" i="22" s="1"/>
  <c r="C65" i="15" l="1"/>
  <c r="AQ7" i="15"/>
  <c r="O12" i="22"/>
  <c r="O7" i="22"/>
  <c r="O16" i="22"/>
  <c r="O8" i="22"/>
  <c r="O9" i="22"/>
  <c r="O15" i="22"/>
  <c r="O14" i="22"/>
  <c r="O11" i="22"/>
  <c r="O10" i="22"/>
  <c r="O13" i="22"/>
  <c r="BC42" i="26"/>
  <c r="BE43" i="26" s="1"/>
  <c r="AU43" i="26"/>
  <c r="BD41" i="26"/>
  <c r="AW41" i="26"/>
  <c r="AV41" i="26" s="1"/>
  <c r="E21" i="6"/>
  <c r="E8" i="31"/>
  <c r="E9" i="31"/>
  <c r="E10" i="31"/>
  <c r="E11" i="31"/>
  <c r="E12" i="31"/>
  <c r="E13" i="31"/>
  <c r="E14" i="31"/>
  <c r="E15" i="31"/>
  <c r="E7" i="31"/>
  <c r="E34" i="6"/>
  <c r="E22" i="6"/>
  <c r="E29" i="6"/>
  <c r="E25" i="6"/>
  <c r="E7" i="6"/>
  <c r="E19" i="6"/>
  <c r="E24" i="6"/>
  <c r="C92" i="15"/>
  <c r="E15" i="6"/>
  <c r="E31" i="6"/>
  <c r="C14" i="21"/>
  <c r="E10" i="6"/>
  <c r="E23" i="6"/>
  <c r="E27" i="6"/>
  <c r="E18" i="6"/>
  <c r="E20" i="6"/>
  <c r="E8" i="6"/>
  <c r="E14" i="6"/>
  <c r="E28" i="6"/>
  <c r="E26" i="6"/>
  <c r="E12" i="6"/>
  <c r="E33" i="6"/>
  <c r="E30" i="6"/>
  <c r="E32" i="6"/>
  <c r="E13" i="6"/>
  <c r="E9" i="6"/>
  <c r="E16" i="6"/>
  <c r="E17" i="6"/>
  <c r="E11" i="6"/>
  <c r="C61" i="15"/>
  <c r="C33" i="18"/>
  <c r="F33" i="18" s="1"/>
  <c r="G17" i="24" s="1"/>
  <c r="H17" i="24" s="1"/>
  <c r="C63" i="15"/>
  <c r="C90" i="15"/>
  <c r="C88" i="15"/>
  <c r="C25" i="15"/>
  <c r="H24" i="18"/>
  <c r="H23" i="18"/>
  <c r="H22" i="18"/>
  <c r="H26" i="18"/>
  <c r="H25" i="18"/>
  <c r="H27" i="18"/>
  <c r="H21" i="18"/>
  <c r="H20" i="18"/>
  <c r="H19" i="18"/>
  <c r="G10" i="3"/>
  <c r="I10" i="3"/>
  <c r="J10" i="3" s="1"/>
  <c r="Q10" i="1"/>
  <c r="AU44" i="26" l="1"/>
  <c r="BC43" i="26"/>
  <c r="BE44" i="26" s="1"/>
  <c r="BD42" i="26"/>
  <c r="AW42" i="26"/>
  <c r="AV42" i="26" s="1"/>
  <c r="F14" i="21"/>
  <c r="G18" i="24" s="1"/>
  <c r="H18" i="24" s="1"/>
  <c r="H18" i="21"/>
  <c r="C41" i="15"/>
  <c r="F41" i="15" s="1"/>
  <c r="C16" i="18"/>
  <c r="C68" i="15"/>
  <c r="H10" i="3"/>
  <c r="K10" i="3" s="1"/>
  <c r="P11" i="1"/>
  <c r="BD43" i="26" l="1"/>
  <c r="AW43" i="26"/>
  <c r="AV43" i="26" s="1"/>
  <c r="AU45" i="26"/>
  <c r="BC44" i="26"/>
  <c r="BE45" i="26" s="1"/>
  <c r="X11" i="22"/>
  <c r="O11" i="1"/>
  <c r="F11" i="3"/>
  <c r="AW44" i="26" l="1"/>
  <c r="AV44" i="26" s="1"/>
  <c r="BD44" i="26"/>
  <c r="BC45" i="26"/>
  <c r="BE46" i="26" s="1"/>
  <c r="AU46" i="26"/>
  <c r="R11" i="1"/>
  <c r="S11" i="1" s="1"/>
  <c r="Y11" i="22" s="1"/>
  <c r="Q11" i="1"/>
  <c r="P12" i="1" s="1"/>
  <c r="I11" i="3"/>
  <c r="J11" i="3" s="1"/>
  <c r="G11" i="3"/>
  <c r="H11" i="3"/>
  <c r="AW45" i="26" l="1"/>
  <c r="AV45" i="26" s="1"/>
  <c r="BD45" i="26"/>
  <c r="AU47" i="26"/>
  <c r="BC46" i="26"/>
  <c r="BE47" i="26" s="1"/>
  <c r="O12" i="1"/>
  <c r="R12" i="1" s="1"/>
  <c r="S12" i="1" s="1"/>
  <c r="Y12" i="22" s="1"/>
  <c r="X12" i="22"/>
  <c r="K11" i="3"/>
  <c r="F12" i="3"/>
  <c r="Q12" i="1" l="1"/>
  <c r="AW46" i="26"/>
  <c r="AV46" i="26" s="1"/>
  <c r="BD46" i="26"/>
  <c r="BC47" i="26"/>
  <c r="BE48" i="26" s="1"/>
  <c r="AU48" i="26"/>
  <c r="G12" i="3"/>
  <c r="I12" i="3"/>
  <c r="J12" i="3" s="1"/>
  <c r="H12" i="3"/>
  <c r="P13" i="1"/>
  <c r="AW47" i="26" l="1"/>
  <c r="AV47" i="26" s="1"/>
  <c r="BD47" i="26"/>
  <c r="BC48" i="26"/>
  <c r="BE49" i="26" s="1"/>
  <c r="AU49" i="26"/>
  <c r="X13" i="22"/>
  <c r="K12" i="3"/>
  <c r="F13" i="3"/>
  <c r="I13" i="3" s="1"/>
  <c r="J13" i="3" s="1"/>
  <c r="O13" i="1"/>
  <c r="R13" i="1" s="1"/>
  <c r="S13" i="1" s="1"/>
  <c r="Y13" i="22" s="1"/>
  <c r="AU50" i="26" l="1"/>
  <c r="BC49" i="26"/>
  <c r="BE50" i="26" s="1"/>
  <c r="AW48" i="26"/>
  <c r="AV48" i="26" s="1"/>
  <c r="BD48" i="26"/>
  <c r="G13" i="3"/>
  <c r="Q13" i="1"/>
  <c r="BD49" i="26" l="1"/>
  <c r="AW49" i="26"/>
  <c r="AV49" i="26" s="1"/>
  <c r="AU51" i="26"/>
  <c r="BC50" i="26"/>
  <c r="BE51" i="26" s="1"/>
  <c r="H13" i="3"/>
  <c r="K13" i="3" s="1"/>
  <c r="P14" i="1"/>
  <c r="BD50" i="26" l="1"/>
  <c r="AW50" i="26"/>
  <c r="AV50" i="26" s="1"/>
  <c r="AU52" i="26"/>
  <c r="BC51" i="26"/>
  <c r="BE52" i="26" s="1"/>
  <c r="X14" i="22"/>
  <c r="O14" i="1"/>
  <c r="F14" i="3"/>
  <c r="AU53" i="26" l="1"/>
  <c r="BC52" i="26"/>
  <c r="BE53" i="26" s="1"/>
  <c r="BD51" i="26"/>
  <c r="AW51" i="26"/>
  <c r="AV51" i="26" s="1"/>
  <c r="G14" i="3"/>
  <c r="I14" i="3"/>
  <c r="J14" i="3" s="1"/>
  <c r="Q14" i="1"/>
  <c r="P15" i="1" s="1"/>
  <c r="R14" i="1"/>
  <c r="S14" i="1" s="1"/>
  <c r="Y14" i="22" s="1"/>
  <c r="BD52" i="26" l="1"/>
  <c r="AW52" i="26"/>
  <c r="AV52" i="26" s="1"/>
  <c r="BC53" i="26"/>
  <c r="BE54" i="26" s="1"/>
  <c r="AU54" i="26"/>
  <c r="X15" i="22"/>
  <c r="O15" i="1"/>
  <c r="R15" i="1" s="1"/>
  <c r="S15" i="1" s="1"/>
  <c r="Y15" i="22" s="1"/>
  <c r="F15" i="3"/>
  <c r="H14" i="3"/>
  <c r="K14" i="3" s="1"/>
  <c r="AU55" i="26" l="1"/>
  <c r="BC54" i="26"/>
  <c r="BE55" i="26" s="1"/>
  <c r="BD53" i="26"/>
  <c r="AW53" i="26"/>
  <c r="AV53" i="26" s="1"/>
  <c r="Q15" i="1"/>
  <c r="P16" i="1" s="1"/>
  <c r="G15" i="3"/>
  <c r="I15" i="3"/>
  <c r="J15" i="3" s="1"/>
  <c r="H15" i="3"/>
  <c r="BD54" i="26" l="1"/>
  <c r="AW54" i="26"/>
  <c r="AV54" i="26" s="1"/>
  <c r="AU56" i="26"/>
  <c r="BC55" i="26"/>
  <c r="BE56" i="26" s="1"/>
  <c r="K15" i="3"/>
  <c r="M15" i="3" s="1"/>
  <c r="X16" i="22"/>
  <c r="AC7" i="22" s="1"/>
  <c r="F16" i="3"/>
  <c r="L15" i="3"/>
  <c r="O16" i="1"/>
  <c r="R16" i="1" s="1"/>
  <c r="S16" i="1" s="1"/>
  <c r="Y16" i="22" s="1"/>
  <c r="BD55" i="26" l="1"/>
  <c r="AW55" i="26"/>
  <c r="AV55" i="26" s="1"/>
  <c r="AU57" i="26"/>
  <c r="BC56" i="26"/>
  <c r="BE57" i="26" s="1"/>
  <c r="G16" i="3"/>
  <c r="I16" i="3"/>
  <c r="J16" i="3" s="1"/>
  <c r="Q16" i="1"/>
  <c r="P17" i="1" s="1"/>
  <c r="AW56" i="26" l="1"/>
  <c r="AV56" i="26" s="1"/>
  <c r="BD56" i="26"/>
  <c r="BC57" i="26"/>
  <c r="BE58" i="26" s="1"/>
  <c r="AU58" i="26"/>
  <c r="X17" i="22"/>
  <c r="F17" i="3"/>
  <c r="I17" i="3" s="1"/>
  <c r="J17" i="3" s="1"/>
  <c r="L16" i="3"/>
  <c r="H16" i="3"/>
  <c r="K16" i="3" s="1"/>
  <c r="O17" i="1"/>
  <c r="R17" i="1" s="1"/>
  <c r="S17" i="1" s="1"/>
  <c r="Y17" i="22" s="1"/>
  <c r="AU59" i="26" l="1"/>
  <c r="BC58" i="26"/>
  <c r="BE59" i="26" s="1"/>
  <c r="AW57" i="26"/>
  <c r="AV57" i="26" s="1"/>
  <c r="BD57" i="26"/>
  <c r="G17" i="3"/>
  <c r="L17" i="3"/>
  <c r="M16" i="3"/>
  <c r="Q17" i="1"/>
  <c r="AU60" i="26" l="1"/>
  <c r="BC59" i="26"/>
  <c r="BE60" i="26" s="1"/>
  <c r="AW58" i="26"/>
  <c r="AV58" i="26" s="1"/>
  <c r="BD58" i="26"/>
  <c r="H17" i="3"/>
  <c r="K17" i="3" s="1"/>
  <c r="P18" i="1"/>
  <c r="AU61" i="26" l="1"/>
  <c r="BC60" i="26"/>
  <c r="BE61" i="26" s="1"/>
  <c r="BD59" i="26"/>
  <c r="AW59" i="26"/>
  <c r="AV59" i="26" s="1"/>
  <c r="X18" i="22"/>
  <c r="F18" i="3"/>
  <c r="M17" i="3"/>
  <c r="O18" i="1"/>
  <c r="R18" i="1" s="1"/>
  <c r="S18" i="1" s="1"/>
  <c r="Y18" i="22" s="1"/>
  <c r="BC61" i="26" l="1"/>
  <c r="BE62" i="26" s="1"/>
  <c r="AU62" i="26"/>
  <c r="BD60" i="26"/>
  <c r="AW60" i="26"/>
  <c r="AV60" i="26" s="1"/>
  <c r="G18" i="3"/>
  <c r="I18" i="3"/>
  <c r="J18" i="3" s="1"/>
  <c r="Q18" i="1"/>
  <c r="P19" i="1" s="1"/>
  <c r="BC62" i="26" l="1"/>
  <c r="BE63" i="26" s="1"/>
  <c r="AU63" i="26"/>
  <c r="BD61" i="26"/>
  <c r="AW61" i="26"/>
  <c r="AV61" i="26" s="1"/>
  <c r="X19" i="22"/>
  <c r="F19" i="3"/>
  <c r="G19" i="3" s="1"/>
  <c r="L18" i="3"/>
  <c r="H18" i="3"/>
  <c r="K18" i="3" s="1"/>
  <c r="O19" i="1"/>
  <c r="R19" i="1" s="1"/>
  <c r="S19" i="1" s="1"/>
  <c r="Y19" i="22" s="1"/>
  <c r="BC63" i="26" l="1"/>
  <c r="BE64" i="26" s="1"/>
  <c r="AU64" i="26"/>
  <c r="BD62" i="26"/>
  <c r="AW62" i="26"/>
  <c r="AV62" i="26" s="1"/>
  <c r="I19" i="3"/>
  <c r="J19" i="3" s="1"/>
  <c r="M18" i="3"/>
  <c r="Q19" i="1"/>
  <c r="P20" i="1" s="1"/>
  <c r="BC64" i="26" l="1"/>
  <c r="BE65" i="26" s="1"/>
  <c r="AU65" i="26"/>
  <c r="BD63" i="26"/>
  <c r="AW63" i="26"/>
  <c r="AV63" i="26" s="1"/>
  <c r="X20" i="22"/>
  <c r="L19" i="3"/>
  <c r="F20" i="3"/>
  <c r="H19" i="3"/>
  <c r="K19" i="3" s="1"/>
  <c r="O20" i="1"/>
  <c r="R20" i="1" s="1"/>
  <c r="S20" i="1" s="1"/>
  <c r="Y20" i="22" s="1"/>
  <c r="BC65" i="26" l="1"/>
  <c r="BE66" i="26" s="1"/>
  <c r="AU66" i="26"/>
  <c r="AW64" i="26"/>
  <c r="AV64" i="26" s="1"/>
  <c r="BD64" i="26"/>
  <c r="G20" i="3"/>
  <c r="I20" i="3"/>
  <c r="J20" i="3" s="1"/>
  <c r="M19" i="3"/>
  <c r="Q20" i="1"/>
  <c r="P21" i="1" s="1"/>
  <c r="AU67" i="26" l="1"/>
  <c r="BC66" i="26"/>
  <c r="BE67" i="26" s="1"/>
  <c r="AW65" i="26"/>
  <c r="AV65" i="26" s="1"/>
  <c r="BD65" i="26"/>
  <c r="X21" i="22"/>
  <c r="F21" i="3"/>
  <c r="I21" i="3" s="1"/>
  <c r="J21" i="3" s="1"/>
  <c r="L20" i="3"/>
  <c r="H20" i="3"/>
  <c r="K20" i="3" s="1"/>
  <c r="O21" i="1"/>
  <c r="R21" i="1" s="1"/>
  <c r="S21" i="1" s="1"/>
  <c r="Y21" i="22" s="1"/>
  <c r="AW66" i="26" l="1"/>
  <c r="AV66" i="26" s="1"/>
  <c r="BD66" i="26"/>
  <c r="AU68" i="26"/>
  <c r="BC67" i="26"/>
  <c r="BE68" i="26" s="1"/>
  <c r="G21" i="3"/>
  <c r="L21" i="3"/>
  <c r="M20" i="3"/>
  <c r="Q21" i="1"/>
  <c r="P22" i="1" s="1"/>
  <c r="AW67" i="26" l="1"/>
  <c r="AV67" i="26" s="1"/>
  <c r="BD67" i="26"/>
  <c r="AU69" i="26"/>
  <c r="BC68" i="26"/>
  <c r="BE69" i="26" s="1"/>
  <c r="X22" i="22"/>
  <c r="F22" i="3"/>
  <c r="H21" i="3"/>
  <c r="K21" i="3" s="1"/>
  <c r="O22" i="1"/>
  <c r="R22" i="1" s="1"/>
  <c r="S22" i="1" s="1"/>
  <c r="Y22" i="22" s="1"/>
  <c r="AW68" i="26" l="1"/>
  <c r="AV68" i="26" s="1"/>
  <c r="BD68" i="26"/>
  <c r="AU70" i="26"/>
  <c r="BC69" i="26"/>
  <c r="BE70" i="26" s="1"/>
  <c r="G22" i="3"/>
  <c r="I22" i="3"/>
  <c r="J22" i="3" s="1"/>
  <c r="M21" i="3"/>
  <c r="Q22" i="1"/>
  <c r="P23" i="1" s="1"/>
  <c r="BC70" i="26" l="1"/>
  <c r="BE71" i="26" s="1"/>
  <c r="AU71" i="26"/>
  <c r="AW69" i="26"/>
  <c r="AV69" i="26" s="1"/>
  <c r="BD69" i="26"/>
  <c r="X23" i="22"/>
  <c r="AC8" i="22" s="1"/>
  <c r="L22" i="3"/>
  <c r="F23" i="3"/>
  <c r="I23" i="3" s="1"/>
  <c r="J23" i="3" s="1"/>
  <c r="H22" i="3"/>
  <c r="K22" i="3" s="1"/>
  <c r="O23" i="1"/>
  <c r="R23" i="1" s="1"/>
  <c r="S23" i="1" s="1"/>
  <c r="Y23" i="22" s="1"/>
  <c r="BD70" i="26" l="1"/>
  <c r="AW70" i="26"/>
  <c r="AV70" i="26" s="1"/>
  <c r="BC71" i="26"/>
  <c r="BE72" i="26" s="1"/>
  <c r="AU72" i="26"/>
  <c r="G23" i="3"/>
  <c r="L23" i="3"/>
  <c r="M22" i="3"/>
  <c r="Q23" i="1"/>
  <c r="P24" i="1" s="1"/>
  <c r="AW71" i="26" l="1"/>
  <c r="AV71" i="26" s="1"/>
  <c r="BD71" i="26"/>
  <c r="BC72" i="26"/>
  <c r="BE73" i="26" s="1"/>
  <c r="AU73" i="26"/>
  <c r="X24" i="22"/>
  <c r="F24" i="3"/>
  <c r="H23" i="3"/>
  <c r="K23" i="3" s="1"/>
  <c r="O24" i="1"/>
  <c r="R24" i="1" s="1"/>
  <c r="S24" i="1" s="1"/>
  <c r="Y24" i="22" s="1"/>
  <c r="BC73" i="26" l="1"/>
  <c r="BE74" i="26" s="1"/>
  <c r="AU74" i="26"/>
  <c r="BD72" i="26"/>
  <c r="AW72" i="26"/>
  <c r="AV72" i="26" s="1"/>
  <c r="G24" i="3"/>
  <c r="I24" i="3"/>
  <c r="J24" i="3" s="1"/>
  <c r="M23" i="3"/>
  <c r="Q24" i="1"/>
  <c r="P25" i="1" s="1"/>
  <c r="BC74" i="26" l="1"/>
  <c r="BE75" i="26" s="1"/>
  <c r="AU75" i="26"/>
  <c r="BD73" i="26"/>
  <c r="AW73" i="26"/>
  <c r="AV73" i="26" s="1"/>
  <c r="X25" i="22"/>
  <c r="F25" i="3"/>
  <c r="I25" i="3" s="1"/>
  <c r="J25" i="3" s="1"/>
  <c r="L24" i="3"/>
  <c r="H24" i="3"/>
  <c r="K24" i="3" s="1"/>
  <c r="O25" i="1"/>
  <c r="R25" i="1" s="1"/>
  <c r="S25" i="1" s="1"/>
  <c r="Y25" i="22" s="1"/>
  <c r="BD74" i="26" l="1"/>
  <c r="AW74" i="26"/>
  <c r="AV74" i="26" s="1"/>
  <c r="BC75" i="26"/>
  <c r="BE76" i="26" s="1"/>
  <c r="AU76" i="26"/>
  <c r="G25" i="3"/>
  <c r="L25" i="3"/>
  <c r="M24" i="3"/>
  <c r="Q25" i="1"/>
  <c r="P26" i="1" s="1"/>
  <c r="AU77" i="26" l="1"/>
  <c r="BC76" i="26"/>
  <c r="BE77" i="26" s="1"/>
  <c r="AW75" i="26"/>
  <c r="AV75" i="26" s="1"/>
  <c r="BD75" i="26"/>
  <c r="X26" i="22"/>
  <c r="F26" i="3"/>
  <c r="H25" i="3"/>
  <c r="K25" i="3" s="1"/>
  <c r="O26" i="1"/>
  <c r="R26" i="1" s="1"/>
  <c r="S26" i="1" s="1"/>
  <c r="Y26" i="22" s="1"/>
  <c r="Z26" i="22" s="1"/>
  <c r="BC77" i="26" l="1"/>
  <c r="BE78" i="26" s="1"/>
  <c r="AU78" i="26"/>
  <c r="BD76" i="26"/>
  <c r="AW76" i="26"/>
  <c r="AV76" i="26" s="1"/>
  <c r="G26" i="3"/>
  <c r="I26" i="3"/>
  <c r="J26" i="3" s="1"/>
  <c r="M25" i="3"/>
  <c r="Q26" i="1"/>
  <c r="P27" i="1" s="1"/>
  <c r="BC78" i="26" l="1"/>
  <c r="BE79" i="26" s="1"/>
  <c r="AU79" i="26"/>
  <c r="BD77" i="26"/>
  <c r="AW77" i="26"/>
  <c r="AV77" i="26" s="1"/>
  <c r="X27" i="22"/>
  <c r="F27" i="3"/>
  <c r="I27" i="3" s="1"/>
  <c r="J27" i="3" s="1"/>
  <c r="L26" i="3"/>
  <c r="H26" i="3"/>
  <c r="K26" i="3" s="1"/>
  <c r="O27" i="1"/>
  <c r="R27" i="1" s="1"/>
  <c r="S27" i="1" s="1"/>
  <c r="Y27" i="22" s="1"/>
  <c r="Z27" i="22" s="1"/>
  <c r="AB9" i="22" s="1" a="1"/>
  <c r="AB9" i="22" s="1"/>
  <c r="AJ9" i="22" l="1"/>
  <c r="AG9" i="22"/>
  <c r="AH9" i="22"/>
  <c r="AK9" i="22"/>
  <c r="AI9" i="22"/>
  <c r="AF9" i="22"/>
  <c r="AL9" i="22"/>
  <c r="AM9" i="22"/>
  <c r="AE9" i="22"/>
  <c r="AD9" i="22"/>
  <c r="BC79" i="26"/>
  <c r="BE80" i="26" s="1"/>
  <c r="AU80" i="26"/>
  <c r="BD78" i="26"/>
  <c r="AW78" i="26"/>
  <c r="AV78" i="26" s="1"/>
  <c r="AC9" i="22"/>
  <c r="G27" i="3"/>
  <c r="L27" i="3"/>
  <c r="M26" i="3"/>
  <c r="Q27" i="1"/>
  <c r="P28" i="1" s="1"/>
  <c r="BC80" i="26" l="1"/>
  <c r="BE81" i="26" s="1"/>
  <c r="AU81" i="26"/>
  <c r="BD79" i="26"/>
  <c r="AW79" i="26"/>
  <c r="AV79" i="26" s="1"/>
  <c r="AU9" i="22"/>
  <c r="AO9" i="22"/>
  <c r="X28" i="22"/>
  <c r="AT9" i="22"/>
  <c r="AR9" i="22"/>
  <c r="AV9" i="22"/>
  <c r="AQ9" i="22"/>
  <c r="AP9" i="22"/>
  <c r="AS9" i="22"/>
  <c r="AX9" i="22"/>
  <c r="AW9" i="22"/>
  <c r="F28" i="3"/>
  <c r="H27" i="3"/>
  <c r="K27" i="3" s="1"/>
  <c r="O28" i="1"/>
  <c r="R28" i="1" s="1"/>
  <c r="S28" i="1" s="1"/>
  <c r="Y28" i="22" s="1"/>
  <c r="Z28" i="22" s="1"/>
  <c r="AB10" i="22" s="1" a="1"/>
  <c r="AB10" i="22" s="1"/>
  <c r="AJ10" i="22" l="1"/>
  <c r="AK10" i="22"/>
  <c r="AF10" i="22"/>
  <c r="AG10" i="22"/>
  <c r="AE10" i="22"/>
  <c r="AD10" i="22"/>
  <c r="AH10" i="22"/>
  <c r="AI10" i="22"/>
  <c r="AL10" i="22"/>
  <c r="AM10" i="22"/>
  <c r="BC81" i="26"/>
  <c r="BE82" i="26" s="1"/>
  <c r="AU82" i="26"/>
  <c r="AW80" i="26"/>
  <c r="AV80" i="26" s="1"/>
  <c r="BD80" i="26"/>
  <c r="AC10" i="22"/>
  <c r="G28" i="3"/>
  <c r="I28" i="3"/>
  <c r="J28" i="3" s="1"/>
  <c r="M27" i="3"/>
  <c r="Q28" i="1"/>
  <c r="P29" i="1" s="1"/>
  <c r="AU83" i="26" l="1"/>
  <c r="BC82" i="26"/>
  <c r="BE83" i="26" s="1"/>
  <c r="AW81" i="26"/>
  <c r="AV81" i="26" s="1"/>
  <c r="BD81" i="26"/>
  <c r="AT10" i="22"/>
  <c r="AW10" i="22"/>
  <c r="X29" i="22"/>
  <c r="AU10" i="22"/>
  <c r="AV10" i="22"/>
  <c r="AS10" i="22"/>
  <c r="AR10" i="22"/>
  <c r="AQ10" i="22"/>
  <c r="AP10" i="22"/>
  <c r="AO10" i="22"/>
  <c r="AX10" i="22"/>
  <c r="F29" i="3"/>
  <c r="I29" i="3" s="1"/>
  <c r="J29" i="3" s="1"/>
  <c r="L28" i="3"/>
  <c r="H28" i="3"/>
  <c r="K28" i="3" s="1"/>
  <c r="O29" i="1"/>
  <c r="R29" i="1" s="1"/>
  <c r="S29" i="1" s="1"/>
  <c r="Y29" i="22" s="1"/>
  <c r="Z29" i="22" s="1"/>
  <c r="AB11" i="22" s="1" a="1"/>
  <c r="AB11" i="22" s="1"/>
  <c r="AH11" i="22" l="1"/>
  <c r="AI11" i="22"/>
  <c r="AL11" i="22"/>
  <c r="AJ11" i="22"/>
  <c r="AM11" i="22"/>
  <c r="AK11" i="22"/>
  <c r="AF11" i="22"/>
  <c r="AE11" i="22"/>
  <c r="AG11" i="22"/>
  <c r="AD11" i="22"/>
  <c r="BD82" i="26"/>
  <c r="AW82" i="26"/>
  <c r="AV82" i="26" s="1"/>
  <c r="AU84" i="26"/>
  <c r="BC83" i="26"/>
  <c r="BE84" i="26" s="1"/>
  <c r="AC11" i="22"/>
  <c r="G29" i="3"/>
  <c r="L29" i="3"/>
  <c r="M28" i="3"/>
  <c r="Q29" i="1"/>
  <c r="P30" i="1" s="1"/>
  <c r="AW83" i="26" l="1"/>
  <c r="AV83" i="26" s="1"/>
  <c r="BD83" i="26"/>
  <c r="AU85" i="26"/>
  <c r="BC84" i="26"/>
  <c r="BE85" i="26" s="1"/>
  <c r="AU11" i="22"/>
  <c r="AO11" i="22"/>
  <c r="X30" i="22"/>
  <c r="AS11" i="22"/>
  <c r="AT11" i="22"/>
  <c r="AW11" i="22"/>
  <c r="AR11" i="22"/>
  <c r="AQ11" i="22"/>
  <c r="AP11" i="22"/>
  <c r="AX11" i="22"/>
  <c r="AV11" i="22"/>
  <c r="F30" i="3"/>
  <c r="H29" i="3"/>
  <c r="K29" i="3" s="1"/>
  <c r="O30" i="1"/>
  <c r="R30" i="1" s="1"/>
  <c r="S30" i="1" s="1"/>
  <c r="Y30" i="22" s="1"/>
  <c r="Z30" i="22" s="1"/>
  <c r="AB12" i="22" s="1" a="1"/>
  <c r="AB12" i="22" s="1"/>
  <c r="AJ12" i="22" l="1"/>
  <c r="AG12" i="22"/>
  <c r="AH12" i="22"/>
  <c r="AK12" i="22"/>
  <c r="AI12" i="22"/>
  <c r="AF12" i="22"/>
  <c r="AL12" i="22"/>
  <c r="AM12" i="22"/>
  <c r="AE12" i="22"/>
  <c r="AD12" i="22"/>
  <c r="BD84" i="26"/>
  <c r="AW84" i="26"/>
  <c r="AV84" i="26" s="1"/>
  <c r="BC85" i="26"/>
  <c r="BE86" i="26" s="1"/>
  <c r="AU86" i="26"/>
  <c r="AC12" i="22"/>
  <c r="G30" i="3"/>
  <c r="I30" i="3"/>
  <c r="J30" i="3" s="1"/>
  <c r="M29" i="3"/>
  <c r="Q30" i="1"/>
  <c r="P31" i="1" s="1"/>
  <c r="AU87" i="26" l="1"/>
  <c r="BC86" i="26"/>
  <c r="BE87" i="26" s="1"/>
  <c r="AW85" i="26"/>
  <c r="AV85" i="26" s="1"/>
  <c r="BD85" i="26"/>
  <c r="AO12" i="22"/>
  <c r="AR12" i="22"/>
  <c r="AX12" i="22"/>
  <c r="AU12" i="22"/>
  <c r="AT12" i="22"/>
  <c r="X31" i="22"/>
  <c r="AS12" i="22"/>
  <c r="AQ12" i="22"/>
  <c r="AP12" i="22"/>
  <c r="AW12" i="22"/>
  <c r="AV12" i="22"/>
  <c r="F31" i="3"/>
  <c r="I31" i="3" s="1"/>
  <c r="J31" i="3" s="1"/>
  <c r="L30" i="3"/>
  <c r="H30" i="3"/>
  <c r="K30" i="3" s="1"/>
  <c r="O31" i="1"/>
  <c r="R31" i="1" s="1"/>
  <c r="S31" i="1" s="1"/>
  <c r="Y31" i="22" s="1"/>
  <c r="Z31" i="22" s="1"/>
  <c r="AB13" i="22" s="1" a="1"/>
  <c r="AB13" i="22" s="1"/>
  <c r="AL13" i="22" l="1"/>
  <c r="AM13" i="22"/>
  <c r="AJ13" i="22"/>
  <c r="AK13" i="22"/>
  <c r="AF13" i="22"/>
  <c r="AI13" i="22"/>
  <c r="AD13" i="22"/>
  <c r="AG13" i="22"/>
  <c r="AE13" i="22"/>
  <c r="AH13" i="22"/>
  <c r="BD86" i="26"/>
  <c r="AW86" i="26"/>
  <c r="AV86" i="26" s="1"/>
  <c r="AU88" i="26"/>
  <c r="BC87" i="26"/>
  <c r="BE88" i="26" s="1"/>
  <c r="AC13" i="22"/>
  <c r="G31" i="3"/>
  <c r="L31" i="3"/>
  <c r="M30" i="3"/>
  <c r="Q31" i="1"/>
  <c r="P32" i="1" s="1"/>
  <c r="BD87" i="26" l="1"/>
  <c r="AW87" i="26"/>
  <c r="AV87" i="26" s="1"/>
  <c r="BC88" i="26"/>
  <c r="BE89" i="26" s="1"/>
  <c r="AU89" i="26"/>
  <c r="AX13" i="22"/>
  <c r="AO13" i="22"/>
  <c r="X32" i="22"/>
  <c r="AW13" i="22"/>
  <c r="AV13" i="22"/>
  <c r="AR13" i="22"/>
  <c r="AU13" i="22"/>
  <c r="AT13" i="22"/>
  <c r="AQ13" i="22"/>
  <c r="AP13" i="22"/>
  <c r="AS13" i="22"/>
  <c r="F32" i="3"/>
  <c r="H31" i="3"/>
  <c r="K31" i="3" s="1"/>
  <c r="O32" i="1"/>
  <c r="R32" i="1" s="1"/>
  <c r="S32" i="1" s="1"/>
  <c r="Y32" i="22" s="1"/>
  <c r="Z32" i="22" s="1"/>
  <c r="BC89" i="26" l="1"/>
  <c r="BE90" i="26" s="1"/>
  <c r="AU90" i="26"/>
  <c r="BD88" i="26"/>
  <c r="AW88" i="26"/>
  <c r="AV88" i="26" s="1"/>
  <c r="G32" i="3"/>
  <c r="I32" i="3"/>
  <c r="J32" i="3" s="1"/>
  <c r="M31" i="3"/>
  <c r="Q32" i="1"/>
  <c r="P33" i="1" s="1"/>
  <c r="BC90" i="26" l="1"/>
  <c r="BE91" i="26" s="1"/>
  <c r="AU91" i="26"/>
  <c r="BD89" i="26"/>
  <c r="AW89" i="26"/>
  <c r="AV89" i="26" s="1"/>
  <c r="X33" i="22"/>
  <c r="L32" i="3"/>
  <c r="F33" i="3"/>
  <c r="G33" i="3" s="1"/>
  <c r="H32" i="3"/>
  <c r="K32" i="3" s="1"/>
  <c r="O33" i="1"/>
  <c r="R33" i="1" s="1"/>
  <c r="S33" i="1" s="1"/>
  <c r="Y33" i="22" s="1"/>
  <c r="Z33" i="22" s="1"/>
  <c r="BC91" i="26" l="1"/>
  <c r="BE92" i="26" s="1"/>
  <c r="AU92" i="26"/>
  <c r="AW90" i="26"/>
  <c r="AV90" i="26" s="1"/>
  <c r="BD90" i="26"/>
  <c r="I33" i="3"/>
  <c r="J33" i="3" s="1"/>
  <c r="M32" i="3"/>
  <c r="Q33" i="1"/>
  <c r="P34" i="1" s="1"/>
  <c r="BD91" i="26" l="1"/>
  <c r="AW91" i="26"/>
  <c r="AV91" i="26" s="1"/>
  <c r="BC92" i="26"/>
  <c r="BE93" i="26" s="1"/>
  <c r="AU93" i="26"/>
  <c r="X34" i="22"/>
  <c r="L33" i="3"/>
  <c r="F34" i="3"/>
  <c r="H33" i="3"/>
  <c r="K33" i="3" s="1"/>
  <c r="O34" i="1"/>
  <c r="R34" i="1" s="1"/>
  <c r="S34" i="1" s="1"/>
  <c r="Y34" i="22" s="1"/>
  <c r="Z34" i="22" s="1"/>
  <c r="BC93" i="26" l="1"/>
  <c r="BE94" i="26" s="1"/>
  <c r="AU94" i="26"/>
  <c r="AW92" i="26"/>
  <c r="AV92" i="26" s="1"/>
  <c r="BD92" i="26"/>
  <c r="G34" i="3"/>
  <c r="I34" i="3"/>
  <c r="J34" i="3" s="1"/>
  <c r="M33" i="3"/>
  <c r="Q34" i="1"/>
  <c r="P35" i="1" s="1"/>
  <c r="BC94" i="26" l="1"/>
  <c r="BE95" i="26" s="1"/>
  <c r="AU95" i="26"/>
  <c r="AW93" i="26"/>
  <c r="AV93" i="26" s="1"/>
  <c r="BD93" i="26"/>
  <c r="X35" i="22"/>
  <c r="F35" i="3"/>
  <c r="I35" i="3" s="1"/>
  <c r="J35" i="3" s="1"/>
  <c r="L34" i="3"/>
  <c r="H34" i="3"/>
  <c r="K34" i="3" s="1"/>
  <c r="O35" i="1"/>
  <c r="R35" i="1" s="1"/>
  <c r="S35" i="1" s="1"/>
  <c r="Y35" i="22" s="1"/>
  <c r="Z35" i="22" s="1"/>
  <c r="BC95" i="26" l="1"/>
  <c r="BE96" i="26" s="1"/>
  <c r="AU96" i="26"/>
  <c r="AW94" i="26"/>
  <c r="AV94" i="26" s="1"/>
  <c r="BD94" i="26"/>
  <c r="G35" i="3"/>
  <c r="L35" i="3"/>
  <c r="M34" i="3"/>
  <c r="Q35" i="1"/>
  <c r="P36" i="1" s="1"/>
  <c r="AW95" i="26" l="1"/>
  <c r="AV95" i="26" s="1"/>
  <c r="BD95" i="26"/>
  <c r="BC96" i="26"/>
  <c r="BE97" i="26" s="1"/>
  <c r="AU97" i="26"/>
  <c r="X36" i="22"/>
  <c r="F36" i="3"/>
  <c r="H35" i="3"/>
  <c r="K35" i="3" s="1"/>
  <c r="O36" i="1"/>
  <c r="R36" i="1" s="1"/>
  <c r="S36" i="1" s="1"/>
  <c r="Y36" i="22" s="1"/>
  <c r="Z36" i="22" s="1"/>
  <c r="AU98" i="26" l="1"/>
  <c r="BC97" i="26"/>
  <c r="BE98" i="26" s="1"/>
  <c r="BD96" i="26"/>
  <c r="AW96" i="26"/>
  <c r="AV96" i="26" s="1"/>
  <c r="G36" i="3"/>
  <c r="I36" i="3"/>
  <c r="J36" i="3" s="1"/>
  <c r="M35" i="3"/>
  <c r="Q36" i="1"/>
  <c r="P37" i="1" s="1"/>
  <c r="C6" i="18" l="1"/>
  <c r="C7" i="18" s="1"/>
  <c r="C7" i="15"/>
  <c r="X11" i="1"/>
  <c r="Y11" i="1" s="1"/>
  <c r="X7" i="1"/>
  <c r="Y7" i="1" s="1"/>
  <c r="X8" i="1"/>
  <c r="Y8" i="1" s="1"/>
  <c r="X9" i="1"/>
  <c r="Y9" i="1" s="1"/>
  <c r="X10" i="1"/>
  <c r="Y10" i="1" s="1"/>
  <c r="X6" i="1"/>
  <c r="Y6" i="1" s="1"/>
  <c r="R11" i="26"/>
  <c r="R96" i="26"/>
  <c r="R156" i="26"/>
  <c r="R192" i="26"/>
  <c r="R37" i="26"/>
  <c r="R61" i="26"/>
  <c r="R97" i="26"/>
  <c r="R157" i="26"/>
  <c r="R193" i="26"/>
  <c r="R125" i="26"/>
  <c r="R197" i="26"/>
  <c r="R12" i="26"/>
  <c r="R13" i="26"/>
  <c r="R14" i="26"/>
  <c r="R26" i="26"/>
  <c r="R38" i="26"/>
  <c r="R50" i="26"/>
  <c r="R62" i="26"/>
  <c r="R74" i="26"/>
  <c r="R86" i="26"/>
  <c r="R98" i="26"/>
  <c r="R110" i="26"/>
  <c r="R122" i="26"/>
  <c r="R134" i="26"/>
  <c r="R146" i="26"/>
  <c r="AY23" i="26" s="1"/>
  <c r="R158" i="26"/>
  <c r="R170" i="26"/>
  <c r="R182" i="26"/>
  <c r="R194" i="26"/>
  <c r="R206" i="26"/>
  <c r="R27" i="26"/>
  <c r="R39" i="26"/>
  <c r="R51" i="26"/>
  <c r="R63" i="26"/>
  <c r="R75" i="26"/>
  <c r="AY14" i="26" s="1"/>
  <c r="R87" i="26"/>
  <c r="R99" i="26"/>
  <c r="R111" i="26"/>
  <c r="R123" i="26"/>
  <c r="AY20" i="26" s="1"/>
  <c r="R135" i="26"/>
  <c r="R147" i="26"/>
  <c r="R159" i="26"/>
  <c r="R171" i="26"/>
  <c r="R183" i="26"/>
  <c r="R195" i="26"/>
  <c r="R207" i="26"/>
  <c r="R28" i="26"/>
  <c r="R40" i="26"/>
  <c r="R52" i="26"/>
  <c r="R64" i="26"/>
  <c r="R76" i="26"/>
  <c r="R88" i="26"/>
  <c r="R100" i="26"/>
  <c r="R112" i="26"/>
  <c r="R124" i="26"/>
  <c r="R136" i="26"/>
  <c r="R148" i="26"/>
  <c r="R160" i="26"/>
  <c r="R172" i="26"/>
  <c r="R184" i="26"/>
  <c r="R196" i="26"/>
  <c r="R208" i="26"/>
  <c r="R29" i="26"/>
  <c r="R41" i="26"/>
  <c r="R53" i="26"/>
  <c r="R65" i="26"/>
  <c r="R77" i="26"/>
  <c r="R149" i="26"/>
  <c r="R173" i="26"/>
  <c r="R15" i="26"/>
  <c r="R16" i="26"/>
  <c r="R89" i="26"/>
  <c r="R17" i="26"/>
  <c r="R18" i="26"/>
  <c r="R30" i="26"/>
  <c r="R42" i="26"/>
  <c r="R54" i="26"/>
  <c r="R66" i="26"/>
  <c r="R78" i="26"/>
  <c r="R90" i="26"/>
  <c r="R102" i="26"/>
  <c r="R114" i="26"/>
  <c r="R126" i="26"/>
  <c r="R138" i="26"/>
  <c r="R150" i="26"/>
  <c r="R162" i="26"/>
  <c r="R174" i="26"/>
  <c r="R186" i="26"/>
  <c r="R198" i="26"/>
  <c r="R210" i="26"/>
  <c r="R20" i="26"/>
  <c r="R44" i="26"/>
  <c r="R56" i="26"/>
  <c r="R68" i="26"/>
  <c r="R92" i="26"/>
  <c r="R104" i="26"/>
  <c r="R128" i="26"/>
  <c r="R152" i="26"/>
  <c r="R176" i="26"/>
  <c r="R200" i="26"/>
  <c r="R161" i="26"/>
  <c r="R7" i="26"/>
  <c r="R19" i="26"/>
  <c r="R31" i="26"/>
  <c r="R43" i="26"/>
  <c r="R55" i="26"/>
  <c r="R67" i="26"/>
  <c r="R79" i="26"/>
  <c r="R91" i="26"/>
  <c r="R103" i="26"/>
  <c r="R115" i="26"/>
  <c r="R127" i="26"/>
  <c r="R139" i="26"/>
  <c r="R151" i="26"/>
  <c r="R163" i="26"/>
  <c r="R175" i="26"/>
  <c r="R187" i="26"/>
  <c r="R199" i="26"/>
  <c r="R211" i="26"/>
  <c r="R32" i="26"/>
  <c r="R80" i="26"/>
  <c r="R116" i="26"/>
  <c r="R140" i="26"/>
  <c r="R164" i="26"/>
  <c r="R188" i="26"/>
  <c r="R212" i="26"/>
  <c r="R113" i="26"/>
  <c r="R8" i="26"/>
  <c r="R9" i="26"/>
  <c r="R21" i="26"/>
  <c r="R33" i="26"/>
  <c r="R45" i="26"/>
  <c r="R57" i="26"/>
  <c r="R69" i="26"/>
  <c r="R81" i="26"/>
  <c r="R93" i="26"/>
  <c r="R105" i="26"/>
  <c r="R117" i="26"/>
  <c r="R129" i="26"/>
  <c r="R141" i="26"/>
  <c r="R153" i="26"/>
  <c r="R165" i="26"/>
  <c r="R177" i="26"/>
  <c r="R189" i="26"/>
  <c r="R201" i="26"/>
  <c r="R213" i="26"/>
  <c r="R35" i="26"/>
  <c r="R47" i="26"/>
  <c r="R59" i="26"/>
  <c r="R83" i="26"/>
  <c r="R95" i="26"/>
  <c r="R119" i="26"/>
  <c r="R131" i="26"/>
  <c r="AY21" i="26" s="1"/>
  <c r="R155" i="26"/>
  <c r="R167" i="26"/>
  <c r="R191" i="26"/>
  <c r="AY29" i="26" s="1"/>
  <c r="R203" i="26"/>
  <c r="R215" i="26"/>
  <c r="AY98" i="26" s="1"/>
  <c r="R24" i="26"/>
  <c r="R60" i="26"/>
  <c r="R84" i="26"/>
  <c r="AY15" i="26" s="1"/>
  <c r="R120" i="26"/>
  <c r="R144" i="26"/>
  <c r="R180" i="26"/>
  <c r="R6" i="26"/>
  <c r="R49" i="26"/>
  <c r="R85" i="26"/>
  <c r="R121" i="26"/>
  <c r="R133" i="26"/>
  <c r="R169" i="26"/>
  <c r="R205" i="26"/>
  <c r="R137" i="26"/>
  <c r="AY22" i="26" s="1"/>
  <c r="R185" i="26"/>
  <c r="R10" i="26"/>
  <c r="R22" i="26"/>
  <c r="R34" i="26"/>
  <c r="R46" i="26"/>
  <c r="R58" i="26"/>
  <c r="AY12" i="26" s="1"/>
  <c r="R70" i="26"/>
  <c r="R82" i="26"/>
  <c r="R94" i="26"/>
  <c r="R106" i="26"/>
  <c r="R118" i="26"/>
  <c r="R130" i="26"/>
  <c r="R142" i="26"/>
  <c r="R154" i="26"/>
  <c r="R166" i="26"/>
  <c r="R178" i="26"/>
  <c r="R190" i="26"/>
  <c r="R202" i="26"/>
  <c r="R214" i="26"/>
  <c r="R23" i="26"/>
  <c r="R71" i="26"/>
  <c r="R107" i="26"/>
  <c r="R143" i="26"/>
  <c r="R179" i="26"/>
  <c r="R36" i="26"/>
  <c r="R48" i="26"/>
  <c r="R72" i="26"/>
  <c r="R108" i="26"/>
  <c r="R132" i="26"/>
  <c r="R168" i="26"/>
  <c r="R204" i="26"/>
  <c r="R25" i="26"/>
  <c r="R73" i="26"/>
  <c r="R109" i="26"/>
  <c r="R145" i="26"/>
  <c r="R181" i="26"/>
  <c r="R101" i="26"/>
  <c r="R209" i="26"/>
  <c r="AU99" i="26"/>
  <c r="BC98" i="26"/>
  <c r="BE99" i="26" s="1"/>
  <c r="BD97" i="26"/>
  <c r="AW97" i="26"/>
  <c r="AV97" i="26" s="1"/>
  <c r="X37" i="22"/>
  <c r="F37" i="3"/>
  <c r="I37" i="3" s="1"/>
  <c r="J37" i="3" s="1"/>
  <c r="L36" i="3"/>
  <c r="H36" i="3"/>
  <c r="K36" i="3" s="1"/>
  <c r="O37" i="1"/>
  <c r="R37" i="1" s="1"/>
  <c r="S37" i="1" s="1"/>
  <c r="Y37" i="22" s="1"/>
  <c r="Z37" i="22" s="1"/>
  <c r="AY31" i="26" l="1"/>
  <c r="AY11" i="26"/>
  <c r="AY26" i="26"/>
  <c r="AY32" i="26"/>
  <c r="AY24" i="26"/>
  <c r="AY27" i="26"/>
  <c r="AY28" i="26"/>
  <c r="AY9" i="26"/>
  <c r="AY30" i="26"/>
  <c r="AY19" i="26"/>
  <c r="AY17" i="26"/>
  <c r="AY10" i="26"/>
  <c r="AY16" i="26"/>
  <c r="AY25" i="26"/>
  <c r="AY13" i="26"/>
  <c r="AY18" i="26"/>
  <c r="J10" i="15"/>
  <c r="J25" i="15"/>
  <c r="J16" i="15"/>
  <c r="J32" i="15"/>
  <c r="J22" i="15"/>
  <c r="J37" i="15"/>
  <c r="J28" i="15"/>
  <c r="J31" i="15"/>
  <c r="J9" i="15"/>
  <c r="J17" i="15"/>
  <c r="K16" i="15" s="1"/>
  <c r="J15" i="15"/>
  <c r="J39" i="15"/>
  <c r="J30" i="15"/>
  <c r="J34" i="15"/>
  <c r="J21" i="15"/>
  <c r="J35" i="15"/>
  <c r="J20" i="15"/>
  <c r="J14" i="15"/>
  <c r="J36" i="15"/>
  <c r="J26" i="15"/>
  <c r="K25" i="15" s="1"/>
  <c r="J33" i="15"/>
  <c r="K32" i="15" s="1"/>
  <c r="J19" i="15"/>
  <c r="K18" i="15" s="1"/>
  <c r="J12" i="15"/>
  <c r="J11" i="15"/>
  <c r="K10" i="15" s="1"/>
  <c r="J38" i="15"/>
  <c r="J27" i="15"/>
  <c r="J18" i="15"/>
  <c r="J23" i="15"/>
  <c r="J29" i="15"/>
  <c r="J13" i="15"/>
  <c r="J24" i="15"/>
  <c r="K22" i="18"/>
  <c r="L22" i="18" s="1"/>
  <c r="AY33" i="26"/>
  <c r="AY34" i="26"/>
  <c r="AY35" i="26"/>
  <c r="AY36" i="26"/>
  <c r="AY37" i="26"/>
  <c r="AY38" i="26"/>
  <c r="AY39" i="26"/>
  <c r="AY40" i="26"/>
  <c r="AY41" i="26"/>
  <c r="AY42" i="26"/>
  <c r="AY43" i="26"/>
  <c r="AY44" i="26"/>
  <c r="AY45" i="26"/>
  <c r="AY46" i="26"/>
  <c r="AY47" i="26"/>
  <c r="AY48" i="26"/>
  <c r="AY49" i="26"/>
  <c r="AY50" i="26"/>
  <c r="AY51" i="26"/>
  <c r="AY52" i="26"/>
  <c r="AY53" i="26"/>
  <c r="AY54" i="26"/>
  <c r="AY55" i="26"/>
  <c r="AY56" i="26"/>
  <c r="AY57" i="26"/>
  <c r="AY58" i="26"/>
  <c r="AY59" i="26"/>
  <c r="AY60" i="26"/>
  <c r="AY61" i="26"/>
  <c r="AY62" i="26"/>
  <c r="AY63" i="26"/>
  <c r="AY64" i="26"/>
  <c r="AY65" i="26"/>
  <c r="AY66" i="26"/>
  <c r="AY67" i="26"/>
  <c r="AY68" i="26"/>
  <c r="AY69" i="26"/>
  <c r="AY70" i="26"/>
  <c r="AY71" i="26"/>
  <c r="AY72" i="26"/>
  <c r="AY73" i="26"/>
  <c r="AY74" i="26"/>
  <c r="AY75" i="26"/>
  <c r="AY76" i="26"/>
  <c r="AY77" i="26"/>
  <c r="AY78" i="26"/>
  <c r="AY79" i="26"/>
  <c r="AY80" i="26"/>
  <c r="AY81" i="26"/>
  <c r="AY82" i="26"/>
  <c r="AY83" i="26"/>
  <c r="AY84" i="26"/>
  <c r="AY85" i="26"/>
  <c r="AY86" i="26"/>
  <c r="AY87" i="26"/>
  <c r="AY88" i="26"/>
  <c r="AY89" i="26"/>
  <c r="AY90" i="26"/>
  <c r="AY91" i="26"/>
  <c r="AY92" i="26"/>
  <c r="AY93" i="26"/>
  <c r="AY94" i="26"/>
  <c r="AY95" i="26"/>
  <c r="AY96" i="26"/>
  <c r="AY97" i="26"/>
  <c r="BD98" i="26"/>
  <c r="AW98" i="26"/>
  <c r="AV98" i="26" s="1"/>
  <c r="AY99" i="26"/>
  <c r="BC99" i="26"/>
  <c r="BE100" i="26" s="1"/>
  <c r="AU100" i="26"/>
  <c r="G37" i="3"/>
  <c r="L37" i="3"/>
  <c r="M36" i="3"/>
  <c r="Q37" i="1"/>
  <c r="P38" i="1" s="1"/>
  <c r="J40" i="15" s="1"/>
  <c r="K34" i="15" l="1"/>
  <c r="K39" i="15"/>
  <c r="K26" i="18"/>
  <c r="L26" i="18" s="1"/>
  <c r="K19" i="18"/>
  <c r="L19" i="18" s="1"/>
  <c r="K33" i="18"/>
  <c r="L33" i="18" s="1"/>
  <c r="K11" i="18"/>
  <c r="L11" i="18" s="1"/>
  <c r="K17" i="18"/>
  <c r="L17" i="18" s="1"/>
  <c r="K28" i="18"/>
  <c r="L28" i="18" s="1"/>
  <c r="K10" i="18"/>
  <c r="L10" i="18" s="1"/>
  <c r="K21" i="18"/>
  <c r="L21" i="18" s="1"/>
  <c r="K20" i="18"/>
  <c r="L20" i="18" s="1"/>
  <c r="K30" i="18"/>
  <c r="L30" i="18" s="1"/>
  <c r="K14" i="18"/>
  <c r="L14" i="18" s="1"/>
  <c r="K18" i="18"/>
  <c r="L18" i="18" s="1"/>
  <c r="K23" i="15"/>
  <c r="K25" i="18"/>
  <c r="L25" i="18" s="1"/>
  <c r="K13" i="18"/>
  <c r="L13" i="18" s="1"/>
  <c r="K12" i="15"/>
  <c r="K36" i="15"/>
  <c r="K31" i="15"/>
  <c r="M32" i="15" s="1"/>
  <c r="K17" i="15"/>
  <c r="M17" i="15" s="1"/>
  <c r="K20" i="15"/>
  <c r="K31" i="18"/>
  <c r="L31" i="18" s="1"/>
  <c r="K26" i="15"/>
  <c r="M26" i="15" s="1"/>
  <c r="K29" i="18"/>
  <c r="L29" i="18" s="1"/>
  <c r="K23" i="18"/>
  <c r="L23" i="18" s="1"/>
  <c r="K37" i="15"/>
  <c r="K27" i="15"/>
  <c r="K21" i="15"/>
  <c r="K35" i="18"/>
  <c r="L35" i="18" s="1"/>
  <c r="K9" i="18"/>
  <c r="L9" i="18" s="1"/>
  <c r="K11" i="15"/>
  <c r="M11" i="15" s="1"/>
  <c r="K33" i="15"/>
  <c r="M33" i="15" s="1"/>
  <c r="K29" i="15"/>
  <c r="K38" i="15"/>
  <c r="M38" i="15" s="1"/>
  <c r="K16" i="18"/>
  <c r="L16" i="18" s="1"/>
  <c r="K8" i="18"/>
  <c r="L8" i="18" s="1"/>
  <c r="K28" i="15"/>
  <c r="K35" i="15"/>
  <c r="M35" i="15" s="1"/>
  <c r="K14" i="15"/>
  <c r="K32" i="18"/>
  <c r="L32" i="18" s="1"/>
  <c r="K36" i="18"/>
  <c r="K13" i="15"/>
  <c r="K15" i="15"/>
  <c r="M16" i="15" s="1"/>
  <c r="K27" i="18"/>
  <c r="L27" i="18" s="1"/>
  <c r="K24" i="18"/>
  <c r="L24" i="18" s="1"/>
  <c r="K34" i="18"/>
  <c r="L34" i="18" s="1"/>
  <c r="K22" i="15"/>
  <c r="M22" i="15" s="1"/>
  <c r="K24" i="15"/>
  <c r="M24" i="15" s="1"/>
  <c r="K15" i="18"/>
  <c r="L15" i="18" s="1"/>
  <c r="K12" i="18"/>
  <c r="L12" i="18" s="1"/>
  <c r="K19" i="15"/>
  <c r="M19" i="15" s="1"/>
  <c r="K30" i="15"/>
  <c r="K9" i="15"/>
  <c r="M10" i="15" s="1"/>
  <c r="L10" i="15" s="1"/>
  <c r="P10" i="15" s="1"/>
  <c r="Q10" i="15" s="1"/>
  <c r="BC100" i="26"/>
  <c r="BE101" i="26" s="1"/>
  <c r="AU101" i="26"/>
  <c r="AW99" i="26"/>
  <c r="AV99" i="26" s="1"/>
  <c r="BD99" i="26"/>
  <c r="AY100" i="26"/>
  <c r="X38" i="22"/>
  <c r="F38" i="3"/>
  <c r="H37" i="3"/>
  <c r="K37" i="3" s="1"/>
  <c r="O38" i="1"/>
  <c r="R38" i="1" s="1"/>
  <c r="S38" i="1" s="1"/>
  <c r="Y38" i="22" s="1"/>
  <c r="Z38" i="22" s="1"/>
  <c r="M13" i="15" l="1"/>
  <c r="M28" i="15"/>
  <c r="M30" i="15"/>
  <c r="M37" i="15"/>
  <c r="L11" i="15"/>
  <c r="M18" i="15"/>
  <c r="M21" i="15"/>
  <c r="M14" i="15"/>
  <c r="M27" i="15"/>
  <c r="M23" i="15"/>
  <c r="L12" i="15"/>
  <c r="L13" i="15" s="1"/>
  <c r="M20" i="15"/>
  <c r="M15" i="15"/>
  <c r="M31" i="15"/>
  <c r="M36" i="15"/>
  <c r="M25" i="15"/>
  <c r="M29" i="15"/>
  <c r="M34" i="15"/>
  <c r="M12" i="15"/>
  <c r="M39" i="15"/>
  <c r="BC101" i="26"/>
  <c r="BE102" i="26" s="1"/>
  <c r="AU102" i="26"/>
  <c r="AY101" i="26"/>
  <c r="AW100" i="26"/>
  <c r="AV100" i="26" s="1"/>
  <c r="BD100" i="26"/>
  <c r="G38" i="3"/>
  <c r="I38" i="3"/>
  <c r="J38" i="3" s="1"/>
  <c r="M37" i="3"/>
  <c r="Q38" i="1"/>
  <c r="P39" i="1" s="1"/>
  <c r="L14" i="15" l="1"/>
  <c r="L15" i="15" s="1"/>
  <c r="L16" i="15" s="1"/>
  <c r="L17" i="15" s="1"/>
  <c r="L18" i="15" s="1"/>
  <c r="L19" i="15" s="1"/>
  <c r="L20" i="15" s="1"/>
  <c r="L21" i="15" s="1"/>
  <c r="L22" i="15" s="1"/>
  <c r="L23" i="15" s="1"/>
  <c r="J41" i="15"/>
  <c r="K40" i="15" s="1"/>
  <c r="M40" i="15" s="1"/>
  <c r="K37" i="18"/>
  <c r="AU103" i="26"/>
  <c r="BC102" i="26"/>
  <c r="BE103" i="26" s="1"/>
  <c r="AY102" i="26"/>
  <c r="AW101" i="26"/>
  <c r="AV101" i="26" s="1"/>
  <c r="BD101" i="26"/>
  <c r="X39" i="22"/>
  <c r="F39" i="3"/>
  <c r="I39" i="3" s="1"/>
  <c r="J39" i="3" s="1"/>
  <c r="L38" i="3"/>
  <c r="H38" i="3"/>
  <c r="K38" i="3" s="1"/>
  <c r="O39" i="1"/>
  <c r="R39" i="1" s="1"/>
  <c r="S39" i="1" s="1"/>
  <c r="Y39" i="22" s="1"/>
  <c r="Z39" i="22" s="1"/>
  <c r="N18" i="15" l="1"/>
  <c r="P23" i="15"/>
  <c r="L24" i="15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BC103" i="26"/>
  <c r="BE104" i="26" s="1"/>
  <c r="AU104" i="26"/>
  <c r="BD102" i="26"/>
  <c r="AW102" i="26"/>
  <c r="AV102" i="26" s="1"/>
  <c r="AY103" i="26"/>
  <c r="G39" i="3"/>
  <c r="L39" i="3"/>
  <c r="M38" i="3"/>
  <c r="Q39" i="1"/>
  <c r="P40" i="1" s="1"/>
  <c r="J42" i="15" l="1"/>
  <c r="K41" i="15" s="1"/>
  <c r="M41" i="15" s="1"/>
  <c r="L41" i="15" s="1"/>
  <c r="K38" i="18"/>
  <c r="BC104" i="26"/>
  <c r="BE105" i="26" s="1"/>
  <c r="AU105" i="26"/>
  <c r="AY104" i="26"/>
  <c r="AW103" i="26"/>
  <c r="AV103" i="26" s="1"/>
  <c r="BD103" i="26"/>
  <c r="X40" i="22"/>
  <c r="F40" i="3"/>
  <c r="H39" i="3"/>
  <c r="K39" i="3" s="1"/>
  <c r="O40" i="1"/>
  <c r="R40" i="1" s="1"/>
  <c r="S40" i="1" s="1"/>
  <c r="Y40" i="22" s="1"/>
  <c r="Z40" i="22" s="1"/>
  <c r="BD104" i="26" l="1"/>
  <c r="AY105" i="26"/>
  <c r="AW104" i="26"/>
  <c r="AV104" i="26" s="1"/>
  <c r="BC105" i="26"/>
  <c r="BE106" i="26" s="1"/>
  <c r="AU106" i="26"/>
  <c r="G40" i="3"/>
  <c r="I40" i="3"/>
  <c r="J40" i="3" s="1"/>
  <c r="M39" i="3"/>
  <c r="Q40" i="1"/>
  <c r="P41" i="1" s="1"/>
  <c r="J43" i="15" l="1"/>
  <c r="K42" i="15" s="1"/>
  <c r="M42" i="15" s="1"/>
  <c r="L42" i="15" s="1"/>
  <c r="K39" i="18"/>
  <c r="BD105" i="26"/>
  <c r="AW105" i="26"/>
  <c r="AV105" i="26" s="1"/>
  <c r="AY106" i="26"/>
  <c r="AU107" i="26"/>
  <c r="BC106" i="26"/>
  <c r="BE107" i="26" s="1"/>
  <c r="X41" i="22"/>
  <c r="F41" i="3"/>
  <c r="I41" i="3" s="1"/>
  <c r="J41" i="3" s="1"/>
  <c r="L40" i="3"/>
  <c r="H40" i="3"/>
  <c r="K40" i="3" s="1"/>
  <c r="O41" i="1"/>
  <c r="R41" i="1" s="1"/>
  <c r="S41" i="1" s="1"/>
  <c r="Y41" i="22" s="1"/>
  <c r="Z41" i="22" s="1"/>
  <c r="AW106" i="26" l="1"/>
  <c r="AV106" i="26" s="1"/>
  <c r="BD106" i="26"/>
  <c r="AY107" i="26"/>
  <c r="BC107" i="26"/>
  <c r="BE108" i="26" s="1"/>
  <c r="AU108" i="26"/>
  <c r="G41" i="3"/>
  <c r="L41" i="3"/>
  <c r="M40" i="3"/>
  <c r="Q41" i="1"/>
  <c r="P42" i="1" s="1"/>
  <c r="K40" i="18" l="1"/>
  <c r="J44" i="15"/>
  <c r="K43" i="15" s="1"/>
  <c r="M43" i="15" s="1"/>
  <c r="L43" i="15" s="1"/>
  <c r="BC108" i="26"/>
  <c r="BE109" i="26" s="1"/>
  <c r="AU109" i="26"/>
  <c r="BD107" i="26"/>
  <c r="AY108" i="26"/>
  <c r="AW107" i="26"/>
  <c r="AV107" i="26" s="1"/>
  <c r="X42" i="22"/>
  <c r="F42" i="3"/>
  <c r="H41" i="3"/>
  <c r="K41" i="3" s="1"/>
  <c r="O42" i="1"/>
  <c r="R42" i="1" s="1"/>
  <c r="S42" i="1" s="1"/>
  <c r="Y42" i="22" s="1"/>
  <c r="Z42" i="22" s="1"/>
  <c r="AU110" i="26" l="1"/>
  <c r="BC109" i="26"/>
  <c r="BE110" i="26" s="1"/>
  <c r="BD108" i="26"/>
  <c r="AW108" i="26"/>
  <c r="AV108" i="26" s="1"/>
  <c r="AY109" i="26"/>
  <c r="G42" i="3"/>
  <c r="I42" i="3"/>
  <c r="J42" i="3" s="1"/>
  <c r="M41" i="3"/>
  <c r="Q42" i="1"/>
  <c r="P43" i="1" s="1"/>
  <c r="J45" i="15" l="1"/>
  <c r="K44" i="15" s="1"/>
  <c r="M44" i="15" s="1"/>
  <c r="L44" i="15" s="1"/>
  <c r="K41" i="18"/>
  <c r="BD109" i="26"/>
  <c r="AY110" i="26"/>
  <c r="AW109" i="26"/>
  <c r="AV109" i="26" s="1"/>
  <c r="AU111" i="26"/>
  <c r="BC110" i="26"/>
  <c r="BE111" i="26" s="1"/>
  <c r="X43" i="22"/>
  <c r="L42" i="3"/>
  <c r="F43" i="3"/>
  <c r="G43" i="3" s="1"/>
  <c r="H42" i="3"/>
  <c r="K42" i="3" s="1"/>
  <c r="O43" i="1"/>
  <c r="R43" i="1" s="1"/>
  <c r="S43" i="1" s="1"/>
  <c r="Y43" i="22" s="1"/>
  <c r="Z43" i="22" s="1"/>
  <c r="AW110" i="26" l="1"/>
  <c r="AV110" i="26" s="1"/>
  <c r="BD110" i="26"/>
  <c r="AY111" i="26"/>
  <c r="AU112" i="26"/>
  <c r="BC111" i="26"/>
  <c r="BE112" i="26" s="1"/>
  <c r="I43" i="3"/>
  <c r="M42" i="3"/>
  <c r="Q43" i="1"/>
  <c r="P44" i="1" s="1"/>
  <c r="J46" i="15" l="1"/>
  <c r="K45" i="15" s="1"/>
  <c r="M45" i="15" s="1"/>
  <c r="L45" i="15" s="1"/>
  <c r="K42" i="18"/>
  <c r="AY112" i="26"/>
  <c r="BD111" i="26"/>
  <c r="AW111" i="26"/>
  <c r="AV111" i="26" s="1"/>
  <c r="BC112" i="26"/>
  <c r="BE113" i="26" s="1"/>
  <c r="AU113" i="26"/>
  <c r="X44" i="22"/>
  <c r="L43" i="3"/>
  <c r="J43" i="3"/>
  <c r="F44" i="3"/>
  <c r="H43" i="3"/>
  <c r="K43" i="3" s="1"/>
  <c r="O44" i="1"/>
  <c r="R44" i="1" s="1"/>
  <c r="S44" i="1" s="1"/>
  <c r="Y44" i="22" s="1"/>
  <c r="Z44" i="22" s="1"/>
  <c r="AU114" i="26" l="1"/>
  <c r="BC113" i="26"/>
  <c r="BE114" i="26" s="1"/>
  <c r="AW112" i="26"/>
  <c r="AV112" i="26" s="1"/>
  <c r="AY113" i="26"/>
  <c r="BD112" i="26"/>
  <c r="G44" i="3"/>
  <c r="I44" i="3"/>
  <c r="J44" i="3" s="1"/>
  <c r="M43" i="3"/>
  <c r="Q44" i="1"/>
  <c r="P45" i="1" s="1"/>
  <c r="J47" i="15" l="1"/>
  <c r="K46" i="15" s="1"/>
  <c r="M46" i="15" s="1"/>
  <c r="L46" i="15" s="1"/>
  <c r="K43" i="18"/>
  <c r="L36" i="18"/>
  <c r="L37" i="18"/>
  <c r="L38" i="18"/>
  <c r="L39" i="18"/>
  <c r="L40" i="18"/>
  <c r="L41" i="18"/>
  <c r="L42" i="18"/>
  <c r="AW113" i="26"/>
  <c r="AV113" i="26" s="1"/>
  <c r="AY114" i="26"/>
  <c r="BD113" i="26"/>
  <c r="AU115" i="26"/>
  <c r="BC114" i="26"/>
  <c r="BE115" i="26" s="1"/>
  <c r="X45" i="22"/>
  <c r="L44" i="3"/>
  <c r="F45" i="3"/>
  <c r="I45" i="3" s="1"/>
  <c r="J45" i="3" s="1"/>
  <c r="H44" i="3"/>
  <c r="K44" i="3" s="1"/>
  <c r="O45" i="1"/>
  <c r="R45" i="1" s="1"/>
  <c r="S45" i="1" s="1"/>
  <c r="Y45" i="22" s="1"/>
  <c r="Z45" i="22" s="1"/>
  <c r="AW114" i="26" l="1"/>
  <c r="AV114" i="26" s="1"/>
  <c r="AY115" i="26"/>
  <c r="BD114" i="26"/>
  <c r="BC115" i="26"/>
  <c r="BE116" i="26" s="1"/>
  <c r="AU116" i="26"/>
  <c r="G45" i="3"/>
  <c r="L45" i="3"/>
  <c r="M44" i="3"/>
  <c r="Q45" i="1"/>
  <c r="P46" i="1" s="1"/>
  <c r="J48" i="15" l="1"/>
  <c r="K47" i="15" s="1"/>
  <c r="M47" i="15" s="1"/>
  <c r="L47" i="15" s="1"/>
  <c r="K44" i="18"/>
  <c r="L43" i="18"/>
  <c r="AY116" i="26"/>
  <c r="BD115" i="26"/>
  <c r="AW115" i="26"/>
  <c r="AV115" i="26" s="1"/>
  <c r="AU117" i="26"/>
  <c r="BC116" i="26"/>
  <c r="BE117" i="26" s="1"/>
  <c r="X46" i="22"/>
  <c r="F46" i="3"/>
  <c r="H45" i="3"/>
  <c r="K45" i="3" s="1"/>
  <c r="O46" i="1"/>
  <c r="R46" i="1" s="1"/>
  <c r="S46" i="1" s="1"/>
  <c r="Y46" i="22" s="1"/>
  <c r="Z46" i="22" s="1"/>
  <c r="AW116" i="26" l="1"/>
  <c r="AV116" i="26" s="1"/>
  <c r="BD116" i="26"/>
  <c r="AY117" i="26"/>
  <c r="BC117" i="26"/>
  <c r="BE118" i="26" s="1"/>
  <c r="AU118" i="26"/>
  <c r="G46" i="3"/>
  <c r="I46" i="3"/>
  <c r="J46" i="3" s="1"/>
  <c r="M45" i="3"/>
  <c r="Q46" i="1"/>
  <c r="P47" i="1" s="1"/>
  <c r="J49" i="15" l="1"/>
  <c r="K48" i="15" s="1"/>
  <c r="M48" i="15" s="1"/>
  <c r="L48" i="15" s="1"/>
  <c r="K45" i="18"/>
  <c r="BD117" i="26"/>
  <c r="AW117" i="26"/>
  <c r="AV117" i="26" s="1"/>
  <c r="AY118" i="26"/>
  <c r="AU119" i="26"/>
  <c r="BC118" i="26"/>
  <c r="BE119" i="26" s="1"/>
  <c r="X47" i="22"/>
  <c r="F47" i="3"/>
  <c r="I47" i="3" s="1"/>
  <c r="J47" i="3" s="1"/>
  <c r="L46" i="3"/>
  <c r="H46" i="3"/>
  <c r="K46" i="3" s="1"/>
  <c r="O47" i="1"/>
  <c r="R47" i="1" s="1"/>
  <c r="S47" i="1" s="1"/>
  <c r="Y47" i="22" s="1"/>
  <c r="Z47" i="22" s="1"/>
  <c r="BD118" i="26" l="1"/>
  <c r="AW118" i="26"/>
  <c r="AV118" i="26" s="1"/>
  <c r="AY119" i="26"/>
  <c r="BC119" i="26"/>
  <c r="BE120" i="26" s="1"/>
  <c r="AU120" i="26"/>
  <c r="G47" i="3"/>
  <c r="L47" i="3"/>
  <c r="M46" i="3"/>
  <c r="Q47" i="1"/>
  <c r="P48" i="1" s="1"/>
  <c r="J50" i="15" l="1"/>
  <c r="K49" i="15" s="1"/>
  <c r="M49" i="15" s="1"/>
  <c r="L49" i="15" s="1"/>
  <c r="K46" i="18"/>
  <c r="BC120" i="26"/>
  <c r="BE121" i="26" s="1"/>
  <c r="AU121" i="26"/>
  <c r="BD119" i="26"/>
  <c r="AY120" i="26"/>
  <c r="AW119" i="26"/>
  <c r="AV119" i="26" s="1"/>
  <c r="X48" i="22"/>
  <c r="F48" i="3"/>
  <c r="H47" i="3"/>
  <c r="K47" i="3" s="1"/>
  <c r="O48" i="1"/>
  <c r="R48" i="1" s="1"/>
  <c r="S48" i="1" s="1"/>
  <c r="Y48" i="22" s="1"/>
  <c r="Z48" i="22" s="1"/>
  <c r="AU122" i="26" l="1"/>
  <c r="BC121" i="26"/>
  <c r="BE122" i="26" s="1"/>
  <c r="AW120" i="26"/>
  <c r="AV120" i="26" s="1"/>
  <c r="BD120" i="26"/>
  <c r="AY121" i="26"/>
  <c r="G48" i="3"/>
  <c r="I48" i="3"/>
  <c r="J48" i="3" s="1"/>
  <c r="M47" i="3"/>
  <c r="Q48" i="1"/>
  <c r="P49" i="1" s="1"/>
  <c r="J51" i="15" l="1"/>
  <c r="K47" i="18"/>
  <c r="L44" i="18"/>
  <c r="L45" i="18"/>
  <c r="L46" i="18"/>
  <c r="BD121" i="26"/>
  <c r="AY122" i="26"/>
  <c r="AW121" i="26"/>
  <c r="AV121" i="26" s="1"/>
  <c r="AU123" i="26"/>
  <c r="BC122" i="26"/>
  <c r="BE123" i="26" s="1"/>
  <c r="X49" i="22"/>
  <c r="O49" i="1"/>
  <c r="Q49" i="1" s="1"/>
  <c r="F49" i="3"/>
  <c r="G49" i="3" s="1"/>
  <c r="L48" i="3"/>
  <c r="H48" i="3"/>
  <c r="K48" i="3" s="1"/>
  <c r="K51" i="15" l="1"/>
  <c r="K50" i="15"/>
  <c r="M50" i="15" s="1"/>
  <c r="L50" i="15" s="1"/>
  <c r="AW122" i="26"/>
  <c r="AV122" i="26" s="1"/>
  <c r="AY123" i="26"/>
  <c r="BD122" i="26"/>
  <c r="AU124" i="26"/>
  <c r="BC123" i="26"/>
  <c r="BE124" i="26" s="1"/>
  <c r="R49" i="1"/>
  <c r="L47" i="18" s="1"/>
  <c r="I49" i="3"/>
  <c r="J49" i="3" s="1"/>
  <c r="M48" i="3"/>
  <c r="M51" i="15" l="1"/>
  <c r="L51" i="15" s="1"/>
  <c r="BC124" i="26"/>
  <c r="BE125" i="26" s="1"/>
  <c r="AU125" i="26"/>
  <c r="AW123" i="26"/>
  <c r="AV123" i="26" s="1"/>
  <c r="AY124" i="26"/>
  <c r="BD123" i="26"/>
  <c r="S49" i="1"/>
  <c r="Y49" i="22" s="1"/>
  <c r="Z49" i="22" s="1"/>
  <c r="AB14" i="22" s="1" a="1"/>
  <c r="AB14" i="22" s="1"/>
  <c r="L49" i="3"/>
  <c r="Q5" i="3" s="1"/>
  <c r="T21" i="3" a="1"/>
  <c r="T21" i="3" s="1"/>
  <c r="U22" i="6" s="1"/>
  <c r="H49" i="3"/>
  <c r="K49" i="3" s="1"/>
  <c r="T13" i="3" l="1" a="1"/>
  <c r="T13" i="3" s="1"/>
  <c r="U14" i="6" s="1"/>
  <c r="T22" i="3" a="1"/>
  <c r="T22" i="3" s="1"/>
  <c r="U23" i="6" s="1"/>
  <c r="T7" i="3" a="1"/>
  <c r="T7" i="3" s="1"/>
  <c r="U8" i="6" s="1"/>
  <c r="T18" i="3" a="1"/>
  <c r="T18" i="3" s="1"/>
  <c r="U19" i="6" s="1"/>
  <c r="AD14" i="22"/>
  <c r="AG14" i="22"/>
  <c r="AH14" i="22"/>
  <c r="AI14" i="22"/>
  <c r="AL14" i="22"/>
  <c r="AJ14" i="22"/>
  <c r="AM14" i="22"/>
  <c r="AK14" i="22"/>
  <c r="AF14" i="22"/>
  <c r="AE14" i="22"/>
  <c r="T27" i="3" a="1"/>
  <c r="T27" i="3" s="1"/>
  <c r="U28" i="6" s="1"/>
  <c r="T16" i="3" a="1"/>
  <c r="T16" i="3" s="1"/>
  <c r="U17" i="6" s="1"/>
  <c r="T12" i="3" a="1"/>
  <c r="T12" i="3" s="1"/>
  <c r="U13" i="6" s="1"/>
  <c r="T28" i="3" a="1"/>
  <c r="T28" i="3" s="1"/>
  <c r="U29" i="6" s="1"/>
  <c r="BC125" i="26"/>
  <c r="BE126" i="26" s="1"/>
  <c r="AU126" i="26"/>
  <c r="BD124" i="26"/>
  <c r="AW124" i="26"/>
  <c r="AV124" i="26" s="1"/>
  <c r="AY125" i="26"/>
  <c r="T11" i="3" a="1"/>
  <c r="T11" i="3" s="1"/>
  <c r="L9" i="5"/>
  <c r="L11" i="5"/>
  <c r="L54" i="5"/>
  <c r="L56" i="5"/>
  <c r="T23" i="3" a="1"/>
  <c r="T23" i="3" s="1"/>
  <c r="U24" i="6" s="1"/>
  <c r="AB15" i="22" a="1"/>
  <c r="AB15" i="22" s="1"/>
  <c r="T6" i="3" a="1"/>
  <c r="T6" i="3" s="1"/>
  <c r="L53" i="5"/>
  <c r="L51" i="5"/>
  <c r="L52" i="5"/>
  <c r="T26" i="3" a="1"/>
  <c r="T26" i="3" s="1"/>
  <c r="T20" i="3" a="1"/>
  <c r="T20" i="3" s="1"/>
  <c r="T10" i="3" a="1"/>
  <c r="T10" i="3" s="1"/>
  <c r="T17" i="3" a="1"/>
  <c r="T17" i="3" s="1"/>
  <c r="U18" i="6" s="1"/>
  <c r="AC14" i="22"/>
  <c r="T25" i="3" a="1"/>
  <c r="T25" i="3" s="1"/>
  <c r="T8" i="3" a="1"/>
  <c r="T8" i="3" s="1"/>
  <c r="U9" i="6" s="1"/>
  <c r="T14" i="3" a="1"/>
  <c r="T14" i="3" s="1"/>
  <c r="T15" i="3" a="1"/>
  <c r="T15" i="3" s="1"/>
  <c r="T24" i="3" a="1"/>
  <c r="T24" i="3" s="1"/>
  <c r="T9" i="3" a="1"/>
  <c r="T9" i="3" s="1"/>
  <c r="T19" i="3" a="1"/>
  <c r="T19" i="3" s="1"/>
  <c r="U20" i="6" s="1"/>
  <c r="U7" i="3"/>
  <c r="V8" i="6" s="1"/>
  <c r="U21" i="3"/>
  <c r="V22" i="6" s="1"/>
  <c r="U18" i="3"/>
  <c r="V19" i="6" s="1"/>
  <c r="U22" i="3"/>
  <c r="V23" i="6" s="1"/>
  <c r="U13" i="3"/>
  <c r="V14" i="6" s="1"/>
  <c r="M49" i="3"/>
  <c r="L10" i="5" l="1"/>
  <c r="L27" i="5"/>
  <c r="L29" i="5"/>
  <c r="U28" i="3"/>
  <c r="V29" i="6" s="1"/>
  <c r="L28" i="5"/>
  <c r="L44" i="5"/>
  <c r="L43" i="5"/>
  <c r="L42" i="5"/>
  <c r="L55" i="5"/>
  <c r="AD15" i="22"/>
  <c r="AE15" i="22"/>
  <c r="AJ15" i="22"/>
  <c r="AG15" i="22"/>
  <c r="AM15" i="22"/>
  <c r="AH15" i="22"/>
  <c r="AK15" i="22"/>
  <c r="AI15" i="22"/>
  <c r="AF15" i="22"/>
  <c r="AL15" i="22"/>
  <c r="L70" i="5"/>
  <c r="L71" i="5"/>
  <c r="L69" i="5"/>
  <c r="U16" i="3"/>
  <c r="V17" i="6" s="1"/>
  <c r="U27" i="3"/>
  <c r="V28" i="6" s="1"/>
  <c r="U12" i="3"/>
  <c r="V13" i="6" s="1"/>
  <c r="L26" i="5"/>
  <c r="L24" i="5"/>
  <c r="L72" i="5"/>
  <c r="L36" i="5"/>
  <c r="L73" i="5"/>
  <c r="L37" i="5"/>
  <c r="L74" i="5"/>
  <c r="L38" i="5"/>
  <c r="L25" i="5"/>
  <c r="BC126" i="26"/>
  <c r="BE127" i="26" s="1"/>
  <c r="AU127" i="26"/>
  <c r="AW125" i="26"/>
  <c r="AV125" i="26" s="1"/>
  <c r="AY126" i="26"/>
  <c r="BD125" i="26"/>
  <c r="U27" i="6"/>
  <c r="F14" i="31"/>
  <c r="I14" i="31" s="1"/>
  <c r="H14" i="31" s="1"/>
  <c r="F8" i="31"/>
  <c r="I8" i="31" s="1"/>
  <c r="S29" i="26" s="1"/>
  <c r="F15" i="31"/>
  <c r="I15" i="31" s="1"/>
  <c r="H15" i="31" s="1"/>
  <c r="L35" i="21"/>
  <c r="O35" i="21" s="1"/>
  <c r="N35" i="21" s="1"/>
  <c r="L36" i="21"/>
  <c r="O36" i="21" s="1"/>
  <c r="N36" i="21" s="1"/>
  <c r="L37" i="21"/>
  <c r="O37" i="21" s="1"/>
  <c r="N37" i="21" s="1"/>
  <c r="U24" i="3"/>
  <c r="V25" i="6" s="1"/>
  <c r="U25" i="6"/>
  <c r="U14" i="3"/>
  <c r="V15" i="6" s="1"/>
  <c r="U15" i="6"/>
  <c r="U6" i="3"/>
  <c r="V7" i="6" s="1"/>
  <c r="W8" i="6" s="1"/>
  <c r="X8" i="6" s="1"/>
  <c r="U7" i="6"/>
  <c r="U10" i="3"/>
  <c r="V11" i="6" s="1"/>
  <c r="U11" i="6"/>
  <c r="U25" i="3"/>
  <c r="V26" i="6" s="1"/>
  <c r="U26" i="6"/>
  <c r="U9" i="3"/>
  <c r="V10" i="6" s="1"/>
  <c r="U10" i="6"/>
  <c r="U20" i="3"/>
  <c r="V21" i="6" s="1"/>
  <c r="U21" i="6"/>
  <c r="U11" i="3"/>
  <c r="V12" i="6" s="1"/>
  <c r="U12" i="6"/>
  <c r="U15" i="3"/>
  <c r="V16" i="6" s="1"/>
  <c r="U16" i="6"/>
  <c r="AW14" i="22"/>
  <c r="AV14" i="22"/>
  <c r="AO14" i="22"/>
  <c r="L10" i="10"/>
  <c r="L12" i="10" s="1"/>
  <c r="AU14" i="22"/>
  <c r="AS14" i="22"/>
  <c r="AP14" i="22"/>
  <c r="AT14" i="22"/>
  <c r="AR14" i="22"/>
  <c r="L57" i="5"/>
  <c r="L58" i="5"/>
  <c r="L59" i="5"/>
  <c r="M72" i="5"/>
  <c r="M73" i="5"/>
  <c r="M74" i="5"/>
  <c r="AC15" i="22"/>
  <c r="Z18" i="18"/>
  <c r="Y18" i="18" s="1"/>
  <c r="U23" i="3"/>
  <c r="V24" i="6" s="1"/>
  <c r="L67" i="5"/>
  <c r="L68" i="5"/>
  <c r="L66" i="5"/>
  <c r="M43" i="5"/>
  <c r="M44" i="5"/>
  <c r="M42" i="5"/>
  <c r="L16" i="10"/>
  <c r="P29" i="10" s="1"/>
  <c r="R29" i="10" s="1"/>
  <c r="L41" i="5"/>
  <c r="L39" i="5"/>
  <c r="L40" i="5"/>
  <c r="U26" i="3"/>
  <c r="M52" i="5"/>
  <c r="M53" i="5"/>
  <c r="M51" i="5"/>
  <c r="L32" i="5"/>
  <c r="L30" i="5"/>
  <c r="L31" i="5"/>
  <c r="AQ14" i="22"/>
  <c r="M55" i="5"/>
  <c r="M56" i="5"/>
  <c r="M54" i="5"/>
  <c r="AB15" i="10"/>
  <c r="AE15" i="10" s="1"/>
  <c r="M9" i="5"/>
  <c r="M10" i="5"/>
  <c r="M11" i="5"/>
  <c r="L14" i="5"/>
  <c r="L12" i="5"/>
  <c r="L13" i="5"/>
  <c r="L20" i="5"/>
  <c r="L18" i="5"/>
  <c r="L19" i="5"/>
  <c r="L7" i="5"/>
  <c r="L8" i="5"/>
  <c r="L6" i="5"/>
  <c r="L46" i="5"/>
  <c r="L45" i="5"/>
  <c r="L47" i="5"/>
  <c r="L64" i="5"/>
  <c r="L65" i="5"/>
  <c r="L63" i="5"/>
  <c r="U8" i="3"/>
  <c r="H53" i="26" s="1"/>
  <c r="N53" i="26" s="1"/>
  <c r="M28" i="5"/>
  <c r="M29" i="5"/>
  <c r="M27" i="5"/>
  <c r="U17" i="3"/>
  <c r="L29" i="21" s="1"/>
  <c r="O29" i="21" s="1"/>
  <c r="N29" i="21" s="1"/>
  <c r="L16" i="5"/>
  <c r="L15" i="5"/>
  <c r="L17" i="5"/>
  <c r="AB16" i="22" a="1"/>
  <c r="AB16" i="22" s="1"/>
  <c r="L62" i="5"/>
  <c r="L61" i="5"/>
  <c r="L60" i="5"/>
  <c r="L35" i="5"/>
  <c r="L33" i="5"/>
  <c r="L34" i="5"/>
  <c r="L50" i="5"/>
  <c r="L49" i="5"/>
  <c r="L48" i="5"/>
  <c r="AX14" i="22"/>
  <c r="L22" i="5"/>
  <c r="L21" i="5"/>
  <c r="L23" i="5"/>
  <c r="U19" i="3"/>
  <c r="Z35" i="18" s="1"/>
  <c r="H27" i="26"/>
  <c r="N27" i="26" s="1"/>
  <c r="H37" i="26"/>
  <c r="N37" i="26" s="1"/>
  <c r="H35" i="26"/>
  <c r="N35" i="26" s="1"/>
  <c r="H29" i="26"/>
  <c r="N29" i="26" s="1"/>
  <c r="H28" i="26"/>
  <c r="N28" i="26" s="1"/>
  <c r="H25" i="26"/>
  <c r="N25" i="26" s="1"/>
  <c r="H34" i="26"/>
  <c r="N34" i="26" s="1"/>
  <c r="H39" i="26"/>
  <c r="N39" i="26" s="1"/>
  <c r="H36" i="26"/>
  <c r="N36" i="26" s="1"/>
  <c r="H30" i="26"/>
  <c r="N30" i="26" s="1"/>
  <c r="H33" i="26"/>
  <c r="N33" i="26" s="1"/>
  <c r="H32" i="26"/>
  <c r="N32" i="26" s="1"/>
  <c r="H38" i="26"/>
  <c r="N38" i="26" s="1"/>
  <c r="H108" i="26"/>
  <c r="N108" i="26" s="1"/>
  <c r="H170" i="26"/>
  <c r="N170" i="26" s="1"/>
  <c r="H26" i="26"/>
  <c r="N26" i="26" s="1"/>
  <c r="H31" i="26"/>
  <c r="N31" i="26" s="1"/>
  <c r="Z41" i="18"/>
  <c r="Z40" i="18"/>
  <c r="Z27" i="18"/>
  <c r="Z34" i="18"/>
  <c r="Z33" i="18"/>
  <c r="Z21" i="18"/>
  <c r="Z44" i="18"/>
  <c r="Z32" i="18"/>
  <c r="Z20" i="18"/>
  <c r="Z8" i="18"/>
  <c r="Z43" i="18"/>
  <c r="Z19" i="18"/>
  <c r="Z42" i="18"/>
  <c r="AB17" i="10"/>
  <c r="AE17" i="10" s="1"/>
  <c r="AB14" i="10"/>
  <c r="AH14" i="10" s="1"/>
  <c r="AB16" i="10"/>
  <c r="AB13" i="10"/>
  <c r="AB12" i="10"/>
  <c r="AD10" i="5"/>
  <c r="AI10" i="5" s="1"/>
  <c r="AD9" i="5"/>
  <c r="AI9" i="5" s="1"/>
  <c r="AD13" i="5"/>
  <c r="AD11" i="5"/>
  <c r="AI11" i="5" s="1"/>
  <c r="O10" i="26" s="1"/>
  <c r="AD12" i="5"/>
  <c r="AC9" i="5"/>
  <c r="AC10" i="5"/>
  <c r="AC11" i="5"/>
  <c r="AC12" i="5"/>
  <c r="AC13" i="5"/>
  <c r="AF13" i="5" l="1"/>
  <c r="AG13" i="5" s="1"/>
  <c r="AF10" i="5"/>
  <c r="AG10" i="5" s="1"/>
  <c r="AF12" i="5"/>
  <c r="AG12" i="5" s="1"/>
  <c r="AF9" i="5"/>
  <c r="AG9" i="5" s="1"/>
  <c r="AF11" i="5"/>
  <c r="AG11" i="5" s="1"/>
  <c r="L34" i="21"/>
  <c r="O34" i="21" s="1"/>
  <c r="N34" i="21" s="1"/>
  <c r="H159" i="26"/>
  <c r="N159" i="26" s="1"/>
  <c r="H112" i="26"/>
  <c r="N112" i="26" s="1"/>
  <c r="H158" i="26"/>
  <c r="H109" i="26"/>
  <c r="H115" i="26"/>
  <c r="L48" i="21"/>
  <c r="O48" i="21" s="1"/>
  <c r="N48" i="21" s="1"/>
  <c r="M24" i="5"/>
  <c r="H215" i="26"/>
  <c r="N215" i="26" s="1"/>
  <c r="H213" i="26"/>
  <c r="N213" i="26" s="1"/>
  <c r="H214" i="26"/>
  <c r="N214" i="26" s="1"/>
  <c r="M25" i="5"/>
  <c r="N25" i="5" s="1"/>
  <c r="H191" i="26"/>
  <c r="N191" i="26" s="1"/>
  <c r="M69" i="5"/>
  <c r="P69" i="5" s="1"/>
  <c r="H180" i="26"/>
  <c r="M36" i="5"/>
  <c r="M38" i="5"/>
  <c r="Q38" i="5" s="1"/>
  <c r="M37" i="5"/>
  <c r="N37" i="5" s="1"/>
  <c r="H179" i="26"/>
  <c r="N179" i="26" s="1"/>
  <c r="H199" i="26"/>
  <c r="N199" i="26" s="1"/>
  <c r="H210" i="26"/>
  <c r="N210" i="26" s="1"/>
  <c r="H208" i="26"/>
  <c r="N208" i="26" s="1"/>
  <c r="H201" i="26"/>
  <c r="N201" i="26" s="1"/>
  <c r="H188" i="26"/>
  <c r="N188" i="26" s="1"/>
  <c r="M26" i="5"/>
  <c r="N26" i="5" s="1"/>
  <c r="M71" i="5"/>
  <c r="N71" i="5" s="1"/>
  <c r="M70" i="5"/>
  <c r="P70" i="5" s="1"/>
  <c r="L47" i="21"/>
  <c r="O47" i="21" s="1"/>
  <c r="N47" i="21" s="1"/>
  <c r="L46" i="21"/>
  <c r="O46" i="21" s="1"/>
  <c r="N46" i="21" s="1"/>
  <c r="H181" i="26"/>
  <c r="N181" i="26" s="1"/>
  <c r="AG16" i="22"/>
  <c r="AE16" i="22"/>
  <c r="AH16" i="22"/>
  <c r="AI16" i="22"/>
  <c r="AD16" i="22"/>
  <c r="AL16" i="22"/>
  <c r="AM16" i="22"/>
  <c r="AJ16" i="22"/>
  <c r="AK16" i="22"/>
  <c r="AF16" i="22"/>
  <c r="T18" i="15"/>
  <c r="U18" i="15" s="1"/>
  <c r="W18" i="15" s="1"/>
  <c r="Z36" i="18"/>
  <c r="H18" i="26"/>
  <c r="N18" i="26" s="1"/>
  <c r="H13" i="26"/>
  <c r="N13" i="26" s="1"/>
  <c r="Z15" i="18"/>
  <c r="Y15" i="18" s="1"/>
  <c r="H124" i="26"/>
  <c r="N124" i="26" s="1"/>
  <c r="H161" i="26"/>
  <c r="N161" i="26" s="1"/>
  <c r="H138" i="26"/>
  <c r="N138" i="26" s="1"/>
  <c r="H162" i="26"/>
  <c r="N162" i="26" s="1"/>
  <c r="H105" i="26"/>
  <c r="N105" i="26" s="1"/>
  <c r="H151" i="26"/>
  <c r="H107" i="26"/>
  <c r="N107" i="26" s="1"/>
  <c r="M20" i="5"/>
  <c r="Q20" i="5" s="1"/>
  <c r="H125" i="26"/>
  <c r="N125" i="26" s="1"/>
  <c r="H172" i="26"/>
  <c r="N172" i="26" s="1"/>
  <c r="H116" i="26"/>
  <c r="N116" i="26" s="1"/>
  <c r="H147" i="26"/>
  <c r="N147" i="26" s="1"/>
  <c r="H149" i="26"/>
  <c r="N149" i="26" s="1"/>
  <c r="H136" i="26"/>
  <c r="N136" i="26" s="1"/>
  <c r="H130" i="26"/>
  <c r="N130" i="26" s="1"/>
  <c r="H145" i="26"/>
  <c r="N145" i="26" s="1"/>
  <c r="H117" i="26"/>
  <c r="N117" i="26" s="1"/>
  <c r="Z14" i="18"/>
  <c r="Y14" i="18" s="1"/>
  <c r="H139" i="26"/>
  <c r="N139" i="26" s="1"/>
  <c r="H106" i="26"/>
  <c r="N106" i="26" s="1"/>
  <c r="H156" i="26"/>
  <c r="N156" i="26" s="1"/>
  <c r="H110" i="26"/>
  <c r="N110" i="26" s="1"/>
  <c r="H169" i="26"/>
  <c r="N169" i="26" s="1"/>
  <c r="H155" i="26"/>
  <c r="N155" i="26" s="1"/>
  <c r="H123" i="26"/>
  <c r="N123" i="26" s="1"/>
  <c r="H126" i="26"/>
  <c r="N126" i="26" s="1"/>
  <c r="Z13" i="18"/>
  <c r="Y13" i="18" s="1"/>
  <c r="H143" i="26"/>
  <c r="N143" i="26" s="1"/>
  <c r="H132" i="26"/>
  <c r="N132" i="26" s="1"/>
  <c r="H121" i="26"/>
  <c r="H127" i="26"/>
  <c r="N127" i="26" s="1"/>
  <c r="H134" i="26"/>
  <c r="N134" i="26" s="1"/>
  <c r="H148" i="26"/>
  <c r="N148" i="26" s="1"/>
  <c r="H160" i="26"/>
  <c r="N160" i="26" s="1"/>
  <c r="H119" i="26"/>
  <c r="N119" i="26" s="1"/>
  <c r="H137" i="26"/>
  <c r="N137" i="26" s="1"/>
  <c r="H114" i="26"/>
  <c r="N114" i="26" s="1"/>
  <c r="H171" i="26"/>
  <c r="N171" i="26" s="1"/>
  <c r="H166" i="26"/>
  <c r="N166" i="26" s="1"/>
  <c r="H146" i="26"/>
  <c r="N146" i="26" s="1"/>
  <c r="H113" i="26"/>
  <c r="N113" i="26" s="1"/>
  <c r="H154" i="26"/>
  <c r="N154" i="26" s="1"/>
  <c r="H140" i="26"/>
  <c r="N140" i="26" s="1"/>
  <c r="H152" i="26"/>
  <c r="N152" i="26" s="1"/>
  <c r="H164" i="26"/>
  <c r="N164" i="26" s="1"/>
  <c r="H150" i="26"/>
  <c r="N150" i="26" s="1"/>
  <c r="H157" i="26"/>
  <c r="N157" i="26" s="1"/>
  <c r="H131" i="26"/>
  <c r="N131" i="26" s="1"/>
  <c r="H167" i="26"/>
  <c r="N167" i="26" s="1"/>
  <c r="H141" i="26"/>
  <c r="N141" i="26" s="1"/>
  <c r="H153" i="26"/>
  <c r="N153" i="26" s="1"/>
  <c r="H165" i="26"/>
  <c r="N165" i="26" s="1"/>
  <c r="H142" i="26"/>
  <c r="N142" i="26" s="1"/>
  <c r="H122" i="26"/>
  <c r="H163" i="26"/>
  <c r="N163" i="26" s="1"/>
  <c r="H118" i="26"/>
  <c r="N118" i="26" s="1"/>
  <c r="H120" i="26"/>
  <c r="N120" i="26" s="1"/>
  <c r="H168" i="26"/>
  <c r="N168" i="26" s="1"/>
  <c r="H128" i="26"/>
  <c r="N128" i="26" s="1"/>
  <c r="Z12" i="18"/>
  <c r="Y12" i="18" s="1"/>
  <c r="H135" i="26"/>
  <c r="N135" i="26" s="1"/>
  <c r="H144" i="26"/>
  <c r="N144" i="26" s="1"/>
  <c r="H133" i="26"/>
  <c r="N133" i="26" s="1"/>
  <c r="H111" i="26"/>
  <c r="N111" i="26" s="1"/>
  <c r="H129" i="26"/>
  <c r="N129" i="26" s="1"/>
  <c r="H45" i="26"/>
  <c r="Z24" i="18"/>
  <c r="Y24" i="18" s="1"/>
  <c r="H185" i="26"/>
  <c r="N185" i="26" s="1"/>
  <c r="H173" i="26"/>
  <c r="N173" i="26" s="1"/>
  <c r="H206" i="26"/>
  <c r="N206" i="26" s="1"/>
  <c r="H200" i="26"/>
  <c r="N200" i="26" s="1"/>
  <c r="H186" i="26"/>
  <c r="N186" i="26" s="1"/>
  <c r="H205" i="26"/>
  <c r="N205" i="26" s="1"/>
  <c r="H187" i="26"/>
  <c r="N187" i="26" s="1"/>
  <c r="H209" i="26"/>
  <c r="N209" i="26" s="1"/>
  <c r="H184" i="26"/>
  <c r="N184" i="26" s="1"/>
  <c r="Z16" i="18"/>
  <c r="Y16" i="18" s="1"/>
  <c r="H211" i="26"/>
  <c r="N211" i="26" s="1"/>
  <c r="H189" i="26"/>
  <c r="N189" i="26" s="1"/>
  <c r="H174" i="26"/>
  <c r="N174" i="26" s="1"/>
  <c r="Z22" i="18"/>
  <c r="Z17" i="18"/>
  <c r="Y17" i="18" s="1"/>
  <c r="H182" i="26"/>
  <c r="N182" i="26" s="1"/>
  <c r="H176" i="26"/>
  <c r="N176" i="26" s="1"/>
  <c r="H212" i="26"/>
  <c r="N212" i="26" s="1"/>
  <c r="H59" i="26"/>
  <c r="N59" i="26" s="1"/>
  <c r="H202" i="26"/>
  <c r="N202" i="26" s="1"/>
  <c r="H194" i="26"/>
  <c r="N194" i="26" s="1"/>
  <c r="H198" i="26"/>
  <c r="N198" i="26" s="1"/>
  <c r="H178" i="26"/>
  <c r="N178" i="26" s="1"/>
  <c r="H193" i="26"/>
  <c r="N193" i="26" s="1"/>
  <c r="H175" i="26"/>
  <c r="N175" i="26" s="1"/>
  <c r="Z23" i="18"/>
  <c r="H195" i="26"/>
  <c r="N195" i="26" s="1"/>
  <c r="H177" i="26"/>
  <c r="N177" i="26" s="1"/>
  <c r="H207" i="26"/>
  <c r="N207" i="26" s="1"/>
  <c r="H204" i="26"/>
  <c r="N204" i="26" s="1"/>
  <c r="H196" i="26"/>
  <c r="N196" i="26" s="1"/>
  <c r="H203" i="26"/>
  <c r="N203" i="26" s="1"/>
  <c r="H183" i="26"/>
  <c r="N183" i="26" s="1"/>
  <c r="H197" i="26"/>
  <c r="N197" i="26" s="1"/>
  <c r="H192" i="26"/>
  <c r="N192" i="26" s="1"/>
  <c r="H190" i="26"/>
  <c r="N190" i="26" s="1"/>
  <c r="T31" i="26"/>
  <c r="M31" i="26"/>
  <c r="T33" i="26"/>
  <c r="M33" i="26"/>
  <c r="Q70" i="5"/>
  <c r="Q51" i="5"/>
  <c r="P51" i="5"/>
  <c r="Q42" i="5"/>
  <c r="P42" i="5"/>
  <c r="Q74" i="5"/>
  <c r="P74" i="5"/>
  <c r="T169" i="26"/>
  <c r="T27" i="26"/>
  <c r="M27" i="26"/>
  <c r="P27" i="5"/>
  <c r="Q27" i="5"/>
  <c r="Q9" i="5"/>
  <c r="P9" i="5"/>
  <c r="P73" i="5"/>
  <c r="Q73" i="5"/>
  <c r="P11" i="5"/>
  <c r="Q11" i="5"/>
  <c r="T37" i="26"/>
  <c r="M37" i="26"/>
  <c r="Q29" i="5"/>
  <c r="P29" i="5"/>
  <c r="Q72" i="5"/>
  <c r="P72" i="5"/>
  <c r="P28" i="5"/>
  <c r="Q28" i="5"/>
  <c r="Q54" i="5"/>
  <c r="P54" i="5"/>
  <c r="M209" i="26"/>
  <c r="T130" i="26"/>
  <c r="T39" i="26"/>
  <c r="M39" i="26"/>
  <c r="Q56" i="5"/>
  <c r="P56" i="5"/>
  <c r="H8" i="31"/>
  <c r="S30" i="26"/>
  <c r="P52" i="5"/>
  <c r="Q52" i="5"/>
  <c r="T26" i="26"/>
  <c r="M26" i="26"/>
  <c r="T36" i="26"/>
  <c r="M36" i="26"/>
  <c r="T28" i="26"/>
  <c r="M28" i="26"/>
  <c r="T191" i="26"/>
  <c r="M191" i="26"/>
  <c r="T53" i="26"/>
  <c r="M53" i="26"/>
  <c r="Q55" i="5"/>
  <c r="P55" i="5"/>
  <c r="T170" i="26"/>
  <c r="M170" i="26"/>
  <c r="T138" i="26"/>
  <c r="T29" i="26"/>
  <c r="M29" i="26"/>
  <c r="P26" i="5"/>
  <c r="Q53" i="5"/>
  <c r="P53" i="5"/>
  <c r="T25" i="26"/>
  <c r="M25" i="26"/>
  <c r="Q10" i="5"/>
  <c r="P10" i="5"/>
  <c r="T108" i="26"/>
  <c r="M108" i="26"/>
  <c r="T30" i="26"/>
  <c r="M30" i="26"/>
  <c r="T35" i="26"/>
  <c r="M35" i="26"/>
  <c r="Q36" i="5"/>
  <c r="P36" i="5"/>
  <c r="T38" i="26"/>
  <c r="M38" i="26"/>
  <c r="T32" i="26"/>
  <c r="M32" i="26"/>
  <c r="Q24" i="5"/>
  <c r="P24" i="5"/>
  <c r="Q69" i="5"/>
  <c r="Q44" i="5"/>
  <c r="P44" i="5"/>
  <c r="Q43" i="5"/>
  <c r="P43" i="5"/>
  <c r="T34" i="26"/>
  <c r="M34" i="26"/>
  <c r="AU128" i="26"/>
  <c r="BC127" i="26"/>
  <c r="BE128" i="26" s="1"/>
  <c r="AW126" i="26"/>
  <c r="AV126" i="26" s="1"/>
  <c r="AY127" i="26"/>
  <c r="BD126" i="26"/>
  <c r="O199" i="26"/>
  <c r="I36" i="26"/>
  <c r="O36" i="26"/>
  <c r="I37" i="26"/>
  <c r="O37" i="26"/>
  <c r="I38" i="26"/>
  <c r="O38" i="26"/>
  <c r="I29" i="26"/>
  <c r="O29" i="26"/>
  <c r="I209" i="26"/>
  <c r="O209" i="26"/>
  <c r="I34" i="26"/>
  <c r="O34" i="26"/>
  <c r="I33" i="26"/>
  <c r="O33" i="26"/>
  <c r="I26" i="26"/>
  <c r="O26" i="26"/>
  <c r="I53" i="26"/>
  <c r="O53" i="26"/>
  <c r="I108" i="26"/>
  <c r="O108" i="26"/>
  <c r="I28" i="26"/>
  <c r="O28" i="26"/>
  <c r="I35" i="26"/>
  <c r="O35" i="26"/>
  <c r="I191" i="26"/>
  <c r="O191" i="26"/>
  <c r="I170" i="26"/>
  <c r="O170" i="26"/>
  <c r="I39" i="26"/>
  <c r="O39" i="26"/>
  <c r="I27" i="26"/>
  <c r="O27" i="26"/>
  <c r="I25" i="26"/>
  <c r="O25" i="26"/>
  <c r="I31" i="26"/>
  <c r="O31" i="26"/>
  <c r="I32" i="26"/>
  <c r="O32" i="26"/>
  <c r="I30" i="26"/>
  <c r="O30" i="26"/>
  <c r="Z26" i="18"/>
  <c r="Y26" i="18" s="1"/>
  <c r="H24" i="26"/>
  <c r="N24" i="26" s="1"/>
  <c r="H6" i="26"/>
  <c r="M19" i="5"/>
  <c r="H8" i="26"/>
  <c r="N8" i="26" s="1"/>
  <c r="H17" i="26"/>
  <c r="N17" i="26" s="1"/>
  <c r="F9" i="31"/>
  <c r="I9" i="31" s="1"/>
  <c r="S54" i="26" s="1"/>
  <c r="AB6" i="10"/>
  <c r="AG6" i="10" s="1"/>
  <c r="AB11" i="10"/>
  <c r="AD11" i="10" s="1"/>
  <c r="Z46" i="18"/>
  <c r="Y46" i="18" s="1"/>
  <c r="H12" i="26"/>
  <c r="N12" i="26" s="1"/>
  <c r="M6" i="5"/>
  <c r="Q6" i="5" s="1"/>
  <c r="H19" i="26"/>
  <c r="N19" i="26" s="1"/>
  <c r="H14" i="26"/>
  <c r="N14" i="26" s="1"/>
  <c r="M8" i="5"/>
  <c r="N8" i="5" s="1"/>
  <c r="M7" i="5"/>
  <c r="AB8" i="10"/>
  <c r="AH8" i="10" s="1"/>
  <c r="H9" i="26"/>
  <c r="N9" i="26" s="1"/>
  <c r="H22" i="26"/>
  <c r="N22" i="26" s="1"/>
  <c r="AB7" i="10"/>
  <c r="AD7" i="10" s="1"/>
  <c r="H15" i="26"/>
  <c r="N15" i="26" s="1"/>
  <c r="H20" i="26"/>
  <c r="N20" i="26" s="1"/>
  <c r="H23" i="26"/>
  <c r="N23" i="26" s="1"/>
  <c r="H7" i="26"/>
  <c r="N7" i="26" s="1"/>
  <c r="L38" i="21"/>
  <c r="O38" i="21" s="1"/>
  <c r="N38" i="21" s="1"/>
  <c r="R18" i="18"/>
  <c r="N18" i="18" s="1"/>
  <c r="H11" i="26"/>
  <c r="N11" i="26" s="1"/>
  <c r="AB10" i="10"/>
  <c r="AD10" i="10" s="1"/>
  <c r="AB9" i="10"/>
  <c r="AE9" i="10" s="1"/>
  <c r="H16" i="26"/>
  <c r="N16" i="26" s="1"/>
  <c r="H10" i="26"/>
  <c r="N10" i="26" s="1"/>
  <c r="Z45" i="18"/>
  <c r="Y45" i="18" s="1"/>
  <c r="H21" i="26"/>
  <c r="N21" i="26" s="1"/>
  <c r="N36" i="5"/>
  <c r="N54" i="5"/>
  <c r="N73" i="5"/>
  <c r="M47" i="21"/>
  <c r="M35" i="21"/>
  <c r="N56" i="5"/>
  <c r="N72" i="5"/>
  <c r="M34" i="21"/>
  <c r="L9" i="21"/>
  <c r="O9" i="21" s="1"/>
  <c r="N9" i="21" s="1"/>
  <c r="N74" i="5"/>
  <c r="N27" i="5"/>
  <c r="M62" i="5"/>
  <c r="N55" i="5"/>
  <c r="L45" i="21"/>
  <c r="O45" i="21" s="1"/>
  <c r="N45" i="21" s="1"/>
  <c r="L33" i="21"/>
  <c r="O33" i="21" s="1"/>
  <c r="N33" i="21" s="1"/>
  <c r="M29" i="21"/>
  <c r="N69" i="5"/>
  <c r="M36" i="21"/>
  <c r="AH15" i="10"/>
  <c r="N29" i="5"/>
  <c r="M61" i="5"/>
  <c r="L44" i="21"/>
  <c r="O44" i="21" s="1"/>
  <c r="N44" i="21" s="1"/>
  <c r="L32" i="21"/>
  <c r="O32" i="21" s="1"/>
  <c r="N32" i="21" s="1"/>
  <c r="AG15" i="10"/>
  <c r="N28" i="5"/>
  <c r="M60" i="5"/>
  <c r="W24" i="6"/>
  <c r="X24" i="6" s="1"/>
  <c r="L43" i="21"/>
  <c r="O43" i="21" s="1"/>
  <c r="N43" i="21" s="1"/>
  <c r="L31" i="21"/>
  <c r="O31" i="21" s="1"/>
  <c r="N31" i="21" s="1"/>
  <c r="F7" i="31"/>
  <c r="I7" i="31" s="1"/>
  <c r="S14" i="26" s="1"/>
  <c r="AG14" i="26" s="1"/>
  <c r="Z38" i="18"/>
  <c r="Y38" i="18" s="1"/>
  <c r="AC15" i="10"/>
  <c r="Z39" i="18"/>
  <c r="Y39" i="18" s="1"/>
  <c r="L42" i="21"/>
  <c r="O42" i="21" s="1"/>
  <c r="N42" i="21" s="1"/>
  <c r="L30" i="21"/>
  <c r="O30" i="21" s="1"/>
  <c r="N30" i="21" s="1"/>
  <c r="AD15" i="10"/>
  <c r="M49" i="5"/>
  <c r="L41" i="21"/>
  <c r="O41" i="21" s="1"/>
  <c r="N41" i="21" s="1"/>
  <c r="F13" i="31"/>
  <c r="I13" i="31" s="1"/>
  <c r="H13" i="31" s="1"/>
  <c r="AF15" i="10"/>
  <c r="Z47" i="18"/>
  <c r="Y47" i="18" s="1"/>
  <c r="N24" i="5"/>
  <c r="M30" i="5"/>
  <c r="L40" i="21"/>
  <c r="O40" i="21" s="1"/>
  <c r="N40" i="21" s="1"/>
  <c r="F12" i="31"/>
  <c r="I12" i="31" s="1"/>
  <c r="S204" i="26" s="1"/>
  <c r="N11" i="5"/>
  <c r="N51" i="5"/>
  <c r="N42" i="5"/>
  <c r="M32" i="5"/>
  <c r="L39" i="21"/>
  <c r="O39" i="21" s="1"/>
  <c r="N39" i="21" s="1"/>
  <c r="F11" i="31"/>
  <c r="I11" i="31" s="1"/>
  <c r="S154" i="26" s="1"/>
  <c r="N10" i="5"/>
  <c r="N53" i="5"/>
  <c r="N44" i="5"/>
  <c r="N70" i="5"/>
  <c r="N9" i="5"/>
  <c r="N52" i="5"/>
  <c r="N43" i="5"/>
  <c r="M37" i="21"/>
  <c r="F10" i="31"/>
  <c r="I10" i="31" s="1"/>
  <c r="S104" i="26" s="1"/>
  <c r="L18" i="21"/>
  <c r="O18" i="21" s="1"/>
  <c r="N18" i="21" s="1"/>
  <c r="H98" i="26"/>
  <c r="N98" i="26" s="1"/>
  <c r="Z10" i="18"/>
  <c r="Y10" i="18" s="1"/>
  <c r="H72" i="26"/>
  <c r="N72" i="26" s="1"/>
  <c r="H67" i="26"/>
  <c r="N67" i="26" s="1"/>
  <c r="H94" i="26"/>
  <c r="N94" i="26" s="1"/>
  <c r="H46" i="26"/>
  <c r="N46" i="26" s="1"/>
  <c r="M22" i="5"/>
  <c r="M21" i="5"/>
  <c r="M18" i="5"/>
  <c r="H63" i="26"/>
  <c r="N63" i="26" s="1"/>
  <c r="H73" i="26"/>
  <c r="N73" i="26" s="1"/>
  <c r="H91" i="26"/>
  <c r="N91" i="26" s="1"/>
  <c r="H80" i="26"/>
  <c r="N80" i="26" s="1"/>
  <c r="H87" i="26"/>
  <c r="N87" i="26" s="1"/>
  <c r="H96" i="26"/>
  <c r="N96" i="26" s="1"/>
  <c r="H69" i="26"/>
  <c r="N69" i="26" s="1"/>
  <c r="H83" i="26"/>
  <c r="N83" i="26" s="1"/>
  <c r="H65" i="26"/>
  <c r="N65" i="26" s="1"/>
  <c r="H77" i="26"/>
  <c r="N77" i="26" s="1"/>
  <c r="H97" i="26"/>
  <c r="N97" i="26" s="1"/>
  <c r="H74" i="26"/>
  <c r="N74" i="26" s="1"/>
  <c r="H81" i="26"/>
  <c r="N81" i="26" s="1"/>
  <c r="H66" i="26"/>
  <c r="N66" i="26" s="1"/>
  <c r="H88" i="26"/>
  <c r="N88" i="26" s="1"/>
  <c r="H100" i="26"/>
  <c r="N100" i="26" s="1"/>
  <c r="H64" i="26"/>
  <c r="N64" i="26" s="1"/>
  <c r="H86" i="26"/>
  <c r="N86" i="26" s="1"/>
  <c r="H90" i="26"/>
  <c r="N90" i="26" s="1"/>
  <c r="Z11" i="18"/>
  <c r="Y11" i="18" s="1"/>
  <c r="H84" i="26"/>
  <c r="N84" i="26" s="1"/>
  <c r="H102" i="26"/>
  <c r="N102" i="26" s="1"/>
  <c r="H85" i="26"/>
  <c r="N85" i="26" s="1"/>
  <c r="H92" i="26"/>
  <c r="N92" i="26" s="1"/>
  <c r="H89" i="26"/>
  <c r="N89" i="26" s="1"/>
  <c r="H101" i="26"/>
  <c r="N101" i="26" s="1"/>
  <c r="H82" i="26"/>
  <c r="N82" i="26" s="1"/>
  <c r="H103" i="26"/>
  <c r="N103" i="26" s="1"/>
  <c r="H93" i="26"/>
  <c r="N93" i="26" s="1"/>
  <c r="H75" i="26"/>
  <c r="N75" i="26" s="1"/>
  <c r="H71" i="26"/>
  <c r="N71" i="26" s="1"/>
  <c r="H79" i="26"/>
  <c r="N79" i="26" s="1"/>
  <c r="H95" i="26"/>
  <c r="N95" i="26" s="1"/>
  <c r="H104" i="26"/>
  <c r="N104" i="26" s="1"/>
  <c r="H70" i="26"/>
  <c r="N70" i="26" s="1"/>
  <c r="H99" i="26"/>
  <c r="N99" i="26" s="1"/>
  <c r="H68" i="26"/>
  <c r="N68" i="26" s="1"/>
  <c r="H76" i="26"/>
  <c r="N76" i="26" s="1"/>
  <c r="H78" i="26"/>
  <c r="N78" i="26" s="1"/>
  <c r="M35" i="5"/>
  <c r="M33" i="5"/>
  <c r="W17" i="6"/>
  <c r="X17" i="6" s="1"/>
  <c r="M64" i="5"/>
  <c r="M34" i="5"/>
  <c r="M63" i="5"/>
  <c r="M65" i="5"/>
  <c r="W12" i="6"/>
  <c r="X12" i="6" s="1"/>
  <c r="M15" i="5"/>
  <c r="M17" i="5"/>
  <c r="W21" i="6"/>
  <c r="X21" i="6" s="1"/>
  <c r="M16" i="5"/>
  <c r="W25" i="6"/>
  <c r="X25" i="6" s="1"/>
  <c r="L12" i="21"/>
  <c r="O12" i="21" s="1"/>
  <c r="N12" i="21" s="1"/>
  <c r="L26" i="21"/>
  <c r="O26" i="21" s="1"/>
  <c r="N26" i="21" s="1"/>
  <c r="L24" i="21"/>
  <c r="O24" i="21" s="1"/>
  <c r="N24" i="21" s="1"/>
  <c r="V20" i="6"/>
  <c r="W20" i="6" s="1"/>
  <c r="X20" i="6" s="1"/>
  <c r="H49" i="26"/>
  <c r="N49" i="26" s="1"/>
  <c r="V9" i="6"/>
  <c r="W9" i="6" s="1"/>
  <c r="X9" i="6" s="1"/>
  <c r="W7" i="6"/>
  <c r="X7" i="6" s="1"/>
  <c r="W19" i="6"/>
  <c r="X19" i="6" s="1"/>
  <c r="W10" i="6"/>
  <c r="X10" i="6" s="1"/>
  <c r="V27" i="6"/>
  <c r="W27" i="6" s="1"/>
  <c r="X27" i="6" s="1"/>
  <c r="W13" i="6"/>
  <c r="X13" i="6" s="1"/>
  <c r="W15" i="6"/>
  <c r="X15" i="6" s="1"/>
  <c r="V18" i="6"/>
  <c r="W18" i="6" s="1"/>
  <c r="X18" i="6" s="1"/>
  <c r="M31" i="5"/>
  <c r="W22" i="6"/>
  <c r="X22" i="6" s="1"/>
  <c r="W26" i="6"/>
  <c r="X26" i="6" s="1"/>
  <c r="W14" i="6"/>
  <c r="X14" i="6" s="1"/>
  <c r="M50" i="5"/>
  <c r="W28" i="6"/>
  <c r="X28" i="6" s="1"/>
  <c r="M23" i="5"/>
  <c r="M48" i="5"/>
  <c r="W16" i="6"/>
  <c r="X16" i="6" s="1"/>
  <c r="W23" i="6"/>
  <c r="X23" i="6" s="1"/>
  <c r="W11" i="6"/>
  <c r="X11" i="6" s="1"/>
  <c r="W29" i="6"/>
  <c r="X29" i="6" s="1"/>
  <c r="P37" i="10"/>
  <c r="R37" i="10" s="1"/>
  <c r="AB37" i="10" s="1"/>
  <c r="AH37" i="10" s="1"/>
  <c r="P74" i="10"/>
  <c r="R74" i="10" s="1"/>
  <c r="AA74" i="10" s="1"/>
  <c r="P66" i="10"/>
  <c r="R66" i="10" s="1"/>
  <c r="AB66" i="10" s="1"/>
  <c r="AD66" i="10" s="1"/>
  <c r="AT15" i="22"/>
  <c r="AB21" i="10"/>
  <c r="AH21" i="10" s="1"/>
  <c r="H44" i="26"/>
  <c r="N44" i="26" s="1"/>
  <c r="H57" i="26"/>
  <c r="N57" i="26" s="1"/>
  <c r="AB20" i="10"/>
  <c r="AF20" i="10" s="1"/>
  <c r="L27" i="21"/>
  <c r="O27" i="21" s="1"/>
  <c r="N27" i="21" s="1"/>
  <c r="H61" i="26"/>
  <c r="N61" i="26" s="1"/>
  <c r="H43" i="26"/>
  <c r="N43" i="26" s="1"/>
  <c r="H50" i="26"/>
  <c r="N50" i="26" s="1"/>
  <c r="H62" i="26"/>
  <c r="N62" i="26" s="1"/>
  <c r="H47" i="26"/>
  <c r="N47" i="26" s="1"/>
  <c r="H51" i="26"/>
  <c r="N51" i="26" s="1"/>
  <c r="L15" i="21"/>
  <c r="O15" i="21" s="1"/>
  <c r="N15" i="21" s="1"/>
  <c r="AP15" i="22"/>
  <c r="AB18" i="10"/>
  <c r="AG18" i="10" s="1"/>
  <c r="L21" i="21"/>
  <c r="O21" i="21" s="1"/>
  <c r="N21" i="21" s="1"/>
  <c r="L14" i="21"/>
  <c r="O14" i="21" s="1"/>
  <c r="N14" i="21" s="1"/>
  <c r="H40" i="26"/>
  <c r="N40" i="26" s="1"/>
  <c r="AB22" i="10"/>
  <c r="Z9" i="18"/>
  <c r="Y9" i="18" s="1"/>
  <c r="L28" i="21"/>
  <c r="O28" i="21" s="1"/>
  <c r="N28" i="21" s="1"/>
  <c r="L20" i="21"/>
  <c r="O20" i="21" s="1"/>
  <c r="N20" i="21" s="1"/>
  <c r="H58" i="26"/>
  <c r="N58" i="26" s="1"/>
  <c r="H41" i="26"/>
  <c r="N41" i="26" s="1"/>
  <c r="L8" i="21"/>
  <c r="L23" i="21"/>
  <c r="O23" i="21" s="1"/>
  <c r="N23" i="21" s="1"/>
  <c r="L25" i="21"/>
  <c r="O25" i="21" s="1"/>
  <c r="N25" i="21" s="1"/>
  <c r="H52" i="26"/>
  <c r="N52" i="26" s="1"/>
  <c r="L16" i="21"/>
  <c r="O16" i="21" s="1"/>
  <c r="N16" i="21" s="1"/>
  <c r="L22" i="21"/>
  <c r="O22" i="21" s="1"/>
  <c r="N22" i="21" s="1"/>
  <c r="H55" i="26"/>
  <c r="N55" i="26" s="1"/>
  <c r="H54" i="26"/>
  <c r="N54" i="26" s="1"/>
  <c r="AB23" i="10"/>
  <c r="AC23" i="10" s="1"/>
  <c r="L11" i="21"/>
  <c r="O11" i="21" s="1"/>
  <c r="N11" i="21" s="1"/>
  <c r="L19" i="21"/>
  <c r="O19" i="21" s="1"/>
  <c r="N19" i="21" s="1"/>
  <c r="L17" i="21"/>
  <c r="O17" i="21" s="1"/>
  <c r="N17" i="21" s="1"/>
  <c r="L13" i="21"/>
  <c r="O13" i="21" s="1"/>
  <c r="N13" i="21" s="1"/>
  <c r="H56" i="26"/>
  <c r="N56" i="26" s="1"/>
  <c r="H42" i="26"/>
  <c r="N42" i="26" s="1"/>
  <c r="AB19" i="10"/>
  <c r="AG19" i="10" s="1"/>
  <c r="L10" i="21"/>
  <c r="O10" i="21" s="1"/>
  <c r="N10" i="21" s="1"/>
  <c r="H48" i="26"/>
  <c r="N48" i="26" s="1"/>
  <c r="H60" i="26"/>
  <c r="N60" i="26" s="1"/>
  <c r="P73" i="10"/>
  <c r="R73" i="10" s="1"/>
  <c r="AA73" i="10" s="1"/>
  <c r="P47" i="10"/>
  <c r="R47" i="10" s="1"/>
  <c r="AB47" i="10" s="1"/>
  <c r="Z28" i="18"/>
  <c r="Y28" i="18" s="1"/>
  <c r="P76" i="10"/>
  <c r="R76" i="10" s="1"/>
  <c r="AB76" i="10" s="1"/>
  <c r="P53" i="10"/>
  <c r="R53" i="10" s="1"/>
  <c r="AB53" i="10" s="1"/>
  <c r="Z29" i="18"/>
  <c r="Y29" i="18" s="1"/>
  <c r="P79" i="10"/>
  <c r="R79" i="10" s="1"/>
  <c r="AB79" i="10" s="1"/>
  <c r="P56" i="10"/>
  <c r="R56" i="10" s="1"/>
  <c r="AB56" i="10" s="1"/>
  <c r="P75" i="10"/>
  <c r="R75" i="10" s="1"/>
  <c r="AB75" i="10" s="1"/>
  <c r="AD75" i="10" s="1"/>
  <c r="P55" i="10"/>
  <c r="R55" i="10" s="1"/>
  <c r="AB55" i="10" s="1"/>
  <c r="P82" i="10"/>
  <c r="R82" i="10" s="1"/>
  <c r="AA82" i="10" s="1"/>
  <c r="P42" i="10"/>
  <c r="R42" i="10" s="1"/>
  <c r="AB42" i="10" s="1"/>
  <c r="P40" i="10"/>
  <c r="R40" i="10" s="1"/>
  <c r="AB40" i="10" s="1"/>
  <c r="P58" i="10"/>
  <c r="R58" i="10" s="1"/>
  <c r="AB58" i="10" s="1"/>
  <c r="P32" i="10"/>
  <c r="R32" i="10" s="1"/>
  <c r="AA32" i="10" s="1"/>
  <c r="P63" i="10"/>
  <c r="R63" i="10" s="1"/>
  <c r="AB63" i="10" s="1"/>
  <c r="P27" i="10"/>
  <c r="R27" i="10" s="1"/>
  <c r="AB27" i="10" s="1"/>
  <c r="P62" i="10"/>
  <c r="R62" i="10" s="1"/>
  <c r="AA62" i="10" s="1"/>
  <c r="P57" i="10"/>
  <c r="R57" i="10" s="1"/>
  <c r="AB57" i="10" s="1"/>
  <c r="P25" i="10"/>
  <c r="R25" i="10" s="1"/>
  <c r="AB25" i="10" s="1"/>
  <c r="AE25" i="10" s="1"/>
  <c r="P30" i="10"/>
  <c r="R30" i="10" s="1"/>
  <c r="AA30" i="10" s="1"/>
  <c r="P28" i="10"/>
  <c r="R28" i="10" s="1"/>
  <c r="AB28" i="10" s="1"/>
  <c r="AH28" i="10" s="1"/>
  <c r="P34" i="10"/>
  <c r="R34" i="10" s="1"/>
  <c r="AB34" i="10" s="1"/>
  <c r="P83" i="10"/>
  <c r="R83" i="10" s="1"/>
  <c r="AB83" i="10" s="1"/>
  <c r="AH83" i="10" s="1"/>
  <c r="P51" i="10"/>
  <c r="R51" i="10" s="1"/>
  <c r="AA51" i="10" s="1"/>
  <c r="P48" i="10"/>
  <c r="R48" i="10" s="1"/>
  <c r="AB48" i="10" s="1"/>
  <c r="P54" i="10"/>
  <c r="R54" i="10" s="1"/>
  <c r="AB54" i="10" s="1"/>
  <c r="AE54" i="10" s="1"/>
  <c r="P80" i="10"/>
  <c r="R80" i="10" s="1"/>
  <c r="AB80" i="10" s="1"/>
  <c r="P38" i="10"/>
  <c r="R38" i="10" s="1"/>
  <c r="AB38" i="10" s="1"/>
  <c r="AX15" i="22"/>
  <c r="P77" i="10"/>
  <c r="R77" i="10" s="1"/>
  <c r="AB77" i="10" s="1"/>
  <c r="AD77" i="10" s="1"/>
  <c r="P60" i="10"/>
  <c r="R60" i="10" s="1"/>
  <c r="AB60" i="10" s="1"/>
  <c r="P41" i="10"/>
  <c r="R41" i="10" s="1"/>
  <c r="AA41" i="10" s="1"/>
  <c r="P45" i="10"/>
  <c r="R45" i="10" s="1"/>
  <c r="AA45" i="10" s="1"/>
  <c r="P64" i="10"/>
  <c r="R64" i="10" s="1"/>
  <c r="AB64" i="10" s="1"/>
  <c r="P36" i="10"/>
  <c r="R36" i="10" s="1"/>
  <c r="AB36" i="10" s="1"/>
  <c r="AE36" i="10" s="1"/>
  <c r="P31" i="10"/>
  <c r="R31" i="10" s="1"/>
  <c r="AB31" i="10" s="1"/>
  <c r="P39" i="10"/>
  <c r="R39" i="10" s="1"/>
  <c r="AB39" i="10" s="1"/>
  <c r="P65" i="10"/>
  <c r="R65" i="10" s="1"/>
  <c r="AB65" i="10" s="1"/>
  <c r="P71" i="10"/>
  <c r="R71" i="10" s="1"/>
  <c r="AB71" i="10" s="1"/>
  <c r="AD71" i="10" s="1"/>
  <c r="P43" i="10"/>
  <c r="R43" i="10" s="1"/>
  <c r="AB43" i="10" s="1"/>
  <c r="P81" i="10"/>
  <c r="R81" i="10" s="1"/>
  <c r="AB81" i="10" s="1"/>
  <c r="AC81" i="10" s="1"/>
  <c r="P70" i="10"/>
  <c r="R70" i="10" s="1"/>
  <c r="AA70" i="10" s="1"/>
  <c r="P44" i="10"/>
  <c r="R44" i="10" s="1"/>
  <c r="AA44" i="10" s="1"/>
  <c r="P26" i="10"/>
  <c r="R26" i="10" s="1"/>
  <c r="AB26" i="10" s="1"/>
  <c r="P69" i="10"/>
  <c r="R69" i="10" s="1"/>
  <c r="AB69" i="10" s="1"/>
  <c r="P67" i="10"/>
  <c r="R67" i="10" s="1"/>
  <c r="AB67" i="10" s="1"/>
  <c r="AE67" i="10" s="1"/>
  <c r="P68" i="10"/>
  <c r="R68" i="10" s="1"/>
  <c r="AB68" i="10" s="1"/>
  <c r="P61" i="10"/>
  <c r="R61" i="10" s="1"/>
  <c r="AB61" i="10" s="1"/>
  <c r="AH61" i="10" s="1"/>
  <c r="P52" i="10"/>
  <c r="R52" i="10" s="1"/>
  <c r="AB52" i="10" s="1"/>
  <c r="AD52" i="10" s="1"/>
  <c r="P24" i="10"/>
  <c r="R24" i="10" s="1"/>
  <c r="AA24" i="10" s="1"/>
  <c r="P46" i="10"/>
  <c r="R46" i="10" s="1"/>
  <c r="AB46" i="10" s="1"/>
  <c r="P35" i="10"/>
  <c r="R35" i="10" s="1"/>
  <c r="AB35" i="10" s="1"/>
  <c r="AG35" i="10" s="1"/>
  <c r="P33" i="10"/>
  <c r="R33" i="10" s="1"/>
  <c r="AB33" i="10" s="1"/>
  <c r="AC33" i="10" s="1"/>
  <c r="P78" i="10"/>
  <c r="R78" i="10" s="1"/>
  <c r="AB78" i="10" s="1"/>
  <c r="AG78" i="10" s="1"/>
  <c r="P50" i="10"/>
  <c r="R50" i="10" s="1"/>
  <c r="AB50" i="10" s="1"/>
  <c r="AE50" i="10" s="1"/>
  <c r="P72" i="10"/>
  <c r="R72" i="10" s="1"/>
  <c r="AB72" i="10" s="1"/>
  <c r="P49" i="10"/>
  <c r="R49" i="10" s="1"/>
  <c r="AB49" i="10" s="1"/>
  <c r="P59" i="10"/>
  <c r="R59" i="10" s="1"/>
  <c r="AA59" i="10" s="1"/>
  <c r="AV15" i="22"/>
  <c r="AS15" i="22"/>
  <c r="AO15" i="22"/>
  <c r="Z30" i="18"/>
  <c r="Y30" i="18" s="1"/>
  <c r="Z31" i="18"/>
  <c r="Y31" i="18" s="1"/>
  <c r="AR15" i="22"/>
  <c r="AW15" i="22"/>
  <c r="AQ15" i="22"/>
  <c r="M57" i="5"/>
  <c r="M58" i="5"/>
  <c r="M59" i="5"/>
  <c r="AU15" i="22"/>
  <c r="M67" i="5"/>
  <c r="M66" i="5"/>
  <c r="M68" i="5"/>
  <c r="M41" i="5"/>
  <c r="M39" i="5"/>
  <c r="M40" i="5"/>
  <c r="AB29" i="10"/>
  <c r="AH29" i="10" s="1"/>
  <c r="AA29" i="10"/>
  <c r="M45" i="5"/>
  <c r="M46" i="5"/>
  <c r="M47" i="5"/>
  <c r="AC16" i="22"/>
  <c r="AB17" i="22" a="1"/>
  <c r="AB17" i="22" s="1"/>
  <c r="M12" i="5"/>
  <c r="M13" i="5"/>
  <c r="M14" i="5"/>
  <c r="U13" i="18"/>
  <c r="N13" i="18" s="1"/>
  <c r="R36" i="18"/>
  <c r="N36" i="18" s="1"/>
  <c r="Y36" i="18"/>
  <c r="O41" i="18"/>
  <c r="N41" i="18" s="1"/>
  <c r="Y41" i="18"/>
  <c r="U10" i="18"/>
  <c r="N10" i="18" s="1"/>
  <c r="R42" i="18"/>
  <c r="N42" i="18" s="1"/>
  <c r="Y42" i="18"/>
  <c r="Y21" i="18"/>
  <c r="R21" i="18"/>
  <c r="N21" i="18" s="1"/>
  <c r="U22" i="18"/>
  <c r="N22" i="18" s="1"/>
  <c r="Y22" i="18"/>
  <c r="O8" i="18"/>
  <c r="N8" i="18" s="1"/>
  <c r="Y8" i="18"/>
  <c r="R33" i="18"/>
  <c r="N33" i="18" s="1"/>
  <c r="Y33" i="18"/>
  <c r="U34" i="18"/>
  <c r="N34" i="18" s="1"/>
  <c r="Y34" i="18"/>
  <c r="R15" i="18"/>
  <c r="N15" i="18" s="1"/>
  <c r="Y20" i="18"/>
  <c r="O20" i="18"/>
  <c r="N20" i="18" s="1"/>
  <c r="R45" i="18"/>
  <c r="N45" i="18" s="1"/>
  <c r="R27" i="18"/>
  <c r="N27" i="18" s="1"/>
  <c r="Y27" i="18"/>
  <c r="U40" i="18"/>
  <c r="N40" i="18" s="1"/>
  <c r="Y40" i="18"/>
  <c r="O32" i="18"/>
  <c r="N32" i="18" s="1"/>
  <c r="Y32" i="18"/>
  <c r="U19" i="18"/>
  <c r="N19" i="18" s="1"/>
  <c r="Y19" i="18"/>
  <c r="O44" i="18"/>
  <c r="N44" i="18" s="1"/>
  <c r="Y44" i="18"/>
  <c r="U43" i="18"/>
  <c r="N43" i="18" s="1"/>
  <c r="Y43" i="18"/>
  <c r="O23" i="18"/>
  <c r="N23" i="18" s="1"/>
  <c r="Y23" i="18"/>
  <c r="O35" i="18"/>
  <c r="N35" i="18" s="1"/>
  <c r="Y35" i="18"/>
  <c r="R12" i="18"/>
  <c r="N12" i="18" s="1"/>
  <c r="AB7" i="18"/>
  <c r="Z7" i="18"/>
  <c r="AC14" i="10"/>
  <c r="AG14" i="10"/>
  <c r="AF17" i="10"/>
  <c r="AC17" i="10"/>
  <c r="AG17" i="10"/>
  <c r="AH17" i="10"/>
  <c r="AD17" i="10"/>
  <c r="AF14" i="10"/>
  <c r="AE14" i="10"/>
  <c r="AD14" i="10"/>
  <c r="AD12" i="10"/>
  <c r="AE12" i="10"/>
  <c r="AH12" i="10"/>
  <c r="AC12" i="10"/>
  <c r="AG12" i="10"/>
  <c r="AF12" i="10"/>
  <c r="AC13" i="10"/>
  <c r="AG13" i="10"/>
  <c r="AE13" i="10"/>
  <c r="AH13" i="10"/>
  <c r="AF13" i="10"/>
  <c r="AD13" i="10"/>
  <c r="AC16" i="10"/>
  <c r="AH16" i="10"/>
  <c r="AE16" i="10"/>
  <c r="AD16" i="10"/>
  <c r="AG16" i="10"/>
  <c r="AF16" i="10"/>
  <c r="P37" i="5" l="1"/>
  <c r="O117" i="26"/>
  <c r="I117" i="26"/>
  <c r="M18" i="26"/>
  <c r="I159" i="26"/>
  <c r="T159" i="26"/>
  <c r="M115" i="26"/>
  <c r="N115" i="26"/>
  <c r="M113" i="26"/>
  <c r="T109" i="26"/>
  <c r="N109" i="26"/>
  <c r="T158" i="26"/>
  <c r="N158" i="26"/>
  <c r="O45" i="26"/>
  <c r="N45" i="26"/>
  <c r="O122" i="26"/>
  <c r="N122" i="26"/>
  <c r="I121" i="26"/>
  <c r="N121" i="26"/>
  <c r="O151" i="26"/>
  <c r="N151" i="26"/>
  <c r="T180" i="26"/>
  <c r="N180" i="26"/>
  <c r="O197" i="26"/>
  <c r="O113" i="26"/>
  <c r="T142" i="26"/>
  <c r="O159" i="26"/>
  <c r="P159" i="26" s="1"/>
  <c r="M159" i="26"/>
  <c r="M158" i="26"/>
  <c r="O109" i="26"/>
  <c r="I109" i="26"/>
  <c r="M109" i="26"/>
  <c r="T115" i="26"/>
  <c r="O112" i="26"/>
  <c r="M112" i="26"/>
  <c r="I112" i="26"/>
  <c r="O158" i="26"/>
  <c r="O180" i="26"/>
  <c r="T112" i="26"/>
  <c r="I180" i="26"/>
  <c r="I158" i="26"/>
  <c r="M180" i="26"/>
  <c r="O115" i="26"/>
  <c r="I115" i="26"/>
  <c r="T200" i="26"/>
  <c r="T177" i="26"/>
  <c r="M119" i="26"/>
  <c r="O210" i="26"/>
  <c r="T204" i="26"/>
  <c r="T212" i="26"/>
  <c r="T205" i="26"/>
  <c r="I135" i="26"/>
  <c r="T167" i="26"/>
  <c r="T123" i="26"/>
  <c r="T149" i="26"/>
  <c r="I201" i="26"/>
  <c r="T207" i="26"/>
  <c r="T176" i="26"/>
  <c r="T137" i="26"/>
  <c r="T155" i="26"/>
  <c r="T208" i="26"/>
  <c r="I213" i="26"/>
  <c r="T196" i="26"/>
  <c r="T136" i="26"/>
  <c r="I182" i="26"/>
  <c r="T157" i="26"/>
  <c r="I119" i="26"/>
  <c r="T13" i="26"/>
  <c r="M210" i="26"/>
  <c r="I195" i="26"/>
  <c r="T168" i="26"/>
  <c r="T160" i="26"/>
  <c r="I110" i="26"/>
  <c r="O172" i="26"/>
  <c r="I18" i="26"/>
  <c r="T199" i="26"/>
  <c r="T141" i="26"/>
  <c r="T120" i="26"/>
  <c r="T164" i="26"/>
  <c r="T148" i="26"/>
  <c r="T125" i="26"/>
  <c r="M179" i="26"/>
  <c r="T59" i="26"/>
  <c r="T175" i="26"/>
  <c r="T174" i="26"/>
  <c r="M185" i="26"/>
  <c r="M118" i="26"/>
  <c r="T134" i="26"/>
  <c r="T181" i="26"/>
  <c r="M190" i="26"/>
  <c r="T193" i="26"/>
  <c r="M189" i="26"/>
  <c r="T163" i="26"/>
  <c r="T107" i="26"/>
  <c r="O188" i="26"/>
  <c r="T192" i="26"/>
  <c r="T178" i="26"/>
  <c r="O211" i="26"/>
  <c r="T45" i="26"/>
  <c r="I122" i="26"/>
  <c r="O154" i="26"/>
  <c r="T121" i="26"/>
  <c r="T171" i="26"/>
  <c r="T197" i="26"/>
  <c r="T198" i="26"/>
  <c r="M129" i="26"/>
  <c r="T132" i="26"/>
  <c r="T117" i="26"/>
  <c r="T105" i="26"/>
  <c r="O161" i="26"/>
  <c r="T183" i="26"/>
  <c r="I194" i="26"/>
  <c r="T111" i="26"/>
  <c r="T165" i="26"/>
  <c r="T146" i="26"/>
  <c r="O143" i="26"/>
  <c r="I145" i="26"/>
  <c r="T162" i="26"/>
  <c r="T203" i="26"/>
  <c r="T209" i="26"/>
  <c r="T133" i="26"/>
  <c r="T166" i="26"/>
  <c r="M177" i="26"/>
  <c r="I210" i="26"/>
  <c r="T119" i="26"/>
  <c r="M116" i="26"/>
  <c r="T116" i="26"/>
  <c r="T210" i="26"/>
  <c r="M200" i="26"/>
  <c r="M169" i="26"/>
  <c r="O157" i="26"/>
  <c r="O200" i="26"/>
  <c r="O13" i="26"/>
  <c r="I157" i="26"/>
  <c r="O182" i="26"/>
  <c r="I200" i="26"/>
  <c r="I13" i="26"/>
  <c r="M182" i="26"/>
  <c r="O169" i="26"/>
  <c r="O177" i="26"/>
  <c r="T182" i="26"/>
  <c r="M128" i="26"/>
  <c r="I169" i="26"/>
  <c r="O128" i="26"/>
  <c r="O116" i="26"/>
  <c r="I177" i="26"/>
  <c r="T128" i="26"/>
  <c r="I128" i="26"/>
  <c r="I116" i="26"/>
  <c r="M13" i="26"/>
  <c r="M215" i="26"/>
  <c r="O215" i="26"/>
  <c r="T215" i="26"/>
  <c r="AZ105" i="26" s="1"/>
  <c r="I215" i="26"/>
  <c r="O119" i="26"/>
  <c r="M157" i="26"/>
  <c r="O208" i="26"/>
  <c r="T18" i="26"/>
  <c r="I199" i="26"/>
  <c r="O18" i="26"/>
  <c r="M199" i="26"/>
  <c r="M188" i="26"/>
  <c r="I208" i="26"/>
  <c r="M208" i="26"/>
  <c r="M214" i="26"/>
  <c r="T214" i="26"/>
  <c r="I188" i="26"/>
  <c r="Q25" i="5"/>
  <c r="P25" i="5"/>
  <c r="O214" i="26"/>
  <c r="O201" i="26"/>
  <c r="I214" i="26"/>
  <c r="M201" i="26"/>
  <c r="M213" i="26"/>
  <c r="O136" i="26"/>
  <c r="O213" i="26"/>
  <c r="T213" i="26"/>
  <c r="M48" i="21"/>
  <c r="T188" i="26"/>
  <c r="T126" i="26"/>
  <c r="O179" i="26"/>
  <c r="O198" i="26"/>
  <c r="I198" i="26"/>
  <c r="M142" i="26"/>
  <c r="O105" i="26"/>
  <c r="O129" i="26"/>
  <c r="T113" i="26"/>
  <c r="I113" i="26"/>
  <c r="I105" i="26"/>
  <c r="I129" i="26"/>
  <c r="T129" i="26"/>
  <c r="M132" i="26"/>
  <c r="O142" i="26"/>
  <c r="I142" i="26"/>
  <c r="M105" i="26"/>
  <c r="O132" i="26"/>
  <c r="I132" i="26"/>
  <c r="N38" i="5"/>
  <c r="O175" i="26"/>
  <c r="T147" i="26"/>
  <c r="Q37" i="5"/>
  <c r="P38" i="5"/>
  <c r="I147" i="26"/>
  <c r="O137" i="26"/>
  <c r="M147" i="26"/>
  <c r="M156" i="26"/>
  <c r="T179" i="26"/>
  <c r="I179" i="26"/>
  <c r="O173" i="26"/>
  <c r="O120" i="26"/>
  <c r="O125" i="26"/>
  <c r="O156" i="26"/>
  <c r="O148" i="26"/>
  <c r="M125" i="26"/>
  <c r="I197" i="26"/>
  <c r="M154" i="26"/>
  <c r="T201" i="26"/>
  <c r="O131" i="26"/>
  <c r="O149" i="26"/>
  <c r="I205" i="26"/>
  <c r="I137" i="26"/>
  <c r="T114" i="26"/>
  <c r="M131" i="26"/>
  <c r="M186" i="26"/>
  <c r="O124" i="26"/>
  <c r="I131" i="26"/>
  <c r="I149" i="26"/>
  <c r="M124" i="26"/>
  <c r="T131" i="26"/>
  <c r="T186" i="26"/>
  <c r="O205" i="26"/>
  <c r="O176" i="26"/>
  <c r="I124" i="26"/>
  <c r="O123" i="26"/>
  <c r="O204" i="26"/>
  <c r="O167" i="26"/>
  <c r="O212" i="26"/>
  <c r="T124" i="26"/>
  <c r="M114" i="26"/>
  <c r="I176" i="26"/>
  <c r="I204" i="26"/>
  <c r="O186" i="26"/>
  <c r="I167" i="26"/>
  <c r="I212" i="26"/>
  <c r="M149" i="26"/>
  <c r="I123" i="26"/>
  <c r="O155" i="26"/>
  <c r="I186" i="26"/>
  <c r="M212" i="26"/>
  <c r="M135" i="26"/>
  <c r="O135" i="26"/>
  <c r="I155" i="26"/>
  <c r="T135" i="26"/>
  <c r="O207" i="26"/>
  <c r="M176" i="26"/>
  <c r="M137" i="26"/>
  <c r="O114" i="26"/>
  <c r="M123" i="26"/>
  <c r="M167" i="26"/>
  <c r="I207" i="26"/>
  <c r="O147" i="26"/>
  <c r="I114" i="26"/>
  <c r="M155" i="26"/>
  <c r="M205" i="26"/>
  <c r="M207" i="26"/>
  <c r="I185" i="26"/>
  <c r="O181" i="26"/>
  <c r="T118" i="26"/>
  <c r="I181" i="26"/>
  <c r="O118" i="26"/>
  <c r="O174" i="26"/>
  <c r="I118" i="26"/>
  <c r="M181" i="26"/>
  <c r="I174" i="26"/>
  <c r="M152" i="26"/>
  <c r="O134" i="26"/>
  <c r="T152" i="26"/>
  <c r="N20" i="5"/>
  <c r="I175" i="26"/>
  <c r="P20" i="5"/>
  <c r="T185" i="26"/>
  <c r="I134" i="26"/>
  <c r="O152" i="26"/>
  <c r="O106" i="26"/>
  <c r="M174" i="26"/>
  <c r="M106" i="26"/>
  <c r="I152" i="26"/>
  <c r="I106" i="26"/>
  <c r="T106" i="26"/>
  <c r="M134" i="26"/>
  <c r="O185" i="26"/>
  <c r="AD6" i="10"/>
  <c r="O111" i="26"/>
  <c r="I143" i="26"/>
  <c r="M138" i="26"/>
  <c r="M130" i="26"/>
  <c r="I111" i="26"/>
  <c r="P209" i="26"/>
  <c r="P71" i="5"/>
  <c r="Q26" i="5"/>
  <c r="O133" i="26"/>
  <c r="O138" i="26"/>
  <c r="O146" i="26"/>
  <c r="Q71" i="5"/>
  <c r="M153" i="26"/>
  <c r="I133" i="26"/>
  <c r="I138" i="26"/>
  <c r="I146" i="26"/>
  <c r="O202" i="26"/>
  <c r="M202" i="26"/>
  <c r="T153" i="26"/>
  <c r="M146" i="26"/>
  <c r="O130" i="26"/>
  <c r="I202" i="26"/>
  <c r="T202" i="26"/>
  <c r="M145" i="26"/>
  <c r="I130" i="26"/>
  <c r="O166" i="26"/>
  <c r="T145" i="26"/>
  <c r="I166" i="26"/>
  <c r="O203" i="26"/>
  <c r="M143" i="26"/>
  <c r="O153" i="26"/>
  <c r="O165" i="26"/>
  <c r="I203" i="26"/>
  <c r="M166" i="26"/>
  <c r="T143" i="26"/>
  <c r="I153" i="26"/>
  <c r="I165" i="26"/>
  <c r="O145" i="26"/>
  <c r="O162" i="26"/>
  <c r="M165" i="26"/>
  <c r="M111" i="26"/>
  <c r="M162" i="26"/>
  <c r="AC6" i="10"/>
  <c r="I162" i="26"/>
  <c r="M46" i="21"/>
  <c r="I163" i="26"/>
  <c r="M163" i="26"/>
  <c r="O107" i="26"/>
  <c r="AF23" i="10"/>
  <c r="T173" i="26"/>
  <c r="I161" i="26"/>
  <c r="M126" i="26"/>
  <c r="O171" i="26"/>
  <c r="I136" i="26"/>
  <c r="O126" i="26"/>
  <c r="M144" i="26"/>
  <c r="M187" i="26"/>
  <c r="I126" i="26"/>
  <c r="T144" i="26"/>
  <c r="T187" i="26"/>
  <c r="M204" i="26"/>
  <c r="M133" i="26"/>
  <c r="O144" i="26"/>
  <c r="I171" i="26"/>
  <c r="O187" i="26"/>
  <c r="O141" i="26"/>
  <c r="I144" i="26"/>
  <c r="I187" i="26"/>
  <c r="I141" i="26"/>
  <c r="M136" i="26"/>
  <c r="M161" i="26"/>
  <c r="M171" i="26"/>
  <c r="T161" i="26"/>
  <c r="O196" i="26"/>
  <c r="O59" i="26"/>
  <c r="I196" i="26"/>
  <c r="M141" i="26"/>
  <c r="I59" i="26"/>
  <c r="M59" i="26"/>
  <c r="M203" i="26"/>
  <c r="M211" i="26"/>
  <c r="T194" i="26"/>
  <c r="AH6" i="10"/>
  <c r="AH20" i="10"/>
  <c r="I154" i="26"/>
  <c r="I211" i="26"/>
  <c r="O121" i="26"/>
  <c r="O192" i="26"/>
  <c r="T211" i="26"/>
  <c r="T154" i="26"/>
  <c r="O178" i="26"/>
  <c r="AE20" i="10"/>
  <c r="AC20" i="10"/>
  <c r="AG7" i="10"/>
  <c r="AD20" i="10"/>
  <c r="I192" i="26"/>
  <c r="I178" i="26"/>
  <c r="AE6" i="10"/>
  <c r="AH7" i="10"/>
  <c r="M122" i="26"/>
  <c r="M151" i="26"/>
  <c r="AF7" i="10"/>
  <c r="AG20" i="10"/>
  <c r="AE7" i="10"/>
  <c r="AC7" i="10"/>
  <c r="T122" i="26"/>
  <c r="M121" i="26"/>
  <c r="M196" i="26"/>
  <c r="T151" i="26"/>
  <c r="M117" i="26"/>
  <c r="AF6" i="10"/>
  <c r="I45" i="26"/>
  <c r="I151" i="26"/>
  <c r="M45" i="26"/>
  <c r="AE17" i="22"/>
  <c r="AD17" i="22"/>
  <c r="AG17" i="22"/>
  <c r="AH17" i="22"/>
  <c r="AI17" i="22"/>
  <c r="AK17" i="22"/>
  <c r="AF17" i="22"/>
  <c r="AL17" i="22"/>
  <c r="AJ17" i="22"/>
  <c r="AM17" i="22"/>
  <c r="M175" i="26"/>
  <c r="M192" i="26"/>
  <c r="O14" i="18"/>
  <c r="N14" i="18" s="1"/>
  <c r="U16" i="18"/>
  <c r="N16" i="18" s="1"/>
  <c r="O11" i="18"/>
  <c r="N11" i="18" s="1"/>
  <c r="U46" i="18"/>
  <c r="N46" i="18" s="1"/>
  <c r="AB74" i="10"/>
  <c r="AH74" i="10" s="1"/>
  <c r="AB32" i="10"/>
  <c r="AC32" i="10" s="1"/>
  <c r="AD8" i="10"/>
  <c r="AD18" i="10"/>
  <c r="AF18" i="10"/>
  <c r="AF9" i="10"/>
  <c r="O163" i="26"/>
  <c r="T189" i="26"/>
  <c r="M140" i="26"/>
  <c r="T140" i="26"/>
  <c r="I107" i="26"/>
  <c r="T190" i="26"/>
  <c r="O140" i="26"/>
  <c r="O193" i="26"/>
  <c r="I140" i="26"/>
  <c r="I193" i="26"/>
  <c r="M107" i="26"/>
  <c r="O190" i="26"/>
  <c r="M139" i="26"/>
  <c r="I190" i="26"/>
  <c r="T139" i="26"/>
  <c r="M127" i="26"/>
  <c r="O127" i="26"/>
  <c r="T127" i="26"/>
  <c r="M193" i="26"/>
  <c r="O139" i="26"/>
  <c r="I127" i="26"/>
  <c r="R24" i="18"/>
  <c r="N24" i="18" s="1"/>
  <c r="I139" i="26"/>
  <c r="O189" i="26"/>
  <c r="I189" i="26"/>
  <c r="M197" i="26"/>
  <c r="M198" i="26"/>
  <c r="AH10" i="10"/>
  <c r="I125" i="26"/>
  <c r="I172" i="26"/>
  <c r="M173" i="26"/>
  <c r="M195" i="26"/>
  <c r="I173" i="26"/>
  <c r="T195" i="26"/>
  <c r="T156" i="26"/>
  <c r="M110" i="26"/>
  <c r="AC10" i="10"/>
  <c r="O110" i="26"/>
  <c r="O168" i="26"/>
  <c r="O164" i="26"/>
  <c r="T110" i="26"/>
  <c r="M13" i="21"/>
  <c r="O47" i="18"/>
  <c r="N47" i="18" s="1"/>
  <c r="AF19" i="10"/>
  <c r="AC19" i="10"/>
  <c r="O17" i="18"/>
  <c r="N17" i="18" s="1"/>
  <c r="I148" i="26"/>
  <c r="I168" i="26"/>
  <c r="I164" i="26"/>
  <c r="M148" i="26"/>
  <c r="M150" i="26"/>
  <c r="T150" i="26"/>
  <c r="O206" i="26"/>
  <c r="O160" i="26"/>
  <c r="O150" i="26"/>
  <c r="O195" i="26"/>
  <c r="M168" i="26"/>
  <c r="M206" i="26"/>
  <c r="AG10" i="10"/>
  <c r="AH19" i="10"/>
  <c r="AF10" i="10"/>
  <c r="I156" i="26"/>
  <c r="I206" i="26"/>
  <c r="I160" i="26"/>
  <c r="I150" i="26"/>
  <c r="T206" i="26"/>
  <c r="M172" i="26"/>
  <c r="AE10" i="10"/>
  <c r="AD19" i="10"/>
  <c r="AE19" i="10"/>
  <c r="I120" i="26"/>
  <c r="M120" i="26"/>
  <c r="M164" i="26"/>
  <c r="M160" i="26"/>
  <c r="T172" i="26"/>
  <c r="M178" i="26"/>
  <c r="M183" i="26"/>
  <c r="M194" i="26"/>
  <c r="M184" i="26"/>
  <c r="AA81" i="10"/>
  <c r="O194" i="26"/>
  <c r="O184" i="26"/>
  <c r="O183" i="26"/>
  <c r="T184" i="26"/>
  <c r="AB30" i="10"/>
  <c r="AF30" i="10" s="1"/>
  <c r="I184" i="26"/>
  <c r="I183" i="26"/>
  <c r="R39" i="18"/>
  <c r="N39" i="18" s="1"/>
  <c r="AF8" i="10"/>
  <c r="AE8" i="10"/>
  <c r="AG9" i="10"/>
  <c r="AG8" i="10"/>
  <c r="AA35" i="10"/>
  <c r="AC8" i="10"/>
  <c r="AA43" i="10"/>
  <c r="AG21" i="10"/>
  <c r="AD9" i="10"/>
  <c r="AA77" i="10"/>
  <c r="AD21" i="10"/>
  <c r="AC9" i="10"/>
  <c r="AE21" i="10"/>
  <c r="AH9" i="10"/>
  <c r="AA25" i="10"/>
  <c r="Q34" i="5"/>
  <c r="P34" i="5"/>
  <c r="T58" i="26"/>
  <c r="M58" i="26"/>
  <c r="P12" i="5"/>
  <c r="Q12" i="5"/>
  <c r="Q66" i="5"/>
  <c r="P66" i="5"/>
  <c r="T50" i="26"/>
  <c r="M50" i="26"/>
  <c r="Q31" i="5"/>
  <c r="P31" i="5"/>
  <c r="T104" i="26"/>
  <c r="M104" i="26"/>
  <c r="T102" i="26"/>
  <c r="M102" i="26"/>
  <c r="T77" i="26"/>
  <c r="M77" i="26"/>
  <c r="Q22" i="5"/>
  <c r="P22" i="5"/>
  <c r="T14" i="26"/>
  <c r="M14" i="26"/>
  <c r="T24" i="26"/>
  <c r="M24" i="26"/>
  <c r="T46" i="26"/>
  <c r="M46" i="26"/>
  <c r="T79" i="26"/>
  <c r="M79" i="26"/>
  <c r="T94" i="26"/>
  <c r="M94" i="26"/>
  <c r="T95" i="26"/>
  <c r="M95" i="26"/>
  <c r="Q39" i="5"/>
  <c r="P39" i="5"/>
  <c r="T48" i="26"/>
  <c r="M48" i="26"/>
  <c r="T40" i="26"/>
  <c r="M40" i="26"/>
  <c r="P16" i="5"/>
  <c r="Q16" i="5"/>
  <c r="T71" i="26"/>
  <c r="M71" i="26"/>
  <c r="T90" i="26"/>
  <c r="M90" i="26"/>
  <c r="T69" i="26"/>
  <c r="M69" i="26"/>
  <c r="T67" i="26"/>
  <c r="M67" i="26"/>
  <c r="N6" i="5"/>
  <c r="T23" i="26"/>
  <c r="M23" i="26"/>
  <c r="T12" i="26"/>
  <c r="M12" i="26"/>
  <c r="T7" i="26"/>
  <c r="M7" i="26"/>
  <c r="Q41" i="5"/>
  <c r="P41" i="5"/>
  <c r="T75" i="26"/>
  <c r="M75" i="26"/>
  <c r="T86" i="26"/>
  <c r="M86" i="26"/>
  <c r="T96" i="26"/>
  <c r="M96" i="26"/>
  <c r="T72" i="26"/>
  <c r="M72" i="26"/>
  <c r="H12" i="31"/>
  <c r="S205" i="26"/>
  <c r="T21" i="26"/>
  <c r="M21" i="26"/>
  <c r="T20" i="26"/>
  <c r="M20" i="26"/>
  <c r="P64" i="5"/>
  <c r="Q64" i="5"/>
  <c r="O38" i="18"/>
  <c r="N38" i="18" s="1"/>
  <c r="Q47" i="5"/>
  <c r="P47" i="5"/>
  <c r="Q59" i="5"/>
  <c r="P59" i="5"/>
  <c r="T52" i="26"/>
  <c r="M52" i="26"/>
  <c r="T57" i="26"/>
  <c r="M57" i="26"/>
  <c r="Q48" i="5"/>
  <c r="P48" i="5"/>
  <c r="Q33" i="5"/>
  <c r="P33" i="5"/>
  <c r="T93" i="26"/>
  <c r="M93" i="26"/>
  <c r="T64" i="26"/>
  <c r="M64" i="26"/>
  <c r="T87" i="26"/>
  <c r="M87" i="26"/>
  <c r="T15" i="26"/>
  <c r="M15" i="26"/>
  <c r="T84" i="26"/>
  <c r="M84" i="26"/>
  <c r="T19" i="26"/>
  <c r="M19" i="26"/>
  <c r="T61" i="26"/>
  <c r="M61" i="26"/>
  <c r="H7" i="31"/>
  <c r="S15" i="26"/>
  <c r="Q46" i="5"/>
  <c r="P46" i="5"/>
  <c r="AA33" i="10"/>
  <c r="Q58" i="5"/>
  <c r="P58" i="5"/>
  <c r="T42" i="26"/>
  <c r="M42" i="26"/>
  <c r="T44" i="26"/>
  <c r="M44" i="26"/>
  <c r="Q23" i="5"/>
  <c r="P23" i="5"/>
  <c r="Q17" i="5"/>
  <c r="P17" i="5"/>
  <c r="Q35" i="5"/>
  <c r="P35" i="5"/>
  <c r="T103" i="26"/>
  <c r="M103" i="26"/>
  <c r="T100" i="26"/>
  <c r="M100" i="26"/>
  <c r="T80" i="26"/>
  <c r="M80" i="26"/>
  <c r="T98" i="26"/>
  <c r="M98" i="26"/>
  <c r="Q30" i="5"/>
  <c r="P30" i="5"/>
  <c r="Q60" i="5"/>
  <c r="P60" i="5"/>
  <c r="T10" i="26"/>
  <c r="M10" i="26"/>
  <c r="Q49" i="5"/>
  <c r="P49" i="5"/>
  <c r="T55" i="26"/>
  <c r="M55" i="26"/>
  <c r="Q45" i="5"/>
  <c r="P45" i="5"/>
  <c r="Q57" i="5"/>
  <c r="P57" i="5"/>
  <c r="T56" i="26"/>
  <c r="M56" i="26"/>
  <c r="P15" i="5"/>
  <c r="Q15" i="5"/>
  <c r="T78" i="26"/>
  <c r="M78" i="26"/>
  <c r="T82" i="26"/>
  <c r="M82" i="26"/>
  <c r="T88" i="26"/>
  <c r="M88" i="26"/>
  <c r="T91" i="26"/>
  <c r="M91" i="26"/>
  <c r="T16" i="26"/>
  <c r="M16" i="26"/>
  <c r="T22" i="26"/>
  <c r="M22" i="26"/>
  <c r="H9" i="31"/>
  <c r="S55" i="26"/>
  <c r="T54" i="26"/>
  <c r="M54" i="26"/>
  <c r="T65" i="26"/>
  <c r="M65" i="26"/>
  <c r="P40" i="5"/>
  <c r="Q40" i="5"/>
  <c r="T83" i="26"/>
  <c r="M83" i="26"/>
  <c r="P50" i="5"/>
  <c r="Q50" i="5"/>
  <c r="T76" i="26"/>
  <c r="M76" i="26"/>
  <c r="T101" i="26"/>
  <c r="M101" i="26"/>
  <c r="T66" i="26"/>
  <c r="M66" i="26"/>
  <c r="T73" i="26"/>
  <c r="M73" i="26"/>
  <c r="H10" i="31"/>
  <c r="S105" i="26"/>
  <c r="T9" i="26"/>
  <c r="M9" i="26"/>
  <c r="T17" i="26"/>
  <c r="M17" i="26"/>
  <c r="T60" i="26"/>
  <c r="M60" i="26"/>
  <c r="AA55" i="10"/>
  <c r="AB70" i="10"/>
  <c r="AH70" i="10" s="1"/>
  <c r="T41" i="26"/>
  <c r="M41" i="26"/>
  <c r="T51" i="26"/>
  <c r="M51" i="26"/>
  <c r="T49" i="26"/>
  <c r="M49" i="26"/>
  <c r="Q65" i="5"/>
  <c r="P65" i="5"/>
  <c r="T68" i="26"/>
  <c r="M68" i="26"/>
  <c r="T89" i="26"/>
  <c r="M89" i="26"/>
  <c r="T81" i="26"/>
  <c r="M81" i="26"/>
  <c r="T63" i="26"/>
  <c r="M63" i="26"/>
  <c r="H11" i="31"/>
  <c r="S155" i="26"/>
  <c r="T8" i="26"/>
  <c r="M8" i="26"/>
  <c r="T92" i="26"/>
  <c r="M92" i="26"/>
  <c r="T74" i="26"/>
  <c r="M74" i="26"/>
  <c r="Q7" i="5"/>
  <c r="P7" i="5"/>
  <c r="Q19" i="5"/>
  <c r="P19" i="5"/>
  <c r="Q67" i="5"/>
  <c r="P67" i="5"/>
  <c r="T43" i="26"/>
  <c r="M43" i="26"/>
  <c r="M12" i="21"/>
  <c r="P14" i="5"/>
  <c r="Q14" i="5"/>
  <c r="T47" i="26"/>
  <c r="M47" i="26"/>
  <c r="T99" i="26"/>
  <c r="M99" i="26"/>
  <c r="Q18" i="5"/>
  <c r="P18" i="5"/>
  <c r="Q13" i="5"/>
  <c r="P13" i="5"/>
  <c r="Q68" i="5"/>
  <c r="P68" i="5"/>
  <c r="T62" i="26"/>
  <c r="M62" i="26"/>
  <c r="Q63" i="5"/>
  <c r="P63" i="5"/>
  <c r="T70" i="26"/>
  <c r="M70" i="26"/>
  <c r="T85" i="26"/>
  <c r="M85" i="26"/>
  <c r="T97" i="26"/>
  <c r="M97" i="26"/>
  <c r="Q21" i="5"/>
  <c r="P21" i="5"/>
  <c r="Q32" i="5"/>
  <c r="P32" i="5"/>
  <c r="P61" i="5"/>
  <c r="Q61" i="5"/>
  <c r="Q62" i="5"/>
  <c r="P62" i="5"/>
  <c r="T11" i="26"/>
  <c r="M11" i="26"/>
  <c r="Q8" i="5"/>
  <c r="P8" i="5"/>
  <c r="T6" i="26"/>
  <c r="M6" i="26"/>
  <c r="N7" i="5"/>
  <c r="N19" i="5"/>
  <c r="P6" i="5"/>
  <c r="AU129" i="26"/>
  <c r="BC128" i="26"/>
  <c r="BE129" i="26" s="1"/>
  <c r="AY128" i="26"/>
  <c r="BD127" i="26"/>
  <c r="AW127" i="26"/>
  <c r="AV127" i="26" s="1"/>
  <c r="P191" i="26"/>
  <c r="P108" i="26"/>
  <c r="P39" i="26"/>
  <c r="P31" i="26"/>
  <c r="P37" i="26"/>
  <c r="P27" i="26"/>
  <c r="P34" i="26"/>
  <c r="P26" i="26"/>
  <c r="P117" i="26"/>
  <c r="P30" i="26"/>
  <c r="P32" i="26"/>
  <c r="P25" i="26"/>
  <c r="P35" i="26"/>
  <c r="P28" i="26"/>
  <c r="P53" i="26"/>
  <c r="P33" i="26"/>
  <c r="P29" i="26"/>
  <c r="P38" i="26"/>
  <c r="AB17" i="26"/>
  <c r="AB29" i="26"/>
  <c r="AB41" i="26"/>
  <c r="AB53" i="26"/>
  <c r="AB65" i="26"/>
  <c r="AB77" i="26"/>
  <c r="AB89" i="26"/>
  <c r="AB101" i="26"/>
  <c r="AB113" i="26"/>
  <c r="AB125" i="26"/>
  <c r="AB137" i="26"/>
  <c r="AB149" i="26"/>
  <c r="AB161" i="26"/>
  <c r="AB173" i="26"/>
  <c r="AB185" i="26"/>
  <c r="AB197" i="26"/>
  <c r="AB209" i="26"/>
  <c r="AB18" i="26"/>
  <c r="AB30" i="26"/>
  <c r="AB42" i="26"/>
  <c r="AB54" i="26"/>
  <c r="AB66" i="26"/>
  <c r="AB78" i="26"/>
  <c r="AB90" i="26"/>
  <c r="AB102" i="26"/>
  <c r="AB114" i="26"/>
  <c r="AB126" i="26"/>
  <c r="AB138" i="26"/>
  <c r="AB150" i="26"/>
  <c r="AB162" i="26"/>
  <c r="AB174" i="26"/>
  <c r="AB186" i="26"/>
  <c r="AB198" i="26"/>
  <c r="AB210" i="26"/>
  <c r="AB19" i="26"/>
  <c r="AB31" i="26"/>
  <c r="AB43" i="26"/>
  <c r="AB55" i="26"/>
  <c r="AB67" i="26"/>
  <c r="AB79" i="26"/>
  <c r="AB91" i="26"/>
  <c r="AB103" i="26"/>
  <c r="AB115" i="26"/>
  <c r="AB127" i="26"/>
  <c r="AB139" i="26"/>
  <c r="AB151" i="26"/>
  <c r="AB163" i="26"/>
  <c r="AB175" i="26"/>
  <c r="AB187" i="26"/>
  <c r="AB199" i="26"/>
  <c r="AB211" i="26"/>
  <c r="AB8" i="26"/>
  <c r="AB20" i="26"/>
  <c r="AB32" i="26"/>
  <c r="AB44" i="26"/>
  <c r="AB56" i="26"/>
  <c r="AB68" i="26"/>
  <c r="AB80" i="26"/>
  <c r="AB92" i="26"/>
  <c r="AB104" i="26"/>
  <c r="AB116" i="26"/>
  <c r="AB128" i="26"/>
  <c r="AB140" i="26"/>
  <c r="AB152" i="26"/>
  <c r="AB164" i="26"/>
  <c r="AB176" i="26"/>
  <c r="AB188" i="26"/>
  <c r="AB200" i="26"/>
  <c r="AB212" i="26"/>
  <c r="AB9" i="26"/>
  <c r="AB21" i="26"/>
  <c r="AB33" i="26"/>
  <c r="AB45" i="26"/>
  <c r="AB57" i="26"/>
  <c r="AB69" i="26"/>
  <c r="AB81" i="26"/>
  <c r="AB93" i="26"/>
  <c r="AB105" i="26"/>
  <c r="AB117" i="26"/>
  <c r="AB129" i="26"/>
  <c r="AB141" i="26"/>
  <c r="AB153" i="26"/>
  <c r="AB165" i="26"/>
  <c r="AB177" i="26"/>
  <c r="AB189" i="26"/>
  <c r="AB201" i="26"/>
  <c r="AB213" i="26"/>
  <c r="AB10" i="26"/>
  <c r="AB22" i="26"/>
  <c r="AB34" i="26"/>
  <c r="AB46" i="26"/>
  <c r="AB58" i="26"/>
  <c r="AB70" i="26"/>
  <c r="AB82" i="26"/>
  <c r="AB94" i="26"/>
  <c r="AB106" i="26"/>
  <c r="AB118" i="26"/>
  <c r="AB130" i="26"/>
  <c r="AB142" i="26"/>
  <c r="AB154" i="26"/>
  <c r="AB166" i="26"/>
  <c r="AB178" i="26"/>
  <c r="AB190" i="26"/>
  <c r="AB202" i="26"/>
  <c r="AB214" i="26"/>
  <c r="AB11" i="26"/>
  <c r="AB23" i="26"/>
  <c r="AB35" i="26"/>
  <c r="AB47" i="26"/>
  <c r="AB59" i="26"/>
  <c r="AB71" i="26"/>
  <c r="AB83" i="26"/>
  <c r="AB95" i="26"/>
  <c r="AB107" i="26"/>
  <c r="AB119" i="26"/>
  <c r="AB131" i="26"/>
  <c r="AB143" i="26"/>
  <c r="AB155" i="26"/>
  <c r="AB167" i="26"/>
  <c r="AB179" i="26"/>
  <c r="AB191" i="26"/>
  <c r="AB203" i="26"/>
  <c r="AB215" i="26"/>
  <c r="AB12" i="26"/>
  <c r="AB24" i="26"/>
  <c r="AB36" i="26"/>
  <c r="AB48" i="26"/>
  <c r="AB60" i="26"/>
  <c r="AB72" i="26"/>
  <c r="AB84" i="26"/>
  <c r="AB96" i="26"/>
  <c r="AB108" i="26"/>
  <c r="AB120" i="26"/>
  <c r="AB132" i="26"/>
  <c r="AB144" i="26"/>
  <c r="AB156" i="26"/>
  <c r="AB168" i="26"/>
  <c r="AB180" i="26"/>
  <c r="AB192" i="26"/>
  <c r="AB204" i="26"/>
  <c r="AB13" i="26"/>
  <c r="AB25" i="26"/>
  <c r="AB37" i="26"/>
  <c r="AB49" i="26"/>
  <c r="AB61" i="26"/>
  <c r="AB73" i="26"/>
  <c r="AB85" i="26"/>
  <c r="AB97" i="26"/>
  <c r="AB109" i="26"/>
  <c r="AB121" i="26"/>
  <c r="AB133" i="26"/>
  <c r="AB145" i="26"/>
  <c r="AB157" i="26"/>
  <c r="AB169" i="26"/>
  <c r="AB181" i="26"/>
  <c r="AB193" i="26"/>
  <c r="AB205" i="26"/>
  <c r="AB15" i="26"/>
  <c r="AB63" i="26"/>
  <c r="AB111" i="26"/>
  <c r="AB159" i="26"/>
  <c r="AB207" i="26"/>
  <c r="AB158" i="26"/>
  <c r="AB16" i="26"/>
  <c r="AB64" i="26"/>
  <c r="AB112" i="26"/>
  <c r="AB160" i="26"/>
  <c r="AB208" i="26"/>
  <c r="AB26" i="26"/>
  <c r="AB74" i="26"/>
  <c r="AB122" i="26"/>
  <c r="AB170" i="26"/>
  <c r="AB110" i="26"/>
  <c r="AB27" i="26"/>
  <c r="AB75" i="26"/>
  <c r="AB123" i="26"/>
  <c r="AB171" i="26"/>
  <c r="AB28" i="26"/>
  <c r="AB76" i="26"/>
  <c r="AB124" i="26"/>
  <c r="AB172" i="26"/>
  <c r="AB206" i="26"/>
  <c r="AB38" i="26"/>
  <c r="AB86" i="26"/>
  <c r="AB134" i="26"/>
  <c r="AB182" i="26"/>
  <c r="AB62" i="26"/>
  <c r="AB39" i="26"/>
  <c r="AB87" i="26"/>
  <c r="AB135" i="26"/>
  <c r="AB183" i="26"/>
  <c r="AB40" i="26"/>
  <c r="AB88" i="26"/>
  <c r="AB136" i="26"/>
  <c r="AB184" i="26"/>
  <c r="AB100" i="26"/>
  <c r="AB196" i="26"/>
  <c r="AB50" i="26"/>
  <c r="AB98" i="26"/>
  <c r="AB146" i="26"/>
  <c r="AB194" i="26"/>
  <c r="AB52" i="26"/>
  <c r="AB148" i="26"/>
  <c r="AB51" i="26"/>
  <c r="AB99" i="26"/>
  <c r="AB147" i="26"/>
  <c r="AB195" i="26"/>
  <c r="AB14" i="26"/>
  <c r="P170" i="26"/>
  <c r="P115" i="26"/>
  <c r="P36" i="26"/>
  <c r="P109" i="26"/>
  <c r="I64" i="26"/>
  <c r="O64" i="26"/>
  <c r="I20" i="26"/>
  <c r="O20" i="26"/>
  <c r="I75" i="26"/>
  <c r="O75" i="26"/>
  <c r="I86" i="26"/>
  <c r="O86" i="26"/>
  <c r="I96" i="26"/>
  <c r="O96" i="26"/>
  <c r="I67" i="26"/>
  <c r="O67" i="26"/>
  <c r="I24" i="26"/>
  <c r="O24" i="26"/>
  <c r="I19" i="26"/>
  <c r="O19" i="26"/>
  <c r="I49" i="26"/>
  <c r="O49" i="26"/>
  <c r="I47" i="26"/>
  <c r="O47" i="26"/>
  <c r="I91" i="26"/>
  <c r="O91" i="26"/>
  <c r="I21" i="26"/>
  <c r="O21" i="26"/>
  <c r="I50" i="26"/>
  <c r="O50" i="26"/>
  <c r="I76" i="26"/>
  <c r="O76" i="26"/>
  <c r="I101" i="26"/>
  <c r="O101" i="26"/>
  <c r="I66" i="26"/>
  <c r="O66" i="26"/>
  <c r="I73" i="26"/>
  <c r="O73" i="26"/>
  <c r="I11" i="26"/>
  <c r="O11" i="26"/>
  <c r="I93" i="26"/>
  <c r="O93" i="26"/>
  <c r="I100" i="26"/>
  <c r="O100" i="26"/>
  <c r="I78" i="26"/>
  <c r="O78" i="26"/>
  <c r="I54" i="26"/>
  <c r="O54" i="26"/>
  <c r="I43" i="26"/>
  <c r="O43" i="26"/>
  <c r="I68" i="26"/>
  <c r="O68" i="26"/>
  <c r="I89" i="26"/>
  <c r="O89" i="26"/>
  <c r="I81" i="26"/>
  <c r="O81" i="26"/>
  <c r="I63" i="26"/>
  <c r="O63" i="26"/>
  <c r="I10" i="26"/>
  <c r="I22" i="26"/>
  <c r="O22" i="26"/>
  <c r="I14" i="26"/>
  <c r="O14" i="26"/>
  <c r="I87" i="26"/>
  <c r="O87" i="26"/>
  <c r="I46" i="26"/>
  <c r="O46" i="26"/>
  <c r="I55" i="26"/>
  <c r="O55" i="26"/>
  <c r="I92" i="26"/>
  <c r="O92" i="26"/>
  <c r="I16" i="26"/>
  <c r="O16" i="26"/>
  <c r="I7" i="26"/>
  <c r="O7" i="26"/>
  <c r="I8" i="26"/>
  <c r="O8" i="26"/>
  <c r="I60" i="26"/>
  <c r="O60" i="26"/>
  <c r="I61" i="26"/>
  <c r="O61" i="26"/>
  <c r="I99" i="26"/>
  <c r="O99" i="26"/>
  <c r="I74" i="26"/>
  <c r="O74" i="26"/>
  <c r="I15" i="26"/>
  <c r="O15" i="26"/>
  <c r="I48" i="26"/>
  <c r="O48" i="26"/>
  <c r="I40" i="26"/>
  <c r="O40" i="26"/>
  <c r="I70" i="26"/>
  <c r="O70" i="26"/>
  <c r="I85" i="26"/>
  <c r="O85" i="26"/>
  <c r="I97" i="26"/>
  <c r="O97" i="26"/>
  <c r="I23" i="26"/>
  <c r="O23" i="26"/>
  <c r="I12" i="26"/>
  <c r="O12" i="26"/>
  <c r="I41" i="26"/>
  <c r="O41" i="26"/>
  <c r="I82" i="26"/>
  <c r="O82" i="26"/>
  <c r="I104" i="26"/>
  <c r="O104" i="26"/>
  <c r="I102" i="26"/>
  <c r="O102" i="26"/>
  <c r="I77" i="26"/>
  <c r="O77" i="26"/>
  <c r="I72" i="26"/>
  <c r="O72" i="26"/>
  <c r="I88" i="26"/>
  <c r="O88" i="26"/>
  <c r="I52" i="26"/>
  <c r="O52" i="26"/>
  <c r="I84" i="26"/>
  <c r="O84" i="26"/>
  <c r="I58" i="26"/>
  <c r="O58" i="26"/>
  <c r="I103" i="26"/>
  <c r="O103" i="26"/>
  <c r="I95" i="26"/>
  <c r="O95" i="26"/>
  <c r="I65" i="26"/>
  <c r="O65" i="26"/>
  <c r="I17" i="26"/>
  <c r="O17" i="26"/>
  <c r="I42" i="26"/>
  <c r="O42" i="26"/>
  <c r="I44" i="26"/>
  <c r="O44" i="26"/>
  <c r="I79" i="26"/>
  <c r="O79" i="26"/>
  <c r="I83" i="26"/>
  <c r="O83" i="26"/>
  <c r="I6" i="26"/>
  <c r="O6" i="26"/>
  <c r="AD6" i="26" s="1"/>
  <c r="I51" i="26"/>
  <c r="O51" i="26"/>
  <c r="I80" i="26"/>
  <c r="O80" i="26"/>
  <c r="I62" i="26"/>
  <c r="O62" i="26"/>
  <c r="I98" i="26"/>
  <c r="O98" i="26"/>
  <c r="I57" i="26"/>
  <c r="O57" i="26"/>
  <c r="I56" i="26"/>
  <c r="O56" i="26"/>
  <c r="I71" i="26"/>
  <c r="O71" i="26"/>
  <c r="I90" i="26"/>
  <c r="O90" i="26"/>
  <c r="I69" i="26"/>
  <c r="O69" i="26"/>
  <c r="I94" i="26"/>
  <c r="O94" i="26"/>
  <c r="I9" i="26"/>
  <c r="O9" i="26"/>
  <c r="N6" i="26"/>
  <c r="AB7" i="26"/>
  <c r="AB6" i="26"/>
  <c r="AH11" i="10"/>
  <c r="AE11" i="10"/>
  <c r="O26" i="18"/>
  <c r="N26" i="18" s="1"/>
  <c r="M38" i="21"/>
  <c r="AF11" i="10"/>
  <c r="AG11" i="10"/>
  <c r="M18" i="21"/>
  <c r="AC11" i="10"/>
  <c r="AB59" i="10"/>
  <c r="AD59" i="10" s="1"/>
  <c r="AF43" i="10"/>
  <c r="AC43" i="10"/>
  <c r="AB73" i="10"/>
  <c r="AF73" i="10" s="1"/>
  <c r="N66" i="5"/>
  <c r="N31" i="5"/>
  <c r="N17" i="5"/>
  <c r="N21" i="5"/>
  <c r="M44" i="21"/>
  <c r="M33" i="21"/>
  <c r="N47" i="5"/>
  <c r="N40" i="5"/>
  <c r="N67" i="5"/>
  <c r="N63" i="5"/>
  <c r="M39" i="21"/>
  <c r="M45" i="21"/>
  <c r="N14" i="5"/>
  <c r="N46" i="5"/>
  <c r="N39" i="5"/>
  <c r="N32" i="5"/>
  <c r="N13" i="5"/>
  <c r="N45" i="5"/>
  <c r="N41" i="5"/>
  <c r="N33" i="5"/>
  <c r="M31" i="21"/>
  <c r="M32" i="21"/>
  <c r="N12" i="5"/>
  <c r="N35" i="5"/>
  <c r="M43" i="21"/>
  <c r="N61" i="5"/>
  <c r="N59" i="5"/>
  <c r="N48" i="5"/>
  <c r="N22" i="5"/>
  <c r="M42" i="21"/>
  <c r="N58" i="5"/>
  <c r="N23" i="5"/>
  <c r="N16" i="5"/>
  <c r="N15" i="5"/>
  <c r="N34" i="5"/>
  <c r="N60" i="5"/>
  <c r="N49" i="5"/>
  <c r="N57" i="5"/>
  <c r="N64" i="5"/>
  <c r="N68" i="5"/>
  <c r="N50" i="5"/>
  <c r="N18" i="5"/>
  <c r="M40" i="21"/>
  <c r="N62" i="5"/>
  <c r="N30" i="5"/>
  <c r="N65" i="5"/>
  <c r="M41" i="21"/>
  <c r="M30" i="21"/>
  <c r="M14" i="21"/>
  <c r="M24" i="21"/>
  <c r="M28" i="21"/>
  <c r="AA37" i="10"/>
  <c r="AD58" i="10"/>
  <c r="AC58" i="10"/>
  <c r="AE58" i="10"/>
  <c r="AF58" i="10"/>
  <c r="AG58" i="10"/>
  <c r="AD43" i="10"/>
  <c r="AH43" i="10"/>
  <c r="AB51" i="10"/>
  <c r="AH51" i="10" s="1"/>
  <c r="AG43" i="10"/>
  <c r="AE43" i="10"/>
  <c r="AA67" i="10"/>
  <c r="AA66" i="10"/>
  <c r="AA58" i="10"/>
  <c r="AD35" i="10"/>
  <c r="M26" i="21"/>
  <c r="AE79" i="10"/>
  <c r="AF79" i="10"/>
  <c r="AC79" i="10"/>
  <c r="AH79" i="10"/>
  <c r="AG79" i="10"/>
  <c r="AD79" i="10"/>
  <c r="AA79" i="10"/>
  <c r="AH68" i="10"/>
  <c r="AD68" i="10"/>
  <c r="AG68" i="10"/>
  <c r="AF68" i="10"/>
  <c r="AC68" i="10"/>
  <c r="AE68" i="10"/>
  <c r="AD48" i="10"/>
  <c r="AC48" i="10"/>
  <c r="AA68" i="10"/>
  <c r="AA48" i="10"/>
  <c r="AA36" i="10"/>
  <c r="Z25" i="18"/>
  <c r="Y25" i="18" s="1"/>
  <c r="U25" i="18"/>
  <c r="N25" i="18" s="1"/>
  <c r="Z37" i="18"/>
  <c r="Y37" i="18" s="1"/>
  <c r="U37" i="18"/>
  <c r="N37" i="18" s="1"/>
  <c r="AF53" i="10"/>
  <c r="AD53" i="10"/>
  <c r="AG53" i="10"/>
  <c r="AE53" i="10"/>
  <c r="AC53" i="10"/>
  <c r="AH53" i="10"/>
  <c r="AD31" i="10"/>
  <c r="AH31" i="10"/>
  <c r="AF31" i="10"/>
  <c r="AC31" i="10"/>
  <c r="AE31" i="10"/>
  <c r="AG31" i="10"/>
  <c r="AD63" i="10"/>
  <c r="AE63" i="10"/>
  <c r="AF63" i="10"/>
  <c r="AA63" i="10"/>
  <c r="AA54" i="10"/>
  <c r="AA31" i="10"/>
  <c r="AA53" i="10"/>
  <c r="AA61" i="10"/>
  <c r="R9" i="18"/>
  <c r="N9" i="18" s="1"/>
  <c r="M19" i="21"/>
  <c r="M8" i="21"/>
  <c r="M9" i="21"/>
  <c r="M20" i="21"/>
  <c r="M10" i="21"/>
  <c r="M15" i="21"/>
  <c r="M22" i="21"/>
  <c r="M16" i="21"/>
  <c r="M27" i="21"/>
  <c r="M17" i="21"/>
  <c r="M25" i="21"/>
  <c r="M21" i="21"/>
  <c r="M11" i="21"/>
  <c r="M23" i="21"/>
  <c r="AH18" i="10"/>
  <c r="AB45" i="10"/>
  <c r="AD45" i="10" s="1"/>
  <c r="AE18" i="10"/>
  <c r="AG25" i="10"/>
  <c r="AC25" i="10"/>
  <c r="AC18" i="10"/>
  <c r="AG67" i="10"/>
  <c r="AD29" i="10"/>
  <c r="AD33" i="10"/>
  <c r="AA64" i="10"/>
  <c r="AF25" i="10"/>
  <c r="AH25" i="10"/>
  <c r="AD25" i="10"/>
  <c r="AG40" i="10"/>
  <c r="AF40" i="10"/>
  <c r="AD64" i="10"/>
  <c r="AE64" i="10"/>
  <c r="AH64" i="10"/>
  <c r="AF64" i="10"/>
  <c r="AC64" i="10"/>
  <c r="AG64" i="10"/>
  <c r="AF60" i="10"/>
  <c r="AC60" i="10"/>
  <c r="AD60" i="10"/>
  <c r="AH60" i="10"/>
  <c r="AE60" i="10"/>
  <c r="AG60" i="10"/>
  <c r="AE55" i="10"/>
  <c r="AC55" i="10"/>
  <c r="AF55" i="10"/>
  <c r="AH55" i="10"/>
  <c r="AG55" i="10"/>
  <c r="AD55" i="10"/>
  <c r="AG56" i="10"/>
  <c r="AF56" i="10"/>
  <c r="AE56" i="10"/>
  <c r="AF69" i="10"/>
  <c r="AG69" i="10"/>
  <c r="AC69" i="10"/>
  <c r="AD69" i="10"/>
  <c r="AE69" i="10"/>
  <c r="AH69" i="10"/>
  <c r="AH49" i="10"/>
  <c r="AF49" i="10"/>
  <c r="AF21" i="10"/>
  <c r="AH58" i="10"/>
  <c r="AA40" i="10"/>
  <c r="AA56" i="10"/>
  <c r="AA49" i="10"/>
  <c r="AA78" i="10"/>
  <c r="AA28" i="10"/>
  <c r="AC77" i="10"/>
  <c r="AH77" i="10"/>
  <c r="AA69" i="10"/>
  <c r="AG77" i="10"/>
  <c r="AE77" i="10"/>
  <c r="AF77" i="10"/>
  <c r="AC21" i="10"/>
  <c r="AA75" i="10"/>
  <c r="AA60" i="10"/>
  <c r="U28" i="18"/>
  <c r="N28" i="18" s="1"/>
  <c r="AG72" i="10"/>
  <c r="AF72" i="10"/>
  <c r="AE72" i="10"/>
  <c r="AH26" i="10"/>
  <c r="AE26" i="10"/>
  <c r="AF42" i="10"/>
  <c r="AD42" i="10"/>
  <c r="AG42" i="10"/>
  <c r="AE42" i="10"/>
  <c r="AH42" i="10"/>
  <c r="AC42" i="10"/>
  <c r="AD76" i="10"/>
  <c r="AH76" i="10"/>
  <c r="AG76" i="10"/>
  <c r="AE76" i="10"/>
  <c r="AC76" i="10"/>
  <c r="AF76" i="10"/>
  <c r="AE47" i="10"/>
  <c r="AG47" i="10"/>
  <c r="AF47" i="10"/>
  <c r="AD34" i="10"/>
  <c r="AC34" i="10"/>
  <c r="AB82" i="10"/>
  <c r="AC82" i="10" s="1"/>
  <c r="AB44" i="10"/>
  <c r="AB41" i="10"/>
  <c r="AE41" i="10" s="1"/>
  <c r="AA76" i="10"/>
  <c r="AA34" i="10"/>
  <c r="AA47" i="10"/>
  <c r="AA72" i="10"/>
  <c r="AA42" i="10"/>
  <c r="AA26" i="10"/>
  <c r="AA83" i="10"/>
  <c r="AA50" i="10"/>
  <c r="AE57" i="10"/>
  <c r="AD57" i="10"/>
  <c r="AF57" i="10"/>
  <c r="AE46" i="10"/>
  <c r="AC46" i="10"/>
  <c r="AF46" i="10"/>
  <c r="AD46" i="10"/>
  <c r="AH46" i="10"/>
  <c r="AG46" i="10"/>
  <c r="AE61" i="10"/>
  <c r="AF54" i="10"/>
  <c r="AC50" i="10"/>
  <c r="AD23" i="10"/>
  <c r="AF26" i="10"/>
  <c r="AD26" i="10"/>
  <c r="AC26" i="10"/>
  <c r="AH22" i="10"/>
  <c r="AE22" i="10"/>
  <c r="AF22" i="10"/>
  <c r="AG22" i="10"/>
  <c r="AC22" i="10"/>
  <c r="AD22" i="10"/>
  <c r="AA46" i="10"/>
  <c r="AG26" i="10"/>
  <c r="AA57" i="10"/>
  <c r="AA71" i="10"/>
  <c r="AE23" i="10"/>
  <c r="AH23" i="10"/>
  <c r="AD36" i="10"/>
  <c r="AG23" i="10"/>
  <c r="AD65" i="10"/>
  <c r="AC65" i="10"/>
  <c r="AE65" i="10"/>
  <c r="AG65" i="10"/>
  <c r="AH38" i="10"/>
  <c r="AE38" i="10"/>
  <c r="AG30" i="10"/>
  <c r="AG81" i="10"/>
  <c r="AF28" i="10"/>
  <c r="AG63" i="10"/>
  <c r="AH47" i="10"/>
  <c r="AH40" i="10"/>
  <c r="AH56" i="10"/>
  <c r="AB62" i="10"/>
  <c r="AB24" i="10"/>
  <c r="AD24" i="10" s="1"/>
  <c r="AH34" i="10"/>
  <c r="AC47" i="10"/>
  <c r="AC72" i="10"/>
  <c r="AC56" i="10"/>
  <c r="AA65" i="10"/>
  <c r="AE34" i="10"/>
  <c r="AD47" i="10"/>
  <c r="AH72" i="10"/>
  <c r="AF34" i="10"/>
  <c r="AD72" i="10"/>
  <c r="AG34" i="10"/>
  <c r="AA38" i="10"/>
  <c r="AG71" i="10"/>
  <c r="AE28" i="10"/>
  <c r="AD28" i="10"/>
  <c r="AD81" i="10"/>
  <c r="AE40" i="10"/>
  <c r="AE81" i="10"/>
  <c r="AG28" i="10"/>
  <c r="AH63" i="10"/>
  <c r="AC40" i="10"/>
  <c r="O29" i="18"/>
  <c r="N29" i="18" s="1"/>
  <c r="AH81" i="10"/>
  <c r="AF81" i="10"/>
  <c r="AC28" i="10"/>
  <c r="AC63" i="10"/>
  <c r="AD40" i="10"/>
  <c r="AD56" i="10"/>
  <c r="AW16" i="22"/>
  <c r="AF27" i="10"/>
  <c r="AD27" i="10"/>
  <c r="AH27" i="10"/>
  <c r="AF80" i="10"/>
  <c r="AC80" i="10"/>
  <c r="AD80" i="10"/>
  <c r="AE80" i="10"/>
  <c r="AG80" i="10"/>
  <c r="AH80" i="10"/>
  <c r="AC39" i="10"/>
  <c r="AD39" i="10"/>
  <c r="AF39" i="10"/>
  <c r="AH39" i="10"/>
  <c r="AG39" i="10"/>
  <c r="AE39" i="10"/>
  <c r="AH57" i="10"/>
  <c r="AH35" i="10"/>
  <c r="AG61" i="10"/>
  <c r="AC57" i="10"/>
  <c r="AF29" i="10"/>
  <c r="AA39" i="10"/>
  <c r="AG57" i="10"/>
  <c r="AF37" i="10"/>
  <c r="AA27" i="10"/>
  <c r="AE37" i="10"/>
  <c r="AD37" i="10"/>
  <c r="AF35" i="10"/>
  <c r="AC61" i="10"/>
  <c r="AA80" i="10"/>
  <c r="AC35" i="10"/>
  <c r="AF61" i="10"/>
  <c r="AE29" i="10"/>
  <c r="AG37" i="10"/>
  <c r="AC29" i="10"/>
  <c r="AC37" i="10"/>
  <c r="AE35" i="10"/>
  <c r="AD61" i="10"/>
  <c r="AG29" i="10"/>
  <c r="AA52" i="10"/>
  <c r="AG27" i="10"/>
  <c r="AF36" i="10"/>
  <c r="AC38" i="10"/>
  <c r="AE27" i="10"/>
  <c r="AD67" i="10"/>
  <c r="AD38" i="10"/>
  <c r="AC36" i="10"/>
  <c r="AG38" i="10"/>
  <c r="AC49" i="10"/>
  <c r="AH36" i="10"/>
  <c r="AH67" i="10"/>
  <c r="AE49" i="10"/>
  <c r="AG36" i="10"/>
  <c r="AF38" i="10"/>
  <c r="AC67" i="10"/>
  <c r="AV16" i="22"/>
  <c r="AD49" i="10"/>
  <c r="AF67" i="10"/>
  <c r="AG49" i="10"/>
  <c r="AC27" i="10"/>
  <c r="AE75" i="10"/>
  <c r="AE33" i="10"/>
  <c r="AH33" i="10"/>
  <c r="AH52" i="10"/>
  <c r="AF65" i="10"/>
  <c r="AG75" i="10"/>
  <c r="AG52" i="10"/>
  <c r="AH65" i="10"/>
  <c r="AG33" i="10"/>
  <c r="AF75" i="10"/>
  <c r="AE52" i="10"/>
  <c r="AX16" i="22"/>
  <c r="AF33" i="10"/>
  <c r="AG48" i="10"/>
  <c r="AC75" i="10"/>
  <c r="AF52" i="10"/>
  <c r="AH75" i="10"/>
  <c r="AC52" i="10"/>
  <c r="AE48" i="10"/>
  <c r="AH48" i="10"/>
  <c r="AC74" i="10"/>
  <c r="R30" i="18"/>
  <c r="N30" i="18" s="1"/>
  <c r="AF48" i="10"/>
  <c r="AT16" i="22"/>
  <c r="AS16" i="22"/>
  <c r="AD78" i="10"/>
  <c r="AD83" i="10"/>
  <c r="AH66" i="10"/>
  <c r="AO16" i="22"/>
  <c r="AE78" i="10"/>
  <c r="AE66" i="10"/>
  <c r="U31" i="18"/>
  <c r="N31" i="18" s="1"/>
  <c r="AP16" i="22"/>
  <c r="AR16" i="22"/>
  <c r="AF83" i="10"/>
  <c r="AF78" i="10"/>
  <c r="AC83" i="10"/>
  <c r="AF66" i="10"/>
  <c r="AQ16" i="22"/>
  <c r="AC54" i="10"/>
  <c r="AH78" i="10"/>
  <c r="AC66" i="10"/>
  <c r="AC78" i="10"/>
  <c r="AG83" i="10"/>
  <c r="AG66" i="10"/>
  <c r="AE83" i="10"/>
  <c r="AH71" i="10"/>
  <c r="AH54" i="10"/>
  <c r="AG50" i="10"/>
  <c r="AC71" i="10"/>
  <c r="AH50" i="10"/>
  <c r="AG54" i="10"/>
  <c r="AF71" i="10"/>
  <c r="AD54" i="10"/>
  <c r="AD50" i="10"/>
  <c r="AE71" i="10"/>
  <c r="AF50" i="10"/>
  <c r="AU16" i="22"/>
  <c r="AC17" i="22"/>
  <c r="AB18" i="22" a="1"/>
  <c r="AB18" i="22" s="1"/>
  <c r="AH11" i="5"/>
  <c r="AH13" i="5"/>
  <c r="AH12" i="5"/>
  <c r="AH10" i="5"/>
  <c r="AH9" i="5"/>
  <c r="AZ101" i="26" l="1"/>
  <c r="AZ103" i="26"/>
  <c r="AZ76" i="26"/>
  <c r="AZ42" i="26"/>
  <c r="AZ90" i="26"/>
  <c r="AZ70" i="26"/>
  <c r="AZ36" i="26"/>
  <c r="AZ49" i="26"/>
  <c r="AZ57" i="26"/>
  <c r="AZ85" i="26"/>
  <c r="AZ34" i="26"/>
  <c r="AZ50" i="26"/>
  <c r="AZ128" i="26"/>
  <c r="AZ39" i="26"/>
  <c r="AZ111" i="26"/>
  <c r="AZ26" i="26"/>
  <c r="AZ61" i="26"/>
  <c r="AZ63" i="26"/>
  <c r="AZ113" i="26"/>
  <c r="AZ115" i="26"/>
  <c r="AZ68" i="26"/>
  <c r="AZ73" i="26"/>
  <c r="AZ87" i="26"/>
  <c r="AZ125" i="26"/>
  <c r="AZ33" i="26"/>
  <c r="AZ117" i="26"/>
  <c r="AZ44" i="26"/>
  <c r="AZ97" i="26"/>
  <c r="AZ52" i="26"/>
  <c r="AZ54" i="26"/>
  <c r="AZ94" i="26"/>
  <c r="AZ119" i="26"/>
  <c r="AZ37" i="26"/>
  <c r="AZ109" i="26"/>
  <c r="AZ64" i="26"/>
  <c r="AZ66" i="26"/>
  <c r="AZ106" i="26"/>
  <c r="AZ62" i="26"/>
  <c r="AZ88" i="26"/>
  <c r="AZ102" i="26"/>
  <c r="AZ60" i="26"/>
  <c r="AZ86" i="26"/>
  <c r="AZ100" i="26"/>
  <c r="AZ114" i="26"/>
  <c r="AZ72" i="26"/>
  <c r="AZ45" i="26"/>
  <c r="AZ98" i="26"/>
  <c r="AZ124" i="26"/>
  <c r="AZ55" i="26"/>
  <c r="AZ84" i="26"/>
  <c r="AZ83" i="26"/>
  <c r="AZ110" i="26"/>
  <c r="AZ41" i="26"/>
  <c r="AZ79" i="26"/>
  <c r="AZ96" i="26"/>
  <c r="AZ81" i="26"/>
  <c r="AZ93" i="26"/>
  <c r="AZ122" i="26"/>
  <c r="AZ65" i="26"/>
  <c r="AZ91" i="26"/>
  <c r="AZ120" i="26"/>
  <c r="AZ28" i="26"/>
  <c r="P112" i="26"/>
  <c r="AZ38" i="26"/>
  <c r="AZ40" i="26"/>
  <c r="AZ31" i="26"/>
  <c r="AZ18" i="26"/>
  <c r="AZ24" i="26"/>
  <c r="AZ23" i="26"/>
  <c r="AZ35" i="26"/>
  <c r="AZ9" i="26"/>
  <c r="AZ19" i="26"/>
  <c r="P122" i="26"/>
  <c r="P113" i="26"/>
  <c r="P158" i="26"/>
  <c r="P180" i="26"/>
  <c r="AZ15" i="26"/>
  <c r="P211" i="26"/>
  <c r="AZ32" i="26"/>
  <c r="AZ22" i="26"/>
  <c r="AZ11" i="26"/>
  <c r="AZ25" i="26"/>
  <c r="AZ10" i="26"/>
  <c r="AZ13" i="26"/>
  <c r="AZ17" i="26"/>
  <c r="AZ14" i="26"/>
  <c r="AZ21" i="26"/>
  <c r="AZ27" i="26"/>
  <c r="AZ16" i="26"/>
  <c r="AZ12" i="26"/>
  <c r="AZ30" i="26"/>
  <c r="AZ20" i="26"/>
  <c r="AZ29" i="26"/>
  <c r="P154" i="26"/>
  <c r="P210" i="26"/>
  <c r="P18" i="26"/>
  <c r="P116" i="26"/>
  <c r="P161" i="26"/>
  <c r="P151" i="26"/>
  <c r="P172" i="26"/>
  <c r="P119" i="26"/>
  <c r="P182" i="26"/>
  <c r="AZ58" i="26"/>
  <c r="AZ69" i="26"/>
  <c r="AZ71" i="26"/>
  <c r="AZ104" i="26"/>
  <c r="P215" i="26"/>
  <c r="AZ95" i="26"/>
  <c r="AZ75" i="26"/>
  <c r="AZ53" i="26"/>
  <c r="AZ43" i="26"/>
  <c r="AZ118" i="26"/>
  <c r="AZ80" i="26"/>
  <c r="AZ121" i="26"/>
  <c r="AZ99" i="26"/>
  <c r="AZ89" i="26"/>
  <c r="AZ67" i="26"/>
  <c r="AZ48" i="26"/>
  <c r="AZ47" i="26"/>
  <c r="AZ59" i="26"/>
  <c r="AZ107" i="26"/>
  <c r="P13" i="26"/>
  <c r="AZ92" i="26"/>
  <c r="AZ51" i="26"/>
  <c r="AZ112" i="26"/>
  <c r="AZ78" i="26"/>
  <c r="AZ46" i="26"/>
  <c r="AZ108" i="26"/>
  <c r="AZ116" i="26"/>
  <c r="P143" i="26"/>
  <c r="P198" i="26"/>
  <c r="P157" i="26"/>
  <c r="P128" i="26"/>
  <c r="P169" i="26"/>
  <c r="AZ74" i="26"/>
  <c r="AZ123" i="26"/>
  <c r="AZ77" i="26"/>
  <c r="AZ126" i="26"/>
  <c r="AZ82" i="26"/>
  <c r="AZ56" i="26"/>
  <c r="AZ127" i="26"/>
  <c r="P177" i="26"/>
  <c r="P200" i="26"/>
  <c r="P213" i="26"/>
  <c r="P146" i="26"/>
  <c r="P188" i="26"/>
  <c r="P199" i="26"/>
  <c r="P186" i="26"/>
  <c r="P208" i="26"/>
  <c r="P145" i="26"/>
  <c r="P197" i="26"/>
  <c r="P156" i="26"/>
  <c r="P129" i="26"/>
  <c r="P214" i="26"/>
  <c r="P202" i="26"/>
  <c r="P111" i="26"/>
  <c r="P132" i="26"/>
  <c r="P131" i="26"/>
  <c r="P137" i="26"/>
  <c r="P203" i="26"/>
  <c r="P152" i="26"/>
  <c r="AE30" i="10"/>
  <c r="P125" i="26"/>
  <c r="P201" i="26"/>
  <c r="P179" i="26"/>
  <c r="AH30" i="10"/>
  <c r="P212" i="26"/>
  <c r="P105" i="26"/>
  <c r="AF74" i="10"/>
  <c r="AG74" i="10"/>
  <c r="AD74" i="10"/>
  <c r="AE74" i="10"/>
  <c r="P166" i="26"/>
  <c r="P176" i="26"/>
  <c r="P107" i="26"/>
  <c r="P149" i="26"/>
  <c r="P173" i="26"/>
  <c r="P187" i="26"/>
  <c r="P205" i="26"/>
  <c r="P175" i="26"/>
  <c r="P171" i="26"/>
  <c r="P106" i="26"/>
  <c r="P130" i="26"/>
  <c r="P138" i="26"/>
  <c r="P114" i="26"/>
  <c r="P196" i="26"/>
  <c r="P153" i="26"/>
  <c r="P174" i="26"/>
  <c r="P123" i="26"/>
  <c r="P147" i="26"/>
  <c r="P142" i="26"/>
  <c r="P126" i="26"/>
  <c r="P134" i="26"/>
  <c r="P133" i="26"/>
  <c r="P185" i="26"/>
  <c r="P155" i="26"/>
  <c r="P165" i="26"/>
  <c r="P118" i="26"/>
  <c r="P204" i="26"/>
  <c r="P181" i="26"/>
  <c r="P136" i="26"/>
  <c r="P162" i="26"/>
  <c r="P207" i="26"/>
  <c r="P135" i="26"/>
  <c r="P167" i="26"/>
  <c r="P124" i="26"/>
  <c r="AG73" i="10"/>
  <c r="P178" i="26"/>
  <c r="P139" i="26"/>
  <c r="P121" i="26"/>
  <c r="P59" i="26"/>
  <c r="P127" i="26"/>
  <c r="P144" i="26"/>
  <c r="AD32" i="10"/>
  <c r="AH32" i="10"/>
  <c r="AG32" i="10"/>
  <c r="AD70" i="10"/>
  <c r="AF32" i="10"/>
  <c r="AE32" i="10"/>
  <c r="AC73" i="10"/>
  <c r="AD73" i="10"/>
  <c r="P195" i="26"/>
  <c r="AE73" i="10"/>
  <c r="P206" i="26"/>
  <c r="P163" i="26"/>
  <c r="P141" i="26"/>
  <c r="P150" i="26"/>
  <c r="P148" i="26"/>
  <c r="P45" i="26"/>
  <c r="AD51" i="10"/>
  <c r="P190" i="26"/>
  <c r="P192" i="26"/>
  <c r="P140" i="26"/>
  <c r="AK18" i="22"/>
  <c r="AI18" i="22"/>
  <c r="AF18" i="22"/>
  <c r="AL18" i="22"/>
  <c r="AM18" i="22"/>
  <c r="AE18" i="22"/>
  <c r="AD18" i="22"/>
  <c r="AH18" i="22"/>
  <c r="AJ18" i="22"/>
  <c r="AG18" i="22"/>
  <c r="P184" i="26"/>
  <c r="P160" i="26"/>
  <c r="P189" i="26"/>
  <c r="P110" i="26"/>
  <c r="AC59" i="10"/>
  <c r="P164" i="26"/>
  <c r="P193" i="26"/>
  <c r="P194" i="26"/>
  <c r="P120" i="26"/>
  <c r="P168" i="26"/>
  <c r="P183" i="26"/>
  <c r="AG59" i="10"/>
  <c r="AH59" i="10"/>
  <c r="AF59" i="10"/>
  <c r="AH73" i="10"/>
  <c r="AD41" i="10"/>
  <c r="AC41" i="10"/>
  <c r="AG70" i="10"/>
  <c r="AD30" i="10"/>
  <c r="AC30" i="10"/>
  <c r="AF70" i="10"/>
  <c r="AH41" i="10"/>
  <c r="AC51" i="10"/>
  <c r="AG51" i="10"/>
  <c r="AF51" i="10"/>
  <c r="AE59" i="10"/>
  <c r="AG204" i="26"/>
  <c r="AG60" i="26"/>
  <c r="AG155" i="26"/>
  <c r="AG106" i="26"/>
  <c r="AG188" i="26"/>
  <c r="AG44" i="26"/>
  <c r="AG139" i="26"/>
  <c r="AG201" i="26"/>
  <c r="AG90" i="26"/>
  <c r="AG173" i="26"/>
  <c r="AG29" i="26"/>
  <c r="AG112" i="26"/>
  <c r="AG183" i="26"/>
  <c r="AG39" i="26"/>
  <c r="AG110" i="26"/>
  <c r="AG169" i="26"/>
  <c r="AG25" i="26"/>
  <c r="AG192" i="26"/>
  <c r="AG48" i="26"/>
  <c r="AG143" i="26"/>
  <c r="AG189" i="26"/>
  <c r="AG94" i="26"/>
  <c r="AG176" i="26"/>
  <c r="AG32" i="26"/>
  <c r="AG127" i="26"/>
  <c r="AG69" i="26"/>
  <c r="AG78" i="26"/>
  <c r="AG161" i="26"/>
  <c r="AG17" i="26"/>
  <c r="AG100" i="26"/>
  <c r="AG171" i="26"/>
  <c r="AG27" i="26"/>
  <c r="AG98" i="26"/>
  <c r="AG157" i="26"/>
  <c r="AG180" i="26"/>
  <c r="AG36" i="26"/>
  <c r="AG131" i="26"/>
  <c r="AG81" i="26"/>
  <c r="AG82" i="26"/>
  <c r="AG164" i="26"/>
  <c r="AG20" i="26"/>
  <c r="AG115" i="26"/>
  <c r="AG210" i="26"/>
  <c r="AG66" i="26"/>
  <c r="AG149" i="26"/>
  <c r="AG153" i="26"/>
  <c r="AG88" i="26"/>
  <c r="AG159" i="26"/>
  <c r="AG15" i="26"/>
  <c r="AG86" i="26"/>
  <c r="AG145" i="26"/>
  <c r="AG168" i="26"/>
  <c r="AG24" i="26"/>
  <c r="AG119" i="26"/>
  <c r="AG214" i="26"/>
  <c r="AG70" i="26"/>
  <c r="AG152" i="26"/>
  <c r="AG103" i="26"/>
  <c r="AG198" i="26"/>
  <c r="AG54" i="26"/>
  <c r="AG137" i="26"/>
  <c r="AG33" i="26"/>
  <c r="AG76" i="26"/>
  <c r="AG147" i="26"/>
  <c r="AG117" i="26"/>
  <c r="AG74" i="26"/>
  <c r="AG133" i="26"/>
  <c r="AG156" i="26"/>
  <c r="AG107" i="26"/>
  <c r="AG202" i="26"/>
  <c r="AG58" i="26"/>
  <c r="AG140" i="26"/>
  <c r="AG213" i="26"/>
  <c r="AG91" i="26"/>
  <c r="AG186" i="26"/>
  <c r="AG42" i="26"/>
  <c r="AG125" i="26"/>
  <c r="AG208" i="26"/>
  <c r="AG64" i="26"/>
  <c r="AG135" i="26"/>
  <c r="AG206" i="26"/>
  <c r="AG62" i="26"/>
  <c r="AG121" i="26"/>
  <c r="AG144" i="26"/>
  <c r="AG141" i="26"/>
  <c r="AG95" i="26"/>
  <c r="AG190" i="26"/>
  <c r="AG46" i="26"/>
  <c r="AG128" i="26"/>
  <c r="AG57" i="26"/>
  <c r="AG79" i="26"/>
  <c r="AG174" i="26"/>
  <c r="AG30" i="26"/>
  <c r="AG113" i="26"/>
  <c r="AG196" i="26"/>
  <c r="AG52" i="26"/>
  <c r="AG123" i="26"/>
  <c r="AG194" i="26"/>
  <c r="AG50" i="26"/>
  <c r="AG109" i="26"/>
  <c r="AG132" i="26"/>
  <c r="AG21" i="26"/>
  <c r="AG83" i="26"/>
  <c r="AG178" i="26"/>
  <c r="AG34" i="26"/>
  <c r="AG116" i="26"/>
  <c r="AG211" i="26"/>
  <c r="AG67" i="26"/>
  <c r="AG162" i="26"/>
  <c r="AG18" i="26"/>
  <c r="AG101" i="26"/>
  <c r="AG184" i="26"/>
  <c r="AG40" i="26"/>
  <c r="AG111" i="26"/>
  <c r="AG182" i="26"/>
  <c r="AG38" i="26"/>
  <c r="AG97" i="26"/>
  <c r="AG120" i="26"/>
  <c r="AG215" i="26"/>
  <c r="AG71" i="26"/>
  <c r="AG166" i="26"/>
  <c r="AG22" i="26"/>
  <c r="AG104" i="26"/>
  <c r="AG199" i="26"/>
  <c r="AG55" i="26"/>
  <c r="AG150" i="26"/>
  <c r="AG177" i="26"/>
  <c r="AG89" i="26"/>
  <c r="AG172" i="26"/>
  <c r="AG28" i="26"/>
  <c r="AG99" i="26"/>
  <c r="AG170" i="26"/>
  <c r="AG26" i="26"/>
  <c r="AG85" i="26"/>
  <c r="AG165" i="26"/>
  <c r="AG108" i="26"/>
  <c r="AG203" i="26"/>
  <c r="AG59" i="26"/>
  <c r="AG154" i="26"/>
  <c r="AG92" i="26"/>
  <c r="AG187" i="26"/>
  <c r="AG43" i="26"/>
  <c r="AG138" i="26"/>
  <c r="AG105" i="26"/>
  <c r="AG77" i="26"/>
  <c r="AG160" i="26"/>
  <c r="AG16" i="26"/>
  <c r="AG87" i="26"/>
  <c r="AG158" i="26"/>
  <c r="AG73" i="26"/>
  <c r="AG96" i="26"/>
  <c r="AG191" i="26"/>
  <c r="AG47" i="26"/>
  <c r="AG142" i="26"/>
  <c r="AG129" i="26"/>
  <c r="AG80" i="26"/>
  <c r="AG175" i="26"/>
  <c r="AG31" i="26"/>
  <c r="AG126" i="26"/>
  <c r="AG209" i="26"/>
  <c r="AG65" i="26"/>
  <c r="AG148" i="26"/>
  <c r="AG45" i="26"/>
  <c r="AG75" i="26"/>
  <c r="AG146" i="26"/>
  <c r="AG205" i="26"/>
  <c r="AG61" i="26"/>
  <c r="AG93" i="26"/>
  <c r="AG84" i="26"/>
  <c r="AG179" i="26"/>
  <c r="AG35" i="26"/>
  <c r="AG130" i="26"/>
  <c r="AG212" i="26"/>
  <c r="AG68" i="26"/>
  <c r="AG163" i="26"/>
  <c r="AG19" i="26"/>
  <c r="AG114" i="26"/>
  <c r="AG197" i="26"/>
  <c r="AG53" i="26"/>
  <c r="AG136" i="26"/>
  <c r="AG207" i="26"/>
  <c r="AG63" i="26"/>
  <c r="AG134" i="26"/>
  <c r="AG193" i="26"/>
  <c r="AG49" i="26"/>
  <c r="AG72" i="26"/>
  <c r="AG167" i="26"/>
  <c r="AG23" i="26"/>
  <c r="AG118" i="26"/>
  <c r="AG200" i="26"/>
  <c r="AG56" i="26"/>
  <c r="AG151" i="26"/>
  <c r="AG102" i="26"/>
  <c r="AG185" i="26"/>
  <c r="AG41" i="26"/>
  <c r="AG124" i="26"/>
  <c r="AG195" i="26"/>
  <c r="AG51" i="26"/>
  <c r="AG122" i="26"/>
  <c r="AG181" i="26"/>
  <c r="AG37" i="26"/>
  <c r="AE70" i="10"/>
  <c r="AC70" i="10"/>
  <c r="AE51" i="10"/>
  <c r="AC7" i="26"/>
  <c r="AC149" i="26"/>
  <c r="AC174" i="26"/>
  <c r="AC30" i="26"/>
  <c r="AC65" i="26"/>
  <c r="AC87" i="26"/>
  <c r="AC182" i="26"/>
  <c r="AC38" i="26"/>
  <c r="AC121" i="26"/>
  <c r="AC6" i="26"/>
  <c r="AC72" i="26"/>
  <c r="AC155" i="26"/>
  <c r="AC11" i="26"/>
  <c r="AC94" i="26"/>
  <c r="AC189" i="26"/>
  <c r="AC45" i="26"/>
  <c r="AC128" i="26"/>
  <c r="AC211" i="26"/>
  <c r="AC67" i="26"/>
  <c r="AC184" i="26"/>
  <c r="AC162" i="26"/>
  <c r="AC18" i="26"/>
  <c r="AC112" i="26"/>
  <c r="AC75" i="26"/>
  <c r="AC170" i="26"/>
  <c r="AC26" i="26"/>
  <c r="AC109" i="26"/>
  <c r="AC204" i="26"/>
  <c r="AC60" i="26"/>
  <c r="AC143" i="26"/>
  <c r="AC77" i="26"/>
  <c r="AC82" i="26"/>
  <c r="AC177" i="26"/>
  <c r="AC33" i="26"/>
  <c r="AC116" i="26"/>
  <c r="AC199" i="26"/>
  <c r="AC55" i="26"/>
  <c r="AC148" i="26"/>
  <c r="AC150" i="26"/>
  <c r="AC101" i="26"/>
  <c r="AC207" i="26"/>
  <c r="AC63" i="26"/>
  <c r="AC158" i="26"/>
  <c r="AC14" i="26"/>
  <c r="AC97" i="26"/>
  <c r="AC192" i="26"/>
  <c r="AC48" i="26"/>
  <c r="AC131" i="26"/>
  <c r="AC214" i="26"/>
  <c r="AC70" i="26"/>
  <c r="AC165" i="26"/>
  <c r="AC21" i="26"/>
  <c r="AC104" i="26"/>
  <c r="AC187" i="26"/>
  <c r="AC43" i="26"/>
  <c r="AC209" i="26"/>
  <c r="AC138" i="26"/>
  <c r="AC172" i="26"/>
  <c r="AC195" i="26"/>
  <c r="AC51" i="26"/>
  <c r="AC146" i="26"/>
  <c r="AC53" i="26"/>
  <c r="AC85" i="26"/>
  <c r="AC180" i="26"/>
  <c r="AC36" i="26"/>
  <c r="AC119" i="26"/>
  <c r="AC202" i="26"/>
  <c r="AC58" i="26"/>
  <c r="AC153" i="26"/>
  <c r="AC9" i="26"/>
  <c r="AC92" i="26"/>
  <c r="AC175" i="26"/>
  <c r="AC31" i="26"/>
  <c r="AC197" i="26"/>
  <c r="AC126" i="26"/>
  <c r="AC124" i="26"/>
  <c r="AC183" i="26"/>
  <c r="AC39" i="26"/>
  <c r="AC134" i="26"/>
  <c r="AC136" i="26"/>
  <c r="AC73" i="26"/>
  <c r="AC168" i="26"/>
  <c r="AC24" i="26"/>
  <c r="AC107" i="26"/>
  <c r="AC190" i="26"/>
  <c r="AC46" i="26"/>
  <c r="AC141" i="26"/>
  <c r="AC29" i="26"/>
  <c r="AC80" i="26"/>
  <c r="AC163" i="26"/>
  <c r="AC19" i="26"/>
  <c r="AC185" i="26"/>
  <c r="AC114" i="26"/>
  <c r="AC88" i="26"/>
  <c r="AC171" i="26"/>
  <c r="AC27" i="26"/>
  <c r="AC122" i="26"/>
  <c r="AC205" i="26"/>
  <c r="AC61" i="26"/>
  <c r="AC156" i="26"/>
  <c r="AC12" i="26"/>
  <c r="AC95" i="26"/>
  <c r="AC178" i="26"/>
  <c r="AC34" i="26"/>
  <c r="AC129" i="26"/>
  <c r="AC212" i="26"/>
  <c r="AC68" i="26"/>
  <c r="AC151" i="26"/>
  <c r="AC173" i="26"/>
  <c r="AC102" i="26"/>
  <c r="AC76" i="26"/>
  <c r="AC159" i="26"/>
  <c r="AC15" i="26"/>
  <c r="AC110" i="26"/>
  <c r="AC193" i="26"/>
  <c r="AC49" i="26"/>
  <c r="AC144" i="26"/>
  <c r="AC17" i="26"/>
  <c r="AC83" i="26"/>
  <c r="AC166" i="26"/>
  <c r="AC22" i="26"/>
  <c r="AC117" i="26"/>
  <c r="AC200" i="26"/>
  <c r="AC56" i="26"/>
  <c r="AC139" i="26"/>
  <c r="AC161" i="26"/>
  <c r="AC90" i="26"/>
  <c r="AC64" i="26"/>
  <c r="AC147" i="26"/>
  <c r="AC89" i="26"/>
  <c r="AC98" i="26"/>
  <c r="AC181" i="26"/>
  <c r="AC37" i="26"/>
  <c r="AC132" i="26"/>
  <c r="AC215" i="26"/>
  <c r="AC71" i="26"/>
  <c r="AC154" i="26"/>
  <c r="AC10" i="26"/>
  <c r="AC105" i="26"/>
  <c r="AC188" i="26"/>
  <c r="AC44" i="26"/>
  <c r="AC127" i="26"/>
  <c r="AC41" i="26"/>
  <c r="AC78" i="26"/>
  <c r="AC52" i="26"/>
  <c r="AC135" i="26"/>
  <c r="AC208" i="26"/>
  <c r="AC86" i="26"/>
  <c r="AC169" i="26"/>
  <c r="AC25" i="26"/>
  <c r="AC120" i="26"/>
  <c r="AC203" i="26"/>
  <c r="AC59" i="26"/>
  <c r="AC142" i="26"/>
  <c r="AC137" i="26"/>
  <c r="AC93" i="26"/>
  <c r="AC176" i="26"/>
  <c r="AC32" i="26"/>
  <c r="AC115" i="26"/>
  <c r="AC210" i="26"/>
  <c r="AC66" i="26"/>
  <c r="AC40" i="26"/>
  <c r="AC123" i="26"/>
  <c r="AC100" i="26"/>
  <c r="AC74" i="26"/>
  <c r="AC157" i="26"/>
  <c r="AC13" i="26"/>
  <c r="AC108" i="26"/>
  <c r="AC191" i="26"/>
  <c r="AC47" i="26"/>
  <c r="AC130" i="26"/>
  <c r="AC196" i="26"/>
  <c r="AC81" i="26"/>
  <c r="AC164" i="26"/>
  <c r="AC20" i="26"/>
  <c r="AC103" i="26"/>
  <c r="AC198" i="26"/>
  <c r="AC54" i="26"/>
  <c r="AC28" i="26"/>
  <c r="AC111" i="26"/>
  <c r="AC206" i="26"/>
  <c r="AC62" i="26"/>
  <c r="AC145" i="26"/>
  <c r="AC113" i="26"/>
  <c r="AC96" i="26"/>
  <c r="AC179" i="26"/>
  <c r="AC35" i="26"/>
  <c r="AC118" i="26"/>
  <c r="AC213" i="26"/>
  <c r="AC69" i="26"/>
  <c r="AC152" i="26"/>
  <c r="AC8" i="26"/>
  <c r="AC91" i="26"/>
  <c r="AC186" i="26"/>
  <c r="AC42" i="26"/>
  <c r="AC16" i="26"/>
  <c r="AC99" i="26"/>
  <c r="AC194" i="26"/>
  <c r="AC50" i="26"/>
  <c r="AC133" i="26"/>
  <c r="AC160" i="26"/>
  <c r="AC84" i="26"/>
  <c r="AC167" i="26"/>
  <c r="AC23" i="26"/>
  <c r="AC106" i="26"/>
  <c r="AC201" i="26"/>
  <c r="AC57" i="26"/>
  <c r="AC140" i="26"/>
  <c r="AC125" i="26"/>
  <c r="AC79" i="26"/>
  <c r="AY129" i="26"/>
  <c r="AZ129" i="26"/>
  <c r="BD128" i="26"/>
  <c r="AW128" i="26"/>
  <c r="AV128" i="26" s="1"/>
  <c r="BC129" i="26"/>
  <c r="BE130" i="26" s="1"/>
  <c r="AU130" i="26"/>
  <c r="P51" i="26"/>
  <c r="P48" i="26"/>
  <c r="P63" i="26"/>
  <c r="P75" i="26"/>
  <c r="P71" i="26"/>
  <c r="P80" i="26"/>
  <c r="P15" i="26"/>
  <c r="P14" i="26"/>
  <c r="P99" i="26"/>
  <c r="P86" i="26"/>
  <c r="P17" i="26"/>
  <c r="P84" i="26"/>
  <c r="P41" i="26"/>
  <c r="P85" i="26"/>
  <c r="P8" i="26"/>
  <c r="P68" i="26"/>
  <c r="P78" i="26"/>
  <c r="P73" i="26"/>
  <c r="P91" i="26"/>
  <c r="P47" i="26"/>
  <c r="P20" i="26"/>
  <c r="P83" i="26"/>
  <c r="P44" i="26"/>
  <c r="P65" i="26"/>
  <c r="P77" i="26"/>
  <c r="P82" i="26"/>
  <c r="P70" i="26"/>
  <c r="P74" i="26"/>
  <c r="P61" i="26"/>
  <c r="P22" i="26"/>
  <c r="P10" i="26"/>
  <c r="P93" i="26"/>
  <c r="P11" i="26"/>
  <c r="P66" i="26"/>
  <c r="P21" i="26"/>
  <c r="P24" i="26"/>
  <c r="P9" i="26"/>
  <c r="P62" i="26"/>
  <c r="P79" i="26"/>
  <c r="P42" i="26"/>
  <c r="P95" i="26"/>
  <c r="P103" i="26"/>
  <c r="P52" i="26"/>
  <c r="P88" i="26"/>
  <c r="P72" i="26"/>
  <c r="P102" i="26"/>
  <c r="P12" i="26"/>
  <c r="P23" i="26"/>
  <c r="P60" i="26"/>
  <c r="P7" i="26"/>
  <c r="P92" i="26"/>
  <c r="P81" i="26"/>
  <c r="P43" i="26"/>
  <c r="P100" i="26"/>
  <c r="P101" i="26"/>
  <c r="P49" i="26"/>
  <c r="P64" i="26"/>
  <c r="P94" i="26"/>
  <c r="P69" i="26"/>
  <c r="P56" i="26"/>
  <c r="P57" i="26"/>
  <c r="AD7" i="26"/>
  <c r="AD19" i="26"/>
  <c r="AD31" i="26"/>
  <c r="AD43" i="26"/>
  <c r="AD55" i="26"/>
  <c r="AD67" i="26"/>
  <c r="AD79" i="26"/>
  <c r="AD91" i="26"/>
  <c r="AD103" i="26"/>
  <c r="AD115" i="26"/>
  <c r="AD127" i="26"/>
  <c r="AD139" i="26"/>
  <c r="AD151" i="26"/>
  <c r="AD163" i="26"/>
  <c r="AD175" i="26"/>
  <c r="AD187" i="26"/>
  <c r="AD199" i="26"/>
  <c r="AD211" i="26"/>
  <c r="AD8" i="26"/>
  <c r="AD20" i="26"/>
  <c r="AD32" i="26"/>
  <c r="AD44" i="26"/>
  <c r="AD56" i="26"/>
  <c r="AD68" i="26"/>
  <c r="AD80" i="26"/>
  <c r="AD92" i="26"/>
  <c r="AD104" i="26"/>
  <c r="AD116" i="26"/>
  <c r="AD128" i="26"/>
  <c r="AD140" i="26"/>
  <c r="AD152" i="26"/>
  <c r="AD164" i="26"/>
  <c r="AD176" i="26"/>
  <c r="AD188" i="26"/>
  <c r="AD200" i="26"/>
  <c r="AD212" i="26"/>
  <c r="AD9" i="26"/>
  <c r="AD21" i="26"/>
  <c r="AD33" i="26"/>
  <c r="AD45" i="26"/>
  <c r="AD57" i="26"/>
  <c r="AD69" i="26"/>
  <c r="AD81" i="26"/>
  <c r="AD93" i="26"/>
  <c r="AD105" i="26"/>
  <c r="AD117" i="26"/>
  <c r="AD129" i="26"/>
  <c r="AD141" i="26"/>
  <c r="AD153" i="26"/>
  <c r="AD165" i="26"/>
  <c r="AD177" i="26"/>
  <c r="AD189" i="26"/>
  <c r="AD201" i="26"/>
  <c r="AD213" i="26"/>
  <c r="AD10" i="26"/>
  <c r="AD22" i="26"/>
  <c r="AD34" i="26"/>
  <c r="AD46" i="26"/>
  <c r="AD58" i="26"/>
  <c r="AD70" i="26"/>
  <c r="AD82" i="26"/>
  <c r="AD94" i="26"/>
  <c r="AD106" i="26"/>
  <c r="AD118" i="26"/>
  <c r="AD130" i="26"/>
  <c r="AD142" i="26"/>
  <c r="AD154" i="26"/>
  <c r="AD166" i="26"/>
  <c r="AD178" i="26"/>
  <c r="AD190" i="26"/>
  <c r="AD202" i="26"/>
  <c r="AD214" i="26"/>
  <c r="AD11" i="26"/>
  <c r="AD23" i="26"/>
  <c r="AD35" i="26"/>
  <c r="AD47" i="26"/>
  <c r="AD59" i="26"/>
  <c r="AD71" i="26"/>
  <c r="AD83" i="26"/>
  <c r="AD95" i="26"/>
  <c r="AD107" i="26"/>
  <c r="AD119" i="26"/>
  <c r="AD131" i="26"/>
  <c r="AD143" i="26"/>
  <c r="AD155" i="26"/>
  <c r="AD167" i="26"/>
  <c r="AD179" i="26"/>
  <c r="AD191" i="26"/>
  <c r="AD203" i="26"/>
  <c r="AD215" i="26"/>
  <c r="AD12" i="26"/>
  <c r="AD24" i="26"/>
  <c r="AD36" i="26"/>
  <c r="AD48" i="26"/>
  <c r="AD60" i="26"/>
  <c r="AD72" i="26"/>
  <c r="AD84" i="26"/>
  <c r="AD96" i="26"/>
  <c r="AD108" i="26"/>
  <c r="AD120" i="26"/>
  <c r="AD132" i="26"/>
  <c r="AD144" i="26"/>
  <c r="AD156" i="26"/>
  <c r="AD168" i="26"/>
  <c r="AD180" i="26"/>
  <c r="AD192" i="26"/>
  <c r="AD204" i="26"/>
  <c r="AD13" i="26"/>
  <c r="AD25" i="26"/>
  <c r="AD37" i="26"/>
  <c r="AD49" i="26"/>
  <c r="AD61" i="26"/>
  <c r="AD73" i="26"/>
  <c r="AD85" i="26"/>
  <c r="AD97" i="26"/>
  <c r="AD109" i="26"/>
  <c r="AD121" i="26"/>
  <c r="AD133" i="26"/>
  <c r="AD145" i="26"/>
  <c r="AD157" i="26"/>
  <c r="AD169" i="26"/>
  <c r="AD181" i="26"/>
  <c r="AD193" i="26"/>
  <c r="AD205" i="26"/>
  <c r="AD14" i="26"/>
  <c r="AD26" i="26"/>
  <c r="AD38" i="26"/>
  <c r="AD50" i="26"/>
  <c r="AD62" i="26"/>
  <c r="AD74" i="26"/>
  <c r="AD86" i="26"/>
  <c r="AD98" i="26"/>
  <c r="AD110" i="26"/>
  <c r="AD122" i="26"/>
  <c r="AD134" i="26"/>
  <c r="AD146" i="26"/>
  <c r="AD158" i="26"/>
  <c r="AD170" i="26"/>
  <c r="AD182" i="26"/>
  <c r="AD194" i="26"/>
  <c r="AD206" i="26"/>
  <c r="AD15" i="26"/>
  <c r="AD27" i="26"/>
  <c r="AD39" i="26"/>
  <c r="AD51" i="26"/>
  <c r="AD63" i="26"/>
  <c r="AD75" i="26"/>
  <c r="AD87" i="26"/>
  <c r="AD99" i="26"/>
  <c r="AD111" i="26"/>
  <c r="AD123" i="26"/>
  <c r="AD135" i="26"/>
  <c r="AD147" i="26"/>
  <c r="AD159" i="26"/>
  <c r="AD171" i="26"/>
  <c r="AD183" i="26"/>
  <c r="AD195" i="26"/>
  <c r="AD207" i="26"/>
  <c r="AD18" i="26"/>
  <c r="AD30" i="26"/>
  <c r="AD42" i="26"/>
  <c r="AD54" i="26"/>
  <c r="AD66" i="26"/>
  <c r="AD78" i="26"/>
  <c r="AD90" i="26"/>
  <c r="AD102" i="26"/>
  <c r="AD114" i="26"/>
  <c r="AD126" i="26"/>
  <c r="AD138" i="26"/>
  <c r="AD150" i="26"/>
  <c r="AD162" i="26"/>
  <c r="AD174" i="26"/>
  <c r="AD186" i="26"/>
  <c r="AD198" i="26"/>
  <c r="AD210" i="26"/>
  <c r="AD16" i="26"/>
  <c r="AD88" i="26"/>
  <c r="AD160" i="26"/>
  <c r="AD17" i="26"/>
  <c r="AD89" i="26"/>
  <c r="AD161" i="26"/>
  <c r="AD28" i="26"/>
  <c r="AD100" i="26"/>
  <c r="AD172" i="26"/>
  <c r="AD29" i="26"/>
  <c r="AD101" i="26"/>
  <c r="AD173" i="26"/>
  <c r="AD40" i="26"/>
  <c r="AD112" i="26"/>
  <c r="AD184" i="26"/>
  <c r="AD41" i="26"/>
  <c r="AD113" i="26"/>
  <c r="AD185" i="26"/>
  <c r="AD52" i="26"/>
  <c r="AD124" i="26"/>
  <c r="AD196" i="26"/>
  <c r="AD53" i="26"/>
  <c r="AD125" i="26"/>
  <c r="AD197" i="26"/>
  <c r="AD64" i="26"/>
  <c r="AD136" i="26"/>
  <c r="AD208" i="26"/>
  <c r="AD65" i="26"/>
  <c r="AD137" i="26"/>
  <c r="AD209" i="26"/>
  <c r="AD77" i="26"/>
  <c r="AD149" i="26"/>
  <c r="AD76" i="26"/>
  <c r="AD148" i="26"/>
  <c r="P58" i="26"/>
  <c r="P104" i="26"/>
  <c r="P97" i="26"/>
  <c r="P40" i="26"/>
  <c r="P16" i="26"/>
  <c r="P55" i="26"/>
  <c r="P46" i="26"/>
  <c r="P89" i="26"/>
  <c r="P54" i="26"/>
  <c r="P76" i="26"/>
  <c r="P19" i="26"/>
  <c r="P67" i="26"/>
  <c r="P96" i="26"/>
  <c r="P90" i="26"/>
  <c r="P98" i="26"/>
  <c r="AN6" i="26"/>
  <c r="AN12" i="26"/>
  <c r="AN24" i="26"/>
  <c r="AN36" i="26"/>
  <c r="AN48" i="26"/>
  <c r="AN15" i="26"/>
  <c r="AN18" i="26"/>
  <c r="AN30" i="26"/>
  <c r="AN42" i="26"/>
  <c r="AN10" i="26"/>
  <c r="AN22" i="26"/>
  <c r="AN34" i="26"/>
  <c r="AN46" i="26"/>
  <c r="AN7" i="26"/>
  <c r="AN25" i="26"/>
  <c r="AN40" i="26"/>
  <c r="AN55" i="26"/>
  <c r="AN67" i="26"/>
  <c r="AN79" i="26"/>
  <c r="AN91" i="26"/>
  <c r="AN103" i="26"/>
  <c r="AN115" i="26"/>
  <c r="AN127" i="26"/>
  <c r="AN139" i="26"/>
  <c r="AN151" i="26"/>
  <c r="AN163" i="26"/>
  <c r="AN175" i="26"/>
  <c r="AN187" i="26"/>
  <c r="AN199" i="26"/>
  <c r="AN211" i="26"/>
  <c r="AN8" i="26"/>
  <c r="AN26" i="26"/>
  <c r="AN41" i="26"/>
  <c r="AN56" i="26"/>
  <c r="AN68" i="26"/>
  <c r="AN80" i="26"/>
  <c r="AN92" i="26"/>
  <c r="AN104" i="26"/>
  <c r="AN116" i="26"/>
  <c r="AN128" i="26"/>
  <c r="AN140" i="26"/>
  <c r="AN152" i="26"/>
  <c r="AN164" i="26"/>
  <c r="AN176" i="26"/>
  <c r="AN188" i="26"/>
  <c r="AN200" i="26"/>
  <c r="AN212" i="26"/>
  <c r="AN9" i="26"/>
  <c r="AN27" i="26"/>
  <c r="AN43" i="26"/>
  <c r="AN57" i="26"/>
  <c r="AN69" i="26"/>
  <c r="AN81" i="26"/>
  <c r="AN93" i="26"/>
  <c r="AN105" i="26"/>
  <c r="AN117" i="26"/>
  <c r="AN129" i="26"/>
  <c r="AN141" i="26"/>
  <c r="AN153" i="26"/>
  <c r="AN165" i="26"/>
  <c r="AN177" i="26"/>
  <c r="AN189" i="26"/>
  <c r="AN201" i="26"/>
  <c r="AN213" i="26"/>
  <c r="AN11" i="26"/>
  <c r="AN28" i="26"/>
  <c r="AN44" i="26"/>
  <c r="AN58" i="26"/>
  <c r="AN70" i="26"/>
  <c r="AN82" i="26"/>
  <c r="AN94" i="26"/>
  <c r="AN106" i="26"/>
  <c r="AN118" i="26"/>
  <c r="AN130" i="26"/>
  <c r="AN142" i="26"/>
  <c r="AN154" i="26"/>
  <c r="AN166" i="26"/>
  <c r="AN178" i="26"/>
  <c r="AN190" i="26"/>
  <c r="AN202" i="26"/>
  <c r="AN214" i="26"/>
  <c r="AN13" i="26"/>
  <c r="AN29" i="26"/>
  <c r="AN45" i="26"/>
  <c r="AN59" i="26"/>
  <c r="AN71" i="26"/>
  <c r="AN83" i="26"/>
  <c r="AN95" i="26"/>
  <c r="AN107" i="26"/>
  <c r="AN119" i="26"/>
  <c r="AN131" i="26"/>
  <c r="AN143" i="26"/>
  <c r="AN155" i="26"/>
  <c r="AN167" i="26"/>
  <c r="AN179" i="26"/>
  <c r="AN191" i="26"/>
  <c r="AN203" i="26"/>
  <c r="AN215" i="26"/>
  <c r="AN14" i="26"/>
  <c r="AN31" i="26"/>
  <c r="AN47" i="26"/>
  <c r="AN60" i="26"/>
  <c r="AN72" i="26"/>
  <c r="AN84" i="26"/>
  <c r="AN96" i="26"/>
  <c r="AN108" i="26"/>
  <c r="AN120" i="26"/>
  <c r="AN132" i="26"/>
  <c r="AN144" i="26"/>
  <c r="AN156" i="26"/>
  <c r="AN168" i="26"/>
  <c r="AN180" i="26"/>
  <c r="AN192" i="26"/>
  <c r="AN204" i="26"/>
  <c r="AN16" i="26"/>
  <c r="AN32" i="26"/>
  <c r="AN49" i="26"/>
  <c r="AN61" i="26"/>
  <c r="AN73" i="26"/>
  <c r="AN85" i="26"/>
  <c r="AN97" i="26"/>
  <c r="AN109" i="26"/>
  <c r="AN121" i="26"/>
  <c r="AN133" i="26"/>
  <c r="AN145" i="26"/>
  <c r="AN157" i="26"/>
  <c r="AN169" i="26"/>
  <c r="AN181" i="26"/>
  <c r="AN193" i="26"/>
  <c r="AN205" i="26"/>
  <c r="AN17" i="26"/>
  <c r="AN33" i="26"/>
  <c r="AN50" i="26"/>
  <c r="AN62" i="26"/>
  <c r="AN74" i="26"/>
  <c r="AN86" i="26"/>
  <c r="AN98" i="26"/>
  <c r="AN110" i="26"/>
  <c r="AN122" i="26"/>
  <c r="AN134" i="26"/>
  <c r="AN146" i="26"/>
  <c r="AN158" i="26"/>
  <c r="AN170" i="26"/>
  <c r="AN182" i="26"/>
  <c r="AN194" i="26"/>
  <c r="AN206" i="26"/>
  <c r="AN19" i="26"/>
  <c r="AN35" i="26"/>
  <c r="AN51" i="26"/>
  <c r="AN63" i="26"/>
  <c r="AN75" i="26"/>
  <c r="AN87" i="26"/>
  <c r="AN99" i="26"/>
  <c r="AN111" i="26"/>
  <c r="AN123" i="26"/>
  <c r="AN135" i="26"/>
  <c r="AN147" i="26"/>
  <c r="AN159" i="26"/>
  <c r="AN171" i="26"/>
  <c r="AN183" i="26"/>
  <c r="AN195" i="26"/>
  <c r="AN207" i="26"/>
  <c r="AN20" i="26"/>
  <c r="AN37" i="26"/>
  <c r="AN52" i="26"/>
  <c r="AN64" i="26"/>
  <c r="AN76" i="26"/>
  <c r="AN88" i="26"/>
  <c r="AN100" i="26"/>
  <c r="AN112" i="26"/>
  <c r="AN124" i="26"/>
  <c r="AN136" i="26"/>
  <c r="AN148" i="26"/>
  <c r="AN160" i="26"/>
  <c r="AN172" i="26"/>
  <c r="AN184" i="26"/>
  <c r="AN196" i="26"/>
  <c r="AN208" i="26"/>
  <c r="AN53" i="26"/>
  <c r="AN125" i="26"/>
  <c r="AN197" i="26"/>
  <c r="AN114" i="26"/>
  <c r="AN54" i="26"/>
  <c r="AN126" i="26"/>
  <c r="AN198" i="26"/>
  <c r="AN65" i="26"/>
  <c r="AN137" i="26"/>
  <c r="AN209" i="26"/>
  <c r="AN185" i="26"/>
  <c r="AN66" i="26"/>
  <c r="AN138" i="26"/>
  <c r="AN210" i="26"/>
  <c r="AN77" i="26"/>
  <c r="AN149" i="26"/>
  <c r="AN78" i="26"/>
  <c r="AN150" i="26"/>
  <c r="AN89" i="26"/>
  <c r="AN161" i="26"/>
  <c r="AN38" i="26"/>
  <c r="AN186" i="26"/>
  <c r="AN90" i="26"/>
  <c r="AN162" i="26"/>
  <c r="AN113" i="26"/>
  <c r="AN21" i="26"/>
  <c r="AN101" i="26"/>
  <c r="AN173" i="26"/>
  <c r="AN23" i="26"/>
  <c r="AN102" i="26"/>
  <c r="AN174" i="26"/>
  <c r="AN39" i="26"/>
  <c r="P6" i="26"/>
  <c r="P87" i="26"/>
  <c r="P50" i="26"/>
  <c r="AG82" i="10"/>
  <c r="C15" i="21"/>
  <c r="AG45" i="10"/>
  <c r="AH45" i="10"/>
  <c r="AC45" i="10"/>
  <c r="AF45" i="10"/>
  <c r="AE45" i="10"/>
  <c r="AF82" i="10"/>
  <c r="AD82" i="10"/>
  <c r="AH82" i="10"/>
  <c r="AE82" i="10"/>
  <c r="AF41" i="10"/>
  <c r="AG41" i="10"/>
  <c r="AF44" i="10"/>
  <c r="AH44" i="10"/>
  <c r="AD44" i="10"/>
  <c r="AG44" i="10"/>
  <c r="AE44" i="10"/>
  <c r="AC44" i="10"/>
  <c r="AC62" i="10"/>
  <c r="AD62" i="10"/>
  <c r="AG62" i="10"/>
  <c r="AH62" i="10"/>
  <c r="AE62" i="10"/>
  <c r="AF62" i="10"/>
  <c r="AH24" i="10"/>
  <c r="AC24" i="10"/>
  <c r="AF24" i="10"/>
  <c r="AE24" i="10"/>
  <c r="AG24" i="10"/>
  <c r="AU17" i="22"/>
  <c r="AX17" i="22"/>
  <c r="AV17" i="22"/>
  <c r="C17" i="18"/>
  <c r="AW17" i="22"/>
  <c r="AO17" i="22"/>
  <c r="AR17" i="22"/>
  <c r="AT17" i="22"/>
  <c r="AS17" i="22"/>
  <c r="AB19" i="22" a="1"/>
  <c r="AB19" i="22" s="1"/>
  <c r="AQ17" i="22"/>
  <c r="AC18" i="22"/>
  <c r="AP17" i="22"/>
  <c r="BB18" i="26" l="1"/>
  <c r="BB8" i="26"/>
  <c r="AK19" i="22"/>
  <c r="AF19" i="22"/>
  <c r="AG19" i="22"/>
  <c r="AE19" i="22"/>
  <c r="AH19" i="22"/>
  <c r="AI19" i="22"/>
  <c r="AD19" i="22"/>
  <c r="AL19" i="22"/>
  <c r="AM19" i="22"/>
  <c r="AJ19" i="22"/>
  <c r="BB12" i="26"/>
  <c r="BB15" i="26"/>
  <c r="BB11" i="26"/>
  <c r="BB13" i="26"/>
  <c r="BB23" i="26"/>
  <c r="BB29" i="26"/>
  <c r="BB27" i="26"/>
  <c r="BB14" i="26"/>
  <c r="BB31" i="26"/>
  <c r="BB21" i="26"/>
  <c r="BB24" i="26"/>
  <c r="BB30" i="26"/>
  <c r="BB28" i="26"/>
  <c r="BB19" i="26"/>
  <c r="BB22" i="26"/>
  <c r="BB26" i="26"/>
  <c r="BB7" i="26"/>
  <c r="BB25" i="26"/>
  <c r="BB20" i="26"/>
  <c r="BB9" i="26"/>
  <c r="BB17" i="26"/>
  <c r="BB10" i="26"/>
  <c r="BB16" i="26"/>
  <c r="BB32" i="26"/>
  <c r="BB33" i="26"/>
  <c r="BB34" i="26"/>
  <c r="BB35" i="26"/>
  <c r="BB36" i="26"/>
  <c r="BB37" i="26"/>
  <c r="BB38" i="26"/>
  <c r="BB39" i="26"/>
  <c r="BB40" i="26"/>
  <c r="BB41" i="26"/>
  <c r="BB42" i="26"/>
  <c r="BB43" i="26"/>
  <c r="BB44" i="26"/>
  <c r="BB45" i="26"/>
  <c r="BB46" i="26"/>
  <c r="BB47" i="26"/>
  <c r="BB48" i="26"/>
  <c r="BB49" i="26"/>
  <c r="BB50" i="26"/>
  <c r="BB51" i="26"/>
  <c r="BB52" i="26"/>
  <c r="BB53" i="26"/>
  <c r="BB54" i="26"/>
  <c r="BB55" i="26"/>
  <c r="BB56" i="26"/>
  <c r="BB57" i="26"/>
  <c r="BB58" i="26"/>
  <c r="BB59" i="26"/>
  <c r="BB60" i="26"/>
  <c r="BB61" i="26"/>
  <c r="BB62" i="26"/>
  <c r="BB63" i="26"/>
  <c r="BB64" i="26"/>
  <c r="BB65" i="26"/>
  <c r="BB66" i="26"/>
  <c r="BB67" i="26"/>
  <c r="BB68" i="26"/>
  <c r="BB69" i="26"/>
  <c r="BB70" i="26"/>
  <c r="BB71" i="26"/>
  <c r="BB72" i="26"/>
  <c r="BB73" i="26"/>
  <c r="BB74" i="26"/>
  <c r="BB75" i="26"/>
  <c r="BB76" i="26"/>
  <c r="BB77" i="26"/>
  <c r="BB78" i="26"/>
  <c r="BB79" i="26"/>
  <c r="BB80" i="26"/>
  <c r="BB81" i="26"/>
  <c r="BB82" i="26"/>
  <c r="BB83" i="26"/>
  <c r="BB84" i="26"/>
  <c r="BB85" i="26"/>
  <c r="BB86" i="26"/>
  <c r="BB87" i="26"/>
  <c r="BB88" i="26"/>
  <c r="BB89" i="26"/>
  <c r="BB90" i="26"/>
  <c r="BB91" i="26"/>
  <c r="BB92" i="26"/>
  <c r="BB93" i="26"/>
  <c r="BB94" i="26"/>
  <c r="BB95" i="26"/>
  <c r="BB96" i="26"/>
  <c r="BB97" i="26"/>
  <c r="BB98" i="26"/>
  <c r="BB99" i="26"/>
  <c r="BB100" i="26"/>
  <c r="BB101" i="26"/>
  <c r="BB102" i="26"/>
  <c r="BB103" i="26"/>
  <c r="BB104" i="26"/>
  <c r="BB105" i="26"/>
  <c r="BB106" i="26"/>
  <c r="BB107" i="26"/>
  <c r="BB108" i="26"/>
  <c r="BB109" i="26"/>
  <c r="BB110" i="26"/>
  <c r="BB111" i="26"/>
  <c r="BB112" i="26"/>
  <c r="BB113" i="26"/>
  <c r="BB114" i="26"/>
  <c r="BB115" i="26"/>
  <c r="BB116" i="26"/>
  <c r="BB117" i="26"/>
  <c r="BB118" i="26"/>
  <c r="BB119" i="26"/>
  <c r="BB120" i="26"/>
  <c r="BB121" i="26"/>
  <c r="BB122" i="26"/>
  <c r="BB123" i="26"/>
  <c r="BB124" i="26"/>
  <c r="BB125" i="26"/>
  <c r="BB126" i="26"/>
  <c r="BB127" i="26"/>
  <c r="BB128" i="26"/>
  <c r="BB130" i="26"/>
  <c r="BC130" i="26"/>
  <c r="BE131" i="26" s="1"/>
  <c r="AU131" i="26"/>
  <c r="AZ130" i="26"/>
  <c r="AY130" i="26"/>
  <c r="AW129" i="26"/>
  <c r="AV129" i="26" s="1"/>
  <c r="BD129" i="26"/>
  <c r="BB129" i="26"/>
  <c r="AE8" i="26"/>
  <c r="AE20" i="26"/>
  <c r="AE32" i="26"/>
  <c r="AE44" i="26"/>
  <c r="AE56" i="26"/>
  <c r="AE68" i="26"/>
  <c r="AE80" i="26"/>
  <c r="AE92" i="26"/>
  <c r="AE104" i="26"/>
  <c r="AE116" i="26"/>
  <c r="AE128" i="26"/>
  <c r="AE140" i="26"/>
  <c r="AE152" i="26"/>
  <c r="AE164" i="26"/>
  <c r="AE176" i="26"/>
  <c r="AE188" i="26"/>
  <c r="AE200" i="26"/>
  <c r="AE212" i="26"/>
  <c r="AE113" i="26"/>
  <c r="AE161" i="26"/>
  <c r="AE78" i="26"/>
  <c r="AE9" i="26"/>
  <c r="AE21" i="26"/>
  <c r="AE33" i="26"/>
  <c r="AE45" i="26"/>
  <c r="AE57" i="26"/>
  <c r="AE69" i="26"/>
  <c r="AE81" i="26"/>
  <c r="AE93" i="26"/>
  <c r="AE105" i="26"/>
  <c r="AE117" i="26"/>
  <c r="AE129" i="26"/>
  <c r="AE141" i="26"/>
  <c r="AE153" i="26"/>
  <c r="AE165" i="26"/>
  <c r="AE177" i="26"/>
  <c r="AE189" i="26"/>
  <c r="AE201" i="26"/>
  <c r="AE213" i="26"/>
  <c r="AE77" i="26"/>
  <c r="AE126" i="26"/>
  <c r="AE10" i="26"/>
  <c r="AE22" i="26"/>
  <c r="AE34" i="26"/>
  <c r="AE46" i="26"/>
  <c r="AE58" i="26"/>
  <c r="AE70" i="26"/>
  <c r="AE82" i="26"/>
  <c r="AE94" i="26"/>
  <c r="AE106" i="26"/>
  <c r="AE118" i="26"/>
  <c r="AE130" i="26"/>
  <c r="AE142" i="26"/>
  <c r="AE154" i="26"/>
  <c r="AE166" i="26"/>
  <c r="AE178" i="26"/>
  <c r="AE190" i="26"/>
  <c r="AE202" i="26"/>
  <c r="AE214" i="26"/>
  <c r="AE65" i="26"/>
  <c r="AE185" i="26"/>
  <c r="AE90" i="26"/>
  <c r="AE198" i="26"/>
  <c r="AE11" i="26"/>
  <c r="AE23" i="26"/>
  <c r="AE35" i="26"/>
  <c r="AE47" i="26"/>
  <c r="AE59" i="26"/>
  <c r="AE71" i="26"/>
  <c r="AE83" i="26"/>
  <c r="AE95" i="26"/>
  <c r="AE107" i="26"/>
  <c r="AE119" i="26"/>
  <c r="AE131" i="26"/>
  <c r="AE143" i="26"/>
  <c r="AE155" i="26"/>
  <c r="AE167" i="26"/>
  <c r="AE179" i="26"/>
  <c r="AE191" i="26"/>
  <c r="AE203" i="26"/>
  <c r="AE215" i="26"/>
  <c r="AE101" i="26"/>
  <c r="AE149" i="26"/>
  <c r="AE209" i="26"/>
  <c r="AE54" i="26"/>
  <c r="AE12" i="26"/>
  <c r="AE24" i="26"/>
  <c r="AE36" i="26"/>
  <c r="AE48" i="26"/>
  <c r="AE60" i="26"/>
  <c r="AE72" i="26"/>
  <c r="AE84" i="26"/>
  <c r="AE96" i="26"/>
  <c r="AE108" i="26"/>
  <c r="AE120" i="26"/>
  <c r="AE132" i="26"/>
  <c r="AE144" i="26"/>
  <c r="AE156" i="26"/>
  <c r="AE168" i="26"/>
  <c r="AE180" i="26"/>
  <c r="AE192" i="26"/>
  <c r="AE204" i="26"/>
  <c r="AE7" i="26"/>
  <c r="AE125" i="26"/>
  <c r="AE173" i="26"/>
  <c r="AE102" i="26"/>
  <c r="AE13" i="26"/>
  <c r="AE25" i="26"/>
  <c r="AE37" i="26"/>
  <c r="AE49" i="26"/>
  <c r="AE61" i="26"/>
  <c r="AE73" i="26"/>
  <c r="AE85" i="26"/>
  <c r="AE97" i="26"/>
  <c r="AE109" i="26"/>
  <c r="AE121" i="26"/>
  <c r="AE133" i="26"/>
  <c r="AE145" i="26"/>
  <c r="AE157" i="26"/>
  <c r="AE169" i="26"/>
  <c r="AE181" i="26"/>
  <c r="AE193" i="26"/>
  <c r="AE205" i="26"/>
  <c r="AE6" i="26"/>
  <c r="AE53" i="26"/>
  <c r="AE197" i="26"/>
  <c r="AE18" i="26"/>
  <c r="AE150" i="26"/>
  <c r="AE210" i="26"/>
  <c r="AE14" i="26"/>
  <c r="AE26" i="26"/>
  <c r="AE38" i="26"/>
  <c r="AE50" i="26"/>
  <c r="AE62" i="26"/>
  <c r="AE74" i="26"/>
  <c r="AE86" i="26"/>
  <c r="AE98" i="26"/>
  <c r="AE110" i="26"/>
  <c r="AE122" i="26"/>
  <c r="AE134" i="26"/>
  <c r="AE146" i="26"/>
  <c r="AE158" i="26"/>
  <c r="AE170" i="26"/>
  <c r="AE182" i="26"/>
  <c r="AE194" i="26"/>
  <c r="AE206" i="26"/>
  <c r="AE41" i="26"/>
  <c r="AE30" i="26"/>
  <c r="AE138" i="26"/>
  <c r="AE162" i="26"/>
  <c r="AE186" i="26"/>
  <c r="AE15" i="26"/>
  <c r="AE27" i="26"/>
  <c r="AE39" i="26"/>
  <c r="AE51" i="26"/>
  <c r="AE63" i="26"/>
  <c r="AE75" i="26"/>
  <c r="AE87" i="26"/>
  <c r="AE99" i="26"/>
  <c r="AE111" i="26"/>
  <c r="AE123" i="26"/>
  <c r="AE135" i="26"/>
  <c r="AE147" i="26"/>
  <c r="AE159" i="26"/>
  <c r="AE171" i="26"/>
  <c r="AE183" i="26"/>
  <c r="AE195" i="26"/>
  <c r="AE207" i="26"/>
  <c r="AE17" i="26"/>
  <c r="AE42" i="26"/>
  <c r="AE174" i="26"/>
  <c r="AE16" i="26"/>
  <c r="AE28" i="26"/>
  <c r="AE40" i="26"/>
  <c r="AE52" i="26"/>
  <c r="AE64" i="26"/>
  <c r="AE76" i="26"/>
  <c r="AE88" i="26"/>
  <c r="AE100" i="26"/>
  <c r="AE112" i="26"/>
  <c r="AE124" i="26"/>
  <c r="AE136" i="26"/>
  <c r="AE148" i="26"/>
  <c r="AE160" i="26"/>
  <c r="AE172" i="26"/>
  <c r="AE184" i="26"/>
  <c r="AE196" i="26"/>
  <c r="AE208" i="26"/>
  <c r="AE29" i="26"/>
  <c r="AE114" i="26"/>
  <c r="AE19" i="26"/>
  <c r="AE31" i="26"/>
  <c r="AE43" i="26"/>
  <c r="AE55" i="26"/>
  <c r="AE67" i="26"/>
  <c r="AE79" i="26"/>
  <c r="AE91" i="26"/>
  <c r="AE103" i="26"/>
  <c r="AE115" i="26"/>
  <c r="AE127" i="26"/>
  <c r="AE139" i="26"/>
  <c r="AE151" i="26"/>
  <c r="AE163" i="26"/>
  <c r="AE175" i="26"/>
  <c r="AE187" i="26"/>
  <c r="AE199" i="26"/>
  <c r="AE211" i="26"/>
  <c r="AE89" i="26"/>
  <c r="AE137" i="26"/>
  <c r="AE66" i="26"/>
  <c r="AA83" i="26"/>
  <c r="AA147" i="26"/>
  <c r="AA13" i="26"/>
  <c r="AA55" i="26"/>
  <c r="AA171" i="26"/>
  <c r="AA172" i="26"/>
  <c r="AA22" i="26"/>
  <c r="AA189" i="26"/>
  <c r="AA69" i="26"/>
  <c r="AA131" i="26"/>
  <c r="AA130" i="26"/>
  <c r="AA60" i="26"/>
  <c r="AA200" i="26"/>
  <c r="AA57" i="26"/>
  <c r="AA132" i="26"/>
  <c r="AA93" i="26"/>
  <c r="AA9" i="26"/>
  <c r="AA119" i="26"/>
  <c r="AA11" i="26"/>
  <c r="AA32" i="26"/>
  <c r="AA116" i="26"/>
  <c r="AA164" i="26"/>
  <c r="AA142" i="26"/>
  <c r="AA187" i="26"/>
  <c r="AA18" i="26"/>
  <c r="AA207" i="26"/>
  <c r="AA54" i="26"/>
  <c r="AA143" i="26"/>
  <c r="AA159" i="26"/>
  <c r="AA50" i="26"/>
  <c r="AA76" i="26"/>
  <c r="AA182" i="26"/>
  <c r="AA49" i="26"/>
  <c r="AA73" i="26"/>
  <c r="AA97" i="26"/>
  <c r="AA213" i="26"/>
  <c r="AA204" i="26"/>
  <c r="AA192" i="26"/>
  <c r="AA202" i="26"/>
  <c r="AA95" i="26"/>
  <c r="AA188" i="26"/>
  <c r="AA48" i="26"/>
  <c r="AA211" i="26"/>
  <c r="AA105" i="26"/>
  <c r="AA107" i="26"/>
  <c r="AA44" i="26"/>
  <c r="AA152" i="26"/>
  <c r="AA67" i="26"/>
  <c r="AA175" i="26"/>
  <c r="AA139" i="26"/>
  <c r="AA43" i="26"/>
  <c r="AA179" i="26"/>
  <c r="AA138" i="26"/>
  <c r="AA208" i="26"/>
  <c r="AA27" i="26"/>
  <c r="AA52" i="26"/>
  <c r="AA129" i="26"/>
  <c r="AA190" i="26"/>
  <c r="AA10" i="26"/>
  <c r="AA58" i="26"/>
  <c r="AA104" i="26"/>
  <c r="AA178" i="26"/>
  <c r="AA34" i="26"/>
  <c r="AA176" i="26"/>
  <c r="AA115" i="26"/>
  <c r="AA186" i="26"/>
  <c r="AA197" i="26"/>
  <c r="AA6" i="26"/>
  <c r="AK6" i="26" s="1"/>
  <c r="AA185" i="26"/>
  <c r="AA65" i="26"/>
  <c r="AA136" i="26"/>
  <c r="AA126" i="26"/>
  <c r="AA198" i="26"/>
  <c r="AA183" i="26"/>
  <c r="AA110" i="26"/>
  <c r="AA148" i="26"/>
  <c r="AA170" i="26"/>
  <c r="AA72" i="26"/>
  <c r="AA151" i="26"/>
  <c r="AA92" i="26"/>
  <c r="AA42" i="26"/>
  <c r="AA53" i="26"/>
  <c r="AA102" i="26"/>
  <c r="AA41" i="26"/>
  <c r="AA100" i="26"/>
  <c r="AA209" i="26"/>
  <c r="AA106" i="26"/>
  <c r="AA165" i="26"/>
  <c r="AA201" i="26"/>
  <c r="AA68" i="26"/>
  <c r="AA7" i="26"/>
  <c r="AA91" i="26"/>
  <c r="AA215" i="26"/>
  <c r="AA137" i="26"/>
  <c r="AA84" i="26"/>
  <c r="AA64" i="26"/>
  <c r="AA111" i="26"/>
  <c r="AA149" i="26"/>
  <c r="AA158" i="26"/>
  <c r="AA38" i="26"/>
  <c r="AA98" i="26"/>
  <c r="AA25" i="26"/>
  <c r="AA193" i="26"/>
  <c r="AA162" i="26"/>
  <c r="AA28" i="26"/>
  <c r="AA24" i="26"/>
  <c r="AA46" i="26"/>
  <c r="AA177" i="26"/>
  <c r="AA21" i="26"/>
  <c r="AA140" i="26"/>
  <c r="AA141" i="26"/>
  <c r="AA117" i="26"/>
  <c r="AA174" i="26"/>
  <c r="AA203" i="26"/>
  <c r="AA163" i="26"/>
  <c r="AA59" i="26"/>
  <c r="AA45" i="26"/>
  <c r="AA33" i="26"/>
  <c r="AA56" i="26"/>
  <c r="AA168" i="26"/>
  <c r="AA199" i="26"/>
  <c r="AA79" i="26"/>
  <c r="AA19" i="26"/>
  <c r="AA78" i="26"/>
  <c r="AA47" i="26"/>
  <c r="AA161" i="26"/>
  <c r="AA160" i="26"/>
  <c r="AA86" i="26"/>
  <c r="AA155" i="26"/>
  <c r="AA96" i="26"/>
  <c r="AA26" i="26"/>
  <c r="AA205" i="26"/>
  <c r="AA121" i="26"/>
  <c r="AA166" i="26"/>
  <c r="AA153" i="26"/>
  <c r="AA154" i="26"/>
  <c r="AA80" i="26"/>
  <c r="AA35" i="26"/>
  <c r="AA108" i="26"/>
  <c r="AA103" i="26"/>
  <c r="AA212" i="26"/>
  <c r="AA156" i="26"/>
  <c r="AA157" i="26"/>
  <c r="AA51" i="26"/>
  <c r="AA40" i="26"/>
  <c r="AA30" i="26"/>
  <c r="AA20" i="26"/>
  <c r="AA70" i="26"/>
  <c r="AA88" i="26"/>
  <c r="AA12" i="26"/>
  <c r="AA66" i="26"/>
  <c r="AA120" i="26"/>
  <c r="AA81" i="26"/>
  <c r="AA89" i="26"/>
  <c r="AA135" i="26"/>
  <c r="AA113" i="26"/>
  <c r="AA181" i="26"/>
  <c r="AA99" i="26"/>
  <c r="AA61" i="26"/>
  <c r="AA62" i="26"/>
  <c r="AA118" i="26"/>
  <c r="AA184" i="26"/>
  <c r="AA8" i="26"/>
  <c r="AA109" i="26"/>
  <c r="AA134" i="26"/>
  <c r="AA15" i="26"/>
  <c r="AA23" i="26"/>
  <c r="AA39" i="26"/>
  <c r="AA16" i="26"/>
  <c r="AA127" i="26"/>
  <c r="AA123" i="26"/>
  <c r="AA145" i="26"/>
  <c r="AA206" i="26"/>
  <c r="AA144" i="26"/>
  <c r="AA101" i="26"/>
  <c r="AA191" i="26"/>
  <c r="AA75" i="26"/>
  <c r="AA124" i="26"/>
  <c r="AA180" i="26"/>
  <c r="AA94" i="26"/>
  <c r="AA195" i="26"/>
  <c r="AA17" i="26"/>
  <c r="AA29" i="26"/>
  <c r="AA85" i="26"/>
  <c r="AA112" i="26"/>
  <c r="AA167" i="26"/>
  <c r="AA14" i="26"/>
  <c r="AA196" i="26"/>
  <c r="AA87" i="26"/>
  <c r="AA77" i="26"/>
  <c r="AA114" i="26"/>
  <c r="AA173" i="26"/>
  <c r="AA63" i="26"/>
  <c r="AA31" i="26"/>
  <c r="AA37" i="26"/>
  <c r="AA133" i="26"/>
  <c r="AA169" i="26"/>
  <c r="AA71" i="26"/>
  <c r="AA74" i="26"/>
  <c r="AA194" i="26"/>
  <c r="AA150" i="26"/>
  <c r="AA128" i="26"/>
  <c r="AA82" i="26"/>
  <c r="AA122" i="26"/>
  <c r="AA125" i="26"/>
  <c r="AA214" i="26"/>
  <c r="AA146" i="26"/>
  <c r="AA90" i="26"/>
  <c r="AA210" i="26"/>
  <c r="AA36" i="26"/>
  <c r="X145" i="26"/>
  <c r="X160" i="26"/>
  <c r="X210" i="26"/>
  <c r="X25" i="26"/>
  <c r="X54" i="26"/>
  <c r="X83" i="26"/>
  <c r="X181" i="26"/>
  <c r="X64" i="26"/>
  <c r="X76" i="26"/>
  <c r="X110" i="26"/>
  <c r="X97" i="26"/>
  <c r="X72" i="26"/>
  <c r="X24" i="26"/>
  <c r="X201" i="26"/>
  <c r="X73" i="26"/>
  <c r="X151" i="26"/>
  <c r="X166" i="26"/>
  <c r="X122" i="26"/>
  <c r="X121" i="26"/>
  <c r="X38" i="26"/>
  <c r="X143" i="26"/>
  <c r="X113" i="26"/>
  <c r="X107" i="26"/>
  <c r="X46" i="26"/>
  <c r="X85" i="26"/>
  <c r="X77" i="26"/>
  <c r="X155" i="26"/>
  <c r="X136" i="26"/>
  <c r="X118" i="26"/>
  <c r="X32" i="26"/>
  <c r="X56" i="26"/>
  <c r="X164" i="26"/>
  <c r="X8" i="26"/>
  <c r="X92" i="26"/>
  <c r="X66" i="26"/>
  <c r="X211" i="26"/>
  <c r="X180" i="26"/>
  <c r="X114" i="26"/>
  <c r="X174" i="26"/>
  <c r="X137" i="26"/>
  <c r="X147" i="26"/>
  <c r="X88" i="26"/>
  <c r="X99" i="26"/>
  <c r="X162" i="26"/>
  <c r="X135" i="26"/>
  <c r="X14" i="26"/>
  <c r="X40" i="26"/>
  <c r="X182" i="26"/>
  <c r="X60" i="26"/>
  <c r="X95" i="26"/>
  <c r="X20" i="26"/>
  <c r="X67" i="26"/>
  <c r="X78" i="26"/>
  <c r="X186" i="26"/>
  <c r="X197" i="26"/>
  <c r="X138" i="26"/>
  <c r="X149" i="26"/>
  <c r="X63" i="26"/>
  <c r="X156" i="26"/>
  <c r="X27" i="26"/>
  <c r="X146" i="26"/>
  <c r="X169" i="26"/>
  <c r="X42" i="26"/>
  <c r="X34" i="26"/>
  <c r="X214" i="26"/>
  <c r="X177" i="26"/>
  <c r="X7" i="26"/>
  <c r="X44" i="26"/>
  <c r="X35" i="26"/>
  <c r="X202" i="26"/>
  <c r="X142" i="26"/>
  <c r="X22" i="26"/>
  <c r="X129" i="26"/>
  <c r="X153" i="26"/>
  <c r="X116" i="26"/>
  <c r="X93" i="26"/>
  <c r="X188" i="26"/>
  <c r="X127" i="26"/>
  <c r="X139" i="26"/>
  <c r="X89" i="26"/>
  <c r="X47" i="26"/>
  <c r="X84" i="26"/>
  <c r="X39" i="26"/>
  <c r="X208" i="26"/>
  <c r="X209" i="26"/>
  <c r="X23" i="26"/>
  <c r="X184" i="26"/>
  <c r="X191" i="26"/>
  <c r="X123" i="26"/>
  <c r="X74" i="26"/>
  <c r="X16" i="26"/>
  <c r="X71" i="26"/>
  <c r="X13" i="26"/>
  <c r="X48" i="26"/>
  <c r="X115" i="26"/>
  <c r="X19" i="26"/>
  <c r="X12" i="26"/>
  <c r="X29" i="26"/>
  <c r="X120" i="26"/>
  <c r="X161" i="26"/>
  <c r="X172" i="26"/>
  <c r="X126" i="26"/>
  <c r="X28" i="26"/>
  <c r="X87" i="26"/>
  <c r="X106" i="26"/>
  <c r="X130" i="26"/>
  <c r="X81" i="26"/>
  <c r="X58" i="26"/>
  <c r="X154" i="26"/>
  <c r="X179" i="26"/>
  <c r="X17" i="26"/>
  <c r="X101" i="26"/>
  <c r="X100" i="26"/>
  <c r="X96" i="26"/>
  <c r="X165" i="26"/>
  <c r="X190" i="26"/>
  <c r="X204" i="26"/>
  <c r="X57" i="26"/>
  <c r="X94" i="26"/>
  <c r="X117" i="26"/>
  <c r="X187" i="26"/>
  <c r="X68" i="26"/>
  <c r="X199" i="26"/>
  <c r="X103" i="26"/>
  <c r="X79" i="26"/>
  <c r="X59" i="26"/>
  <c r="X41" i="26"/>
  <c r="X196" i="26"/>
  <c r="X51" i="26"/>
  <c r="X134" i="26"/>
  <c r="X131" i="26"/>
  <c r="X21" i="26"/>
  <c r="X104" i="26"/>
  <c r="X33" i="26"/>
  <c r="X10" i="26"/>
  <c r="X43" i="26"/>
  <c r="X105" i="26"/>
  <c r="X178" i="26"/>
  <c r="X141" i="26"/>
  <c r="X176" i="26"/>
  <c r="X200" i="26"/>
  <c r="X80" i="26"/>
  <c r="X192" i="26"/>
  <c r="X132" i="26"/>
  <c r="X152" i="26"/>
  <c r="X150" i="26"/>
  <c r="X90" i="26"/>
  <c r="X108" i="26"/>
  <c r="X212" i="26"/>
  <c r="X102" i="26"/>
  <c r="X207" i="26"/>
  <c r="X124" i="26"/>
  <c r="X159" i="26"/>
  <c r="X26" i="26"/>
  <c r="X98" i="26"/>
  <c r="X6" i="26"/>
  <c r="X168" i="26"/>
  <c r="X173" i="26"/>
  <c r="X18" i="26"/>
  <c r="X31" i="26"/>
  <c r="X128" i="26"/>
  <c r="X45" i="26"/>
  <c r="X49" i="26"/>
  <c r="X170" i="26"/>
  <c r="X65" i="26"/>
  <c r="X53" i="26"/>
  <c r="X175" i="26"/>
  <c r="X189" i="26"/>
  <c r="X133" i="26"/>
  <c r="X140" i="26"/>
  <c r="X70" i="26"/>
  <c r="X193" i="26"/>
  <c r="X195" i="26"/>
  <c r="X158" i="26"/>
  <c r="X11" i="26"/>
  <c r="X37" i="26"/>
  <c r="X144" i="26"/>
  <c r="X194" i="26"/>
  <c r="X163" i="26"/>
  <c r="X9" i="26"/>
  <c r="X109" i="26"/>
  <c r="X111" i="26"/>
  <c r="X157" i="26"/>
  <c r="X167" i="26"/>
  <c r="X62" i="26"/>
  <c r="X112" i="26"/>
  <c r="X185" i="26"/>
  <c r="X125" i="26"/>
  <c r="X30" i="26"/>
  <c r="X15" i="26"/>
  <c r="X183" i="26"/>
  <c r="X198" i="26"/>
  <c r="X148" i="26"/>
  <c r="X75" i="26"/>
  <c r="X206" i="26"/>
  <c r="X171" i="26"/>
  <c r="X91" i="26"/>
  <c r="X69" i="26"/>
  <c r="X50" i="26"/>
  <c r="X55" i="26"/>
  <c r="X36" i="26"/>
  <c r="X86" i="26"/>
  <c r="X61" i="26"/>
  <c r="X205" i="26"/>
  <c r="X52" i="26"/>
  <c r="X215" i="26"/>
  <c r="X119" i="26"/>
  <c r="X203" i="26"/>
  <c r="X213" i="26"/>
  <c r="X82" i="26"/>
  <c r="AU18" i="22"/>
  <c r="AQ18" i="22"/>
  <c r="AP18" i="22"/>
  <c r="AB20" i="22" a="1"/>
  <c r="AB20" i="22" s="1"/>
  <c r="AX18" i="22"/>
  <c r="AV18" i="22"/>
  <c r="AC19" i="22"/>
  <c r="AW18" i="22"/>
  <c r="AS18" i="22"/>
  <c r="AT18" i="22"/>
  <c r="AO18" i="22"/>
  <c r="AR18" i="22"/>
  <c r="AJ20" i="22" l="1"/>
  <c r="AM20" i="22"/>
  <c r="AK20" i="22"/>
  <c r="AF20" i="22"/>
  <c r="AE20" i="22"/>
  <c r="AD20" i="22"/>
  <c r="AL20" i="22"/>
  <c r="AG20" i="22"/>
  <c r="AH20" i="22"/>
  <c r="AI20" i="22"/>
  <c r="BB131" i="26"/>
  <c r="AU132" i="26"/>
  <c r="BC131" i="26"/>
  <c r="BE132" i="26" s="1"/>
  <c r="BD130" i="26"/>
  <c r="AW130" i="26"/>
  <c r="AV130" i="26" s="1"/>
  <c r="AY131" i="26"/>
  <c r="AZ131" i="26"/>
  <c r="AK7" i="26"/>
  <c r="AK8" i="26"/>
  <c r="AK10" i="26"/>
  <c r="AK9" i="26"/>
  <c r="AK201" i="26"/>
  <c r="AK112" i="26"/>
  <c r="AK106" i="26"/>
  <c r="AK139" i="26"/>
  <c r="AK65" i="26"/>
  <c r="AK52" i="26"/>
  <c r="AK33" i="26"/>
  <c r="AK25" i="26"/>
  <c r="AK32" i="26"/>
  <c r="AK145" i="26"/>
  <c r="AK102" i="26"/>
  <c r="AK174" i="26"/>
  <c r="AK119" i="26"/>
  <c r="AK191" i="26"/>
  <c r="AK118" i="26"/>
  <c r="AK190" i="26"/>
  <c r="AK135" i="26"/>
  <c r="AK207" i="26"/>
  <c r="AK152" i="26"/>
  <c r="AK158" i="26"/>
  <c r="AK146" i="26"/>
  <c r="AK71" i="26"/>
  <c r="AK58" i="26"/>
  <c r="AK39" i="26"/>
  <c r="AK31" i="26"/>
  <c r="AK56" i="26"/>
  <c r="AK151" i="26"/>
  <c r="AK108" i="26"/>
  <c r="AK180" i="26"/>
  <c r="AK125" i="26"/>
  <c r="AK197" i="26"/>
  <c r="AK24" i="26"/>
  <c r="AK124" i="26"/>
  <c r="AK196" i="26"/>
  <c r="AK141" i="26"/>
  <c r="AK213" i="26"/>
  <c r="AK176" i="26"/>
  <c r="AK182" i="26"/>
  <c r="AK92" i="26"/>
  <c r="AK77" i="26"/>
  <c r="AK64" i="26"/>
  <c r="AK45" i="26"/>
  <c r="AK37" i="26"/>
  <c r="AK80" i="26"/>
  <c r="AK157" i="26"/>
  <c r="AK114" i="26"/>
  <c r="AK186" i="26"/>
  <c r="AK131" i="26"/>
  <c r="AK203" i="26"/>
  <c r="AK48" i="26"/>
  <c r="AK130" i="26"/>
  <c r="AK202" i="26"/>
  <c r="AK30" i="26"/>
  <c r="AK147" i="26"/>
  <c r="AK200" i="26"/>
  <c r="AK206" i="26"/>
  <c r="AK188" i="26"/>
  <c r="AK11" i="26"/>
  <c r="AK83" i="26"/>
  <c r="AK70" i="26"/>
  <c r="AK51" i="26"/>
  <c r="AK43" i="26"/>
  <c r="AK91" i="26"/>
  <c r="AK163" i="26"/>
  <c r="AK120" i="26"/>
  <c r="AK192" i="26"/>
  <c r="AK137" i="26"/>
  <c r="AK209" i="26"/>
  <c r="AK72" i="26"/>
  <c r="AK136" i="26"/>
  <c r="AK208" i="26"/>
  <c r="AK54" i="26"/>
  <c r="AK153" i="26"/>
  <c r="AK164" i="26"/>
  <c r="AK140" i="26"/>
  <c r="AK198" i="26"/>
  <c r="AK17" i="26"/>
  <c r="AK89" i="26"/>
  <c r="AK76" i="26"/>
  <c r="AK57" i="26"/>
  <c r="AK49" i="26"/>
  <c r="AK97" i="26"/>
  <c r="AK169" i="26"/>
  <c r="AK126" i="26"/>
  <c r="AK14" i="26"/>
  <c r="AK143" i="26"/>
  <c r="AK215" i="26"/>
  <c r="AK90" i="26"/>
  <c r="AK142" i="26"/>
  <c r="AK214" i="26"/>
  <c r="AK78" i="26"/>
  <c r="AK159" i="26"/>
  <c r="AK36" i="26"/>
  <c r="AK84" i="26"/>
  <c r="AK23" i="26"/>
  <c r="AK82" i="26"/>
  <c r="AK63" i="26"/>
  <c r="AK55" i="26"/>
  <c r="AK103" i="26"/>
  <c r="AK175" i="26"/>
  <c r="AK132" i="26"/>
  <c r="AK204" i="26"/>
  <c r="AK38" i="26"/>
  <c r="AK149" i="26"/>
  <c r="AK20" i="26"/>
  <c r="AK148" i="26"/>
  <c r="AK93" i="26"/>
  <c r="AK165" i="26"/>
  <c r="AK60" i="26"/>
  <c r="AK29" i="26"/>
  <c r="AK16" i="26"/>
  <c r="AK88" i="26"/>
  <c r="AK69" i="26"/>
  <c r="AK61" i="26"/>
  <c r="AK109" i="26"/>
  <c r="AK181" i="26"/>
  <c r="AK138" i="26"/>
  <c r="AK210" i="26"/>
  <c r="AK62" i="26"/>
  <c r="AK155" i="26"/>
  <c r="AK44" i="26"/>
  <c r="AK154" i="26"/>
  <c r="AK99" i="26"/>
  <c r="AK171" i="26"/>
  <c r="AK26" i="26"/>
  <c r="AK116" i="26"/>
  <c r="AK35" i="26"/>
  <c r="AK22" i="26"/>
  <c r="AK75" i="26"/>
  <c r="AK67" i="26"/>
  <c r="AK115" i="26"/>
  <c r="AK187" i="26"/>
  <c r="AK144" i="26"/>
  <c r="AK86" i="26"/>
  <c r="AK161" i="26"/>
  <c r="AK68" i="26"/>
  <c r="AK160" i="26"/>
  <c r="AK105" i="26"/>
  <c r="AK177" i="26"/>
  <c r="AK12" i="26"/>
  <c r="AK212" i="26"/>
  <c r="AK122" i="26"/>
  <c r="AK41" i="26"/>
  <c r="AK28" i="26"/>
  <c r="AK81" i="26"/>
  <c r="AK73" i="26"/>
  <c r="AK121" i="26"/>
  <c r="AK193" i="26"/>
  <c r="AK18" i="26"/>
  <c r="AK150" i="26"/>
  <c r="AK95" i="26"/>
  <c r="AK167" i="26"/>
  <c r="AK94" i="26"/>
  <c r="AK166" i="26"/>
  <c r="AK111" i="26"/>
  <c r="AK183" i="26"/>
  <c r="AK194" i="26"/>
  <c r="AK129" i="26"/>
  <c r="AK168" i="26"/>
  <c r="AK40" i="26"/>
  <c r="AK123" i="26"/>
  <c r="AK162" i="26"/>
  <c r="AK85" i="26"/>
  <c r="AK34" i="26"/>
  <c r="AK127" i="26"/>
  <c r="AK170" i="26"/>
  <c r="AK117" i="26"/>
  <c r="AK156" i="26"/>
  <c r="AK79" i="26"/>
  <c r="AK189" i="26"/>
  <c r="AK134" i="26"/>
  <c r="AK185" i="26"/>
  <c r="AK96" i="26"/>
  <c r="AK19" i="26"/>
  <c r="AK59" i="26"/>
  <c r="AK133" i="26"/>
  <c r="AK110" i="26"/>
  <c r="AK179" i="26"/>
  <c r="AK66" i="26"/>
  <c r="AK13" i="26"/>
  <c r="AK53" i="26"/>
  <c r="AK100" i="26"/>
  <c r="AK98" i="26"/>
  <c r="AK173" i="26"/>
  <c r="AK42" i="26"/>
  <c r="AK87" i="26"/>
  <c r="AK47" i="26"/>
  <c r="AK74" i="26"/>
  <c r="AK128" i="26"/>
  <c r="AK184" i="26"/>
  <c r="AK113" i="26"/>
  <c r="AK211" i="26"/>
  <c r="AK27" i="26"/>
  <c r="AK195" i="26"/>
  <c r="AK46" i="26"/>
  <c r="AK104" i="26"/>
  <c r="AK178" i="26"/>
  <c r="AK107" i="26"/>
  <c r="AK205" i="26"/>
  <c r="AK21" i="26"/>
  <c r="AK50" i="26"/>
  <c r="AK172" i="26"/>
  <c r="AK101" i="26"/>
  <c r="AK199" i="26"/>
  <c r="AK15" i="26"/>
  <c r="AI14" i="26"/>
  <c r="AI38" i="26"/>
  <c r="AI26" i="26"/>
  <c r="AI28" i="26"/>
  <c r="AI9" i="26"/>
  <c r="AI40" i="26"/>
  <c r="AI25" i="26"/>
  <c r="AI148" i="26"/>
  <c r="AI23" i="26"/>
  <c r="AI34" i="26"/>
  <c r="AI75" i="26"/>
  <c r="AI17" i="26"/>
  <c r="AI37" i="26"/>
  <c r="AI22" i="26"/>
  <c r="AI211" i="26"/>
  <c r="AI13" i="26"/>
  <c r="AI51" i="26"/>
  <c r="AI16" i="26"/>
  <c r="AI8" i="26"/>
  <c r="AI30" i="26"/>
  <c r="AI33" i="26"/>
  <c r="AI31" i="26"/>
  <c r="AI36" i="26"/>
  <c r="AI39" i="26"/>
  <c r="AI10" i="26"/>
  <c r="AI92" i="26"/>
  <c r="AI24" i="26"/>
  <c r="AI27" i="26"/>
  <c r="AI35" i="26"/>
  <c r="AI18" i="26"/>
  <c r="AI21" i="26"/>
  <c r="AI6" i="26"/>
  <c r="AI65" i="26"/>
  <c r="AI11" i="26"/>
  <c r="AI12" i="26"/>
  <c r="AI15" i="26"/>
  <c r="AI29" i="26"/>
  <c r="AI32" i="26"/>
  <c r="AI7" i="26"/>
  <c r="AI169" i="26"/>
  <c r="AI19" i="26"/>
  <c r="AI20" i="26"/>
  <c r="AI134" i="26"/>
  <c r="AI178" i="26"/>
  <c r="AI54" i="26"/>
  <c r="AI43" i="26"/>
  <c r="AI55" i="26"/>
  <c r="AI203" i="26"/>
  <c r="AI195" i="26"/>
  <c r="AI155" i="26"/>
  <c r="AI153" i="26"/>
  <c r="AI47" i="26"/>
  <c r="AI62" i="26"/>
  <c r="AI123" i="26"/>
  <c r="AI41" i="26"/>
  <c r="AI49" i="26"/>
  <c r="AI198" i="26"/>
  <c r="AI144" i="26"/>
  <c r="AI52" i="26"/>
  <c r="AI91" i="26"/>
  <c r="AI176" i="26"/>
  <c r="AI97" i="26"/>
  <c r="AI188" i="26"/>
  <c r="AI93" i="26"/>
  <c r="AI154" i="26"/>
  <c r="AI173" i="26"/>
  <c r="AI168" i="26"/>
  <c r="AI193" i="26"/>
  <c r="AI77" i="26"/>
  <c r="AI213" i="26"/>
  <c r="AI141" i="26"/>
  <c r="AI59" i="26"/>
  <c r="AI131" i="26"/>
  <c r="AI87" i="26"/>
  <c r="AI205" i="26"/>
  <c r="AI164" i="26"/>
  <c r="AI124" i="26"/>
  <c r="AI143" i="26"/>
  <c r="AI126" i="26"/>
  <c r="AI181" i="26"/>
  <c r="AI158" i="26"/>
  <c r="AI106" i="26"/>
  <c r="AI125" i="26"/>
  <c r="AI114" i="26"/>
  <c r="AI80" i="26"/>
  <c r="AI127" i="26"/>
  <c r="AI109" i="26"/>
  <c r="AI152" i="26"/>
  <c r="AI94" i="26"/>
  <c r="AI101" i="26"/>
  <c r="AI96" i="26"/>
  <c r="AI151" i="26"/>
  <c r="AI116" i="26"/>
  <c r="AI177" i="26"/>
  <c r="AI79" i="26"/>
  <c r="AI104" i="26"/>
  <c r="AI165" i="26"/>
  <c r="AI84" i="26"/>
  <c r="AI72" i="26"/>
  <c r="AI70" i="26"/>
  <c r="AI83" i="26"/>
  <c r="AI147" i="26"/>
  <c r="AI196" i="26"/>
  <c r="AI215" i="26"/>
  <c r="AX19" i="22"/>
  <c r="AI139" i="26"/>
  <c r="AI206" i="26"/>
  <c r="AI105" i="26"/>
  <c r="AI166" i="26"/>
  <c r="AI197" i="26"/>
  <c r="AI186" i="26"/>
  <c r="AI174" i="26"/>
  <c r="AI102" i="26"/>
  <c r="AI60" i="26"/>
  <c r="AI68" i="26"/>
  <c r="AI81" i="26"/>
  <c r="AI214" i="26"/>
  <c r="AI191" i="26"/>
  <c r="AI162" i="26"/>
  <c r="AI89" i="26"/>
  <c r="AI48" i="26"/>
  <c r="AI56" i="26"/>
  <c r="AI69" i="26"/>
  <c r="AI88" i="26"/>
  <c r="AI142" i="26"/>
  <c r="AI119" i="26"/>
  <c r="AI145" i="26"/>
  <c r="AI157" i="26"/>
  <c r="AI146" i="26"/>
  <c r="AI207" i="26"/>
  <c r="AI135" i="26"/>
  <c r="AI53" i="26"/>
  <c r="AI208" i="26"/>
  <c r="AI136" i="26"/>
  <c r="AI185" i="26"/>
  <c r="AI113" i="26"/>
  <c r="AI156" i="26"/>
  <c r="AI85" i="26"/>
  <c r="AI42" i="26"/>
  <c r="AI50" i="26"/>
  <c r="AI63" i="26"/>
  <c r="AI82" i="26"/>
  <c r="AI133" i="26"/>
  <c r="AI212" i="26"/>
  <c r="AI140" i="26"/>
  <c r="AI201" i="26"/>
  <c r="AI129" i="26"/>
  <c r="AI202" i="26"/>
  <c r="AI130" i="26"/>
  <c r="AI179" i="26"/>
  <c r="AI107" i="26"/>
  <c r="AI150" i="26"/>
  <c r="AI61" i="26"/>
  <c r="AI44" i="26"/>
  <c r="AI57" i="26"/>
  <c r="AI76" i="26"/>
  <c r="AI187" i="26"/>
  <c r="AI200" i="26"/>
  <c r="AI128" i="26"/>
  <c r="AI189" i="26"/>
  <c r="AI117" i="26"/>
  <c r="AI190" i="26"/>
  <c r="AI118" i="26"/>
  <c r="AI167" i="26"/>
  <c r="AI95" i="26"/>
  <c r="AI210" i="26"/>
  <c r="AI138" i="26"/>
  <c r="AI45" i="26"/>
  <c r="AI64" i="26"/>
  <c r="AI199" i="26"/>
  <c r="AI121" i="26"/>
  <c r="AI163" i="26"/>
  <c r="AI194" i="26"/>
  <c r="AI122" i="26"/>
  <c r="AI183" i="26"/>
  <c r="AI111" i="26"/>
  <c r="AI184" i="26"/>
  <c r="AI112" i="26"/>
  <c r="AI161" i="26"/>
  <c r="AI71" i="26"/>
  <c r="AI204" i="26"/>
  <c r="AI132" i="26"/>
  <c r="AI90" i="26"/>
  <c r="AI58" i="26"/>
  <c r="AI115" i="26"/>
  <c r="AI182" i="26"/>
  <c r="AI110" i="26"/>
  <c r="AI171" i="26"/>
  <c r="AI99" i="26"/>
  <c r="AI172" i="26"/>
  <c r="AI100" i="26"/>
  <c r="AI149" i="26"/>
  <c r="AI192" i="26"/>
  <c r="AI120" i="26"/>
  <c r="AI78" i="26"/>
  <c r="AI86" i="26"/>
  <c r="AI46" i="26"/>
  <c r="AI103" i="26"/>
  <c r="AI175" i="26"/>
  <c r="AI170" i="26"/>
  <c r="AI98" i="26"/>
  <c r="AI159" i="26"/>
  <c r="AI73" i="26"/>
  <c r="AI160" i="26"/>
  <c r="AI67" i="26"/>
  <c r="AI209" i="26"/>
  <c r="AI137" i="26"/>
  <c r="AI180" i="26"/>
  <c r="AI108" i="26"/>
  <c r="AI66" i="26"/>
  <c r="AI74" i="26"/>
  <c r="AQ19" i="22"/>
  <c r="AU19" i="22"/>
  <c r="AT19" i="22"/>
  <c r="AW19" i="22"/>
  <c r="AC20" i="22"/>
  <c r="AP19" i="22"/>
  <c r="AO19" i="22"/>
  <c r="AR19" i="22"/>
  <c r="AS19" i="22"/>
  <c r="AB21" i="22" a="1"/>
  <c r="AB21" i="22" s="1"/>
  <c r="AV19" i="22"/>
  <c r="AJ21" i="22" l="1"/>
  <c r="AG21" i="22"/>
  <c r="AH21" i="22"/>
  <c r="AK21" i="22"/>
  <c r="AI21" i="22"/>
  <c r="AF21" i="22"/>
  <c r="AL21" i="22"/>
  <c r="AM21" i="22"/>
  <c r="AE21" i="22"/>
  <c r="AD21" i="22"/>
  <c r="BD131" i="26"/>
  <c r="AW131" i="26"/>
  <c r="AV131" i="26" s="1"/>
  <c r="AY132" i="26"/>
  <c r="AZ132" i="26"/>
  <c r="BC132" i="26"/>
  <c r="BE133" i="26" s="1"/>
  <c r="AU133" i="26"/>
  <c r="BB132" i="26"/>
  <c r="AX20" i="22"/>
  <c r="AP20" i="22"/>
  <c r="AO20" i="22"/>
  <c r="AR20" i="22"/>
  <c r="AQ20" i="22"/>
  <c r="AV20" i="22"/>
  <c r="AU20" i="22"/>
  <c r="AC21" i="22"/>
  <c r="AS20" i="22"/>
  <c r="AT20" i="22"/>
  <c r="AW20" i="22"/>
  <c r="AB22" i="22" a="1"/>
  <c r="AB22" i="22" s="1"/>
  <c r="AJ22" i="22" l="1"/>
  <c r="AK22" i="22"/>
  <c r="AF22" i="22"/>
  <c r="AG22" i="22"/>
  <c r="AE22" i="22"/>
  <c r="AH22" i="22"/>
  <c r="AD22" i="22"/>
  <c r="AI22" i="22"/>
  <c r="AL22" i="22"/>
  <c r="AM22" i="22"/>
  <c r="BD132" i="26"/>
  <c r="AW132" i="26"/>
  <c r="AV132" i="26" s="1"/>
  <c r="AY133" i="26"/>
  <c r="AZ133" i="26"/>
  <c r="BC133" i="26"/>
  <c r="BE134" i="26" s="1"/>
  <c r="BB133" i="26"/>
  <c r="AU134" i="26"/>
  <c r="AS21" i="22"/>
  <c r="AT21" i="22"/>
  <c r="AU21" i="22"/>
  <c r="AR21" i="22"/>
  <c r="AC22" i="22"/>
  <c r="AQ21" i="22"/>
  <c r="AV21" i="22"/>
  <c r="AP21" i="22"/>
  <c r="AX21" i="22"/>
  <c r="AW21" i="22"/>
  <c r="AO21" i="22"/>
  <c r="AB23" i="22" a="1"/>
  <c r="AB23" i="22" s="1"/>
  <c r="AH23" i="22" l="1"/>
  <c r="AI23" i="22"/>
  <c r="AL23" i="22"/>
  <c r="AJ23" i="22"/>
  <c r="AM23" i="22"/>
  <c r="AK23" i="22"/>
  <c r="AF23" i="22"/>
  <c r="AE23" i="22"/>
  <c r="AG23" i="22"/>
  <c r="AD23" i="22"/>
  <c r="AU135" i="26"/>
  <c r="BB134" i="26"/>
  <c r="BC134" i="26"/>
  <c r="BE135" i="26" s="1"/>
  <c r="BD133" i="26"/>
  <c r="AY134" i="26"/>
  <c r="AW133" i="26"/>
  <c r="AV133" i="26" s="1"/>
  <c r="AZ134" i="26"/>
  <c r="AX22" i="22"/>
  <c r="AT22" i="22"/>
  <c r="AW22" i="22"/>
  <c r="AV22" i="22"/>
  <c r="AU22" i="22"/>
  <c r="AC23" i="22"/>
  <c r="AS22" i="22"/>
  <c r="AO22" i="22"/>
  <c r="AB24" i="22" a="1"/>
  <c r="AB24" i="22" s="1"/>
  <c r="AR22" i="22"/>
  <c r="AQ22" i="22"/>
  <c r="AP22" i="22"/>
  <c r="AB25" i="22" l="1" a="1"/>
  <c r="AB25" i="22" s="1"/>
  <c r="AB26" i="22" s="1" a="1"/>
  <c r="AB26" i="22" s="1"/>
  <c r="AJ24" i="22"/>
  <c r="AG24" i="22"/>
  <c r="AH24" i="22"/>
  <c r="AK24" i="22"/>
  <c r="AI24" i="22"/>
  <c r="AF24" i="22"/>
  <c r="AL24" i="22"/>
  <c r="AM24" i="22"/>
  <c r="AE24" i="22"/>
  <c r="AD24" i="22"/>
  <c r="BD134" i="26"/>
  <c r="AZ135" i="26"/>
  <c r="AY135" i="26"/>
  <c r="AW134" i="26"/>
  <c r="AV134" i="26" s="1"/>
  <c r="AU136" i="26"/>
  <c r="BC135" i="26"/>
  <c r="BE136" i="26" s="1"/>
  <c r="BB135" i="26"/>
  <c r="AV23" i="22"/>
  <c r="AR23" i="22"/>
  <c r="AU23" i="22"/>
  <c r="AT23" i="22"/>
  <c r="AS23" i="22"/>
  <c r="AC24" i="22"/>
  <c r="AP23" i="22"/>
  <c r="AO23" i="22"/>
  <c r="AW23" i="22"/>
  <c r="AQ23" i="22"/>
  <c r="AX23" i="22"/>
  <c r="AB27" i="22" l="1" a="1"/>
  <c r="AB27" i="22" s="1"/>
  <c r="AB28" i="22" s="1" a="1"/>
  <c r="AB28" i="22" s="1"/>
  <c r="AD26" i="22"/>
  <c r="AG26" i="22"/>
  <c r="AH26" i="22"/>
  <c r="AI26" i="22"/>
  <c r="AL26" i="22"/>
  <c r="AJ26" i="22"/>
  <c r="AM26" i="22"/>
  <c r="AK26" i="22"/>
  <c r="AF26" i="22"/>
  <c r="AE26" i="22"/>
  <c r="AC25" i="22"/>
  <c r="AL25" i="22"/>
  <c r="AV25" i="22" s="1"/>
  <c r="AM25" i="22"/>
  <c r="AJ25" i="22"/>
  <c r="AD25" i="22"/>
  <c r="AK25" i="22"/>
  <c r="AF25" i="22"/>
  <c r="AI25" i="22"/>
  <c r="AG25" i="22"/>
  <c r="AE25" i="22"/>
  <c r="AH25" i="22"/>
  <c r="AZ136" i="26"/>
  <c r="AY136" i="26"/>
  <c r="AW135" i="26"/>
  <c r="AV135" i="26" s="1"/>
  <c r="BD135" i="26"/>
  <c r="BB136" i="26"/>
  <c r="BC136" i="26"/>
  <c r="BE137" i="26" s="1"/>
  <c r="AU137" i="26"/>
  <c r="AU24" i="22"/>
  <c r="AS24" i="22"/>
  <c r="AQ24" i="22"/>
  <c r="AO24" i="22"/>
  <c r="AX24" i="22"/>
  <c r="AW24" i="22"/>
  <c r="AR24" i="22"/>
  <c r="AP24" i="22"/>
  <c r="AV24" i="22"/>
  <c r="AC26" i="22"/>
  <c r="AT24" i="22"/>
  <c r="AS25" i="22" l="1"/>
  <c r="AT25" i="22"/>
  <c r="AQ25" i="22"/>
  <c r="AR25" i="22"/>
  <c r="AG28" i="22"/>
  <c r="AE28" i="22"/>
  <c r="AH28" i="22"/>
  <c r="AI28" i="22"/>
  <c r="AD28" i="22"/>
  <c r="AL28" i="22"/>
  <c r="AM28" i="22"/>
  <c r="AJ28" i="22"/>
  <c r="AK28" i="22"/>
  <c r="AF28" i="22"/>
  <c r="AW25" i="22"/>
  <c r="AU25" i="22"/>
  <c r="AP25" i="22"/>
  <c r="AO25" i="22"/>
  <c r="AX25" i="22"/>
  <c r="AC27" i="22"/>
  <c r="AD27" i="22"/>
  <c r="AJ27" i="22"/>
  <c r="AG27" i="22"/>
  <c r="AM27" i="22"/>
  <c r="AE27" i="22"/>
  <c r="AH27" i="22"/>
  <c r="AK27" i="22"/>
  <c r="AI27" i="22"/>
  <c r="AF27" i="22"/>
  <c r="AL27" i="22"/>
  <c r="BC137" i="26"/>
  <c r="BE138" i="26" s="1"/>
  <c r="AU138" i="26"/>
  <c r="BB137" i="26"/>
  <c r="AW136" i="26"/>
  <c r="AV136" i="26" s="1"/>
  <c r="BD136" i="26"/>
  <c r="AY137" i="26"/>
  <c r="AZ137" i="26"/>
  <c r="AR26" i="22"/>
  <c r="AO26" i="22"/>
  <c r="AS26" i="22"/>
  <c r="AU26" i="22"/>
  <c r="AX26" i="22"/>
  <c r="AQ26" i="22"/>
  <c r="AP26" i="22"/>
  <c r="AT26" i="22"/>
  <c r="AW26" i="22"/>
  <c r="AV26" i="22"/>
  <c r="AC28" i="22"/>
  <c r="AB29" i="22" a="1"/>
  <c r="AB29" i="22" s="1"/>
  <c r="AO27" i="22" l="1"/>
  <c r="AR27" i="22"/>
  <c r="AS27" i="22"/>
  <c r="AQ27" i="22"/>
  <c r="AT27" i="22"/>
  <c r="AP27" i="22"/>
  <c r="AV27" i="22"/>
  <c r="AX27" i="22"/>
  <c r="AU27" i="22"/>
  <c r="AE29" i="22"/>
  <c r="AD29" i="22"/>
  <c r="AG29" i="22"/>
  <c r="AH29" i="22"/>
  <c r="AI29" i="22"/>
  <c r="AK29" i="22"/>
  <c r="AF29" i="22"/>
  <c r="AL29" i="22"/>
  <c r="AJ29" i="22"/>
  <c r="AM29" i="22"/>
  <c r="AW27" i="22"/>
  <c r="AU139" i="26"/>
  <c r="BC138" i="26"/>
  <c r="BE139" i="26" s="1"/>
  <c r="BB138" i="26"/>
  <c r="AZ138" i="26"/>
  <c r="AW137" i="26"/>
  <c r="AV137" i="26" s="1"/>
  <c r="BD137" i="26"/>
  <c r="AY138" i="26"/>
  <c r="AT28" i="22"/>
  <c r="AP28" i="22"/>
  <c r="AU28" i="22"/>
  <c r="AS28" i="22"/>
  <c r="AR28" i="22"/>
  <c r="AQ28" i="22"/>
  <c r="AO28" i="22"/>
  <c r="AX28" i="22"/>
  <c r="AW28" i="22"/>
  <c r="AC29" i="22"/>
  <c r="AB30" i="22" a="1"/>
  <c r="AB30" i="22" s="1"/>
  <c r="AV28" i="22"/>
  <c r="AK30" i="22" l="1"/>
  <c r="AI30" i="22"/>
  <c r="AF30" i="22"/>
  <c r="AL30" i="22"/>
  <c r="AM30" i="22"/>
  <c r="AE30" i="22"/>
  <c r="AD30" i="22"/>
  <c r="AH30" i="22"/>
  <c r="AJ30" i="22"/>
  <c r="AG30" i="22"/>
  <c r="AW138" i="26"/>
  <c r="AV138" i="26" s="1"/>
  <c r="AY139" i="26"/>
  <c r="AZ139" i="26"/>
  <c r="BD138" i="26"/>
  <c r="AU140" i="26"/>
  <c r="BC139" i="26"/>
  <c r="BE140" i="26" s="1"/>
  <c r="BB139" i="26"/>
  <c r="AV29" i="22"/>
  <c r="AX29" i="22"/>
  <c r="AR29" i="22"/>
  <c r="AP29" i="22"/>
  <c r="AT29" i="22"/>
  <c r="AS29" i="22"/>
  <c r="AQ29" i="22"/>
  <c r="AO29" i="22"/>
  <c r="AW29" i="22"/>
  <c r="AC30" i="22"/>
  <c r="AB31" i="22" a="1"/>
  <c r="AB31" i="22" s="1"/>
  <c r="AU29" i="22"/>
  <c r="AK31" i="22" l="1"/>
  <c r="AF31" i="22"/>
  <c r="AG31" i="22"/>
  <c r="AE31" i="22"/>
  <c r="AH31" i="22"/>
  <c r="AI31" i="22"/>
  <c r="AD31" i="22"/>
  <c r="AL31" i="22"/>
  <c r="AJ31" i="22"/>
  <c r="AM31" i="22"/>
  <c r="AY140" i="26"/>
  <c r="BD139" i="26"/>
  <c r="AZ140" i="26"/>
  <c r="AW139" i="26"/>
  <c r="AV139" i="26" s="1"/>
  <c r="BC140" i="26"/>
  <c r="BE141" i="26" s="1"/>
  <c r="AU141" i="26"/>
  <c r="BB140" i="26"/>
  <c r="AV30" i="22"/>
  <c r="AQ30" i="22"/>
  <c r="AU30" i="22"/>
  <c r="AT30" i="22"/>
  <c r="AX30" i="22"/>
  <c r="AS30" i="22"/>
  <c r="AR30" i="22"/>
  <c r="AW30" i="22"/>
  <c r="AP30" i="22"/>
  <c r="AC31" i="22"/>
  <c r="AO30" i="22"/>
  <c r="AU142" i="26" l="1"/>
  <c r="BB141" i="26"/>
  <c r="BC141" i="26"/>
  <c r="BE142" i="26" s="1"/>
  <c r="AZ141" i="26"/>
  <c r="AY141" i="26"/>
  <c r="AW140" i="26"/>
  <c r="AV140" i="26" s="1"/>
  <c r="BD140" i="26"/>
  <c r="AX31" i="22"/>
  <c r="AW31" i="22"/>
  <c r="AQ31" i="22"/>
  <c r="AO31" i="22"/>
  <c r="AT31" i="22"/>
  <c r="AR31" i="22"/>
  <c r="AV31" i="22"/>
  <c r="AS31" i="22"/>
  <c r="AU31" i="22"/>
  <c r="AP31" i="22"/>
  <c r="BD141" i="26" l="1"/>
  <c r="AW141" i="26"/>
  <c r="AV141" i="26" s="1"/>
  <c r="AZ142" i="26"/>
  <c r="AY142" i="26"/>
  <c r="BB142" i="26"/>
  <c r="BC142" i="26"/>
  <c r="BE143" i="26" s="1"/>
  <c r="AU143" i="26"/>
  <c r="AP4" i="22"/>
  <c r="BD142" i="26" l="1"/>
  <c r="AZ143" i="26"/>
  <c r="AW142" i="26"/>
  <c r="AV142" i="26" s="1"/>
  <c r="AY143" i="26"/>
  <c r="BB143" i="26"/>
  <c r="BC143" i="26"/>
  <c r="BE144" i="26" s="1"/>
  <c r="AU144" i="26"/>
  <c r="BC144" i="26" l="1"/>
  <c r="BE145" i="26" s="1"/>
  <c r="AU145" i="26"/>
  <c r="BB144" i="26"/>
  <c r="AW143" i="26"/>
  <c r="AV143" i="26" s="1"/>
  <c r="BD143" i="26"/>
  <c r="AZ144" i="26"/>
  <c r="AY144" i="26"/>
  <c r="BC145" i="26" l="1"/>
  <c r="BE146" i="26" s="1"/>
  <c r="BB145" i="26"/>
  <c r="AU146" i="26"/>
  <c r="BD144" i="26"/>
  <c r="AY145" i="26"/>
  <c r="AW144" i="26"/>
  <c r="AV144" i="26" s="1"/>
  <c r="AZ145" i="26"/>
  <c r="AU147" i="26" l="1"/>
  <c r="BB146" i="26"/>
  <c r="BC146" i="26"/>
  <c r="BE147" i="26" s="1"/>
  <c r="AW145" i="26"/>
  <c r="AV145" i="26" s="1"/>
  <c r="AY146" i="26"/>
  <c r="BD145" i="26"/>
  <c r="AZ146" i="26"/>
  <c r="C34" i="18"/>
  <c r="BD146" i="26" l="1"/>
  <c r="AY147" i="26"/>
  <c r="AW146" i="26"/>
  <c r="AV146" i="26" s="1"/>
  <c r="AZ147" i="26"/>
  <c r="BC147" i="26"/>
  <c r="BE148" i="26" s="1"/>
  <c r="BB147" i="26"/>
  <c r="AU148" i="26"/>
  <c r="Z60" i="26"/>
  <c r="Z202" i="26"/>
  <c r="Z142" i="26"/>
  <c r="Z82" i="26"/>
  <c r="Z105" i="26"/>
  <c r="Z22" i="26"/>
  <c r="Z189" i="26"/>
  <c r="Z166" i="26"/>
  <c r="Z129" i="26"/>
  <c r="Z106" i="26"/>
  <c r="Z46" i="26"/>
  <c r="Z213" i="26"/>
  <c r="Z69" i="26"/>
  <c r="Z190" i="26"/>
  <c r="Z153" i="26"/>
  <c r="Z9" i="26"/>
  <c r="Z130" i="26"/>
  <c r="Z70" i="26"/>
  <c r="Z204" i="26"/>
  <c r="Z107" i="26"/>
  <c r="Z93" i="26"/>
  <c r="Z192" i="26"/>
  <c r="Z214" i="26"/>
  <c r="Z10" i="26"/>
  <c r="Z178" i="26"/>
  <c r="Z141" i="26"/>
  <c r="Z131" i="26"/>
  <c r="Z118" i="26"/>
  <c r="Z58" i="26"/>
  <c r="Z72" i="26"/>
  <c r="Z81" i="26"/>
  <c r="Z116" i="26"/>
  <c r="Z94" i="26"/>
  <c r="Z165" i="26"/>
  <c r="Z200" i="26"/>
  <c r="Z56" i="26"/>
  <c r="Z140" i="26"/>
  <c r="Z168" i="26"/>
  <c r="Z119" i="26"/>
  <c r="Z95" i="26"/>
  <c r="Z57" i="26"/>
  <c r="Z164" i="26"/>
  <c r="Z20" i="26"/>
  <c r="Z104" i="26"/>
  <c r="Z45" i="26"/>
  <c r="Z188" i="26"/>
  <c r="Z44" i="26"/>
  <c r="Z154" i="26"/>
  <c r="Z117" i="26"/>
  <c r="Z33" i="26"/>
  <c r="Z132" i="26"/>
  <c r="Z34" i="26"/>
  <c r="Z201" i="26"/>
  <c r="Z11" i="26"/>
  <c r="Z212" i="26"/>
  <c r="Z68" i="26"/>
  <c r="Z177" i="26"/>
  <c r="Z21" i="26"/>
  <c r="Z203" i="26"/>
  <c r="Z92" i="26"/>
  <c r="Z36" i="26"/>
  <c r="Z176" i="26"/>
  <c r="Z32" i="26"/>
  <c r="Z48" i="26"/>
  <c r="Z127" i="26"/>
  <c r="Z211" i="26"/>
  <c r="Z67" i="26"/>
  <c r="Z174" i="26"/>
  <c r="Z90" i="26"/>
  <c r="Z30" i="26"/>
  <c r="Z151" i="26"/>
  <c r="Z114" i="26"/>
  <c r="Z91" i="26"/>
  <c r="Z7" i="26"/>
  <c r="Z35" i="26"/>
  <c r="Z152" i="26"/>
  <c r="Z175" i="26"/>
  <c r="Z31" i="26"/>
  <c r="Z115" i="26"/>
  <c r="Z215" i="26"/>
  <c r="Z128" i="26"/>
  <c r="Z199" i="26"/>
  <c r="Z55" i="26"/>
  <c r="Z108" i="26"/>
  <c r="Z8" i="26"/>
  <c r="Z139" i="26"/>
  <c r="Z79" i="26"/>
  <c r="Z103" i="26"/>
  <c r="Z83" i="26"/>
  <c r="Z19" i="26"/>
  <c r="Z78" i="26"/>
  <c r="Z187" i="26"/>
  <c r="Z186" i="26"/>
  <c r="Z150" i="26"/>
  <c r="Z42" i="26"/>
  <c r="Z173" i="26"/>
  <c r="Z29" i="26"/>
  <c r="Z80" i="26"/>
  <c r="Z163" i="26"/>
  <c r="Z180" i="26"/>
  <c r="Z113" i="26"/>
  <c r="Z120" i="26"/>
  <c r="Z179" i="26"/>
  <c r="Z138" i="26"/>
  <c r="Z47" i="26"/>
  <c r="Z197" i="26"/>
  <c r="Z53" i="26"/>
  <c r="Z102" i="26"/>
  <c r="Z137" i="26"/>
  <c r="Z66" i="26"/>
  <c r="Z77" i="26"/>
  <c r="Z17" i="26"/>
  <c r="Z210" i="26"/>
  <c r="Z84" i="26"/>
  <c r="Z161" i="26"/>
  <c r="Z101" i="26"/>
  <c r="Z24" i="26"/>
  <c r="Z59" i="26"/>
  <c r="Z198" i="26"/>
  <c r="Z126" i="26"/>
  <c r="Z54" i="26"/>
  <c r="Z6" i="26"/>
  <c r="Z185" i="26"/>
  <c r="Z41" i="26"/>
  <c r="Z123" i="26"/>
  <c r="Z65" i="26"/>
  <c r="Z207" i="26"/>
  <c r="Z209" i="26"/>
  <c r="Z125" i="26"/>
  <c r="Z12" i="26"/>
  <c r="Z196" i="26"/>
  <c r="Z124" i="26"/>
  <c r="Z52" i="26"/>
  <c r="Z16" i="26"/>
  <c r="Z147" i="26"/>
  <c r="Z87" i="26"/>
  <c r="Z160" i="26"/>
  <c r="Z88" i="26"/>
  <c r="Z156" i="26"/>
  <c r="Z171" i="26"/>
  <c r="Z111" i="26"/>
  <c r="Z184" i="26"/>
  <c r="Z148" i="26"/>
  <c r="Z112" i="26"/>
  <c r="Z76" i="26"/>
  <c r="Z40" i="26"/>
  <c r="Z135" i="26"/>
  <c r="Z162" i="26"/>
  <c r="Z89" i="26"/>
  <c r="Z155" i="26"/>
  <c r="Z99" i="26"/>
  <c r="Z208" i="26"/>
  <c r="Z100" i="26"/>
  <c r="Z159" i="26"/>
  <c r="Z23" i="26"/>
  <c r="Z39" i="26"/>
  <c r="Z194" i="26"/>
  <c r="Z158" i="26"/>
  <c r="Z122" i="26"/>
  <c r="Z86" i="26"/>
  <c r="Z50" i="26"/>
  <c r="Z14" i="26"/>
  <c r="Z191" i="26"/>
  <c r="Z143" i="26"/>
  <c r="Z149" i="26"/>
  <c r="Z27" i="26"/>
  <c r="Z172" i="26"/>
  <c r="Z64" i="26"/>
  <c r="Z75" i="26"/>
  <c r="Z96" i="26"/>
  <c r="Z195" i="26"/>
  <c r="Z43" i="26"/>
  <c r="Z15" i="26"/>
  <c r="Z144" i="26"/>
  <c r="Z182" i="26"/>
  <c r="Z146" i="26"/>
  <c r="Z110" i="26"/>
  <c r="Z74" i="26"/>
  <c r="Z38" i="26"/>
  <c r="Z18" i="26"/>
  <c r="Z63" i="26"/>
  <c r="Z71" i="26"/>
  <c r="Z136" i="26"/>
  <c r="Z28" i="26"/>
  <c r="Z183" i="26"/>
  <c r="Z167" i="26"/>
  <c r="Z85" i="26"/>
  <c r="Z61" i="26"/>
  <c r="Z170" i="26"/>
  <c r="Z169" i="26"/>
  <c r="Z49" i="26"/>
  <c r="Z25" i="26"/>
  <c r="Z109" i="26"/>
  <c r="Z134" i="26"/>
  <c r="Z193" i="26"/>
  <c r="Z133" i="26"/>
  <c r="Z98" i="26"/>
  <c r="Z51" i="26"/>
  <c r="Z157" i="26"/>
  <c r="Z73" i="26"/>
  <c r="Z13" i="26"/>
  <c r="Z62" i="26"/>
  <c r="Z121" i="26"/>
  <c r="Z181" i="26"/>
  <c r="Z97" i="26"/>
  <c r="Z26" i="26"/>
  <c r="Z37" i="26"/>
  <c r="Z205" i="26"/>
  <c r="Z206" i="26"/>
  <c r="Z145" i="26"/>
  <c r="AU149" i="26" l="1"/>
  <c r="BB148" i="26"/>
  <c r="BC148" i="26"/>
  <c r="BE149" i="26" s="1"/>
  <c r="BD147" i="26"/>
  <c r="AW147" i="26"/>
  <c r="AV147" i="26" s="1"/>
  <c r="AY148" i="26"/>
  <c r="AZ148" i="26"/>
  <c r="AJ7" i="26"/>
  <c r="AJ11" i="26"/>
  <c r="AJ17" i="26"/>
  <c r="AJ23" i="26"/>
  <c r="AJ29" i="26"/>
  <c r="AJ35" i="26"/>
  <c r="AJ41" i="26"/>
  <c r="AJ47" i="26"/>
  <c r="AJ53" i="26"/>
  <c r="AJ59" i="26"/>
  <c r="AJ65" i="26"/>
  <c r="AJ71" i="26"/>
  <c r="AJ77" i="26"/>
  <c r="AJ83" i="26"/>
  <c r="AJ89" i="26"/>
  <c r="AJ10" i="26"/>
  <c r="AJ16" i="26"/>
  <c r="AJ22" i="26"/>
  <c r="AJ28" i="26"/>
  <c r="AJ34" i="26"/>
  <c r="AJ40" i="26"/>
  <c r="AJ46" i="26"/>
  <c r="AJ52" i="26"/>
  <c r="AJ58" i="26"/>
  <c r="AJ64" i="26"/>
  <c r="AJ70" i="26"/>
  <c r="AJ76" i="26"/>
  <c r="AJ82" i="26"/>
  <c r="AJ88" i="26"/>
  <c r="AJ9" i="26"/>
  <c r="AJ15" i="26"/>
  <c r="AJ21" i="26"/>
  <c r="AJ27" i="26"/>
  <c r="AJ33" i="26"/>
  <c r="AJ39" i="26"/>
  <c r="AJ45" i="26"/>
  <c r="AJ51" i="26"/>
  <c r="AJ57" i="26"/>
  <c r="AJ63" i="26"/>
  <c r="AJ69" i="26"/>
  <c r="AJ75" i="26"/>
  <c r="AJ81" i="26"/>
  <c r="AJ87" i="26"/>
  <c r="AJ8" i="26"/>
  <c r="AJ14" i="26"/>
  <c r="AJ20" i="26"/>
  <c r="AJ26" i="26"/>
  <c r="AJ32" i="26"/>
  <c r="AJ38" i="26"/>
  <c r="AJ44" i="26"/>
  <c r="AJ50" i="26"/>
  <c r="AJ56" i="26"/>
  <c r="AJ62" i="26"/>
  <c r="AJ68" i="26"/>
  <c r="AJ74" i="26"/>
  <c r="AJ80" i="26"/>
  <c r="AJ86" i="26"/>
  <c r="AJ13" i="26"/>
  <c r="AJ19" i="26"/>
  <c r="AJ25" i="26"/>
  <c r="AJ31" i="26"/>
  <c r="AJ37" i="26"/>
  <c r="AJ43" i="26"/>
  <c r="AJ49" i="26"/>
  <c r="AJ55" i="26"/>
  <c r="AJ61" i="26"/>
  <c r="AJ67" i="26"/>
  <c r="AJ73" i="26"/>
  <c r="AJ79" i="26"/>
  <c r="AJ85" i="26"/>
  <c r="AJ91" i="26"/>
  <c r="AJ18" i="26"/>
  <c r="AJ42" i="26"/>
  <c r="AJ66" i="26"/>
  <c r="AJ96" i="26"/>
  <c r="AJ102" i="26"/>
  <c r="AJ108" i="26"/>
  <c r="AJ114" i="26"/>
  <c r="AJ120" i="26"/>
  <c r="AJ126" i="26"/>
  <c r="AJ132" i="26"/>
  <c r="AJ138" i="26"/>
  <c r="AJ144" i="26"/>
  <c r="AJ150" i="26"/>
  <c r="AJ156" i="26"/>
  <c r="AJ162" i="26"/>
  <c r="AJ168" i="26"/>
  <c r="AJ174" i="26"/>
  <c r="AJ180" i="26"/>
  <c r="AJ186" i="26"/>
  <c r="AJ192" i="26"/>
  <c r="AJ198" i="26"/>
  <c r="AJ204" i="26"/>
  <c r="AJ210" i="26"/>
  <c r="AJ95" i="26"/>
  <c r="AJ101" i="26"/>
  <c r="AJ107" i="26"/>
  <c r="AJ113" i="26"/>
  <c r="AJ119" i="26"/>
  <c r="AJ125" i="26"/>
  <c r="AJ131" i="26"/>
  <c r="AJ137" i="26"/>
  <c r="AJ143" i="26"/>
  <c r="AJ149" i="26"/>
  <c r="AJ155" i="26"/>
  <c r="AJ161" i="26"/>
  <c r="AJ167" i="26"/>
  <c r="AJ173" i="26"/>
  <c r="AJ179" i="26"/>
  <c r="AJ185" i="26"/>
  <c r="AJ191" i="26"/>
  <c r="AJ197" i="26"/>
  <c r="AJ203" i="26"/>
  <c r="AJ209" i="26"/>
  <c r="AJ215" i="26"/>
  <c r="AJ24" i="26"/>
  <c r="AJ48" i="26"/>
  <c r="AJ72" i="26"/>
  <c r="AJ90" i="26"/>
  <c r="AJ94" i="26"/>
  <c r="AJ100" i="26"/>
  <c r="AJ106" i="26"/>
  <c r="AJ112" i="26"/>
  <c r="AJ118" i="26"/>
  <c r="AJ124" i="26"/>
  <c r="AJ130" i="26"/>
  <c r="AJ136" i="26"/>
  <c r="AJ142" i="26"/>
  <c r="AJ148" i="26"/>
  <c r="AJ154" i="26"/>
  <c r="AJ160" i="26"/>
  <c r="AJ166" i="26"/>
  <c r="AJ172" i="26"/>
  <c r="AJ178" i="26"/>
  <c r="AJ184" i="26"/>
  <c r="AJ190" i="26"/>
  <c r="AJ196" i="26"/>
  <c r="AJ202" i="26"/>
  <c r="AJ208" i="26"/>
  <c r="AJ214" i="26"/>
  <c r="AJ30" i="26"/>
  <c r="AJ54" i="26"/>
  <c r="AJ78" i="26"/>
  <c r="AJ93" i="26"/>
  <c r="AJ99" i="26"/>
  <c r="AJ105" i="26"/>
  <c r="AJ111" i="26"/>
  <c r="AJ117" i="26"/>
  <c r="AJ123" i="26"/>
  <c r="AJ129" i="26"/>
  <c r="AJ135" i="26"/>
  <c r="AJ141" i="26"/>
  <c r="AJ147" i="26"/>
  <c r="AJ153" i="26"/>
  <c r="AJ159" i="26"/>
  <c r="AJ165" i="26"/>
  <c r="AJ171" i="26"/>
  <c r="AJ177" i="26"/>
  <c r="AJ183" i="26"/>
  <c r="AJ189" i="26"/>
  <c r="AJ195" i="26"/>
  <c r="AJ201" i="26"/>
  <c r="AJ207" i="26"/>
  <c r="AJ213" i="26"/>
  <c r="AJ104" i="26"/>
  <c r="AJ128" i="26"/>
  <c r="AJ152" i="26"/>
  <c r="AJ176" i="26"/>
  <c r="AJ200" i="26"/>
  <c r="AJ12" i="26"/>
  <c r="AJ109" i="26"/>
  <c r="AJ133" i="26"/>
  <c r="AJ157" i="26"/>
  <c r="AJ181" i="26"/>
  <c r="AJ205" i="26"/>
  <c r="AJ110" i="26"/>
  <c r="AJ134" i="26"/>
  <c r="AJ158" i="26"/>
  <c r="AJ182" i="26"/>
  <c r="AJ206" i="26"/>
  <c r="AJ36" i="26"/>
  <c r="AJ115" i="26"/>
  <c r="AJ139" i="26"/>
  <c r="AJ163" i="26"/>
  <c r="AJ187" i="26"/>
  <c r="AJ211" i="26"/>
  <c r="AJ92" i="26"/>
  <c r="AJ116" i="26"/>
  <c r="AJ140" i="26"/>
  <c r="AJ164" i="26"/>
  <c r="AJ188" i="26"/>
  <c r="AJ212" i="26"/>
  <c r="AJ97" i="26"/>
  <c r="AJ121" i="26"/>
  <c r="AJ145" i="26"/>
  <c r="AJ169" i="26"/>
  <c r="AJ193" i="26"/>
  <c r="AJ98" i="26"/>
  <c r="AJ122" i="26"/>
  <c r="AJ146" i="26"/>
  <c r="AJ170" i="26"/>
  <c r="AJ194" i="26"/>
  <c r="AJ84" i="26"/>
  <c r="AJ127" i="26"/>
  <c r="AJ151" i="26"/>
  <c r="AJ60" i="26"/>
  <c r="AJ175" i="26"/>
  <c r="AJ199" i="26"/>
  <c r="AJ103" i="26"/>
  <c r="AJ6" i="26"/>
  <c r="R51" i="15"/>
  <c r="R48" i="15"/>
  <c r="R34" i="15"/>
  <c r="R27" i="15"/>
  <c r="R32" i="15"/>
  <c r="I16" i="24"/>
  <c r="N49" i="15"/>
  <c r="T49" i="15" s="1"/>
  <c r="U49" i="15" s="1"/>
  <c r="W49" i="15" s="1"/>
  <c r="N46" i="15"/>
  <c r="T46" i="15" s="1"/>
  <c r="U46" i="15" s="1"/>
  <c r="N43" i="15"/>
  <c r="T43" i="15" s="1"/>
  <c r="U43" i="15" s="1"/>
  <c r="P40" i="15"/>
  <c r="N37" i="15"/>
  <c r="T37" i="15" s="1"/>
  <c r="U37" i="15" s="1"/>
  <c r="W37" i="15" s="1"/>
  <c r="P34" i="15"/>
  <c r="N32" i="15"/>
  <c r="T32" i="15" s="1"/>
  <c r="U32" i="15" s="1"/>
  <c r="W32" i="15" s="1"/>
  <c r="N31" i="15"/>
  <c r="T31" i="15" s="1"/>
  <c r="U31" i="15" s="1"/>
  <c r="W31" i="15" s="1"/>
  <c r="N28" i="15"/>
  <c r="T28" i="15" s="1"/>
  <c r="U28" i="15" s="1"/>
  <c r="W28" i="15" s="1"/>
  <c r="P14" i="15"/>
  <c r="N15" i="15"/>
  <c r="T15" i="15" s="1"/>
  <c r="U15" i="15" s="1"/>
  <c r="W15" i="15" s="1"/>
  <c r="P19" i="15"/>
  <c r="P26" i="15"/>
  <c r="P13" i="15"/>
  <c r="N21" i="15"/>
  <c r="T21" i="15" s="1"/>
  <c r="U21" i="15" s="1"/>
  <c r="W21" i="15" s="1"/>
  <c r="P18" i="15"/>
  <c r="P22" i="15"/>
  <c r="N25" i="15"/>
  <c r="T25" i="15" s="1"/>
  <c r="U25" i="15" s="1"/>
  <c r="W25" i="15" s="1"/>
  <c r="P11" i="15"/>
  <c r="Q11" i="15" s="1"/>
  <c r="N24" i="15"/>
  <c r="T24" i="15" s="1"/>
  <c r="U24" i="15" s="1"/>
  <c r="W24" i="15" s="1"/>
  <c r="P25" i="15"/>
  <c r="N12" i="15"/>
  <c r="T12" i="15" s="1"/>
  <c r="U12" i="15" s="1"/>
  <c r="W12" i="15" s="1"/>
  <c r="N19" i="15"/>
  <c r="N13" i="15"/>
  <c r="T13" i="15" s="1"/>
  <c r="U13" i="15" s="1"/>
  <c r="W13" i="15" s="1"/>
  <c r="P24" i="15"/>
  <c r="Q24" i="15" s="1"/>
  <c r="P15" i="15"/>
  <c r="N23" i="15"/>
  <c r="T23" i="15" s="1"/>
  <c r="U23" i="15" s="1"/>
  <c r="W23" i="15" s="1"/>
  <c r="N10" i="15"/>
  <c r="T10" i="15" s="1"/>
  <c r="U10" i="15" s="1"/>
  <c r="W10" i="15" s="1"/>
  <c r="N22" i="15"/>
  <c r="T22" i="15" s="1"/>
  <c r="U22" i="15" s="1"/>
  <c r="W22" i="15" s="1"/>
  <c r="P20" i="15"/>
  <c r="N14" i="15"/>
  <c r="T14" i="15" s="1"/>
  <c r="U14" i="15" s="1"/>
  <c r="W14" i="15" s="1"/>
  <c r="P21" i="15"/>
  <c r="R14" i="15"/>
  <c r="W43" i="15" l="1"/>
  <c r="AP43" i="15" a="1"/>
  <c r="AP43" i="15" s="1"/>
  <c r="W46" i="15"/>
  <c r="AH46" i="15" a="1"/>
  <c r="AH46" i="15" s="1"/>
  <c r="O19" i="15"/>
  <c r="T19" i="15"/>
  <c r="U19" i="15" s="1"/>
  <c r="W19" i="15" s="1"/>
  <c r="Q25" i="15"/>
  <c r="O14" i="15"/>
  <c r="O22" i="15"/>
  <c r="Q20" i="15"/>
  <c r="Q14" i="15"/>
  <c r="O25" i="15"/>
  <c r="O32" i="15"/>
  <c r="O15" i="15"/>
  <c r="Q21" i="15"/>
  <c r="O24" i="15"/>
  <c r="Q22" i="15"/>
  <c r="Q23" i="15"/>
  <c r="O23" i="15"/>
  <c r="Q15" i="15"/>
  <c r="Q26" i="15"/>
  <c r="Q19" i="15"/>
  <c r="O13" i="15"/>
  <c r="AW148" i="26"/>
  <c r="AV148" i="26" s="1"/>
  <c r="AZ149" i="26"/>
  <c r="AY149" i="26"/>
  <c r="BD148" i="26"/>
  <c r="BB149" i="26"/>
  <c r="BC149" i="26"/>
  <c r="BE150" i="26" s="1"/>
  <c r="AU150" i="26"/>
  <c r="N17" i="15"/>
  <c r="T17" i="15" s="1"/>
  <c r="U17" i="15" s="1"/>
  <c r="W17" i="15" s="1"/>
  <c r="P31" i="15"/>
  <c r="P37" i="15"/>
  <c r="P43" i="15"/>
  <c r="P50" i="15"/>
  <c r="R50" i="15"/>
  <c r="P38" i="15"/>
  <c r="N44" i="15"/>
  <c r="P51" i="15"/>
  <c r="R28" i="15"/>
  <c r="N26" i="15"/>
  <c r="P32" i="15"/>
  <c r="N38" i="15"/>
  <c r="P45" i="15"/>
  <c r="N51" i="15"/>
  <c r="T51" i="15" s="1"/>
  <c r="U51" i="15" s="1"/>
  <c r="W51" i="15" s="1"/>
  <c r="R30" i="15"/>
  <c r="R47" i="15"/>
  <c r="R18" i="15"/>
  <c r="N27" i="15"/>
  <c r="T27" i="15" s="1"/>
  <c r="U27" i="15" s="1"/>
  <c r="W27" i="15" s="1"/>
  <c r="N33" i="15"/>
  <c r="N39" i="15"/>
  <c r="T39" i="15" s="1"/>
  <c r="U39" i="15" s="1"/>
  <c r="W39" i="15" s="1"/>
  <c r="N45" i="15"/>
  <c r="T45" i="15" s="1"/>
  <c r="U45" i="15" s="1"/>
  <c r="W45" i="15" s="1"/>
  <c r="R39" i="15"/>
  <c r="R23" i="15"/>
  <c r="R25" i="15"/>
  <c r="R12" i="15"/>
  <c r="N50" i="15"/>
  <c r="P44" i="15"/>
  <c r="R19" i="15"/>
  <c r="R42" i="15"/>
  <c r="N9" i="15"/>
  <c r="R21" i="15"/>
  <c r="R15" i="15"/>
  <c r="R41" i="15"/>
  <c r="R49" i="15"/>
  <c r="R40" i="15"/>
  <c r="R24" i="15"/>
  <c r="R13" i="15"/>
  <c r="R31" i="15"/>
  <c r="R35" i="15"/>
  <c r="P12" i="15"/>
  <c r="Q12" i="15" s="1"/>
  <c r="N11" i="15"/>
  <c r="P27" i="15"/>
  <c r="Q27" i="15" s="1"/>
  <c r="P33" i="15"/>
  <c r="Q34" i="15" s="1"/>
  <c r="P39" i="15"/>
  <c r="P46" i="15"/>
  <c r="R10" i="15"/>
  <c r="R36" i="15"/>
  <c r="R22" i="15"/>
  <c r="R38" i="15"/>
  <c r="R16" i="15"/>
  <c r="N20" i="15"/>
  <c r="P28" i="15"/>
  <c r="N34" i="15"/>
  <c r="T34" i="15" s="1"/>
  <c r="U34" i="15" s="1"/>
  <c r="W34" i="15" s="1"/>
  <c r="N40" i="15"/>
  <c r="T40" i="15" s="1"/>
  <c r="U40" i="15" s="1"/>
  <c r="W40" i="15" s="1"/>
  <c r="N47" i="15"/>
  <c r="R46" i="15"/>
  <c r="R26" i="15"/>
  <c r="R17" i="15"/>
  <c r="N29" i="15"/>
  <c r="P35" i="15"/>
  <c r="Q35" i="15" s="1"/>
  <c r="P41" i="15"/>
  <c r="Q41" i="15" s="1"/>
  <c r="P47" i="15"/>
  <c r="R29" i="15"/>
  <c r="R43" i="15"/>
  <c r="R20" i="15"/>
  <c r="P29" i="15"/>
  <c r="N35" i="15"/>
  <c r="T35" i="15" s="1"/>
  <c r="U35" i="15" s="1"/>
  <c r="W35" i="15" s="1"/>
  <c r="N41" i="15"/>
  <c r="P48" i="15"/>
  <c r="N16" i="15"/>
  <c r="N30" i="15"/>
  <c r="T30" i="15" s="1"/>
  <c r="U30" i="15" s="1"/>
  <c r="W30" i="15" s="1"/>
  <c r="P36" i="15"/>
  <c r="N42" i="15"/>
  <c r="T42" i="15" s="1"/>
  <c r="U42" i="15" s="1"/>
  <c r="W42" i="15" s="1"/>
  <c r="N48" i="15"/>
  <c r="T48" i="15" s="1"/>
  <c r="U48" i="15" s="1"/>
  <c r="W48" i="15" s="1"/>
  <c r="C12" i="15"/>
  <c r="R11" i="15"/>
  <c r="R45" i="15"/>
  <c r="R9" i="15"/>
  <c r="P16" i="15"/>
  <c r="Q16" i="15" s="1"/>
  <c r="P17" i="15"/>
  <c r="Q18" i="15" s="1"/>
  <c r="P30" i="15"/>
  <c r="N36" i="15"/>
  <c r="T36" i="15" s="1"/>
  <c r="U36" i="15" s="1"/>
  <c r="W36" i="15" s="1"/>
  <c r="P42" i="15"/>
  <c r="P49" i="15"/>
  <c r="R33" i="15"/>
  <c r="R37" i="15"/>
  <c r="R44" i="15"/>
  <c r="O47" i="15" l="1"/>
  <c r="T47" i="15"/>
  <c r="U47" i="15" s="1"/>
  <c r="W47" i="15" s="1"/>
  <c r="O33" i="15"/>
  <c r="T33" i="15"/>
  <c r="U33" i="15" s="1"/>
  <c r="W33" i="15" s="1"/>
  <c r="O44" i="15"/>
  <c r="T44" i="15"/>
  <c r="U44" i="15" s="1"/>
  <c r="W44" i="15" s="1"/>
  <c r="O10" i="15"/>
  <c r="T9" i="15"/>
  <c r="U9" i="15" s="1"/>
  <c r="W9" i="15" s="1"/>
  <c r="O41" i="15"/>
  <c r="T41" i="15"/>
  <c r="U41" i="15" s="1"/>
  <c r="W41" i="15" s="1"/>
  <c r="O11" i="15"/>
  <c r="T11" i="15"/>
  <c r="U11" i="15" s="1"/>
  <c r="W11" i="15" s="1"/>
  <c r="O20" i="15"/>
  <c r="T20" i="15"/>
  <c r="U20" i="15" s="1"/>
  <c r="W20" i="15" s="1"/>
  <c r="O50" i="15"/>
  <c r="T50" i="15"/>
  <c r="U50" i="15" s="1"/>
  <c r="W50" i="15" s="1"/>
  <c r="O38" i="15"/>
  <c r="T38" i="15"/>
  <c r="U38" i="15" s="1"/>
  <c r="W38" i="15" s="1"/>
  <c r="O29" i="15"/>
  <c r="T29" i="15"/>
  <c r="U29" i="15" s="1"/>
  <c r="W29" i="15" s="1"/>
  <c r="O16" i="15"/>
  <c r="T16" i="15"/>
  <c r="U16" i="15" s="1"/>
  <c r="W16" i="15" s="1"/>
  <c r="O26" i="15"/>
  <c r="T26" i="15"/>
  <c r="U26" i="15" s="1"/>
  <c r="W26" i="15" s="1"/>
  <c r="O40" i="15"/>
  <c r="Q47" i="15"/>
  <c r="Q42" i="15"/>
  <c r="Q46" i="15"/>
  <c r="Q44" i="15"/>
  <c r="S51" i="15"/>
  <c r="Q49" i="15"/>
  <c r="S27" i="15"/>
  <c r="Q36" i="15"/>
  <c r="Q51" i="15"/>
  <c r="O45" i="15"/>
  <c r="Q39" i="15"/>
  <c r="O30" i="15"/>
  <c r="S12" i="15"/>
  <c r="Q29" i="15"/>
  <c r="S11" i="15"/>
  <c r="O34" i="15"/>
  <c r="S10" i="15"/>
  <c r="Q28" i="15"/>
  <c r="S36" i="15"/>
  <c r="S31" i="15"/>
  <c r="S13" i="15"/>
  <c r="S23" i="15"/>
  <c r="S37" i="15"/>
  <c r="S29" i="15"/>
  <c r="S16" i="15"/>
  <c r="S39" i="15"/>
  <c r="S24" i="15"/>
  <c r="S46" i="15"/>
  <c r="S38" i="15"/>
  <c r="S40" i="15"/>
  <c r="S42" i="15"/>
  <c r="S18" i="15"/>
  <c r="S21" i="15"/>
  <c r="S49" i="15"/>
  <c r="S19" i="15"/>
  <c r="S47" i="15"/>
  <c r="S28" i="15"/>
  <c r="S44" i="15"/>
  <c r="S17" i="15"/>
  <c r="S32" i="15"/>
  <c r="S22" i="15"/>
  <c r="S41" i="15"/>
  <c r="S26" i="15"/>
  <c r="S30" i="15"/>
  <c r="Q32" i="15"/>
  <c r="Q37" i="15"/>
  <c r="S48" i="15"/>
  <c r="S43" i="15"/>
  <c r="S25" i="15"/>
  <c r="S50" i="15"/>
  <c r="S14" i="15"/>
  <c r="S33" i="15"/>
  <c r="S45" i="15"/>
  <c r="S20" i="15"/>
  <c r="S35" i="15"/>
  <c r="S15" i="15"/>
  <c r="S34" i="15"/>
  <c r="Q43" i="15"/>
  <c r="O46" i="15"/>
  <c r="Q31" i="15"/>
  <c r="Q13" i="15"/>
  <c r="O48" i="15"/>
  <c r="O42" i="15"/>
  <c r="O39" i="15"/>
  <c r="Q33" i="15"/>
  <c r="O27" i="15"/>
  <c r="O36" i="15"/>
  <c r="Q38" i="15"/>
  <c r="Q30" i="15"/>
  <c r="Q17" i="15"/>
  <c r="Q48" i="15"/>
  <c r="Q45" i="15"/>
  <c r="Q50" i="15"/>
  <c r="Q40" i="15"/>
  <c r="O17" i="15"/>
  <c r="O18" i="15"/>
  <c r="O43" i="15"/>
  <c r="O21" i="15"/>
  <c r="O37" i="15"/>
  <c r="O51" i="15"/>
  <c r="O31" i="15"/>
  <c r="O28" i="15"/>
  <c r="O35" i="15"/>
  <c r="O12" i="15"/>
  <c r="O49" i="15"/>
  <c r="AU151" i="26"/>
  <c r="BB150" i="26"/>
  <c r="BC150" i="26"/>
  <c r="BE151" i="26" s="1"/>
  <c r="AY150" i="26"/>
  <c r="AW149" i="26"/>
  <c r="AV149" i="26" s="1"/>
  <c r="AZ150" i="26"/>
  <c r="BD149" i="26"/>
  <c r="Z9" i="15" l="1"/>
  <c r="AG9" i="15"/>
  <c r="AU9" i="15"/>
  <c r="AP9" i="15"/>
  <c r="AD9" i="15"/>
  <c r="AX9" i="15"/>
  <c r="AT9" i="15"/>
  <c r="X9" i="15"/>
  <c r="AH9" i="15"/>
  <c r="AJ9" i="15"/>
  <c r="BA9" i="15"/>
  <c r="BD10" i="15"/>
  <c r="BD9" i="15"/>
  <c r="AM9" i="15"/>
  <c r="BB151" i="26"/>
  <c r="BC151" i="26"/>
  <c r="BE152" i="26" s="1"/>
  <c r="AU152" i="26"/>
  <c r="AZ151" i="26"/>
  <c r="AW150" i="26"/>
  <c r="AV150" i="26" s="1"/>
  <c r="AY151" i="26"/>
  <c r="BD150" i="26"/>
  <c r="AT10" i="15" l="1"/>
  <c r="AU10" i="15"/>
  <c r="AD10" i="15"/>
  <c r="AP10" i="15"/>
  <c r="X10" i="15"/>
  <c r="AH10" i="15"/>
  <c r="AJ10" i="15"/>
  <c r="BA10" i="15"/>
  <c r="AM10" i="15"/>
  <c r="Z10" i="15"/>
  <c r="AX10" i="15"/>
  <c r="Z11" i="15"/>
  <c r="AG10" i="15"/>
  <c r="BB152" i="26"/>
  <c r="AU153" i="26"/>
  <c r="BC152" i="26"/>
  <c r="BE153" i="26" s="1"/>
  <c r="AZ152" i="26"/>
  <c r="AW151" i="26"/>
  <c r="AV151" i="26" s="1"/>
  <c r="AY152" i="26"/>
  <c r="BD151" i="26"/>
  <c r="AD11" i="15" l="1"/>
  <c r="BD11" i="15"/>
  <c r="AX11" i="15"/>
  <c r="AG11" i="15"/>
  <c r="BA11" i="15"/>
  <c r="X11" i="15"/>
  <c r="AG12" i="15"/>
  <c r="AM11" i="15"/>
  <c r="AP11" i="15"/>
  <c r="AT11" i="15"/>
  <c r="AH11" i="15"/>
  <c r="AJ11" i="15"/>
  <c r="AU11" i="15"/>
  <c r="AY153" i="26"/>
  <c r="BD152" i="26"/>
  <c r="AZ153" i="26"/>
  <c r="AW152" i="26"/>
  <c r="AV152" i="26" s="1"/>
  <c r="BB153" i="26"/>
  <c r="AU154" i="26"/>
  <c r="BC153" i="26"/>
  <c r="BE154" i="26" s="1"/>
  <c r="Z12" i="15" l="1"/>
  <c r="BA12" i="15"/>
  <c r="AU12" i="15"/>
  <c r="BA13" i="15"/>
  <c r="AJ12" i="15"/>
  <c r="AH12" i="15"/>
  <c r="AT12" i="15"/>
  <c r="AP12" i="15"/>
  <c r="AD12" i="15"/>
  <c r="BD12" i="15"/>
  <c r="AX12" i="15"/>
  <c r="AM12" i="15"/>
  <c r="X12" i="15"/>
  <c r="AZ154" i="26"/>
  <c r="AY154" i="26"/>
  <c r="AW153" i="26"/>
  <c r="AV153" i="26" s="1"/>
  <c r="BD153" i="26"/>
  <c r="BB154" i="26"/>
  <c r="BC154" i="26"/>
  <c r="BE155" i="26" s="1"/>
  <c r="AU155" i="26"/>
  <c r="AG13" i="15"/>
  <c r="AD13" i="15"/>
  <c r="AT13" i="15"/>
  <c r="AX13" i="15" l="1"/>
  <c r="AU13" i="15"/>
  <c r="BD13" i="15"/>
  <c r="AH13" i="15"/>
  <c r="AM13" i="15"/>
  <c r="AU14" i="15"/>
  <c r="AP13" i="15"/>
  <c r="X13" i="15"/>
  <c r="Z13" i="15"/>
  <c r="AJ13" i="15"/>
  <c r="BD154" i="26"/>
  <c r="AW154" i="26"/>
  <c r="AV154" i="26" s="1"/>
  <c r="AY155" i="26"/>
  <c r="AZ155" i="26"/>
  <c r="BC155" i="26"/>
  <c r="BE156" i="26" s="1"/>
  <c r="BB155" i="26"/>
  <c r="AU156" i="26"/>
  <c r="AH14" i="15" l="1"/>
  <c r="AM14" i="15"/>
  <c r="Z14" i="15"/>
  <c r="AP14" i="15"/>
  <c r="AD14" i="15"/>
  <c r="AX14" i="15"/>
  <c r="AT14" i="15"/>
  <c r="BD14" i="15"/>
  <c r="AJ14" i="15"/>
  <c r="BA14" i="15"/>
  <c r="AG14" i="15"/>
  <c r="X14" i="15"/>
  <c r="BC156" i="26"/>
  <c r="BE157" i="26" s="1"/>
  <c r="AU157" i="26"/>
  <c r="BB156" i="26"/>
  <c r="AY156" i="26"/>
  <c r="AW155" i="26"/>
  <c r="AV155" i="26" s="1"/>
  <c r="AZ156" i="26"/>
  <c r="BD155" i="26"/>
  <c r="AP15" i="15"/>
  <c r="AJ15" i="15"/>
  <c r="BA15" i="15"/>
  <c r="AG15" i="15"/>
  <c r="AX15" i="15"/>
  <c r="X15" i="15"/>
  <c r="AU15" i="15"/>
  <c r="AD15" i="15"/>
  <c r="Z15" i="15"/>
  <c r="BD15" i="15"/>
  <c r="AT15" i="15"/>
  <c r="AH15" i="15"/>
  <c r="AM15" i="15"/>
  <c r="AU158" i="26" l="1"/>
  <c r="BC157" i="26"/>
  <c r="BE158" i="26" s="1"/>
  <c r="BB157" i="26"/>
  <c r="AY157" i="26"/>
  <c r="AW156" i="26"/>
  <c r="AV156" i="26" s="1"/>
  <c r="AZ157" i="26"/>
  <c r="BD156" i="26"/>
  <c r="AH16" i="15"/>
  <c r="BA16" i="15"/>
  <c r="AM16" i="15"/>
  <c r="AU16" i="15"/>
  <c r="AG16" i="15"/>
  <c r="AJ16" i="15"/>
  <c r="AX16" i="15"/>
  <c r="BD16" i="15"/>
  <c r="X16" i="15"/>
  <c r="AP16" i="15"/>
  <c r="AD16" i="15"/>
  <c r="Z16" i="15"/>
  <c r="AT16" i="15"/>
  <c r="BD157" i="26" l="1"/>
  <c r="AW157" i="26"/>
  <c r="AV157" i="26" s="1"/>
  <c r="AZ158" i="26"/>
  <c r="AY158" i="26"/>
  <c r="AU159" i="26"/>
  <c r="BC158" i="26"/>
  <c r="BE159" i="26" s="1"/>
  <c r="BB158" i="26"/>
  <c r="X17" i="15"/>
  <c r="AM17" i="15"/>
  <c r="BD17" i="15"/>
  <c r="AJ17" i="15"/>
  <c r="AG17" i="15"/>
  <c r="AD17" i="15"/>
  <c r="AX17" i="15"/>
  <c r="Z17" i="15"/>
  <c r="AP17" i="15"/>
  <c r="AT17" i="15"/>
  <c r="BA17" i="15"/>
  <c r="AU17" i="15"/>
  <c r="AH17" i="15"/>
  <c r="BB159" i="26" l="1"/>
  <c r="BC159" i="26"/>
  <c r="BE160" i="26" s="1"/>
  <c r="AU160" i="26"/>
  <c r="AY159" i="26"/>
  <c r="AW158" i="26"/>
  <c r="AV158" i="26" s="1"/>
  <c r="BD158" i="26"/>
  <c r="AZ159" i="26"/>
  <c r="X18" i="15"/>
  <c r="AH18" i="15"/>
  <c r="AJ18" i="15"/>
  <c r="AM18" i="15"/>
  <c r="AU18" i="15"/>
  <c r="AT18" i="15"/>
  <c r="AD18" i="15"/>
  <c r="BD18" i="15"/>
  <c r="AP18" i="15"/>
  <c r="AX18" i="15"/>
  <c r="BA18" i="15"/>
  <c r="Z18" i="15"/>
  <c r="AG18" i="15"/>
  <c r="AU161" i="26" l="1"/>
  <c r="BB160" i="26"/>
  <c r="BC160" i="26"/>
  <c r="BE161" i="26" s="1"/>
  <c r="AY160" i="26"/>
  <c r="AZ160" i="26"/>
  <c r="BD159" i="26"/>
  <c r="AW159" i="26"/>
  <c r="AV159" i="26" s="1"/>
  <c r="X19" i="15"/>
  <c r="BD19" i="15"/>
  <c r="AD19" i="15"/>
  <c r="AX19" i="15"/>
  <c r="AG19" i="15"/>
  <c r="BA19" i="15"/>
  <c r="AH19" i="15"/>
  <c r="AT19" i="15"/>
  <c r="AU19" i="15"/>
  <c r="Z19" i="15"/>
  <c r="AJ19" i="15"/>
  <c r="AP19" i="15"/>
  <c r="AM19" i="15"/>
  <c r="AW160" i="26" l="1"/>
  <c r="AV160" i="26" s="1"/>
  <c r="AY161" i="26"/>
  <c r="BD160" i="26"/>
  <c r="AZ161" i="26"/>
  <c r="BB161" i="26"/>
  <c r="BC161" i="26"/>
  <c r="BE162" i="26" s="1"/>
  <c r="AU162" i="26"/>
  <c r="BD20" i="15"/>
  <c r="AU20" i="15"/>
  <c r="BA20" i="15"/>
  <c r="AG20" i="15"/>
  <c r="Z20" i="15"/>
  <c r="X20" i="15"/>
  <c r="AT20" i="15"/>
  <c r="AD20" i="15"/>
  <c r="AM20" i="15"/>
  <c r="AP20" i="15"/>
  <c r="AX20" i="15"/>
  <c r="AJ20" i="15"/>
  <c r="AH20" i="15"/>
  <c r="BB162" i="26" l="1"/>
  <c r="BC162" i="26"/>
  <c r="BE163" i="26" s="1"/>
  <c r="AU163" i="26"/>
  <c r="AW161" i="26"/>
  <c r="AV161" i="26" s="1"/>
  <c r="AY162" i="26"/>
  <c r="AZ162" i="26"/>
  <c r="BD161" i="26"/>
  <c r="BA21" i="15"/>
  <c r="AX21" i="15"/>
  <c r="AU21" i="15"/>
  <c r="AD21" i="15"/>
  <c r="BD21" i="15"/>
  <c r="Z21" i="15"/>
  <c r="AG21" i="15"/>
  <c r="AM21" i="15"/>
  <c r="AT21" i="15"/>
  <c r="AP21" i="15"/>
  <c r="X21" i="15"/>
  <c r="AH21" i="15"/>
  <c r="AJ21" i="15"/>
  <c r="AY163" i="26" l="1"/>
  <c r="AZ163" i="26"/>
  <c r="AW162" i="26"/>
  <c r="AV162" i="26" s="1"/>
  <c r="BD162" i="26"/>
  <c r="BB163" i="26"/>
  <c r="AU164" i="26"/>
  <c r="BC163" i="26"/>
  <c r="BE164" i="26" s="1"/>
  <c r="AG22" i="15"/>
  <c r="X22" i="15"/>
  <c r="AJ22" i="15"/>
  <c r="AT22" i="15"/>
  <c r="BA22" i="15"/>
  <c r="AM22" i="15"/>
  <c r="AH22" i="15"/>
  <c r="BD22" i="15"/>
  <c r="AD22" i="15"/>
  <c r="AU22" i="15"/>
  <c r="AP22" i="15"/>
  <c r="Z22" i="15"/>
  <c r="AX22" i="15"/>
  <c r="AY164" i="26" l="1"/>
  <c r="AZ164" i="26"/>
  <c r="AW163" i="26"/>
  <c r="AV163" i="26" s="1"/>
  <c r="BD163" i="26"/>
  <c r="BC164" i="26"/>
  <c r="BE165" i="26" s="1"/>
  <c r="AU165" i="26"/>
  <c r="BB164" i="26"/>
  <c r="AP23" i="15"/>
  <c r="X23" i="15"/>
  <c r="AJ23" i="15"/>
  <c r="AD23" i="15"/>
  <c r="AM23" i="15"/>
  <c r="AT23" i="15"/>
  <c r="BA23" i="15"/>
  <c r="AH23" i="15"/>
  <c r="AU23" i="15"/>
  <c r="AG23" i="15"/>
  <c r="Z23" i="15"/>
  <c r="BD23" i="15"/>
  <c r="AX23" i="15"/>
  <c r="BB165" i="26" l="1"/>
  <c r="AU166" i="26"/>
  <c r="BC165" i="26"/>
  <c r="BE166" i="26" s="1"/>
  <c r="AY165" i="26"/>
  <c r="AZ165" i="26"/>
  <c r="AW164" i="26"/>
  <c r="AV164" i="26" s="1"/>
  <c r="BD164" i="26"/>
  <c r="AH24" i="15"/>
  <c r="AT24" i="15"/>
  <c r="BA24" i="15"/>
  <c r="BD24" i="15"/>
  <c r="AG24" i="15"/>
  <c r="Z24" i="15"/>
  <c r="AP24" i="15"/>
  <c r="AU24" i="15"/>
  <c r="AD24" i="15"/>
  <c r="AX24" i="15"/>
  <c r="X24" i="15"/>
  <c r="AJ24" i="15"/>
  <c r="AM24" i="15"/>
  <c r="BB166" i="26" l="1"/>
  <c r="AU167" i="26"/>
  <c r="BC166" i="26"/>
  <c r="BE167" i="26" s="1"/>
  <c r="AW165" i="26"/>
  <c r="AV165" i="26" s="1"/>
  <c r="BD165" i="26"/>
  <c r="AY166" i="26"/>
  <c r="AZ166" i="26"/>
  <c r="AT25" i="15"/>
  <c r="AD25" i="15"/>
  <c r="BD25" i="15"/>
  <c r="Z25" i="15"/>
  <c r="X25" i="15"/>
  <c r="AM25" i="15"/>
  <c r="AH25" i="15"/>
  <c r="AG25" i="15"/>
  <c r="AP25" i="15"/>
  <c r="AJ25" i="15"/>
  <c r="AX25" i="15"/>
  <c r="AU25" i="15"/>
  <c r="BA25" i="15"/>
  <c r="AW166" i="26" l="1"/>
  <c r="AV166" i="26" s="1"/>
  <c r="BD166" i="26"/>
  <c r="AZ167" i="26"/>
  <c r="AY167" i="26"/>
  <c r="BC167" i="26"/>
  <c r="BE168" i="26" s="1"/>
  <c r="AU168" i="26"/>
  <c r="BB167" i="26"/>
  <c r="X26" i="15"/>
  <c r="AJ26" i="15"/>
  <c r="AT26" i="15"/>
  <c r="AP26" i="15"/>
  <c r="Z26" i="15"/>
  <c r="AM26" i="15"/>
  <c r="AX26" i="15"/>
  <c r="AU26" i="15"/>
  <c r="BA26" i="15"/>
  <c r="AD26" i="15"/>
  <c r="AH26" i="15"/>
  <c r="AG26" i="15"/>
  <c r="BD26" i="15"/>
  <c r="AY168" i="26" l="1"/>
  <c r="AZ168" i="26"/>
  <c r="AW167" i="26"/>
  <c r="AV167" i="26" s="1"/>
  <c r="BD167" i="26"/>
  <c r="BC168" i="26"/>
  <c r="BE169" i="26" s="1"/>
  <c r="AU169" i="26"/>
  <c r="BB168" i="26"/>
  <c r="AP27" i="15"/>
  <c r="AM27" i="15"/>
  <c r="AJ27" i="15"/>
  <c r="AU27" i="15"/>
  <c r="AX27" i="15"/>
  <c r="BD27" i="15"/>
  <c r="AG27" i="15"/>
  <c r="Z27" i="15"/>
  <c r="X27" i="15"/>
  <c r="BA27" i="15"/>
  <c r="AD27" i="15"/>
  <c r="AH27" i="15"/>
  <c r="AT27" i="15"/>
  <c r="AU170" i="26" l="1"/>
  <c r="BB169" i="26"/>
  <c r="BC169" i="26"/>
  <c r="BE170" i="26" s="1"/>
  <c r="BD168" i="26"/>
  <c r="AY169" i="26"/>
  <c r="AZ169" i="26"/>
  <c r="AW168" i="26"/>
  <c r="AV168" i="26" s="1"/>
  <c r="AD28" i="15"/>
  <c r="AU28" i="15"/>
  <c r="BA28" i="15"/>
  <c r="BD28" i="15"/>
  <c r="AG28" i="15"/>
  <c r="AJ28" i="15"/>
  <c r="AH28" i="15"/>
  <c r="AX28" i="15"/>
  <c r="Z28" i="15"/>
  <c r="X28" i="15"/>
  <c r="AP28" i="15"/>
  <c r="AT28" i="15"/>
  <c r="AM28" i="15"/>
  <c r="BD169" i="26" l="1"/>
  <c r="AW169" i="26"/>
  <c r="AV169" i="26" s="1"/>
  <c r="AZ170" i="26"/>
  <c r="AY170" i="26"/>
  <c r="AU171" i="26"/>
  <c r="BC170" i="26"/>
  <c r="BE171" i="26" s="1"/>
  <c r="BB170" i="26"/>
  <c r="Z29" i="15"/>
  <c r="AM29" i="15"/>
  <c r="BA29" i="15"/>
  <c r="AG29" i="15"/>
  <c r="AJ29" i="15"/>
  <c r="AD29" i="15"/>
  <c r="AT29" i="15"/>
  <c r="X29" i="15"/>
  <c r="AH29" i="15"/>
  <c r="AP29" i="15"/>
  <c r="BD29" i="15"/>
  <c r="AU29" i="15"/>
  <c r="AX29" i="15"/>
  <c r="BC171" i="26" l="1"/>
  <c r="BE172" i="26" s="1"/>
  <c r="BB171" i="26"/>
  <c r="AU172" i="26"/>
  <c r="AW170" i="26"/>
  <c r="AV170" i="26" s="1"/>
  <c r="BD170" i="26"/>
  <c r="AY171" i="26"/>
  <c r="AZ171" i="26"/>
  <c r="X30" i="15"/>
  <c r="BD30" i="15"/>
  <c r="AG30" i="15"/>
  <c r="AP30" i="15"/>
  <c r="AJ30" i="15"/>
  <c r="AM30" i="15"/>
  <c r="BA30" i="15"/>
  <c r="AU30" i="15"/>
  <c r="AX30" i="15"/>
  <c r="AH30" i="15"/>
  <c r="Z30" i="15"/>
  <c r="AD30" i="15"/>
  <c r="AT30" i="15"/>
  <c r="BC172" i="26" l="1"/>
  <c r="BE173" i="26" s="1"/>
  <c r="BB172" i="26"/>
  <c r="AU173" i="26"/>
  <c r="AY172" i="26"/>
  <c r="AW171" i="26"/>
  <c r="AV171" i="26" s="1"/>
  <c r="AZ172" i="26"/>
  <c r="BD171" i="26"/>
  <c r="AJ31" i="15"/>
  <c r="AP31" i="15"/>
  <c r="AD31" i="15"/>
  <c r="AX31" i="15"/>
  <c r="BA31" i="15"/>
  <c r="BD31" i="15"/>
  <c r="X31" i="15"/>
  <c r="AM31" i="15"/>
  <c r="AU31" i="15"/>
  <c r="AG31" i="15"/>
  <c r="Z31" i="15"/>
  <c r="AT31" i="15"/>
  <c r="AH31" i="15"/>
  <c r="BB173" i="26" l="1"/>
  <c r="BC173" i="26"/>
  <c r="BE174" i="26" s="1"/>
  <c r="AU174" i="26"/>
  <c r="AW172" i="26"/>
  <c r="AV172" i="26" s="1"/>
  <c r="AZ173" i="26"/>
  <c r="AY173" i="26"/>
  <c r="BD172" i="26"/>
  <c r="AH32" i="15"/>
  <c r="AU32" i="15"/>
  <c r="AX32" i="15"/>
  <c r="BA32" i="15"/>
  <c r="AT32" i="15"/>
  <c r="AP32" i="15"/>
  <c r="AJ32" i="15"/>
  <c r="X32" i="15"/>
  <c r="BD32" i="15"/>
  <c r="AG32" i="15"/>
  <c r="AD32" i="15"/>
  <c r="Z32" i="15"/>
  <c r="AM32" i="15"/>
  <c r="AW173" i="26" l="1"/>
  <c r="AV173" i="26" s="1"/>
  <c r="BD173" i="26"/>
  <c r="AY174" i="26"/>
  <c r="AZ174" i="26"/>
  <c r="AU175" i="26"/>
  <c r="BC174" i="26"/>
  <c r="BE175" i="26" s="1"/>
  <c r="BB174" i="26"/>
  <c r="AM33" i="15"/>
  <c r="Z33" i="15"/>
  <c r="BA33" i="15"/>
  <c r="AT33" i="15"/>
  <c r="X33" i="15"/>
  <c r="AJ33" i="15"/>
  <c r="BD33" i="15"/>
  <c r="AG33" i="15"/>
  <c r="AH33" i="15"/>
  <c r="AP33" i="15"/>
  <c r="AD33" i="15"/>
  <c r="AX33" i="15"/>
  <c r="AU33" i="15"/>
  <c r="AY175" i="26" l="1"/>
  <c r="AZ175" i="26"/>
  <c r="BD174" i="26"/>
  <c r="AW174" i="26"/>
  <c r="AV174" i="26" s="1"/>
  <c r="AU176" i="26"/>
  <c r="BC175" i="26"/>
  <c r="BE176" i="26" s="1"/>
  <c r="BB175" i="26"/>
  <c r="AM34" i="15"/>
  <c r="AT34" i="15"/>
  <c r="X34" i="15"/>
  <c r="AH34" i="15"/>
  <c r="AJ34" i="15"/>
  <c r="AD34" i="15"/>
  <c r="BA34" i="15"/>
  <c r="BD34" i="15"/>
  <c r="AG34" i="15"/>
  <c r="AX34" i="15"/>
  <c r="AP34" i="15"/>
  <c r="Z34" i="15"/>
  <c r="AU34" i="15"/>
  <c r="AY176" i="26" l="1"/>
  <c r="AW175" i="26"/>
  <c r="AV175" i="26" s="1"/>
  <c r="BD175" i="26"/>
  <c r="AZ176" i="26"/>
  <c r="BB176" i="26"/>
  <c r="BC176" i="26"/>
  <c r="BE177" i="26" s="1"/>
  <c r="AU177" i="26"/>
  <c r="AP35" i="15"/>
  <c r="AM35" i="15"/>
  <c r="AJ35" i="15"/>
  <c r="BD35" i="15"/>
  <c r="AX35" i="15"/>
  <c r="AG35" i="15"/>
  <c r="BA35" i="15"/>
  <c r="AH35" i="15"/>
  <c r="AT35" i="15"/>
  <c r="Z35" i="15"/>
  <c r="AD35" i="15"/>
  <c r="AU35" i="15"/>
  <c r="X35" i="15"/>
  <c r="AW176" i="26" l="1"/>
  <c r="AV176" i="26" s="1"/>
  <c r="AY177" i="26"/>
  <c r="AZ177" i="26"/>
  <c r="BD176" i="26"/>
  <c r="BB177" i="26"/>
  <c r="AU178" i="26"/>
  <c r="BC177" i="26"/>
  <c r="BE178" i="26" s="1"/>
  <c r="AH36" i="15"/>
  <c r="AJ36" i="15"/>
  <c r="BD36" i="15"/>
  <c r="AU36" i="15"/>
  <c r="AT36" i="15"/>
  <c r="Z36" i="15"/>
  <c r="AG36" i="15"/>
  <c r="AD36" i="15"/>
  <c r="AP36" i="15"/>
  <c r="BA36" i="15"/>
  <c r="AX36" i="15"/>
  <c r="X36" i="15"/>
  <c r="AM36" i="15"/>
  <c r="AW177" i="26" l="1"/>
  <c r="AV177" i="26" s="1"/>
  <c r="AY178" i="26"/>
  <c r="BD177" i="26"/>
  <c r="AZ178" i="26"/>
  <c r="BB178" i="26"/>
  <c r="BC178" i="26"/>
  <c r="BE179" i="26" s="1"/>
  <c r="AU179" i="26"/>
  <c r="BD37" i="15"/>
  <c r="AD37" i="15"/>
  <c r="X37" i="15"/>
  <c r="AM37" i="15"/>
  <c r="AX37" i="15"/>
  <c r="AT37" i="15"/>
  <c r="Z37" i="15"/>
  <c r="AP37" i="15"/>
  <c r="AJ37" i="15"/>
  <c r="AH37" i="15"/>
  <c r="BA37" i="15"/>
  <c r="AG37" i="15"/>
  <c r="AU37" i="15"/>
  <c r="BC179" i="26" l="1"/>
  <c r="BE180" i="26" s="1"/>
  <c r="BB179" i="26"/>
  <c r="AU180" i="26"/>
  <c r="AZ179" i="26"/>
  <c r="AW178" i="26"/>
  <c r="AV178" i="26" s="1"/>
  <c r="BD178" i="26"/>
  <c r="AY179" i="26"/>
  <c r="Z38" i="15"/>
  <c r="AU38" i="15"/>
  <c r="AG38" i="15"/>
  <c r="AP38" i="15"/>
  <c r="AM38" i="15"/>
  <c r="AJ38" i="15"/>
  <c r="BA38" i="15"/>
  <c r="AX38" i="15"/>
  <c r="AD38" i="15"/>
  <c r="BD38" i="15"/>
  <c r="AH38" i="15"/>
  <c r="X38" i="15"/>
  <c r="AT38" i="15"/>
  <c r="AU181" i="26" l="1"/>
  <c r="BB180" i="26"/>
  <c r="BC180" i="26"/>
  <c r="BE181" i="26" s="1"/>
  <c r="BD179" i="26"/>
  <c r="AW179" i="26"/>
  <c r="AV179" i="26" s="1"/>
  <c r="AZ180" i="26"/>
  <c r="AY180" i="26"/>
  <c r="AG39" i="15"/>
  <c r="AM39" i="15"/>
  <c r="AT39" i="15"/>
  <c r="AP39" i="15"/>
  <c r="BA39" i="15"/>
  <c r="AD39" i="15"/>
  <c r="BD39" i="15"/>
  <c r="Z39" i="15"/>
  <c r="AX39" i="15"/>
  <c r="AH39" i="15"/>
  <c r="X39" i="15"/>
  <c r="AU39" i="15"/>
  <c r="AJ39" i="15"/>
  <c r="BD180" i="26" l="1"/>
  <c r="AZ181" i="26"/>
  <c r="AW180" i="26"/>
  <c r="AV180" i="26" s="1"/>
  <c r="AY181" i="26"/>
  <c r="BC181" i="26"/>
  <c r="BE182" i="26" s="1"/>
  <c r="BB181" i="26"/>
  <c r="AU182" i="26"/>
  <c r="AD40" i="15"/>
  <c r="AG40" i="15"/>
  <c r="BD40" i="15"/>
  <c r="BA40" i="15"/>
  <c r="AU40" i="15"/>
  <c r="AJ40" i="15"/>
  <c r="Z40" i="15"/>
  <c r="AH40" i="15"/>
  <c r="AP40" i="15"/>
  <c r="AX40" i="15"/>
  <c r="AT40" i="15"/>
  <c r="AM40" i="15"/>
  <c r="X40" i="15"/>
  <c r="BC182" i="26" l="1"/>
  <c r="BE183" i="26" s="1"/>
  <c r="BB182" i="26"/>
  <c r="AU183" i="26"/>
  <c r="BD181" i="26"/>
  <c r="AW181" i="26"/>
  <c r="AV181" i="26" s="1"/>
  <c r="AY182" i="26"/>
  <c r="AZ182" i="26"/>
  <c r="AT41" i="15"/>
  <c r="AJ41" i="15"/>
  <c r="AM41" i="15"/>
  <c r="AX41" i="15"/>
  <c r="AU41" i="15"/>
  <c r="AG41" i="15"/>
  <c r="Z41" i="15"/>
  <c r="X41" i="15"/>
  <c r="AD41" i="15"/>
  <c r="AH41" i="15"/>
  <c r="BD41" i="15"/>
  <c r="BA41" i="15"/>
  <c r="AP41" i="15"/>
  <c r="BB183" i="26" l="1"/>
  <c r="BC183" i="26"/>
  <c r="BE184" i="26" s="1"/>
  <c r="AU184" i="26"/>
  <c r="BD182" i="26"/>
  <c r="AW182" i="26"/>
  <c r="AV182" i="26" s="1"/>
  <c r="AY183" i="26"/>
  <c r="AZ183" i="26"/>
  <c r="AJ42" i="15"/>
  <c r="AT42" i="15"/>
  <c r="AH42" i="15"/>
  <c r="AM42" i="15"/>
  <c r="AX42" i="15"/>
  <c r="AD42" i="15"/>
  <c r="AP42" i="15"/>
  <c r="BD42" i="15"/>
  <c r="BA42" i="15"/>
  <c r="AU42" i="15"/>
  <c r="AG42" i="15"/>
  <c r="X42" i="15"/>
  <c r="Z42" i="15"/>
  <c r="BD183" i="26" l="1"/>
  <c r="AW183" i="26"/>
  <c r="AV183" i="26" s="1"/>
  <c r="AZ184" i="26"/>
  <c r="AY184" i="26"/>
  <c r="BC184" i="26"/>
  <c r="BE185" i="26" s="1"/>
  <c r="BB184" i="26"/>
  <c r="AU185" i="26"/>
  <c r="BD43" i="15"/>
  <c r="AD43" i="15"/>
  <c r="AG43" i="15"/>
  <c r="AX43" i="15"/>
  <c r="Z43" i="15"/>
  <c r="AU43" i="15"/>
  <c r="AT43" i="15"/>
  <c r="AJ43" i="15"/>
  <c r="AM43" i="15"/>
  <c r="AH43" i="15"/>
  <c r="BA43" i="15"/>
  <c r="X43" i="15"/>
  <c r="BB185" i="26" l="1"/>
  <c r="BC185" i="26"/>
  <c r="BE186" i="26" s="1"/>
  <c r="AU186" i="26"/>
  <c r="AW184" i="26"/>
  <c r="AV184" i="26" s="1"/>
  <c r="AZ185" i="26"/>
  <c r="BD184" i="26"/>
  <c r="AY185" i="26"/>
  <c r="AG44" i="15"/>
  <c r="Z44" i="15"/>
  <c r="AM44" i="15"/>
  <c r="AT44" i="15"/>
  <c r="BA44" i="15"/>
  <c r="AP44" i="15"/>
  <c r="AD44" i="15"/>
  <c r="AU44" i="15"/>
  <c r="AH44" i="15"/>
  <c r="BD44" i="15"/>
  <c r="AX44" i="15"/>
  <c r="AJ44" i="15"/>
  <c r="X44" i="15"/>
  <c r="AY186" i="26" l="1"/>
  <c r="AZ186" i="26"/>
  <c r="AW185" i="26"/>
  <c r="AV185" i="26" s="1"/>
  <c r="BD185" i="26"/>
  <c r="BB186" i="26"/>
  <c r="BC186" i="26"/>
  <c r="BE187" i="26" s="1"/>
  <c r="AU187" i="26"/>
  <c r="BA45" i="15"/>
  <c r="AX45" i="15"/>
  <c r="Z45" i="15"/>
  <c r="AT45" i="15"/>
  <c r="AD45" i="15"/>
  <c r="AJ45" i="15"/>
  <c r="AG45" i="15"/>
  <c r="X45" i="15"/>
  <c r="AM45" i="15"/>
  <c r="AH45" i="15"/>
  <c r="AU45" i="15"/>
  <c r="BD45" i="15"/>
  <c r="AP45" i="15"/>
  <c r="AU188" i="26" l="1"/>
  <c r="BB187" i="26"/>
  <c r="BC187" i="26"/>
  <c r="BE188" i="26" s="1"/>
  <c r="AW186" i="26"/>
  <c r="AV186" i="26" s="1"/>
  <c r="AY187" i="26"/>
  <c r="AZ187" i="26"/>
  <c r="BD186" i="26"/>
  <c r="AG46" i="15"/>
  <c r="Z46" i="15"/>
  <c r="AT46" i="15"/>
  <c r="AJ46" i="15"/>
  <c r="AM46" i="15"/>
  <c r="AD46" i="15"/>
  <c r="AX46" i="15"/>
  <c r="BD46" i="15"/>
  <c r="BA46" i="15"/>
  <c r="AU46" i="15"/>
  <c r="X46" i="15"/>
  <c r="AP46" i="15"/>
  <c r="AW187" i="26" l="1"/>
  <c r="AV187" i="26" s="1"/>
  <c r="AY188" i="26"/>
  <c r="BD187" i="26"/>
  <c r="AZ188" i="26"/>
  <c r="BB188" i="26"/>
  <c r="BC188" i="26"/>
  <c r="BE189" i="26" s="1"/>
  <c r="AU189" i="26"/>
  <c r="AG47" i="15"/>
  <c r="AP47" i="15"/>
  <c r="AM47" i="15"/>
  <c r="X47" i="15"/>
  <c r="AJ47" i="15"/>
  <c r="AU47" i="15"/>
  <c r="BA47" i="15"/>
  <c r="BD47" i="15"/>
  <c r="Z47" i="15"/>
  <c r="AH47" i="15"/>
  <c r="AX47" i="15"/>
  <c r="AT47" i="15"/>
  <c r="AD47" i="15"/>
  <c r="BB189" i="26" l="1"/>
  <c r="AU190" i="26"/>
  <c r="BC189" i="26"/>
  <c r="BE190" i="26" s="1"/>
  <c r="AW188" i="26"/>
  <c r="AV188" i="26" s="1"/>
  <c r="AY189" i="26"/>
  <c r="AZ189" i="26"/>
  <c r="BD188" i="26"/>
  <c r="AM48" i="15"/>
  <c r="AH48" i="15"/>
  <c r="AU48" i="15"/>
  <c r="BD48" i="15"/>
  <c r="AJ48" i="15"/>
  <c r="AX48" i="15"/>
  <c r="Z48" i="15"/>
  <c r="BA48" i="15"/>
  <c r="AT48" i="15"/>
  <c r="AD48" i="15"/>
  <c r="X48" i="15"/>
  <c r="AP48" i="15"/>
  <c r="AG48" i="15"/>
  <c r="BB190" i="26" l="1"/>
  <c r="BC190" i="26"/>
  <c r="BE191" i="26" s="1"/>
  <c r="AU191" i="26"/>
  <c r="AY190" i="26"/>
  <c r="AZ190" i="26"/>
  <c r="AW189" i="26"/>
  <c r="AV189" i="26" s="1"/>
  <c r="BD189" i="26"/>
  <c r="AT49" i="15"/>
  <c r="X49" i="15"/>
  <c r="AD49" i="15"/>
  <c r="BD49" i="15"/>
  <c r="AG49" i="15"/>
  <c r="Z49" i="15"/>
  <c r="AH49" i="15"/>
  <c r="BA49" i="15"/>
  <c r="AM49" i="15"/>
  <c r="AP49" i="15"/>
  <c r="AJ49" i="15"/>
  <c r="AU49" i="15"/>
  <c r="AX49" i="15"/>
  <c r="BB191" i="26" l="1"/>
  <c r="BC191" i="26"/>
  <c r="BE192" i="26" s="1"/>
  <c r="AU192" i="26"/>
  <c r="AZ191" i="26"/>
  <c r="AW190" i="26"/>
  <c r="AV190" i="26" s="1"/>
  <c r="BD190" i="26"/>
  <c r="AY191" i="26"/>
  <c r="AT50" i="15"/>
  <c r="AP50" i="15"/>
  <c r="Z50" i="15"/>
  <c r="AG50" i="15"/>
  <c r="AD50" i="15"/>
  <c r="AM50" i="15"/>
  <c r="AJ50" i="15"/>
  <c r="AX50" i="15"/>
  <c r="BA50" i="15"/>
  <c r="BD50" i="15"/>
  <c r="X50" i="15"/>
  <c r="AU50" i="15"/>
  <c r="AH50" i="15"/>
  <c r="AY192" i="26" l="1"/>
  <c r="BD191" i="26"/>
  <c r="AW191" i="26"/>
  <c r="AV191" i="26" s="1"/>
  <c r="AZ192" i="26"/>
  <c r="BB192" i="26"/>
  <c r="BC192" i="26"/>
  <c r="BE193" i="26" s="1"/>
  <c r="AU193" i="26"/>
  <c r="AM51" i="15"/>
  <c r="AD51" i="15"/>
  <c r="X51" i="15"/>
  <c r="C26" i="15"/>
  <c r="AP51" i="15"/>
  <c r="BD51" i="15"/>
  <c r="AU51" i="15"/>
  <c r="BA51" i="15"/>
  <c r="Z51" i="15"/>
  <c r="AJ51" i="15"/>
  <c r="AG51" i="15"/>
  <c r="AX51" i="15"/>
  <c r="AH51" i="15"/>
  <c r="AT51" i="15"/>
  <c r="U33" i="26" l="1"/>
  <c r="U38" i="26"/>
  <c r="U36" i="26"/>
  <c r="U27" i="26"/>
  <c r="U34" i="26"/>
  <c r="U31" i="26"/>
  <c r="U25" i="26"/>
  <c r="U170" i="26"/>
  <c r="U28" i="26"/>
  <c r="U37" i="26"/>
  <c r="U26" i="26"/>
  <c r="U32" i="26"/>
  <c r="U29" i="26"/>
  <c r="U30" i="26"/>
  <c r="U39" i="26"/>
  <c r="U35" i="26"/>
  <c r="U53" i="26"/>
  <c r="U108" i="26"/>
  <c r="U185" i="26"/>
  <c r="U139" i="26"/>
  <c r="U192" i="26"/>
  <c r="U55" i="26"/>
  <c r="U132" i="26"/>
  <c r="U66" i="26"/>
  <c r="U162" i="26"/>
  <c r="U153" i="26"/>
  <c r="U10" i="26"/>
  <c r="U118" i="26"/>
  <c r="U135" i="26"/>
  <c r="U77" i="26"/>
  <c r="U49" i="26"/>
  <c r="U116" i="26"/>
  <c r="U195" i="26"/>
  <c r="U90" i="26"/>
  <c r="U212" i="26"/>
  <c r="U50" i="26"/>
  <c r="U107" i="26"/>
  <c r="U178" i="26"/>
  <c r="U61" i="26"/>
  <c r="U117" i="26"/>
  <c r="U73" i="26"/>
  <c r="U159" i="26"/>
  <c r="U166" i="26"/>
  <c r="U22" i="26"/>
  <c r="U42" i="26"/>
  <c r="U167" i="26"/>
  <c r="U8" i="26"/>
  <c r="U95" i="26"/>
  <c r="U13" i="26"/>
  <c r="U206" i="26"/>
  <c r="U69" i="26"/>
  <c r="U161" i="26"/>
  <c r="U93" i="26"/>
  <c r="U109" i="26"/>
  <c r="U211" i="26"/>
  <c r="U78" i="26"/>
  <c r="U105" i="26"/>
  <c r="U21" i="26"/>
  <c r="U75" i="26"/>
  <c r="U130" i="26"/>
  <c r="U196" i="26"/>
  <c r="U44" i="26"/>
  <c r="U114" i="26"/>
  <c r="U207" i="26"/>
  <c r="U84" i="26"/>
  <c r="U210" i="26"/>
  <c r="U168" i="26"/>
  <c r="U67" i="26"/>
  <c r="U92" i="26"/>
  <c r="U64" i="26"/>
  <c r="U19" i="26"/>
  <c r="U45" i="26"/>
  <c r="U82" i="26"/>
  <c r="U180" i="26"/>
  <c r="U15" i="26"/>
  <c r="U106" i="26"/>
  <c r="U138" i="26"/>
  <c r="U59" i="26"/>
  <c r="U70" i="26"/>
  <c r="U123" i="26"/>
  <c r="U176" i="26"/>
  <c r="U65" i="26"/>
  <c r="U215" i="26"/>
  <c r="U150" i="26"/>
  <c r="U14" i="26"/>
  <c r="U142" i="26"/>
  <c r="U87" i="26"/>
  <c r="U54" i="26"/>
  <c r="U122" i="26"/>
  <c r="U88" i="26"/>
  <c r="U112" i="26"/>
  <c r="U183" i="26"/>
  <c r="U68" i="26"/>
  <c r="U191" i="26"/>
  <c r="U187" i="26"/>
  <c r="U85" i="26"/>
  <c r="U149" i="26"/>
  <c r="U186" i="26"/>
  <c r="U46" i="26"/>
  <c r="U181" i="26"/>
  <c r="U160" i="26"/>
  <c r="U24" i="26"/>
  <c r="U76" i="26"/>
  <c r="U7" i="26"/>
  <c r="U43" i="26"/>
  <c r="U154" i="26"/>
  <c r="U91" i="26"/>
  <c r="U62" i="26"/>
  <c r="U194" i="26"/>
  <c r="U89" i="26"/>
  <c r="U72" i="26"/>
  <c r="U144" i="26"/>
  <c r="U97" i="26"/>
  <c r="U124" i="26"/>
  <c r="U131" i="26"/>
  <c r="U177" i="26"/>
  <c r="U41" i="26"/>
  <c r="U110" i="26"/>
  <c r="U173" i="26"/>
  <c r="U209" i="26"/>
  <c r="U190" i="26"/>
  <c r="U103" i="26"/>
  <c r="U121" i="26"/>
  <c r="U20" i="26"/>
  <c r="U86" i="26"/>
  <c r="U184" i="26"/>
  <c r="U81" i="26"/>
  <c r="U174" i="26"/>
  <c r="U141" i="26"/>
  <c r="U16" i="26"/>
  <c r="U201" i="26"/>
  <c r="U137" i="26"/>
  <c r="U182" i="26"/>
  <c r="U51" i="26"/>
  <c r="U172" i="26"/>
  <c r="U120" i="26"/>
  <c r="U104" i="26"/>
  <c r="U193" i="26"/>
  <c r="U100" i="26"/>
  <c r="U151" i="26"/>
  <c r="U197" i="26"/>
  <c r="U115" i="26"/>
  <c r="U111" i="26"/>
  <c r="U63" i="26"/>
  <c r="U52" i="26"/>
  <c r="U171" i="26"/>
  <c r="U9" i="26"/>
  <c r="U214" i="26"/>
  <c r="U155" i="26"/>
  <c r="U200" i="26"/>
  <c r="U79" i="26"/>
  <c r="U18" i="26"/>
  <c r="U164" i="26"/>
  <c r="U140" i="26"/>
  <c r="U119" i="26"/>
  <c r="U189" i="26"/>
  <c r="U80" i="26"/>
  <c r="U158" i="26"/>
  <c r="U198" i="26"/>
  <c r="U48" i="26"/>
  <c r="U165" i="26"/>
  <c r="U203" i="26"/>
  <c r="U57" i="26"/>
  <c r="U126" i="26"/>
  <c r="U17" i="26"/>
  <c r="U175" i="26"/>
  <c r="U147" i="26"/>
  <c r="U128" i="26"/>
  <c r="U83" i="26"/>
  <c r="U199" i="26"/>
  <c r="U148" i="26"/>
  <c r="U23" i="26"/>
  <c r="U47" i="26"/>
  <c r="U163" i="26"/>
  <c r="U98" i="26"/>
  <c r="U96" i="26"/>
  <c r="U129" i="26"/>
  <c r="U40" i="26"/>
  <c r="U146" i="26"/>
  <c r="U202" i="26"/>
  <c r="U99" i="26"/>
  <c r="U136" i="26"/>
  <c r="U204" i="26"/>
  <c r="U56" i="26"/>
  <c r="U208" i="26"/>
  <c r="U157" i="26"/>
  <c r="U94" i="26"/>
  <c r="U58" i="26"/>
  <c r="U156" i="26"/>
  <c r="U152" i="26"/>
  <c r="U213" i="26"/>
  <c r="U11" i="26"/>
  <c r="U125" i="26"/>
  <c r="U127" i="26"/>
  <c r="U12" i="26"/>
  <c r="U60" i="26"/>
  <c r="U113" i="26"/>
  <c r="U101" i="26"/>
  <c r="U145" i="26"/>
  <c r="U133" i="26"/>
  <c r="U74" i="26"/>
  <c r="U188" i="26"/>
  <c r="U205" i="26"/>
  <c r="U102" i="26"/>
  <c r="U134" i="26"/>
  <c r="U169" i="26"/>
  <c r="U6" i="26"/>
  <c r="U71" i="26"/>
  <c r="U179" i="26"/>
  <c r="U143" i="26"/>
  <c r="BC193" i="26"/>
  <c r="BE194" i="26" s="1"/>
  <c r="AU194" i="26"/>
  <c r="BB193" i="26"/>
  <c r="AZ193" i="26"/>
  <c r="AW192" i="26"/>
  <c r="AV192" i="26" s="1"/>
  <c r="AY193" i="26"/>
  <c r="BD192" i="26"/>
  <c r="BC194" i="26" l="1"/>
  <c r="BE195" i="26" s="1"/>
  <c r="BB194" i="26"/>
  <c r="AU195" i="26"/>
  <c r="BD193" i="26"/>
  <c r="AY194" i="26"/>
  <c r="AZ194" i="26"/>
  <c r="AW193" i="26"/>
  <c r="AV193" i="26" s="1"/>
  <c r="BB195" i="26" l="1"/>
  <c r="AU196" i="26"/>
  <c r="BC195" i="26"/>
  <c r="BE196" i="26" s="1"/>
  <c r="BD194" i="26"/>
  <c r="AY195" i="26"/>
  <c r="AZ195" i="26"/>
  <c r="AW194" i="26"/>
  <c r="AV194" i="26" s="1"/>
  <c r="AW195" i="26" l="1"/>
  <c r="AV195" i="26" s="1"/>
  <c r="BD195" i="26"/>
  <c r="AY196" i="26"/>
  <c r="AZ196" i="26"/>
  <c r="BC196" i="26"/>
  <c r="BE197" i="26" s="1"/>
  <c r="BB196" i="26"/>
  <c r="AU197" i="26"/>
  <c r="AU198" i="26" l="1"/>
  <c r="BB197" i="26"/>
  <c r="BC197" i="26"/>
  <c r="BE198" i="26" s="1"/>
  <c r="BD196" i="26"/>
  <c r="AW196" i="26"/>
  <c r="AV196" i="26" s="1"/>
  <c r="AZ197" i="26"/>
  <c r="AY197" i="26"/>
  <c r="AZ198" i="26" l="1"/>
  <c r="AY198" i="26"/>
  <c r="AW197" i="26"/>
  <c r="AV197" i="26" s="1"/>
  <c r="BD197" i="26"/>
  <c r="BB198" i="26"/>
  <c r="AU199" i="26"/>
  <c r="BC198" i="26"/>
  <c r="BE199" i="26" s="1"/>
  <c r="AW198" i="26" l="1"/>
  <c r="AV198" i="26" s="1"/>
  <c r="AY199" i="26"/>
  <c r="AZ199" i="26"/>
  <c r="BD198" i="26"/>
  <c r="BB199" i="26"/>
  <c r="AU200" i="26"/>
  <c r="BC199" i="26"/>
  <c r="BE200" i="26" s="1"/>
  <c r="AZ200" i="26" l="1"/>
  <c r="AW199" i="26"/>
  <c r="AV199" i="26" s="1"/>
  <c r="BD199" i="26"/>
  <c r="AY200" i="26"/>
  <c r="BB200" i="26"/>
  <c r="BC200" i="26"/>
  <c r="BE201" i="26" s="1"/>
  <c r="AU201" i="26"/>
  <c r="BB201" i="26" l="1"/>
  <c r="AU202" i="26"/>
  <c r="BC201" i="26"/>
  <c r="BE202" i="26" s="1"/>
  <c r="AW200" i="26"/>
  <c r="AV200" i="26" s="1"/>
  <c r="AZ201" i="26"/>
  <c r="BD200" i="26"/>
  <c r="AY201" i="26"/>
  <c r="BB202" i="26" l="1"/>
  <c r="BC202" i="26"/>
  <c r="BE203" i="26" s="1"/>
  <c r="AU203" i="26"/>
  <c r="AZ202" i="26"/>
  <c r="AY202" i="26"/>
  <c r="AW201" i="26"/>
  <c r="AV201" i="26" s="1"/>
  <c r="BD201" i="26"/>
  <c r="BC203" i="26" l="1"/>
  <c r="BE204" i="26" s="1"/>
  <c r="AU204" i="26"/>
  <c r="BB203" i="26"/>
  <c r="AZ203" i="26"/>
  <c r="BD202" i="26"/>
  <c r="AY203" i="26"/>
  <c r="AW202" i="26"/>
  <c r="AV202" i="26" s="1"/>
  <c r="BC204" i="26" l="1"/>
  <c r="BE205" i="26" s="1"/>
  <c r="BB204" i="26"/>
  <c r="AU205" i="26"/>
  <c r="BD203" i="26"/>
  <c r="AY204" i="26"/>
  <c r="AW203" i="26"/>
  <c r="AV203" i="26" s="1"/>
  <c r="AZ204" i="26"/>
  <c r="BB205" i="26" l="1"/>
  <c r="AU206" i="26"/>
  <c r="BC205" i="26"/>
  <c r="BE206" i="26" s="1"/>
  <c r="AZ205" i="26"/>
  <c r="AY205" i="26"/>
  <c r="BD204" i="26"/>
  <c r="AW204" i="26"/>
  <c r="AV204" i="26" s="1"/>
  <c r="BD205" i="26" l="1"/>
  <c r="AW205" i="26"/>
  <c r="AV205" i="26" s="1"/>
  <c r="AY206" i="26"/>
  <c r="AZ206" i="26"/>
  <c r="BC206" i="26"/>
  <c r="BE207" i="26" s="1"/>
  <c r="AU207" i="26"/>
  <c r="BB206" i="26"/>
  <c r="BD206" i="26" l="1"/>
  <c r="AW206" i="26"/>
  <c r="AV206" i="26" s="1"/>
  <c r="AZ207" i="26"/>
  <c r="AY207" i="26"/>
  <c r="BB207" i="26"/>
  <c r="AU208" i="26"/>
  <c r="BC207" i="26"/>
  <c r="BE208" i="26" s="1"/>
  <c r="BD207" i="26" l="1"/>
  <c r="AZ208" i="26"/>
  <c r="AW207" i="26"/>
  <c r="AV207" i="26" s="1"/>
  <c r="AY208" i="26"/>
  <c r="AU209" i="26"/>
  <c r="BC208" i="26"/>
  <c r="BE209" i="26" s="1"/>
  <c r="BB208" i="26"/>
  <c r="AZ209" i="26" l="1"/>
  <c r="BD208" i="26"/>
  <c r="AY209" i="26"/>
  <c r="AW208" i="26"/>
  <c r="AV208" i="26" s="1"/>
  <c r="AU210" i="26"/>
  <c r="BB209" i="26"/>
  <c r="BC209" i="26"/>
  <c r="BE210" i="26" s="1"/>
  <c r="AY210" i="26" l="1"/>
  <c r="BD209" i="26"/>
  <c r="AZ210" i="26"/>
  <c r="AW209" i="26"/>
  <c r="AV209" i="26" s="1"/>
  <c r="BB210" i="26"/>
  <c r="BC210" i="26"/>
  <c r="BE211" i="26" s="1"/>
  <c r="AU211" i="26"/>
  <c r="BB211" i="26" l="1"/>
  <c r="BC211" i="26"/>
  <c r="BE212" i="26" s="1"/>
  <c r="AU212" i="26"/>
  <c r="AW210" i="26"/>
  <c r="AV210" i="26" s="1"/>
  <c r="AZ211" i="26"/>
  <c r="AY211" i="26"/>
  <c r="BD210" i="26"/>
  <c r="BC212" i="26" l="1"/>
  <c r="BE213" i="26" s="1"/>
  <c r="AU213" i="26"/>
  <c r="BB212" i="26"/>
  <c r="AY212" i="26"/>
  <c r="AW211" i="26"/>
  <c r="AV211" i="26" s="1"/>
  <c r="BD211" i="26"/>
  <c r="AZ212" i="26"/>
  <c r="BB213" i="26" l="1"/>
  <c r="BC213" i="26"/>
  <c r="BE214" i="26" s="1"/>
  <c r="AU214" i="26"/>
  <c r="AZ213" i="26"/>
  <c r="AY213" i="26"/>
  <c r="BD212" i="26"/>
  <c r="AW212" i="26"/>
  <c r="AV212" i="26" s="1"/>
  <c r="BB214" i="26" l="1"/>
  <c r="BC214" i="26"/>
  <c r="BE215" i="26" s="1"/>
  <c r="AU215" i="26"/>
  <c r="AZ214" i="26"/>
  <c r="AY214" i="26"/>
  <c r="BD213" i="26"/>
  <c r="AW213" i="26"/>
  <c r="AV213" i="26" s="1"/>
  <c r="BB215" i="26" l="1"/>
  <c r="BC215" i="26"/>
  <c r="AZ215" i="26"/>
  <c r="AW214" i="26"/>
  <c r="AV214" i="26" s="1"/>
  <c r="BD214" i="26"/>
  <c r="AY215" i="26"/>
  <c r="BD215" i="26" l="1"/>
  <c r="AW215" i="26"/>
  <c r="AV215" i="26" s="1"/>
  <c r="C69" i="15" l="1"/>
  <c r="F69" i="15" s="1"/>
  <c r="G16" i="24" s="1"/>
  <c r="H16" i="24" s="1"/>
  <c r="C42" i="15"/>
  <c r="Y84" i="26" l="1"/>
  <c r="Y68" i="26"/>
  <c r="Y56" i="26"/>
  <c r="Y125" i="26"/>
  <c r="Y87" i="26"/>
  <c r="Y149" i="26"/>
  <c r="Y177" i="26"/>
  <c r="Y150" i="26"/>
  <c r="Y42" i="26"/>
  <c r="Y168" i="26"/>
  <c r="Y152" i="26"/>
  <c r="Y200" i="26"/>
  <c r="Y108" i="26"/>
  <c r="Y81" i="26"/>
  <c r="Y132" i="26"/>
  <c r="Y136" i="26"/>
  <c r="Y215" i="26"/>
  <c r="Y37" i="26"/>
  <c r="Y19" i="26"/>
  <c r="Y158" i="26"/>
  <c r="Y57" i="26"/>
  <c r="Y35" i="26"/>
  <c r="Y213" i="26"/>
  <c r="Y34" i="26"/>
  <c r="Y170" i="26"/>
  <c r="Y100" i="26"/>
  <c r="Y89" i="26"/>
  <c r="Y116" i="26"/>
  <c r="Y85" i="26"/>
  <c r="Y41" i="26"/>
  <c r="Y43" i="26"/>
  <c r="Y73" i="26"/>
  <c r="Y193" i="26"/>
  <c r="Y99" i="26"/>
  <c r="Y50" i="26"/>
  <c r="Y7" i="26"/>
  <c r="Y169" i="26"/>
  <c r="Y198" i="26"/>
  <c r="Y90" i="26"/>
  <c r="Y189" i="26"/>
  <c r="Y70" i="26"/>
  <c r="Y18" i="26"/>
  <c r="Y48" i="26"/>
  <c r="Y44" i="26"/>
  <c r="Y24" i="26"/>
  <c r="Y153" i="26"/>
  <c r="Y39" i="26"/>
  <c r="Y134" i="26"/>
  <c r="Y52" i="26"/>
  <c r="Y26" i="26"/>
  <c r="Y32" i="26"/>
  <c r="Y36" i="26"/>
  <c r="Y64" i="26"/>
  <c r="Y23" i="26"/>
  <c r="Y171" i="26"/>
  <c r="Y103" i="26"/>
  <c r="Y67" i="26"/>
  <c r="Y214" i="26"/>
  <c r="Y196" i="26"/>
  <c r="Y210" i="26"/>
  <c r="Y49" i="26"/>
  <c r="Y205" i="26"/>
  <c r="Y147" i="26"/>
  <c r="Y79" i="26"/>
  <c r="Y12" i="26"/>
  <c r="Y59" i="26"/>
  <c r="Y178" i="26"/>
  <c r="Y155" i="26"/>
  <c r="Y124" i="26"/>
  <c r="Y115" i="26"/>
  <c r="Y186" i="26"/>
  <c r="Y167" i="26"/>
  <c r="Y112" i="26"/>
  <c r="Y119" i="26"/>
  <c r="Y165" i="26"/>
  <c r="Y172" i="26"/>
  <c r="Y74" i="26"/>
  <c r="Y17" i="26"/>
  <c r="Y194" i="26"/>
  <c r="Y117" i="26"/>
  <c r="Y159" i="26"/>
  <c r="Y77" i="26"/>
  <c r="Y207" i="26"/>
  <c r="Y78" i="26"/>
  <c r="Y142" i="26"/>
  <c r="Y9" i="26"/>
  <c r="Y76" i="26"/>
  <c r="Y141" i="26"/>
  <c r="Y91" i="26"/>
  <c r="Y185" i="26"/>
  <c r="Y16" i="26"/>
  <c r="Y145" i="26"/>
  <c r="Y180" i="26"/>
  <c r="Y82" i="26"/>
  <c r="Y151" i="26"/>
  <c r="Y138" i="26"/>
  <c r="Y29" i="26"/>
  <c r="Y66" i="26"/>
  <c r="Y143" i="26"/>
  <c r="Y162" i="26"/>
  <c r="Y8" i="26"/>
  <c r="Y28" i="26"/>
  <c r="Y199" i="26"/>
  <c r="Y6" i="26"/>
  <c r="Y58" i="26"/>
  <c r="Y203" i="26"/>
  <c r="Y21" i="26"/>
  <c r="Y187" i="26"/>
  <c r="Y62" i="26"/>
  <c r="Y202" i="26"/>
  <c r="Y51" i="26"/>
  <c r="Y93" i="26"/>
  <c r="Y72" i="26"/>
  <c r="Y184" i="26"/>
  <c r="Y160" i="26"/>
  <c r="Y101" i="26"/>
  <c r="Y104" i="26"/>
  <c r="Y114" i="26"/>
  <c r="Y131" i="26"/>
  <c r="Y201" i="26"/>
  <c r="Y40" i="26"/>
  <c r="Y86" i="26"/>
  <c r="Y92" i="26"/>
  <c r="Y110" i="26"/>
  <c r="Y139" i="26"/>
  <c r="Y63" i="26"/>
  <c r="Y140" i="26"/>
  <c r="Y98" i="26"/>
  <c r="Y65" i="26"/>
  <c r="Y212" i="26"/>
  <c r="Y181" i="26"/>
  <c r="Y144" i="26"/>
  <c r="Y11" i="26"/>
  <c r="Y128" i="26"/>
  <c r="Y109" i="26"/>
  <c r="Y118" i="26"/>
  <c r="Y15" i="26"/>
  <c r="Y133" i="26"/>
  <c r="Y106" i="26"/>
  <c r="Y123" i="26"/>
  <c r="Y206" i="26"/>
  <c r="Y55" i="26"/>
  <c r="Y46" i="26"/>
  <c r="Y173" i="26"/>
  <c r="Y190" i="26"/>
  <c r="Y33" i="26"/>
  <c r="Y38" i="26"/>
  <c r="Y88" i="26"/>
  <c r="Y161" i="26"/>
  <c r="Y129" i="26"/>
  <c r="Y120" i="26"/>
  <c r="Y179" i="26"/>
  <c r="Y105" i="26"/>
  <c r="Y176" i="26"/>
  <c r="Y209" i="26"/>
  <c r="Y22" i="26"/>
  <c r="Y14" i="26"/>
  <c r="Y192" i="26"/>
  <c r="Y191" i="26"/>
  <c r="Y211" i="26"/>
  <c r="Y182" i="26"/>
  <c r="Y148" i="26"/>
  <c r="Y95" i="26"/>
  <c r="Y188" i="26"/>
  <c r="Y107" i="26"/>
  <c r="Y197" i="26"/>
  <c r="Y71" i="26"/>
  <c r="Y183" i="26"/>
  <c r="Y137" i="26"/>
  <c r="Y60" i="26"/>
  <c r="Y53" i="26"/>
  <c r="Y127" i="26"/>
  <c r="Y175" i="26"/>
  <c r="Y25" i="26"/>
  <c r="Y80" i="26"/>
  <c r="Y166" i="26"/>
  <c r="Y54" i="26"/>
  <c r="Y195" i="26"/>
  <c r="Y47" i="26"/>
  <c r="Y146" i="26"/>
  <c r="Y61" i="26"/>
  <c r="Y83" i="26"/>
  <c r="Y20" i="26"/>
  <c r="Y164" i="26"/>
  <c r="Y157" i="26"/>
  <c r="Y208" i="26"/>
  <c r="Y45" i="26"/>
  <c r="Y102" i="26"/>
  <c r="Y156" i="26"/>
  <c r="Y31" i="26"/>
  <c r="Y163" i="26"/>
  <c r="Y204" i="26"/>
  <c r="Y122" i="26"/>
  <c r="Y75" i="26"/>
  <c r="Y111" i="26"/>
  <c r="Y113" i="26"/>
  <c r="Y27" i="26"/>
  <c r="Y13" i="26"/>
  <c r="Y135" i="26"/>
  <c r="Y69" i="26"/>
  <c r="Y130" i="26"/>
  <c r="Y126" i="26"/>
  <c r="Y174" i="26"/>
  <c r="Y121" i="26"/>
  <c r="Y94" i="26"/>
  <c r="Y10" i="26"/>
  <c r="Y97" i="26"/>
  <c r="Y96" i="26"/>
  <c r="Y154" i="26"/>
  <c r="Y30" i="26"/>
  <c r="AH121" i="26" l="1"/>
  <c r="AH71" i="26"/>
  <c r="AH105" i="26"/>
  <c r="AH97" i="26"/>
  <c r="AH150" i="26"/>
  <c r="AH139" i="26"/>
  <c r="AH45" i="26"/>
  <c r="AH36" i="26"/>
  <c r="AH138" i="26"/>
  <c r="AH165" i="26"/>
  <c r="AH184" i="26"/>
  <c r="AH14" i="26"/>
  <c r="AH49" i="26"/>
  <c r="AH189" i="26"/>
  <c r="AH131" i="26"/>
  <c r="AH21" i="26"/>
  <c r="AH53" i="26"/>
  <c r="AH153" i="26"/>
  <c r="AH167" i="26"/>
  <c r="AH61" i="26"/>
  <c r="AH101" i="26"/>
  <c r="AH109" i="26"/>
  <c r="AH145" i="26"/>
  <c r="AH112" i="26"/>
  <c r="AH11" i="26"/>
  <c r="AH95" i="26"/>
  <c r="AH82" i="26"/>
  <c r="AH69" i="26"/>
  <c r="AH134" i="26"/>
  <c r="AH78" i="26"/>
  <c r="AH13" i="26"/>
  <c r="AH103" i="26"/>
  <c r="AH159" i="26"/>
  <c r="AH203" i="26"/>
  <c r="AH42" i="26"/>
  <c r="AH162" i="26"/>
  <c r="AH87" i="26"/>
  <c r="AH80" i="26"/>
  <c r="AH51" i="26"/>
  <c r="AH55" i="26"/>
  <c r="AH171" i="26"/>
  <c r="AH116" i="26"/>
  <c r="AH77" i="26"/>
  <c r="AH60" i="26"/>
  <c r="AH40" i="26"/>
  <c r="AH56" i="26"/>
  <c r="AH99" i="26"/>
  <c r="AH126" i="26"/>
  <c r="AH111" i="26"/>
  <c r="AH130" i="26"/>
  <c r="AH127" i="26"/>
  <c r="AH192" i="26"/>
  <c r="AH154" i="26"/>
  <c r="AH41" i="26"/>
  <c r="AH92" i="26"/>
  <c r="AH65" i="26"/>
  <c r="AH136" i="26"/>
  <c r="AH63" i="26"/>
  <c r="AH211" i="26"/>
  <c r="AH70" i="26"/>
  <c r="AH57" i="26"/>
  <c r="AH207" i="26"/>
  <c r="AH58" i="26"/>
  <c r="AH152" i="26"/>
  <c r="AH128" i="26"/>
  <c r="AH200" i="26"/>
  <c r="AH35" i="26"/>
  <c r="AH146" i="26"/>
  <c r="AH20" i="26"/>
  <c r="AH174" i="26"/>
  <c r="AH161" i="26"/>
  <c r="AH177" i="26"/>
  <c r="AH122" i="26"/>
  <c r="AH194" i="26"/>
  <c r="AH202" i="26"/>
  <c r="AH204" i="26"/>
  <c r="AH64" i="26"/>
  <c r="AH76" i="26"/>
  <c r="AH85" i="26"/>
  <c r="AH102" i="26"/>
  <c r="AH81" i="26"/>
  <c r="AH179" i="26"/>
  <c r="AH114" i="26"/>
  <c r="AH32" i="26"/>
  <c r="AH190" i="26"/>
  <c r="AH142" i="26"/>
  <c r="AH50" i="26"/>
  <c r="AH214" i="26"/>
  <c r="AH8" i="26"/>
  <c r="AH106" i="26"/>
  <c r="AH205" i="26"/>
  <c r="AH54" i="26"/>
  <c r="AH193" i="26"/>
  <c r="AH107" i="26"/>
  <c r="AH210" i="26"/>
  <c r="AH86" i="26"/>
  <c r="AH199" i="26"/>
  <c r="AH25" i="26"/>
  <c r="AH31" i="26"/>
  <c r="AH166" i="26"/>
  <c r="AH188" i="26"/>
  <c r="AH163" i="26"/>
  <c r="AH215" i="26"/>
  <c r="AH132" i="26"/>
  <c r="AH185" i="26"/>
  <c r="AH62" i="26"/>
  <c r="AH7" i="26"/>
  <c r="AH75" i="26"/>
  <c r="AH115" i="26"/>
  <c r="AH74" i="26"/>
  <c r="AH156" i="26"/>
  <c r="AH24" i="26"/>
  <c r="AH213" i="26"/>
  <c r="AH16" i="26"/>
  <c r="AH100" i="26"/>
  <c r="AH148" i="26"/>
  <c r="AH18" i="26"/>
  <c r="AH212" i="26"/>
  <c r="AH180" i="26"/>
  <c r="AH157" i="26"/>
  <c r="AH209" i="26"/>
  <c r="AH59" i="26"/>
  <c r="AH113" i="26"/>
  <c r="AH110" i="26"/>
  <c r="AH30" i="26"/>
  <c r="AH46" i="26"/>
  <c r="AH47" i="26"/>
  <c r="AH120" i="26"/>
  <c r="AH37" i="26"/>
  <c r="AH79" i="26"/>
  <c r="AH27" i="26"/>
  <c r="AH172" i="26"/>
  <c r="AH15" i="26"/>
  <c r="AH135" i="26"/>
  <c r="AH164" i="26"/>
  <c r="AH52" i="26"/>
  <c r="AH72" i="26"/>
  <c r="AH125" i="26"/>
  <c r="AH98" i="26"/>
  <c r="AH181" i="26"/>
  <c r="AH66" i="26"/>
  <c r="AH90" i="26"/>
  <c r="AH84" i="26"/>
  <c r="AH143" i="26"/>
  <c r="AH144" i="26"/>
  <c r="AH124" i="26"/>
  <c r="AH104" i="26"/>
  <c r="AH196" i="26"/>
  <c r="AH176" i="26"/>
  <c r="AH178" i="26"/>
  <c r="AH168" i="26"/>
  <c r="AH83" i="26"/>
  <c r="AH17" i="26"/>
  <c r="AH160" i="26"/>
  <c r="AH147" i="26"/>
  <c r="AH129" i="26"/>
  <c r="AH67" i="26"/>
  <c r="AH201" i="26"/>
  <c r="AH48" i="26"/>
  <c r="AH123" i="26"/>
  <c r="AH149" i="26"/>
  <c r="AH158" i="26"/>
  <c r="AH151" i="26"/>
  <c r="AH93" i="26"/>
  <c r="AH73" i="26"/>
  <c r="AH12" i="26"/>
  <c r="AH133" i="26"/>
  <c r="AH197" i="26"/>
  <c r="AH108" i="26"/>
  <c r="AH173" i="26"/>
  <c r="AH89" i="26"/>
  <c r="AH187" i="26"/>
  <c r="AH23" i="26"/>
  <c r="AH117" i="26"/>
  <c r="AH183" i="26"/>
  <c r="AH68" i="26"/>
  <c r="AH9" i="26"/>
  <c r="AH33" i="26"/>
  <c r="AH186" i="26"/>
  <c r="AH175" i="26"/>
  <c r="AH94" i="26"/>
  <c r="AH119" i="26"/>
  <c r="AH191" i="26"/>
  <c r="AH19" i="26"/>
  <c r="AH206" i="26"/>
  <c r="AH44" i="26"/>
  <c r="AH137" i="26"/>
  <c r="AH43" i="26"/>
  <c r="AH39" i="26"/>
  <c r="AH38" i="26"/>
  <c r="AH170" i="26"/>
  <c r="AH22" i="26"/>
  <c r="AH195" i="26"/>
  <c r="AH29" i="26"/>
  <c r="AH34" i="26"/>
  <c r="AH6" i="26"/>
  <c r="AH91" i="26"/>
  <c r="AH10" i="26"/>
  <c r="AH96" i="26"/>
  <c r="AH88" i="26"/>
  <c r="AH208" i="26"/>
  <c r="AH28" i="26"/>
  <c r="AH198" i="26"/>
  <c r="AH182" i="26"/>
  <c r="AH141" i="26"/>
  <c r="AH155" i="26"/>
  <c r="AH169" i="26"/>
  <c r="AH118" i="26"/>
  <c r="AH140" i="26"/>
  <c r="AH26" i="26"/>
  <c r="AF6" i="26"/>
  <c r="AM6" i="26" s="1"/>
  <c r="AP6" i="26" s="1"/>
  <c r="AF25" i="26"/>
  <c r="AM25" i="26" s="1"/>
  <c r="AP25" i="26" s="1"/>
  <c r="AF144" i="26"/>
  <c r="AM144" i="26" s="1"/>
  <c r="AP144" i="26" s="1"/>
  <c r="AF195" i="26"/>
  <c r="AM195" i="26" s="1"/>
  <c r="AP195" i="26" s="1"/>
  <c r="AF112" i="26"/>
  <c r="AM112" i="26" s="1"/>
  <c r="AP112" i="26" s="1"/>
  <c r="AF29" i="26"/>
  <c r="AM29" i="26" s="1"/>
  <c r="AP29" i="26" s="1"/>
  <c r="AF127" i="26"/>
  <c r="AM127" i="26" s="1"/>
  <c r="AP127" i="26" s="1"/>
  <c r="AF178" i="26"/>
  <c r="AM178" i="26" s="1"/>
  <c r="AP178" i="26" s="1"/>
  <c r="AF18" i="26"/>
  <c r="AM18" i="26" s="1"/>
  <c r="AP18" i="26" s="1"/>
  <c r="AF39" i="26"/>
  <c r="AM39" i="26" s="1"/>
  <c r="AP39" i="26" s="1"/>
  <c r="AF193" i="26"/>
  <c r="AM193" i="26" s="1"/>
  <c r="AP193" i="26" s="1"/>
  <c r="AF104" i="26"/>
  <c r="AM104" i="26" s="1"/>
  <c r="AP104" i="26" s="1"/>
  <c r="AF143" i="26"/>
  <c r="AM143" i="26" s="1"/>
  <c r="AP143" i="26" s="1"/>
  <c r="AF33" i="26"/>
  <c r="AM33" i="26" s="1"/>
  <c r="AP33" i="26" s="1"/>
  <c r="AF187" i="26"/>
  <c r="AM187" i="26" s="1"/>
  <c r="AP187" i="26" s="1"/>
  <c r="AF98" i="26"/>
  <c r="AM98" i="26" s="1"/>
  <c r="AF137" i="26"/>
  <c r="AM137" i="26" s="1"/>
  <c r="AF26" i="26"/>
  <c r="AM26" i="26" s="1"/>
  <c r="AP26" i="26" s="1"/>
  <c r="AF150" i="26"/>
  <c r="AM150" i="26" s="1"/>
  <c r="AP150" i="26" s="1"/>
  <c r="AF114" i="26"/>
  <c r="AM114" i="26" s="1"/>
  <c r="AF188" i="26"/>
  <c r="AM188" i="26" s="1"/>
  <c r="AP188" i="26" s="1"/>
  <c r="AF123" i="26"/>
  <c r="AM123" i="26" s="1"/>
  <c r="AF37" i="26"/>
  <c r="AM37" i="26" s="1"/>
  <c r="AP37" i="26" s="1"/>
  <c r="AF120" i="26"/>
  <c r="AM120" i="26" s="1"/>
  <c r="AP120" i="26" s="1"/>
  <c r="AF189" i="26"/>
  <c r="AM189" i="26" s="1"/>
  <c r="AP189" i="26" s="1"/>
  <c r="AF106" i="26"/>
  <c r="AM106" i="26" s="1"/>
  <c r="AP106" i="26" s="1"/>
  <c r="AF23" i="26"/>
  <c r="AM23" i="26" s="1"/>
  <c r="AP23" i="26" s="1"/>
  <c r="AF46" i="26"/>
  <c r="AM46" i="26" s="1"/>
  <c r="AP46" i="26" s="1"/>
  <c r="AF121" i="26"/>
  <c r="AM121" i="26" s="1"/>
  <c r="AP121" i="26" s="1"/>
  <c r="AF172" i="26"/>
  <c r="AM172" i="26" s="1"/>
  <c r="AP172" i="26" s="1"/>
  <c r="AF89" i="26"/>
  <c r="AM89" i="26" s="1"/>
  <c r="AP89" i="26" s="1"/>
  <c r="AF115" i="26"/>
  <c r="AM115" i="26" s="1"/>
  <c r="AP115" i="26" s="1"/>
  <c r="AF166" i="26"/>
  <c r="AM166" i="26" s="1"/>
  <c r="AP166" i="26" s="1"/>
  <c r="AF83" i="26"/>
  <c r="AM83" i="26" s="1"/>
  <c r="AP83" i="26" s="1"/>
  <c r="AF27" i="26"/>
  <c r="AM27" i="26" s="1"/>
  <c r="AP27" i="26" s="1"/>
  <c r="AF205" i="26"/>
  <c r="AM205" i="26" s="1"/>
  <c r="AP205" i="26" s="1"/>
  <c r="AF116" i="26"/>
  <c r="AM116" i="26" s="1"/>
  <c r="AP116" i="26" s="1"/>
  <c r="AF155" i="26"/>
  <c r="AM155" i="26" s="1"/>
  <c r="AP155" i="26" s="1"/>
  <c r="AF44" i="26"/>
  <c r="AM44" i="26" s="1"/>
  <c r="AF182" i="26"/>
  <c r="AM182" i="26" s="1"/>
  <c r="AP182" i="26" s="1"/>
  <c r="AF117" i="26"/>
  <c r="AM117" i="26" s="1"/>
  <c r="AP117" i="26" s="1"/>
  <c r="AF31" i="26"/>
  <c r="AM31" i="26" s="1"/>
  <c r="AP31" i="26" s="1"/>
  <c r="AF96" i="26"/>
  <c r="AM96" i="26" s="1"/>
  <c r="AP96" i="26" s="1"/>
  <c r="AF183" i="26"/>
  <c r="AM183" i="26" s="1"/>
  <c r="AP183" i="26" s="1"/>
  <c r="AF100" i="26"/>
  <c r="AM100" i="26" s="1"/>
  <c r="AP100" i="26" s="1"/>
  <c r="AF17" i="26"/>
  <c r="AM17" i="26" s="1"/>
  <c r="AP17" i="26" s="1"/>
  <c r="AF91" i="26"/>
  <c r="AM91" i="26" s="1"/>
  <c r="AP91" i="26" s="1"/>
  <c r="AF177" i="26"/>
  <c r="AM177" i="26" s="1"/>
  <c r="AP177" i="26" s="1"/>
  <c r="AF94" i="26"/>
  <c r="AM94" i="26" s="1"/>
  <c r="AP94" i="26" s="1"/>
  <c r="AF133" i="26"/>
  <c r="AM133" i="26" s="1"/>
  <c r="AP133" i="26" s="1"/>
  <c r="AF184" i="26"/>
  <c r="AM184" i="26" s="1"/>
  <c r="AF42" i="26"/>
  <c r="AM42" i="26" s="1"/>
  <c r="AP42" i="26" s="1"/>
  <c r="AF51" i="26"/>
  <c r="AM51" i="26" s="1"/>
  <c r="AF199" i="26"/>
  <c r="AM199" i="26" s="1"/>
  <c r="AP199" i="26" s="1"/>
  <c r="AF110" i="26"/>
  <c r="AM110" i="26" s="1"/>
  <c r="AP110" i="26" s="1"/>
  <c r="AF149" i="26"/>
  <c r="AM149" i="26" s="1"/>
  <c r="AP149" i="26" s="1"/>
  <c r="AF38" i="26"/>
  <c r="AM38" i="26" s="1"/>
  <c r="AP38" i="26" s="1"/>
  <c r="AF12" i="26"/>
  <c r="AM12" i="26" s="1"/>
  <c r="AP12" i="26" s="1"/>
  <c r="AF176" i="26"/>
  <c r="AM176" i="26" s="1"/>
  <c r="AF111" i="26"/>
  <c r="AM111" i="26" s="1"/>
  <c r="AP111" i="26" s="1"/>
  <c r="AF215" i="26"/>
  <c r="AM215" i="26" s="1"/>
  <c r="AP215" i="26" s="1"/>
  <c r="AF32" i="26"/>
  <c r="AM32" i="26" s="1"/>
  <c r="AP32" i="26" s="1"/>
  <c r="AF170" i="26"/>
  <c r="AM170" i="26" s="1"/>
  <c r="AP170" i="26" s="1"/>
  <c r="AF105" i="26"/>
  <c r="AM105" i="26" s="1"/>
  <c r="AF209" i="26"/>
  <c r="AM209" i="26" s="1"/>
  <c r="AF19" i="26"/>
  <c r="AM19" i="26" s="1"/>
  <c r="AP19" i="26" s="1"/>
  <c r="AF109" i="26"/>
  <c r="AM109" i="26" s="1"/>
  <c r="AP109" i="26" s="1"/>
  <c r="AF160" i="26"/>
  <c r="AM160" i="26" s="1"/>
  <c r="AP160" i="26" s="1"/>
  <c r="AF77" i="26"/>
  <c r="AM77" i="26" s="1"/>
  <c r="AP77" i="26" s="1"/>
  <c r="AF21" i="26"/>
  <c r="AM21" i="26" s="1"/>
  <c r="AP21" i="26" s="1"/>
  <c r="AF174" i="26"/>
  <c r="AM174" i="26" s="1"/>
  <c r="AP174" i="26" s="1"/>
  <c r="AF13" i="26"/>
  <c r="AM13" i="26" s="1"/>
  <c r="AP13" i="26" s="1"/>
  <c r="AF203" i="26"/>
  <c r="AM203" i="26" s="1"/>
  <c r="AF84" i="26"/>
  <c r="AM84" i="26" s="1"/>
  <c r="AF158" i="26"/>
  <c r="AM158" i="26" s="1"/>
  <c r="AP158" i="26" s="1"/>
  <c r="AF93" i="26"/>
  <c r="AM93" i="26" s="1"/>
  <c r="AP93" i="26" s="1"/>
  <c r="AF197" i="26"/>
  <c r="AM197" i="26" s="1"/>
  <c r="AF86" i="26"/>
  <c r="AM86" i="26" s="1"/>
  <c r="AP86" i="26" s="1"/>
  <c r="AF97" i="26"/>
  <c r="AM97" i="26" s="1"/>
  <c r="AP97" i="26" s="1"/>
  <c r="AF148" i="26"/>
  <c r="AM148" i="26" s="1"/>
  <c r="AP148" i="26" s="1"/>
  <c r="AF65" i="26"/>
  <c r="AM65" i="26" s="1"/>
  <c r="AP65" i="26" s="1"/>
  <c r="AF9" i="26"/>
  <c r="AM9" i="26" s="1"/>
  <c r="AP9" i="26" s="1"/>
  <c r="AF198" i="26"/>
  <c r="AM198" i="26" s="1"/>
  <c r="AP198" i="26" s="1"/>
  <c r="AF163" i="26"/>
  <c r="AM163" i="26" s="1"/>
  <c r="AF30" i="26"/>
  <c r="AM30" i="26" s="1"/>
  <c r="AP30" i="26" s="1"/>
  <c r="AF214" i="26"/>
  <c r="AM214" i="26" s="1"/>
  <c r="AP214" i="26" s="1"/>
  <c r="AF113" i="26"/>
  <c r="AM113" i="26" s="1"/>
  <c r="AP113" i="26" s="1"/>
  <c r="AF81" i="26"/>
  <c r="AM81" i="26" s="1"/>
  <c r="AP81" i="26" s="1"/>
  <c r="AF210" i="26"/>
  <c r="AM210" i="26" s="1"/>
  <c r="AP210" i="26" s="1"/>
  <c r="AF212" i="26"/>
  <c r="AM212" i="26" s="1"/>
  <c r="AP212" i="26" s="1"/>
  <c r="AF147" i="26"/>
  <c r="AM147" i="26" s="1"/>
  <c r="AP147" i="26" s="1"/>
  <c r="AF61" i="26"/>
  <c r="AM61" i="26" s="1"/>
  <c r="AP61" i="26" s="1"/>
  <c r="AF99" i="26"/>
  <c r="AM99" i="26" s="1"/>
  <c r="AP99" i="26" s="1"/>
  <c r="AF164" i="26"/>
  <c r="AM164" i="26" s="1"/>
  <c r="AP164" i="26" s="1"/>
  <c r="AF20" i="26"/>
  <c r="AM20" i="26" s="1"/>
  <c r="AP20" i="26" s="1"/>
  <c r="AF131" i="26"/>
  <c r="AM131" i="26" s="1"/>
  <c r="AF70" i="26"/>
  <c r="AM70" i="26" s="1"/>
  <c r="AP70" i="26" s="1"/>
  <c r="AF175" i="26"/>
  <c r="AM175" i="26" s="1"/>
  <c r="AP175" i="26" s="1"/>
  <c r="AF78" i="26"/>
  <c r="AM78" i="26" s="1"/>
  <c r="AP78" i="26" s="1"/>
  <c r="AF125" i="26"/>
  <c r="AM125" i="26" s="1"/>
  <c r="AP125" i="26" s="1"/>
  <c r="AF14" i="26"/>
  <c r="AM14" i="26" s="1"/>
  <c r="AP14" i="26" s="1"/>
  <c r="AF159" i="26"/>
  <c r="AM159" i="26" s="1"/>
  <c r="AP159" i="26" s="1"/>
  <c r="AF28" i="26"/>
  <c r="AM28" i="26" s="1"/>
  <c r="AP28" i="26" s="1"/>
  <c r="AF73" i="26"/>
  <c r="AM73" i="26" s="1"/>
  <c r="AP73" i="26" s="1"/>
  <c r="AF88" i="26"/>
  <c r="AM88" i="26" s="1"/>
  <c r="AP88" i="26" s="1"/>
  <c r="AF142" i="26"/>
  <c r="AM142" i="26" s="1"/>
  <c r="AP142" i="26" s="1"/>
  <c r="AF59" i="26"/>
  <c r="AM59" i="26" s="1"/>
  <c r="AP59" i="26" s="1"/>
  <c r="AF7" i="26"/>
  <c r="AM7" i="26" s="1"/>
  <c r="AP7" i="26" s="1"/>
  <c r="AF11" i="26"/>
  <c r="AM11" i="26" s="1"/>
  <c r="AP11" i="26" s="1"/>
  <c r="AF92" i="26"/>
  <c r="AM92" i="26" s="1"/>
  <c r="AP92" i="26" s="1"/>
  <c r="AF181" i="26"/>
  <c r="AM181" i="26" s="1"/>
  <c r="AP181" i="26" s="1"/>
  <c r="AF103" i="26"/>
  <c r="AM103" i="26" s="1"/>
  <c r="AP103" i="26" s="1"/>
  <c r="AF154" i="26"/>
  <c r="AM154" i="26" s="1"/>
  <c r="AF71" i="26"/>
  <c r="AM71" i="26" s="1"/>
  <c r="AP71" i="26" s="1"/>
  <c r="AF15" i="26"/>
  <c r="AM15" i="26" s="1"/>
  <c r="AP15" i="26" s="1"/>
  <c r="AF22" i="26"/>
  <c r="AM22" i="26" s="1"/>
  <c r="AP22" i="26" s="1"/>
  <c r="AF152" i="26"/>
  <c r="AM152" i="26" s="1"/>
  <c r="AP152" i="26" s="1"/>
  <c r="AF90" i="26"/>
  <c r="AM90" i="26" s="1"/>
  <c r="AF191" i="26"/>
  <c r="AM191" i="26" s="1"/>
  <c r="AF80" i="26"/>
  <c r="AM80" i="26" s="1"/>
  <c r="AP80" i="26" s="1"/>
  <c r="AF153" i="26"/>
  <c r="AM153" i="26" s="1"/>
  <c r="AP153" i="26" s="1"/>
  <c r="AF67" i="26"/>
  <c r="AM67" i="26" s="1"/>
  <c r="AP67" i="26" s="1"/>
  <c r="AF156" i="26"/>
  <c r="AM156" i="26" s="1"/>
  <c r="AP156" i="26" s="1"/>
  <c r="AF157" i="26"/>
  <c r="AM157" i="26" s="1"/>
  <c r="AP157" i="26" s="1"/>
  <c r="AF82" i="26"/>
  <c r="AM82" i="26" s="1"/>
  <c r="AP82" i="26" s="1"/>
  <c r="AF208" i="26"/>
  <c r="AM208" i="26" s="1"/>
  <c r="AP208" i="26" s="1"/>
  <c r="AF107" i="26"/>
  <c r="AM107" i="26" s="1"/>
  <c r="AP107" i="26" s="1"/>
  <c r="AF75" i="26"/>
  <c r="AM75" i="26" s="1"/>
  <c r="AF132" i="26"/>
  <c r="AM132" i="26" s="1"/>
  <c r="AP132" i="26" s="1"/>
  <c r="AF36" i="26"/>
  <c r="AM36" i="26" s="1"/>
  <c r="AP36" i="26" s="1"/>
  <c r="AF85" i="26"/>
  <c r="AM85" i="26" s="1"/>
  <c r="AP85" i="26" s="1"/>
  <c r="AF76" i="26"/>
  <c r="AM76" i="26" s="1"/>
  <c r="AP76" i="26" s="1"/>
  <c r="AF180" i="26"/>
  <c r="AM180" i="26" s="1"/>
  <c r="AP180" i="26" s="1"/>
  <c r="AF165" i="26"/>
  <c r="AM165" i="26" s="1"/>
  <c r="AP165" i="26" s="1"/>
  <c r="AF52" i="26"/>
  <c r="AM52" i="26" s="1"/>
  <c r="AP52" i="26" s="1"/>
  <c r="AF79" i="26"/>
  <c r="AM79" i="26" s="1"/>
  <c r="AP79" i="26" s="1"/>
  <c r="AF169" i="26"/>
  <c r="AM169" i="26" s="1"/>
  <c r="AF54" i="26"/>
  <c r="AM54" i="26" s="1"/>
  <c r="AP54" i="26" s="1"/>
  <c r="AF119" i="26"/>
  <c r="AM119" i="26" s="1"/>
  <c r="AP119" i="26" s="1"/>
  <c r="AF87" i="26"/>
  <c r="AM87" i="26" s="1"/>
  <c r="AP87" i="26" s="1"/>
  <c r="AF60" i="26"/>
  <c r="AM60" i="26" s="1"/>
  <c r="AP60" i="26" s="1"/>
  <c r="AF146" i="26"/>
  <c r="AM146" i="26" s="1"/>
  <c r="AF72" i="26"/>
  <c r="AM72" i="26" s="1"/>
  <c r="AP72" i="26" s="1"/>
  <c r="AF185" i="26"/>
  <c r="AM185" i="26" s="1"/>
  <c r="AP185" i="26" s="1"/>
  <c r="AF74" i="26"/>
  <c r="AM74" i="26" s="1"/>
  <c r="AP74" i="26" s="1"/>
  <c r="AF126" i="26"/>
  <c r="AM126" i="26" s="1"/>
  <c r="AP126" i="26" s="1"/>
  <c r="AF171" i="26"/>
  <c r="AM171" i="26" s="1"/>
  <c r="AP171" i="26" s="1"/>
  <c r="AF140" i="26"/>
  <c r="AM140" i="26" s="1"/>
  <c r="AP140" i="26" s="1"/>
  <c r="AF136" i="26"/>
  <c r="AM136" i="26" s="1"/>
  <c r="AP136" i="26" s="1"/>
  <c r="AF40" i="26"/>
  <c r="AM40" i="26" s="1"/>
  <c r="AP40" i="26" s="1"/>
  <c r="AF213" i="26"/>
  <c r="AM213" i="26" s="1"/>
  <c r="AP213" i="26" s="1"/>
  <c r="AF130" i="26"/>
  <c r="AM130" i="26" s="1"/>
  <c r="AP130" i="26" s="1"/>
  <c r="AF47" i="26"/>
  <c r="AM47" i="26" s="1"/>
  <c r="AP47" i="26" s="1"/>
  <c r="AF102" i="26"/>
  <c r="AM102" i="26" s="1"/>
  <c r="AP102" i="26" s="1"/>
  <c r="AF108" i="26"/>
  <c r="AM108" i="26" s="1"/>
  <c r="AP108" i="26" s="1"/>
  <c r="AF145" i="26"/>
  <c r="AM145" i="26" s="1"/>
  <c r="AP145" i="26" s="1"/>
  <c r="AF34" i="26"/>
  <c r="AM34" i="26" s="1"/>
  <c r="AP34" i="26" s="1"/>
  <c r="AF196" i="26"/>
  <c r="AM196" i="26" s="1"/>
  <c r="AP196" i="26" s="1"/>
  <c r="AF95" i="26"/>
  <c r="AM95" i="26" s="1"/>
  <c r="AP95" i="26" s="1"/>
  <c r="AF63" i="26"/>
  <c r="AM63" i="26" s="1"/>
  <c r="AP63" i="26" s="1"/>
  <c r="AF138" i="26"/>
  <c r="AM138" i="26" s="1"/>
  <c r="AP138" i="26" s="1"/>
  <c r="AF194" i="26"/>
  <c r="AM194" i="26" s="1"/>
  <c r="AP194" i="26" s="1"/>
  <c r="AF129" i="26"/>
  <c r="AM129" i="26" s="1"/>
  <c r="AP129" i="26" s="1"/>
  <c r="AF43" i="26"/>
  <c r="AM43" i="26" s="1"/>
  <c r="AP43" i="26" s="1"/>
  <c r="AF68" i="26"/>
  <c r="AM68" i="26" s="1"/>
  <c r="AP68" i="26" s="1"/>
  <c r="AF186" i="26"/>
  <c r="AM186" i="26" s="1"/>
  <c r="AP186" i="26" s="1"/>
  <c r="AF206" i="26"/>
  <c r="AM206" i="26" s="1"/>
  <c r="AP206" i="26" s="1"/>
  <c r="AF141" i="26"/>
  <c r="AM141" i="26" s="1"/>
  <c r="AP141" i="26" s="1"/>
  <c r="AF55" i="26"/>
  <c r="AM55" i="26" s="1"/>
  <c r="AP55" i="26" s="1"/>
  <c r="AF192" i="26"/>
  <c r="AM192" i="26" s="1"/>
  <c r="AP192" i="26" s="1"/>
  <c r="AF16" i="26"/>
  <c r="AM16" i="26" s="1"/>
  <c r="AP16" i="26" s="1"/>
  <c r="AF207" i="26"/>
  <c r="AM207" i="26" s="1"/>
  <c r="AP207" i="26" s="1"/>
  <c r="AF124" i="26"/>
  <c r="AM124" i="26" s="1"/>
  <c r="AP124" i="26" s="1"/>
  <c r="AF41" i="26"/>
  <c r="AM41" i="26" s="1"/>
  <c r="AP41" i="26" s="1"/>
  <c r="AF211" i="26"/>
  <c r="AM211" i="26" s="1"/>
  <c r="AP211" i="26" s="1"/>
  <c r="AF122" i="26"/>
  <c r="AM122" i="26" s="1"/>
  <c r="AP122" i="26" s="1"/>
  <c r="AF161" i="26"/>
  <c r="AM161" i="26" s="1"/>
  <c r="AP161" i="26" s="1"/>
  <c r="AF50" i="26"/>
  <c r="AM50" i="26" s="1"/>
  <c r="AP50" i="26" s="1"/>
  <c r="AF179" i="26"/>
  <c r="AM179" i="26" s="1"/>
  <c r="AP179" i="26" s="1"/>
  <c r="AF8" i="26"/>
  <c r="AM8" i="26" s="1"/>
  <c r="AP8" i="26" s="1"/>
  <c r="AF134" i="26"/>
  <c r="AM134" i="26" s="1"/>
  <c r="AP134" i="26" s="1"/>
  <c r="AF24" i="26"/>
  <c r="AM24" i="26" s="1"/>
  <c r="AP24" i="26" s="1"/>
  <c r="AF173" i="26"/>
  <c r="AM173" i="26" s="1"/>
  <c r="AP173" i="26" s="1"/>
  <c r="AF62" i="26"/>
  <c r="AM62" i="26" s="1"/>
  <c r="AP62" i="26" s="1"/>
  <c r="AF162" i="26"/>
  <c r="AM162" i="26" s="1"/>
  <c r="AP162" i="26" s="1"/>
  <c r="AF200" i="26"/>
  <c r="AM200" i="26" s="1"/>
  <c r="AP200" i="26" s="1"/>
  <c r="AF135" i="26"/>
  <c r="AM135" i="26" s="1"/>
  <c r="AP135" i="26" s="1"/>
  <c r="AF49" i="26"/>
  <c r="AM49" i="26" s="1"/>
  <c r="AP49" i="26" s="1"/>
  <c r="AF139" i="26"/>
  <c r="AM139" i="26" s="1"/>
  <c r="AP139" i="26" s="1"/>
  <c r="AF10" i="26"/>
  <c r="AM10" i="26" s="1"/>
  <c r="AP10" i="26" s="1"/>
  <c r="AF190" i="26"/>
  <c r="AM190" i="26" s="1"/>
  <c r="AP190" i="26" s="1"/>
  <c r="AF66" i="26"/>
  <c r="AM66" i="26" s="1"/>
  <c r="AF57" i="26"/>
  <c r="AM57" i="26" s="1"/>
  <c r="AP57" i="26" s="1"/>
  <c r="AF64" i="26"/>
  <c r="AM64" i="26" s="1"/>
  <c r="AP64" i="26" s="1"/>
  <c r="AF48" i="26"/>
  <c r="AM48" i="26" s="1"/>
  <c r="AP48" i="26" s="1"/>
  <c r="AF53" i="26"/>
  <c r="AM53" i="26" s="1"/>
  <c r="AP53" i="26" s="1"/>
  <c r="AF204" i="26"/>
  <c r="AM204" i="26" s="1"/>
  <c r="AP204" i="26" s="1"/>
  <c r="AF151" i="26"/>
  <c r="AM151" i="26" s="1"/>
  <c r="AP151" i="26" s="1"/>
  <c r="AF58" i="26"/>
  <c r="AM58" i="26" s="1"/>
  <c r="AF202" i="26"/>
  <c r="AM202" i="26" s="1"/>
  <c r="AP202" i="26" s="1"/>
  <c r="AF101" i="26"/>
  <c r="AM101" i="26" s="1"/>
  <c r="AP101" i="26" s="1"/>
  <c r="AF69" i="26"/>
  <c r="AM69" i="26" s="1"/>
  <c r="AP69" i="26" s="1"/>
  <c r="AF128" i="26"/>
  <c r="AM128" i="26" s="1"/>
  <c r="AP128" i="26" s="1"/>
  <c r="AF167" i="26"/>
  <c r="AM167" i="26" s="1"/>
  <c r="AP167" i="26" s="1"/>
  <c r="AF56" i="26"/>
  <c r="AM56" i="26" s="1"/>
  <c r="AP56" i="26" s="1"/>
  <c r="AF168" i="26"/>
  <c r="AM168" i="26" s="1"/>
  <c r="AP168" i="26" s="1"/>
  <c r="AF201" i="26"/>
  <c r="AM201" i="26" s="1"/>
  <c r="AP201" i="26" s="1"/>
  <c r="AF118" i="26"/>
  <c r="AM118" i="26" s="1"/>
  <c r="AP118" i="26" s="1"/>
  <c r="AF35" i="26"/>
  <c r="AM35" i="26" s="1"/>
  <c r="AP35" i="26" s="1"/>
  <c r="AF45" i="26"/>
  <c r="AM45" i="26" s="1"/>
  <c r="AP45" i="26" s="1"/>
  <c r="AX25" i="26" l="1"/>
  <c r="AP169" i="26"/>
  <c r="AX23" i="26"/>
  <c r="AP154" i="26"/>
  <c r="AX29" i="26"/>
  <c r="AP197" i="26"/>
  <c r="AX31" i="26"/>
  <c r="AP209" i="26"/>
  <c r="AX10" i="26"/>
  <c r="AP51" i="26"/>
  <c r="AX21" i="26"/>
  <c r="AP137" i="26"/>
  <c r="AX17" i="26"/>
  <c r="AP105" i="26"/>
  <c r="AX16" i="26"/>
  <c r="AP98" i="26"/>
  <c r="AX27" i="26"/>
  <c r="AP184" i="26"/>
  <c r="AX9" i="26"/>
  <c r="AP44" i="26"/>
  <c r="AX14" i="26"/>
  <c r="AP84" i="26"/>
  <c r="AX30" i="26"/>
  <c r="AP203" i="26"/>
  <c r="AX20" i="26"/>
  <c r="AP131" i="26"/>
  <c r="AX24" i="26"/>
  <c r="AP163" i="26"/>
  <c r="AX12" i="26"/>
  <c r="AP66" i="26"/>
  <c r="AX28" i="26"/>
  <c r="AP191" i="26"/>
  <c r="AX26" i="26"/>
  <c r="AP176" i="26"/>
  <c r="AX22" i="26"/>
  <c r="AP146" i="26"/>
  <c r="AX15" i="26"/>
  <c r="AP90" i="26"/>
  <c r="AX19" i="26"/>
  <c r="AP123" i="26"/>
  <c r="AX13" i="26"/>
  <c r="AP75" i="26"/>
  <c r="AX18" i="26"/>
  <c r="AP114" i="26"/>
  <c r="AX11" i="26"/>
  <c r="AP58" i="26"/>
  <c r="AX32" i="26"/>
  <c r="AX33" i="26"/>
  <c r="AX34" i="26"/>
  <c r="AX35" i="26"/>
  <c r="AX36" i="26"/>
  <c r="AX37" i="26"/>
  <c r="AX38" i="26"/>
  <c r="AX39" i="26"/>
  <c r="AX40" i="26"/>
  <c r="AX41" i="26"/>
  <c r="AX42" i="26"/>
  <c r="AX43" i="26"/>
  <c r="AX44" i="26"/>
  <c r="AX45" i="26"/>
  <c r="AX46" i="26"/>
  <c r="AX47" i="26"/>
  <c r="AX48" i="26"/>
  <c r="AX49" i="26"/>
  <c r="AX50" i="26"/>
  <c r="AX51" i="26"/>
  <c r="AX52" i="26"/>
  <c r="AX53" i="26"/>
  <c r="AX54" i="26"/>
  <c r="AX55" i="26"/>
  <c r="AX56" i="26"/>
  <c r="AX57" i="26"/>
  <c r="AX58" i="26"/>
  <c r="AX59" i="26"/>
  <c r="AX60" i="26"/>
  <c r="AX61" i="26"/>
  <c r="AX62" i="26"/>
  <c r="AX63" i="26"/>
  <c r="AX64" i="26"/>
  <c r="AX65" i="26"/>
  <c r="AX66" i="26"/>
  <c r="AX67" i="26"/>
  <c r="AX68" i="26"/>
  <c r="AX69" i="26"/>
  <c r="AX70" i="26"/>
  <c r="AX71" i="26"/>
  <c r="AX72" i="26"/>
  <c r="AX73" i="26"/>
  <c r="AX74" i="26"/>
  <c r="AX75" i="26"/>
  <c r="AX76" i="26"/>
  <c r="AX77" i="26"/>
  <c r="AX78" i="26"/>
  <c r="AX79" i="26"/>
  <c r="AX80" i="26"/>
  <c r="AX81" i="26"/>
  <c r="AX82" i="26"/>
  <c r="AX83" i="26"/>
  <c r="AX84" i="26"/>
  <c r="AX85" i="26"/>
  <c r="AX86" i="26"/>
  <c r="AX87" i="26"/>
  <c r="AX88" i="26"/>
  <c r="AX89" i="26"/>
  <c r="AX90" i="26"/>
  <c r="AX91" i="26"/>
  <c r="AX92" i="26"/>
  <c r="AX93" i="26"/>
  <c r="AX94" i="26"/>
  <c r="AX95" i="26"/>
  <c r="AX96" i="26"/>
  <c r="AX97" i="26"/>
  <c r="AX98" i="26"/>
  <c r="AX99" i="26"/>
  <c r="AX100" i="26"/>
  <c r="AX101" i="26"/>
  <c r="AX102" i="26"/>
  <c r="AX103" i="26"/>
  <c r="AX104" i="26"/>
  <c r="AX105" i="26"/>
  <c r="AX106" i="26"/>
  <c r="AX107" i="26"/>
  <c r="AX108" i="26"/>
  <c r="AX109" i="26"/>
  <c r="AX110" i="26"/>
  <c r="AX111" i="26"/>
  <c r="AX112" i="26"/>
  <c r="AX113" i="26"/>
  <c r="AX114" i="26"/>
  <c r="AX115" i="26"/>
  <c r="AX116" i="26"/>
  <c r="AX117" i="26"/>
  <c r="AX118" i="26"/>
  <c r="AX119" i="26"/>
  <c r="AX120" i="26"/>
  <c r="AX121" i="26"/>
  <c r="AX122" i="26"/>
  <c r="AX123" i="26"/>
  <c r="AX124" i="26"/>
  <c r="AX125" i="26"/>
  <c r="AX126" i="26"/>
  <c r="AX127" i="26"/>
  <c r="AX128" i="26"/>
  <c r="AX129" i="26"/>
  <c r="AX130" i="26"/>
  <c r="AX131" i="26"/>
  <c r="AX132" i="26"/>
  <c r="AX133" i="26"/>
  <c r="AX134" i="26"/>
  <c r="AX135" i="26"/>
  <c r="AX136" i="26"/>
  <c r="AX137" i="26"/>
  <c r="AX138" i="26"/>
  <c r="AX139" i="26"/>
  <c r="AX140" i="26"/>
  <c r="AX141" i="26"/>
  <c r="AX142" i="26"/>
  <c r="AX143" i="26"/>
  <c r="AX144" i="26"/>
  <c r="AX145" i="26"/>
  <c r="AX146" i="26"/>
  <c r="AX147" i="26"/>
  <c r="AX148" i="26"/>
  <c r="AX149" i="26"/>
  <c r="AX150" i="26"/>
  <c r="AX151" i="26"/>
  <c r="AX152" i="26"/>
  <c r="AX153" i="26"/>
  <c r="AX154" i="26"/>
  <c r="AX155" i="26"/>
  <c r="AX156" i="26"/>
  <c r="AX157" i="26"/>
  <c r="AX158" i="26"/>
  <c r="AX159" i="26"/>
  <c r="AX160" i="26"/>
  <c r="AX161" i="26"/>
  <c r="AX162" i="26"/>
  <c r="AX163" i="26"/>
  <c r="AX164" i="26"/>
  <c r="AX165" i="26"/>
  <c r="AX166" i="26"/>
  <c r="AX167" i="26"/>
  <c r="AX168" i="26"/>
  <c r="AX169" i="26"/>
  <c r="AX170" i="26"/>
  <c r="AX171" i="26"/>
  <c r="AX172" i="26"/>
  <c r="AX173" i="26"/>
  <c r="AX174" i="26"/>
  <c r="AX175" i="26"/>
  <c r="AX176" i="26"/>
  <c r="AX177" i="26"/>
  <c r="AX178" i="26"/>
  <c r="AX179" i="26"/>
  <c r="AX180" i="26"/>
  <c r="AX181" i="26"/>
  <c r="AX182" i="26"/>
  <c r="AX183" i="26"/>
  <c r="AX184" i="26"/>
  <c r="AX185" i="26"/>
  <c r="AX186" i="26"/>
  <c r="AX187" i="26"/>
  <c r="AX188" i="26"/>
  <c r="AX189" i="26"/>
  <c r="AX190" i="26"/>
  <c r="AX191" i="26"/>
  <c r="AX192" i="26"/>
  <c r="AX193" i="26"/>
  <c r="AX194" i="26"/>
  <c r="AX195" i="26"/>
  <c r="AX196" i="26"/>
  <c r="AX197" i="26"/>
  <c r="AX198" i="26"/>
  <c r="AX199" i="26"/>
  <c r="AX200" i="26"/>
  <c r="AX201" i="26"/>
  <c r="AX202" i="26"/>
  <c r="AX203" i="26"/>
  <c r="AX204" i="26"/>
  <c r="AX205" i="26"/>
  <c r="AX206" i="26"/>
  <c r="AX207" i="26"/>
  <c r="AX208" i="26"/>
  <c r="AX209" i="26"/>
  <c r="AX210" i="26"/>
  <c r="AX211" i="26"/>
  <c r="AX212" i="26"/>
  <c r="AX213" i="26"/>
  <c r="AX214" i="26"/>
  <c r="AX215" i="26"/>
  <c r="AX7" i="26"/>
  <c r="AX8" i="26"/>
  <c r="AZ8" i="26"/>
  <c r="AY8" i="26"/>
  <c r="AY7" i="26"/>
  <c r="BA9" i="26" l="1"/>
  <c r="BF9" i="26" s="1"/>
  <c r="BA10" i="26"/>
  <c r="BF10" i="26" s="1"/>
  <c r="BA11" i="26"/>
  <c r="BF11" i="26" s="1"/>
  <c r="BA12" i="26"/>
  <c r="BF12" i="26" s="1"/>
  <c r="BA13" i="26"/>
  <c r="BF13" i="26" s="1"/>
  <c r="BA14" i="26"/>
  <c r="BF14" i="26" s="1"/>
  <c r="BA15" i="26"/>
  <c r="BF15" i="26" s="1"/>
  <c r="BA16" i="26"/>
  <c r="BF16" i="26" s="1"/>
  <c r="BA17" i="26"/>
  <c r="BF17" i="26" s="1"/>
  <c r="BA18" i="26"/>
  <c r="BF18" i="26" s="1"/>
  <c r="BA19" i="26"/>
  <c r="BF19" i="26" s="1"/>
  <c r="BA20" i="26"/>
  <c r="BF20" i="26" s="1"/>
  <c r="BA21" i="26"/>
  <c r="BF21" i="26" s="1"/>
  <c r="BA22" i="26"/>
  <c r="BF22" i="26" s="1"/>
  <c r="BA23" i="26"/>
  <c r="BF23" i="26" s="1"/>
  <c r="BA24" i="26"/>
  <c r="BF24" i="26" s="1"/>
  <c r="BA25" i="26"/>
  <c r="BF25" i="26" s="1"/>
  <c r="BA26" i="26"/>
  <c r="BF26" i="26" s="1"/>
  <c r="BA27" i="26"/>
  <c r="BF27" i="26" s="1"/>
  <c r="BA28" i="26"/>
  <c r="BF28" i="26" s="1"/>
  <c r="BA29" i="26"/>
  <c r="BF29" i="26" s="1"/>
  <c r="BA30" i="26"/>
  <c r="BF30" i="26" s="1"/>
  <c r="BA31" i="26"/>
  <c r="BF31" i="26" s="1"/>
  <c r="BA32" i="26"/>
  <c r="BF32" i="26" s="1"/>
  <c r="BA33" i="26"/>
  <c r="BF33" i="26" s="1"/>
  <c r="BA34" i="26"/>
  <c r="BF34" i="26" s="1"/>
  <c r="BA35" i="26"/>
  <c r="BF35" i="26" s="1"/>
  <c r="BA36" i="26"/>
  <c r="BF36" i="26" s="1"/>
  <c r="BA37" i="26"/>
  <c r="BF37" i="26" s="1"/>
  <c r="BA38" i="26"/>
  <c r="BF38" i="26" s="1"/>
  <c r="BA39" i="26"/>
  <c r="BF39" i="26" s="1"/>
  <c r="BA40" i="26"/>
  <c r="BF40" i="26" s="1"/>
  <c r="BA41" i="26"/>
  <c r="BF41" i="26" s="1"/>
  <c r="BA42" i="26"/>
  <c r="BF42" i="26" s="1"/>
  <c r="BA43" i="26"/>
  <c r="BF43" i="26" s="1"/>
  <c r="BA44" i="26"/>
  <c r="BF44" i="26" s="1"/>
  <c r="BA45" i="26"/>
  <c r="BF45" i="26" s="1"/>
  <c r="BA46" i="26"/>
  <c r="BF46" i="26" s="1"/>
  <c r="BA47" i="26"/>
  <c r="BF47" i="26" s="1"/>
  <c r="BA48" i="26"/>
  <c r="BF48" i="26" s="1"/>
  <c r="BA49" i="26"/>
  <c r="BF49" i="26" s="1"/>
  <c r="BA50" i="26"/>
  <c r="BF50" i="26" s="1"/>
  <c r="BA51" i="26"/>
  <c r="BF51" i="26" s="1"/>
  <c r="BA52" i="26"/>
  <c r="BF52" i="26" s="1"/>
  <c r="BA53" i="26"/>
  <c r="BF53" i="26" s="1"/>
  <c r="BA54" i="26"/>
  <c r="BF54" i="26" s="1"/>
  <c r="BA55" i="26"/>
  <c r="BF55" i="26" s="1"/>
  <c r="BA56" i="26"/>
  <c r="BF56" i="26" s="1"/>
  <c r="BA57" i="26"/>
  <c r="BF57" i="26" s="1"/>
  <c r="BA58" i="26"/>
  <c r="BF58" i="26" s="1"/>
  <c r="BA59" i="26"/>
  <c r="BF59" i="26" s="1"/>
  <c r="BA60" i="26"/>
  <c r="BF60" i="26" s="1"/>
  <c r="BA61" i="26"/>
  <c r="BF61" i="26" s="1"/>
  <c r="BA62" i="26"/>
  <c r="BF62" i="26" s="1"/>
  <c r="BA63" i="26"/>
  <c r="BF63" i="26" s="1"/>
  <c r="BA64" i="26"/>
  <c r="BF64" i="26" s="1"/>
  <c r="BA65" i="26"/>
  <c r="BF65" i="26" s="1"/>
  <c r="BA66" i="26"/>
  <c r="BF66" i="26" s="1"/>
  <c r="BA67" i="26"/>
  <c r="BF67" i="26" s="1"/>
  <c r="BA68" i="26"/>
  <c r="BF68" i="26" s="1"/>
  <c r="BA69" i="26"/>
  <c r="BF69" i="26" s="1"/>
  <c r="BA70" i="26"/>
  <c r="BF70" i="26" s="1"/>
  <c r="BA71" i="26"/>
  <c r="BF71" i="26" s="1"/>
  <c r="BA72" i="26"/>
  <c r="BF72" i="26" s="1"/>
  <c r="BA73" i="26"/>
  <c r="BF73" i="26" s="1"/>
  <c r="BA74" i="26"/>
  <c r="BF74" i="26" s="1"/>
  <c r="BA75" i="26"/>
  <c r="BF75" i="26" s="1"/>
  <c r="BA76" i="26"/>
  <c r="BF76" i="26" s="1"/>
  <c r="BA77" i="26"/>
  <c r="BF77" i="26" s="1"/>
  <c r="BA78" i="26"/>
  <c r="BF78" i="26" s="1"/>
  <c r="BA79" i="26"/>
  <c r="BF79" i="26" s="1"/>
  <c r="BA80" i="26"/>
  <c r="BF80" i="26" s="1"/>
  <c r="BA81" i="26"/>
  <c r="BF81" i="26" s="1"/>
  <c r="BA82" i="26"/>
  <c r="BF82" i="26" s="1"/>
  <c r="BA83" i="26"/>
  <c r="BF83" i="26" s="1"/>
  <c r="BA84" i="26"/>
  <c r="BF84" i="26" s="1"/>
  <c r="BA85" i="26"/>
  <c r="BF85" i="26" s="1"/>
  <c r="BA86" i="26"/>
  <c r="BF86" i="26" s="1"/>
  <c r="BA87" i="26"/>
  <c r="BF87" i="26" s="1"/>
  <c r="BA88" i="26"/>
  <c r="BF88" i="26" s="1"/>
  <c r="BA89" i="26"/>
  <c r="BF89" i="26" s="1"/>
  <c r="BA90" i="26"/>
  <c r="BF90" i="26" s="1"/>
  <c r="BA91" i="26"/>
  <c r="BF91" i="26" s="1"/>
  <c r="BA92" i="26"/>
  <c r="BF92" i="26" s="1"/>
  <c r="BA93" i="26"/>
  <c r="BF93" i="26" s="1"/>
  <c r="BA94" i="26"/>
  <c r="BF94" i="26" s="1"/>
  <c r="BA95" i="26"/>
  <c r="BF95" i="26" s="1"/>
  <c r="BA96" i="26"/>
  <c r="BF96" i="26" s="1"/>
  <c r="BA97" i="26"/>
  <c r="BF97" i="26" s="1"/>
  <c r="BA98" i="26"/>
  <c r="BF98" i="26" s="1"/>
  <c r="BA99" i="26"/>
  <c r="BF99" i="26" s="1"/>
  <c r="BA100" i="26"/>
  <c r="BF100" i="26" s="1"/>
  <c r="BA101" i="26"/>
  <c r="BF101" i="26" s="1"/>
  <c r="BA102" i="26"/>
  <c r="BF102" i="26" s="1"/>
  <c r="BA103" i="26"/>
  <c r="BF103" i="26" s="1"/>
  <c r="BA104" i="26"/>
  <c r="BF104" i="26" s="1"/>
  <c r="BA105" i="26"/>
  <c r="BF105" i="26" s="1"/>
  <c r="BA106" i="26"/>
  <c r="BF106" i="26" s="1"/>
  <c r="BA107" i="26"/>
  <c r="BF107" i="26" s="1"/>
  <c r="BA108" i="26"/>
  <c r="BF108" i="26" s="1"/>
  <c r="BA109" i="26"/>
  <c r="BF109" i="26" s="1"/>
  <c r="BA110" i="26"/>
  <c r="BF110" i="26" s="1"/>
  <c r="BA111" i="26"/>
  <c r="BF111" i="26" s="1"/>
  <c r="BA112" i="26"/>
  <c r="BF112" i="26" s="1"/>
  <c r="BA113" i="26"/>
  <c r="BF113" i="26" s="1"/>
  <c r="BA114" i="26"/>
  <c r="BF114" i="26" s="1"/>
  <c r="BA115" i="26"/>
  <c r="BF115" i="26" s="1"/>
  <c r="BA116" i="26"/>
  <c r="BF116" i="26" s="1"/>
  <c r="BA117" i="26"/>
  <c r="BF117" i="26" s="1"/>
  <c r="BA118" i="26"/>
  <c r="BF118" i="26" s="1"/>
  <c r="BA119" i="26"/>
  <c r="BF119" i="26" s="1"/>
  <c r="BA120" i="26"/>
  <c r="BF120" i="26" s="1"/>
  <c r="BA121" i="26"/>
  <c r="BF121" i="26" s="1"/>
  <c r="BA122" i="26"/>
  <c r="BF122" i="26" s="1"/>
  <c r="BA123" i="26"/>
  <c r="BF123" i="26" s="1"/>
  <c r="BA124" i="26"/>
  <c r="BF124" i="26" s="1"/>
  <c r="BA125" i="26"/>
  <c r="BF125" i="26" s="1"/>
  <c r="BA126" i="26"/>
  <c r="BF126" i="26" s="1"/>
  <c r="BA127" i="26"/>
  <c r="BF127" i="26" s="1"/>
  <c r="BA128" i="26"/>
  <c r="BF128" i="26" s="1"/>
  <c r="BA129" i="26"/>
  <c r="BF129" i="26" s="1"/>
  <c r="BA130" i="26"/>
  <c r="BF130" i="26" s="1"/>
  <c r="BA131" i="26"/>
  <c r="BF131" i="26" s="1"/>
  <c r="BA132" i="26"/>
  <c r="BF132" i="26" s="1"/>
  <c r="BA133" i="26"/>
  <c r="BF133" i="26" s="1"/>
  <c r="BA134" i="26"/>
  <c r="BF134" i="26" s="1"/>
  <c r="BA135" i="26"/>
  <c r="BF135" i="26" s="1"/>
  <c r="BA136" i="26"/>
  <c r="BF136" i="26" s="1"/>
  <c r="BA137" i="26"/>
  <c r="BF137" i="26" s="1"/>
  <c r="BA138" i="26"/>
  <c r="BF138" i="26" s="1"/>
  <c r="BA139" i="26"/>
  <c r="BF139" i="26" s="1"/>
  <c r="BA140" i="26"/>
  <c r="BF140" i="26" s="1"/>
  <c r="BA141" i="26"/>
  <c r="BF141" i="26" s="1"/>
  <c r="BA142" i="26"/>
  <c r="BF142" i="26" s="1"/>
  <c r="BA143" i="26"/>
  <c r="BF143" i="26" s="1"/>
  <c r="BA144" i="26"/>
  <c r="BF144" i="26" s="1"/>
  <c r="BA145" i="26"/>
  <c r="BF145" i="26" s="1"/>
  <c r="BA146" i="26"/>
  <c r="BF146" i="26" s="1"/>
  <c r="BA147" i="26"/>
  <c r="BF147" i="26" s="1"/>
  <c r="BA148" i="26"/>
  <c r="BF148" i="26" s="1"/>
  <c r="BA149" i="26"/>
  <c r="BF149" i="26" s="1"/>
  <c r="BA150" i="26"/>
  <c r="BF150" i="26" s="1"/>
  <c r="BA151" i="26"/>
  <c r="BF151" i="26" s="1"/>
  <c r="BA152" i="26"/>
  <c r="BF152" i="26" s="1"/>
  <c r="BA153" i="26"/>
  <c r="BF153" i="26" s="1"/>
  <c r="BA154" i="26"/>
  <c r="BF154" i="26" s="1"/>
  <c r="BA155" i="26"/>
  <c r="BF155" i="26" s="1"/>
  <c r="BA156" i="26"/>
  <c r="BF156" i="26" s="1"/>
  <c r="BA157" i="26"/>
  <c r="BF157" i="26" s="1"/>
  <c r="BA158" i="26"/>
  <c r="BF158" i="26" s="1"/>
  <c r="BA159" i="26"/>
  <c r="BF159" i="26" s="1"/>
  <c r="BA160" i="26"/>
  <c r="BF160" i="26" s="1"/>
  <c r="BA161" i="26"/>
  <c r="BF161" i="26" s="1"/>
  <c r="BA162" i="26"/>
  <c r="BF162" i="26" s="1"/>
  <c r="BA163" i="26"/>
  <c r="BF163" i="26" s="1"/>
  <c r="BA164" i="26"/>
  <c r="BF164" i="26" s="1"/>
  <c r="BA165" i="26"/>
  <c r="BF165" i="26" s="1"/>
  <c r="BA166" i="26"/>
  <c r="BF166" i="26" s="1"/>
  <c r="BA167" i="26"/>
  <c r="BF167" i="26" s="1"/>
  <c r="BA168" i="26"/>
  <c r="BF168" i="26" s="1"/>
  <c r="BA169" i="26"/>
  <c r="BF169" i="26" s="1"/>
  <c r="BA170" i="26"/>
  <c r="BF170" i="26" s="1"/>
  <c r="BA171" i="26"/>
  <c r="BF171" i="26" s="1"/>
  <c r="BA172" i="26"/>
  <c r="BF172" i="26" s="1"/>
  <c r="BA173" i="26"/>
  <c r="BF173" i="26" s="1"/>
  <c r="BA174" i="26"/>
  <c r="BF174" i="26" s="1"/>
  <c r="BA175" i="26"/>
  <c r="BF175" i="26" s="1"/>
  <c r="BA176" i="26"/>
  <c r="BF176" i="26" s="1"/>
  <c r="BA177" i="26"/>
  <c r="BF177" i="26" s="1"/>
  <c r="BA178" i="26"/>
  <c r="BF178" i="26" s="1"/>
  <c r="BA179" i="26"/>
  <c r="BF179" i="26" s="1"/>
  <c r="BA180" i="26"/>
  <c r="BF180" i="26" s="1"/>
  <c r="BA181" i="26"/>
  <c r="BF181" i="26" s="1"/>
  <c r="BA182" i="26"/>
  <c r="BF182" i="26" s="1"/>
  <c r="BA183" i="26"/>
  <c r="BF183" i="26" s="1"/>
  <c r="BA184" i="26"/>
  <c r="BF184" i="26" s="1"/>
  <c r="BA185" i="26"/>
  <c r="BF185" i="26" s="1"/>
  <c r="BA186" i="26"/>
  <c r="BF186" i="26" s="1"/>
  <c r="BA187" i="26"/>
  <c r="BF187" i="26" s="1"/>
  <c r="BA188" i="26"/>
  <c r="BF188" i="26" s="1"/>
  <c r="BA189" i="26"/>
  <c r="BF189" i="26" s="1"/>
  <c r="BA190" i="26"/>
  <c r="BF190" i="26" s="1"/>
  <c r="BA191" i="26"/>
  <c r="BF191" i="26" s="1"/>
  <c r="BA192" i="26"/>
  <c r="BF192" i="26" s="1"/>
  <c r="BA193" i="26"/>
  <c r="BF193" i="26" s="1"/>
  <c r="BA194" i="26"/>
  <c r="BF194" i="26" s="1"/>
  <c r="BA195" i="26"/>
  <c r="BF195" i="26" s="1"/>
  <c r="BA196" i="26"/>
  <c r="BF196" i="26" s="1"/>
  <c r="BA197" i="26"/>
  <c r="BF197" i="26" s="1"/>
  <c r="BA198" i="26"/>
  <c r="BF198" i="26" s="1"/>
  <c r="BA199" i="26"/>
  <c r="BF199" i="26" s="1"/>
  <c r="BA200" i="26"/>
  <c r="BF200" i="26" s="1"/>
  <c r="BA201" i="26"/>
  <c r="BF201" i="26" s="1"/>
  <c r="BA202" i="26"/>
  <c r="BF202" i="26" s="1"/>
  <c r="BA203" i="26"/>
  <c r="BF203" i="26" s="1"/>
  <c r="BA204" i="26"/>
  <c r="BF204" i="26" s="1"/>
  <c r="BA205" i="26"/>
  <c r="BF205" i="26" s="1"/>
  <c r="BA206" i="26"/>
  <c r="BF206" i="26" s="1"/>
  <c r="BA207" i="26"/>
  <c r="BF207" i="26" s="1"/>
  <c r="BA208" i="26"/>
  <c r="BF208" i="26" s="1"/>
  <c r="BA209" i="26"/>
  <c r="BF209" i="26" s="1"/>
  <c r="BA210" i="26"/>
  <c r="BF210" i="26" s="1"/>
  <c r="BA211" i="26"/>
  <c r="BF211" i="26" s="1"/>
  <c r="BA212" i="26"/>
  <c r="BF212" i="26" s="1"/>
  <c r="BA213" i="26"/>
  <c r="BF213" i="26" s="1"/>
  <c r="BA214" i="26"/>
  <c r="BF214" i="26" s="1"/>
  <c r="BA215" i="26"/>
  <c r="BF215" i="26" s="1"/>
  <c r="BA8" i="26"/>
  <c r="BF8" i="26" s="1"/>
  <c r="BA7" i="26"/>
  <c r="BF7" i="26" s="1"/>
  <c r="BD8" i="2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<sst xmlns="http://schemas.openxmlformats.org/spreadsheetml/2006/main" count="883" uniqueCount="401">
  <si>
    <t>基础奖励</t>
    <phoneticPr fontId="1" type="noConversion"/>
  </si>
  <si>
    <t>关卡成长</t>
    <phoneticPr fontId="1" type="noConversion"/>
  </si>
  <si>
    <t>奖励成长</t>
    <phoneticPr fontId="1" type="noConversion"/>
  </si>
  <si>
    <t>分段</t>
    <phoneticPr fontId="1" type="noConversion"/>
  </si>
  <si>
    <t>开启关卡</t>
    <phoneticPr fontId="1" type="noConversion"/>
  </si>
  <si>
    <t>基础消耗</t>
    <phoneticPr fontId="1" type="noConversion"/>
  </si>
  <si>
    <t>单位价值($)</t>
    <phoneticPr fontId="1" type="noConversion"/>
  </si>
  <si>
    <t>金币价值($)</t>
    <phoneticPr fontId="1" type="noConversion"/>
  </si>
  <si>
    <t>价值系数</t>
    <phoneticPr fontId="1" type="noConversion"/>
  </si>
  <si>
    <t>调整</t>
    <phoneticPr fontId="1" type="noConversion"/>
  </si>
  <si>
    <t>标准</t>
    <phoneticPr fontId="1" type="noConversion"/>
  </si>
  <si>
    <t>关卡</t>
    <phoneticPr fontId="1" type="noConversion"/>
  </si>
  <si>
    <t>索引</t>
    <phoneticPr fontId="1" type="noConversion"/>
  </si>
  <si>
    <t>段内数量</t>
    <phoneticPr fontId="1" type="noConversion"/>
  </si>
  <si>
    <t>单位时间(m)</t>
    <phoneticPr fontId="1" type="noConversion"/>
  </si>
  <si>
    <t>期望次数</t>
    <phoneticPr fontId="1" type="noConversion"/>
  </si>
  <si>
    <t>奖励金币</t>
    <phoneticPr fontId="1" type="noConversion"/>
  </si>
  <si>
    <t>i</t>
    <phoneticPr fontId="1" type="noConversion"/>
  </si>
  <si>
    <t>开始关卡</t>
    <phoneticPr fontId="1" type="noConversion"/>
  </si>
  <si>
    <t>关卡成长/离线成长</t>
    <phoneticPr fontId="1" type="noConversion"/>
  </si>
  <si>
    <t>关卡成长额外增加</t>
    <phoneticPr fontId="1" type="noConversion"/>
  </si>
  <si>
    <t>标准关卡</t>
    <phoneticPr fontId="1" type="noConversion"/>
  </si>
  <si>
    <t>调整关卡</t>
    <phoneticPr fontId="1" type="noConversion"/>
  </si>
  <si>
    <t>调整金币</t>
    <phoneticPr fontId="1" type="noConversion"/>
  </si>
  <si>
    <t>成长分组</t>
    <phoneticPr fontId="1" type="noConversion"/>
  </si>
  <si>
    <t>i</t>
    <phoneticPr fontId="1" type="noConversion"/>
  </si>
  <si>
    <t>关卡</t>
    <phoneticPr fontId="1" type="noConversion"/>
  </si>
  <si>
    <t>消耗</t>
    <phoneticPr fontId="1" type="noConversion"/>
  </si>
  <si>
    <t>消除奖励</t>
    <phoneticPr fontId="1" type="noConversion"/>
  </si>
  <si>
    <t>消除基础奖励</t>
    <phoneticPr fontId="1" type="noConversion"/>
  </si>
  <si>
    <t>消除递增奖励</t>
    <phoneticPr fontId="1" type="noConversion"/>
  </si>
  <si>
    <t>同步关卡消耗</t>
    <phoneticPr fontId="1" type="noConversion"/>
  </si>
  <si>
    <t>余牌基础奖励</t>
    <phoneticPr fontId="1" type="noConversion"/>
  </si>
  <si>
    <t>余牌递增奖励</t>
    <phoneticPr fontId="1" type="noConversion"/>
  </si>
  <si>
    <t>通关奖励</t>
    <phoneticPr fontId="1" type="noConversion"/>
  </si>
  <si>
    <t>通关奖励测试</t>
    <phoneticPr fontId="1" type="noConversion"/>
  </si>
  <si>
    <t>手牌</t>
    <phoneticPr fontId="1" type="noConversion"/>
  </si>
  <si>
    <t>场牌</t>
    <phoneticPr fontId="1" type="noConversion"/>
  </si>
  <si>
    <t>余牌</t>
    <phoneticPr fontId="1" type="noConversion"/>
  </si>
  <si>
    <t>余牌奖励</t>
    <phoneticPr fontId="1" type="noConversion"/>
  </si>
  <si>
    <t>连击任务1奖励系数</t>
    <phoneticPr fontId="1" type="noConversion"/>
  </si>
  <si>
    <t>通关奖励最小值</t>
    <phoneticPr fontId="1" type="noConversion"/>
  </si>
  <si>
    <t>挑战消耗</t>
    <phoneticPr fontId="1" type="noConversion"/>
  </si>
  <si>
    <t>连击奖励</t>
    <phoneticPr fontId="1" type="noConversion"/>
  </si>
  <si>
    <t>关卡总奖励</t>
    <phoneticPr fontId="1" type="noConversion"/>
  </si>
  <si>
    <t>平均连击数</t>
    <phoneticPr fontId="1" type="noConversion"/>
  </si>
  <si>
    <t>模式倍率</t>
    <phoneticPr fontId="1" type="noConversion"/>
  </si>
  <si>
    <t>连击奖励系数</t>
    <phoneticPr fontId="1" type="noConversion"/>
  </si>
  <si>
    <t>万能牌</t>
    <phoneticPr fontId="1" type="noConversion"/>
  </si>
  <si>
    <t>回退</t>
    <phoneticPr fontId="1" type="noConversion"/>
  </si>
  <si>
    <t>加5张</t>
    <phoneticPr fontId="1" type="noConversion"/>
  </si>
  <si>
    <t>使用1次倍率</t>
    <phoneticPr fontId="1" type="noConversion"/>
  </si>
  <si>
    <t>使用2次倍率</t>
  </si>
  <si>
    <t>道具</t>
    <phoneticPr fontId="1" type="noConversion"/>
  </si>
  <si>
    <t>开局-消三张</t>
    <phoneticPr fontId="1" type="noConversion"/>
  </si>
  <si>
    <t>开局-全清</t>
    <phoneticPr fontId="1" type="noConversion"/>
  </si>
  <si>
    <t>调整关卡数量</t>
    <phoneticPr fontId="1" type="noConversion"/>
  </si>
  <si>
    <t>标准关卡数量</t>
    <phoneticPr fontId="1" type="noConversion"/>
  </si>
  <si>
    <t>调整关卡索引</t>
    <phoneticPr fontId="1" type="noConversion"/>
  </si>
  <si>
    <t>关卡类型</t>
    <phoneticPr fontId="1" type="noConversion"/>
  </si>
  <si>
    <t>标准关卡索引</t>
    <phoneticPr fontId="1" type="noConversion"/>
  </si>
  <si>
    <t>关卡索引</t>
    <phoneticPr fontId="1" type="noConversion"/>
  </si>
  <si>
    <t>关卡消耗</t>
    <phoneticPr fontId="1" type="noConversion"/>
  </si>
  <si>
    <t>连击任务</t>
    <phoneticPr fontId="1" type="noConversion"/>
  </si>
  <si>
    <t>功能</t>
    <phoneticPr fontId="1" type="noConversion"/>
  </si>
  <si>
    <t>系统</t>
    <phoneticPr fontId="1" type="noConversion"/>
  </si>
  <si>
    <t>功能开启</t>
    <phoneticPr fontId="1" type="noConversion"/>
  </si>
  <si>
    <t>功能类型</t>
    <phoneticPr fontId="1" type="noConversion"/>
  </si>
  <si>
    <t>关卡局内</t>
    <phoneticPr fontId="1" type="noConversion"/>
  </si>
  <si>
    <t>关卡挑战</t>
    <phoneticPr fontId="1" type="noConversion"/>
  </si>
  <si>
    <t>×2模式</t>
    <phoneticPr fontId="1" type="noConversion"/>
  </si>
  <si>
    <t>×4模式</t>
    <phoneticPr fontId="1" type="noConversion"/>
  </si>
  <si>
    <t>开局-消三张</t>
    <phoneticPr fontId="1" type="noConversion"/>
  </si>
  <si>
    <t>开局-全清</t>
    <phoneticPr fontId="1" type="noConversion"/>
  </si>
  <si>
    <t>开局-万能牌</t>
    <phoneticPr fontId="1" type="noConversion"/>
  </si>
  <si>
    <t>限时礼包</t>
    <phoneticPr fontId="1" type="noConversion"/>
  </si>
  <si>
    <t>连胜</t>
    <phoneticPr fontId="1" type="noConversion"/>
  </si>
  <si>
    <t>离线奖励</t>
  </si>
  <si>
    <t>转盘</t>
  </si>
  <si>
    <t>进度礼包</t>
  </si>
  <si>
    <t>类型</t>
    <phoneticPr fontId="1" type="noConversion"/>
  </si>
  <si>
    <t>金币</t>
  </si>
  <si>
    <t>免费挑战(2倍)</t>
  </si>
  <si>
    <t>免费挑战(4倍)</t>
  </si>
  <si>
    <t>24小时离线加速</t>
  </si>
  <si>
    <t>12小时离线加速</t>
  </si>
  <si>
    <t>连胜骨头牌</t>
  </si>
  <si>
    <t>undo</t>
    <phoneticPr fontId="1" type="noConversion"/>
  </si>
  <si>
    <t>plus5</t>
    <phoneticPr fontId="1" type="noConversion"/>
  </si>
  <si>
    <t>wild</t>
    <phoneticPr fontId="1" type="noConversion"/>
  </si>
  <si>
    <t>freeMode1</t>
    <phoneticPr fontId="1" type="noConversion"/>
  </si>
  <si>
    <t>freeMode2</t>
  </si>
  <si>
    <t>freeMode3</t>
  </si>
  <si>
    <t>offlineSpeedUP</t>
    <phoneticPr fontId="1" type="noConversion"/>
  </si>
  <si>
    <t>6小时离线加速</t>
    <phoneticPr fontId="1" type="noConversion"/>
  </si>
  <si>
    <t>3小时离线加速</t>
    <phoneticPr fontId="1" type="noConversion"/>
  </si>
  <si>
    <t>coinsDouble</t>
    <phoneticPr fontId="1" type="noConversion"/>
  </si>
  <si>
    <t>cardBones</t>
    <phoneticPr fontId="1" type="noConversion"/>
  </si>
  <si>
    <t>streaksPoints</t>
    <phoneticPr fontId="1" type="noConversion"/>
  </si>
  <si>
    <t>startRemoveCard</t>
    <phoneticPr fontId="1" type="noConversion"/>
  </si>
  <si>
    <t>startClearCard</t>
    <phoneticPr fontId="1" type="noConversion"/>
  </si>
  <si>
    <t>cardDropWild</t>
    <phoneticPr fontId="1" type="noConversion"/>
  </si>
  <si>
    <t>转盘进度点数</t>
    <phoneticPr fontId="1" type="noConversion"/>
  </si>
  <si>
    <t>货币</t>
    <phoneticPr fontId="1" type="noConversion"/>
  </si>
  <si>
    <t>局内道具</t>
    <phoneticPr fontId="1" type="noConversion"/>
  </si>
  <si>
    <t>开局道具</t>
    <phoneticPr fontId="1" type="noConversion"/>
  </si>
  <si>
    <t>连击任务点数+1</t>
    <phoneticPr fontId="1" type="noConversion"/>
  </si>
  <si>
    <t>其他</t>
    <phoneticPr fontId="1" type="noConversion"/>
  </si>
  <si>
    <t>资源命名</t>
    <phoneticPr fontId="1" type="noConversion"/>
  </si>
  <si>
    <t>调整系数</t>
    <phoneticPr fontId="1" type="noConversion"/>
  </si>
  <si>
    <t>领取3次价值1$</t>
    <phoneticPr fontId="1" type="noConversion"/>
  </si>
  <si>
    <t>sub_i</t>
    <phoneticPr fontId="1" type="noConversion"/>
  </si>
  <si>
    <t>随关卡成长贬值</t>
    <phoneticPr fontId="1" type="noConversion"/>
  </si>
  <si>
    <t>同步当前关卡3次离线奖励价值</t>
    <phoneticPr fontId="1" type="noConversion"/>
  </si>
  <si>
    <t>同步当前关卡离线奖励</t>
    <phoneticPr fontId="1" type="noConversion"/>
  </si>
  <si>
    <t>同步当前关卡挑战消耗</t>
    <phoneticPr fontId="1" type="noConversion"/>
  </si>
  <si>
    <t>同步当前关卡通关奖励</t>
    <phoneticPr fontId="1" type="noConversion"/>
  </si>
  <si>
    <t>特殊处理</t>
    <phoneticPr fontId="1" type="noConversion"/>
  </si>
  <si>
    <t>金币定价方式</t>
    <phoneticPr fontId="1" type="noConversion"/>
  </si>
  <si>
    <t>成长贬值</t>
    <phoneticPr fontId="1" type="noConversion"/>
  </si>
  <si>
    <t>关卡奖励</t>
  </si>
  <si>
    <t>天</t>
    <phoneticPr fontId="1" type="noConversion"/>
  </si>
  <si>
    <t>关卡道具消耗</t>
    <phoneticPr fontId="1" type="noConversion"/>
  </si>
  <si>
    <t>签到</t>
    <phoneticPr fontId="1" type="noConversion"/>
  </si>
  <si>
    <t>道具ID</t>
    <phoneticPr fontId="1" type="noConversion"/>
  </si>
  <si>
    <t>双倍结算</t>
    <phoneticPr fontId="1" type="noConversion"/>
  </si>
  <si>
    <t>3次离线标准价值，随时长贬值</t>
    <phoneticPr fontId="1" type="noConversion"/>
  </si>
  <si>
    <t>类型数量</t>
    <phoneticPr fontId="1" type="noConversion"/>
  </si>
  <si>
    <t>开局-万能牌</t>
    <phoneticPr fontId="1" type="noConversion"/>
  </si>
  <si>
    <t>消耗×1</t>
    <phoneticPr fontId="1" type="noConversion"/>
  </si>
  <si>
    <t>关卡消耗系数</t>
    <phoneticPr fontId="1" type="noConversion"/>
  </si>
  <si>
    <t>连击任务2奖励系数</t>
    <phoneticPr fontId="1" type="noConversion"/>
  </si>
  <si>
    <t>连击任务3奖励系数</t>
    <phoneticPr fontId="1" type="noConversion"/>
  </si>
  <si>
    <t>模式</t>
    <phoneticPr fontId="1" type="noConversion"/>
  </si>
  <si>
    <t>标准消耗</t>
    <phoneticPr fontId="1" type="noConversion"/>
  </si>
  <si>
    <t>模式数量</t>
    <phoneticPr fontId="1" type="noConversion"/>
  </si>
  <si>
    <t>N</t>
    <phoneticPr fontId="1" type="noConversion"/>
  </si>
  <si>
    <t>模式索引</t>
    <phoneticPr fontId="1" type="noConversion"/>
  </si>
  <si>
    <t>配置参数</t>
    <phoneticPr fontId="1" type="noConversion"/>
  </si>
  <si>
    <t>消耗系数</t>
    <phoneticPr fontId="1" type="noConversion"/>
  </si>
  <si>
    <t>标准消耗*模式折扣/调整关卡折扣</t>
    <phoneticPr fontId="1" type="noConversion"/>
  </si>
  <si>
    <t>免费挑战(1倍)</t>
    <phoneticPr fontId="1" type="noConversion"/>
  </si>
  <si>
    <t>使用3次平均系数</t>
    <phoneticPr fontId="1" type="noConversion"/>
  </si>
  <si>
    <t>max</t>
    <phoneticPr fontId="1" type="noConversion"/>
  </si>
  <si>
    <t>min</t>
    <phoneticPr fontId="1" type="noConversion"/>
  </si>
  <si>
    <t>base</t>
    <phoneticPr fontId="1" type="noConversion"/>
  </si>
  <si>
    <t>总价值</t>
    <phoneticPr fontId="1" type="noConversion"/>
  </si>
  <si>
    <t>计算模式</t>
    <phoneticPr fontId="1" type="noConversion"/>
  </si>
  <si>
    <t>离线奖励</t>
    <phoneticPr fontId="1" type="noConversion"/>
  </si>
  <si>
    <t>关卡消耗×1</t>
    <phoneticPr fontId="1" type="noConversion"/>
  </si>
  <si>
    <t>关卡上限</t>
    <phoneticPr fontId="1" type="noConversion"/>
  </si>
  <si>
    <t>进度上限</t>
    <phoneticPr fontId="1" type="noConversion"/>
  </si>
  <si>
    <t>标准</t>
    <phoneticPr fontId="1" type="noConversion"/>
  </si>
  <si>
    <t>调整</t>
    <phoneticPr fontId="1" type="noConversion"/>
  </si>
  <si>
    <t>折扣</t>
    <phoneticPr fontId="1" type="noConversion"/>
  </si>
  <si>
    <t>累计进度</t>
    <phoneticPr fontId="1" type="noConversion"/>
  </si>
  <si>
    <t>模式关卡消耗</t>
    <phoneticPr fontId="1" type="noConversion"/>
  </si>
  <si>
    <t>检查</t>
    <phoneticPr fontId="1" type="noConversion"/>
  </si>
  <si>
    <t>数量</t>
    <phoneticPr fontId="1" type="noConversion"/>
  </si>
  <si>
    <t>权重</t>
    <phoneticPr fontId="1" type="noConversion"/>
  </si>
  <si>
    <t>道具ID</t>
    <phoneticPr fontId="1" type="noConversion"/>
  </si>
  <si>
    <t xml:space="preserve">道具名称 </t>
    <phoneticPr fontId="1" type="noConversion"/>
  </si>
  <si>
    <t>转盘索引</t>
    <phoneticPr fontId="1" type="noConversion"/>
  </si>
  <si>
    <t>索引</t>
    <phoneticPr fontId="1" type="noConversion"/>
  </si>
  <si>
    <t>实际检查</t>
    <phoneticPr fontId="1" type="noConversion"/>
  </si>
  <si>
    <t>Free</t>
    <phoneticPr fontId="1" type="noConversion"/>
  </si>
  <si>
    <t>适用关卡</t>
    <phoneticPr fontId="1" type="noConversion"/>
  </si>
  <si>
    <t>价值辅助计算</t>
    <phoneticPr fontId="1" type="noConversion"/>
  </si>
  <si>
    <t>定价$</t>
    <phoneticPr fontId="1" type="noConversion"/>
  </si>
  <si>
    <t>Pay</t>
    <phoneticPr fontId="1" type="noConversion"/>
  </si>
  <si>
    <t>礼包关卡</t>
    <phoneticPr fontId="1" type="noConversion"/>
  </si>
  <si>
    <t>折扣→商城</t>
    <phoneticPr fontId="1" type="noConversion"/>
  </si>
  <si>
    <t>价值参照模式</t>
    <phoneticPr fontId="1" type="noConversion"/>
  </si>
  <si>
    <t>价值</t>
    <phoneticPr fontId="1" type="noConversion"/>
  </si>
  <si>
    <t>循环索引</t>
    <phoneticPr fontId="1" type="noConversion"/>
  </si>
  <si>
    <t>循环总价值</t>
    <phoneticPr fontId="1" type="noConversion"/>
  </si>
  <si>
    <t>实际总价值</t>
    <phoneticPr fontId="1" type="noConversion"/>
  </si>
  <si>
    <t>限时礼包</t>
  </si>
  <si>
    <t>商城</t>
  </si>
  <si>
    <t>商品索引</t>
    <phoneticPr fontId="1" type="noConversion"/>
  </si>
  <si>
    <t>商品类型</t>
    <phoneticPr fontId="1" type="noConversion"/>
  </si>
  <si>
    <t>礼包</t>
    <phoneticPr fontId="1" type="noConversion"/>
  </si>
  <si>
    <t>金币</t>
    <phoneticPr fontId="1" type="noConversion"/>
  </si>
  <si>
    <t>定价</t>
    <phoneticPr fontId="1" type="noConversion"/>
  </si>
  <si>
    <t>金币同步离线奖励系数</t>
    <phoneticPr fontId="1" type="noConversion"/>
  </si>
  <si>
    <t>金币计算基础价值</t>
    <phoneticPr fontId="1" type="noConversion"/>
  </si>
  <si>
    <t>离线奖励系数</t>
    <phoneticPr fontId="1" type="noConversion"/>
  </si>
  <si>
    <t>离线奖励关卡</t>
    <phoneticPr fontId="1" type="noConversion"/>
  </si>
  <si>
    <t>去重系数</t>
    <phoneticPr fontId="1" type="noConversion"/>
  </si>
  <si>
    <t>去重关卡</t>
    <phoneticPr fontId="1" type="noConversion"/>
  </si>
  <si>
    <t>内购</t>
    <phoneticPr fontId="1" type="noConversion"/>
  </si>
  <si>
    <t>付费转盘</t>
    <phoneticPr fontId="1" type="noConversion"/>
  </si>
  <si>
    <t>免费转盘</t>
    <phoneticPr fontId="1" type="noConversion"/>
  </si>
  <si>
    <t>付费进度礼包</t>
    <phoneticPr fontId="1" type="noConversion"/>
  </si>
  <si>
    <t>付费限时礼包</t>
    <phoneticPr fontId="1" type="noConversion"/>
  </si>
  <si>
    <t>商城</t>
    <phoneticPr fontId="1" type="noConversion"/>
  </si>
  <si>
    <t>转盘</t>
    <phoneticPr fontId="1" type="noConversion"/>
  </si>
  <si>
    <t>进度礼包</t>
    <phoneticPr fontId="1" type="noConversion"/>
  </si>
  <si>
    <t>1级分类</t>
    <phoneticPr fontId="1" type="noConversion"/>
  </si>
  <si>
    <t>2级分类</t>
    <phoneticPr fontId="1" type="noConversion"/>
  </si>
  <si>
    <t>常驻</t>
    <phoneticPr fontId="1" type="noConversion"/>
  </si>
  <si>
    <t>开启方法</t>
    <phoneticPr fontId="1" type="noConversion"/>
  </si>
  <si>
    <t>产销</t>
  </si>
  <si>
    <t>进度礼包</t>
    <phoneticPr fontId="1" type="noConversion"/>
  </si>
  <si>
    <t>初始金币</t>
    <phoneticPr fontId="1" type="noConversion"/>
  </si>
  <si>
    <t>每日在线时长</t>
    <phoneticPr fontId="1" type="noConversion"/>
  </si>
  <si>
    <t>每日挑战次数</t>
    <phoneticPr fontId="1" type="noConversion"/>
  </si>
  <si>
    <t>每日离线奖励</t>
    <phoneticPr fontId="1" type="noConversion"/>
  </si>
  <si>
    <t>计算模式倍率</t>
    <phoneticPr fontId="1" type="noConversion"/>
  </si>
  <si>
    <t>付费转盘</t>
    <phoneticPr fontId="1" type="noConversion"/>
  </si>
  <si>
    <t>期望价值系数</t>
    <phoneticPr fontId="1" type="noConversion"/>
  </si>
  <si>
    <t>设定价值系数</t>
    <phoneticPr fontId="1" type="noConversion"/>
  </si>
  <si>
    <t>实际价值系数</t>
    <phoneticPr fontId="1" type="noConversion"/>
  </si>
  <si>
    <t>设定总价值系数</t>
    <phoneticPr fontId="1" type="noConversion"/>
  </si>
  <si>
    <t>实际总价值系数</t>
    <phoneticPr fontId="1" type="noConversion"/>
  </si>
  <si>
    <t>价值→×1挑战次数</t>
    <phoneticPr fontId="1" type="noConversion"/>
  </si>
  <si>
    <t>Day</t>
    <phoneticPr fontId="1" type="noConversion"/>
  </si>
  <si>
    <t>通关奖励系数</t>
    <phoneticPr fontId="1" type="noConversion"/>
  </si>
  <si>
    <t>base</t>
  </si>
  <si>
    <t>max</t>
  </si>
  <si>
    <t>通关奖励/消耗</t>
    <phoneticPr fontId="1" type="noConversion"/>
  </si>
  <si>
    <t>失败奖励</t>
    <phoneticPr fontId="1" type="noConversion"/>
  </si>
  <si>
    <t>场牌剩余</t>
    <phoneticPr fontId="1" type="noConversion"/>
  </si>
  <si>
    <t>min</t>
  </si>
  <si>
    <t>新手额外补偿</t>
    <phoneticPr fontId="1" type="noConversion"/>
  </si>
  <si>
    <t>累计免费奖励</t>
    <phoneticPr fontId="1" type="noConversion"/>
  </si>
  <si>
    <t>今日离线奖励</t>
    <phoneticPr fontId="1" type="noConversion"/>
  </si>
  <si>
    <t>今日签到奖励</t>
    <phoneticPr fontId="1" type="noConversion"/>
  </si>
  <si>
    <t>达到关卡</t>
    <phoneticPr fontId="1" type="noConversion"/>
  </si>
  <si>
    <t>通关关卡</t>
    <phoneticPr fontId="1" type="noConversion"/>
  </si>
  <si>
    <t>免费_产出-消耗</t>
    <phoneticPr fontId="1" type="noConversion"/>
  </si>
  <si>
    <t>广告奖励分段</t>
    <phoneticPr fontId="1" type="noConversion"/>
  </si>
  <si>
    <t>奖励倍率</t>
    <phoneticPr fontId="1" type="noConversion"/>
  </si>
  <si>
    <t>免费奖励</t>
    <phoneticPr fontId="1" type="noConversion"/>
  </si>
  <si>
    <t>广告奖励</t>
    <phoneticPr fontId="1" type="noConversion"/>
  </si>
  <si>
    <t>配置关卡</t>
    <phoneticPr fontId="1" type="noConversion"/>
  </si>
  <si>
    <t>关卡索引</t>
    <phoneticPr fontId="1" type="noConversion"/>
  </si>
  <si>
    <t>模式索引</t>
    <phoneticPr fontId="1" type="noConversion"/>
  </si>
  <si>
    <t>通关基础奖励</t>
    <phoneticPr fontId="1" type="noConversion"/>
  </si>
  <si>
    <t>配置关卡</t>
    <phoneticPr fontId="1" type="noConversion"/>
  </si>
  <si>
    <t>配置进度</t>
    <phoneticPr fontId="1" type="noConversion"/>
  </si>
  <si>
    <t>当前进度</t>
    <phoneticPr fontId="1" type="noConversion"/>
  </si>
  <si>
    <t>索引位置</t>
    <phoneticPr fontId="1" type="noConversion"/>
  </si>
  <si>
    <t>ID</t>
    <phoneticPr fontId="1" type="noConversion"/>
  </si>
  <si>
    <t>权重</t>
    <phoneticPr fontId="1" type="noConversion"/>
  </si>
  <si>
    <t>礼包类型</t>
    <phoneticPr fontId="1" type="noConversion"/>
  </si>
  <si>
    <t>道具价值</t>
    <phoneticPr fontId="1" type="noConversion"/>
  </si>
  <si>
    <t>道具ID</t>
    <phoneticPr fontId="1" type="noConversion"/>
  </si>
  <si>
    <t>配置天数</t>
    <phoneticPr fontId="1" type="noConversion"/>
  </si>
  <si>
    <t>配置类型</t>
    <phoneticPr fontId="1" type="noConversion"/>
  </si>
  <si>
    <t>配置关卡</t>
    <phoneticPr fontId="1" type="noConversion"/>
  </si>
  <si>
    <t>i</t>
    <phoneticPr fontId="1" type="noConversion"/>
  </si>
  <si>
    <t>关卡消耗</t>
    <phoneticPr fontId="1" type="noConversion"/>
  </si>
  <si>
    <t>消耗成长系数</t>
    <phoneticPr fontId="1" type="noConversion"/>
  </si>
  <si>
    <t>商品类型</t>
  </si>
  <si>
    <t>商品类型</t>
    <phoneticPr fontId="1" type="noConversion"/>
  </si>
  <si>
    <t>7|8</t>
    <phoneticPr fontId="1" type="noConversion"/>
  </si>
  <si>
    <t>礼包标签</t>
    <phoneticPr fontId="1" type="noConversion"/>
  </si>
  <si>
    <t>商品索引</t>
    <phoneticPr fontId="1" type="noConversion"/>
  </si>
  <si>
    <t>类型索引</t>
    <phoneticPr fontId="1" type="noConversion"/>
  </si>
  <si>
    <t>标签索引</t>
    <phoneticPr fontId="1" type="noConversion"/>
  </si>
  <si>
    <t>前置商品索引</t>
    <phoneticPr fontId="1" type="noConversion"/>
  </si>
  <si>
    <t>前置商品</t>
    <phoneticPr fontId="1" type="noConversion"/>
  </si>
  <si>
    <t>商品分组</t>
    <phoneticPr fontId="1" type="noConversion"/>
  </si>
  <si>
    <t>分组排序</t>
    <phoneticPr fontId="1" type="noConversion"/>
  </si>
  <si>
    <t>icon索引</t>
    <phoneticPr fontId="1" type="noConversion"/>
  </si>
  <si>
    <t>内购</t>
    <phoneticPr fontId="1" type="noConversion"/>
  </si>
  <si>
    <t>道具资源</t>
    <phoneticPr fontId="1" type="noConversion"/>
  </si>
  <si>
    <t>Turntable</t>
  </si>
  <si>
    <t>DailyGift</t>
    <phoneticPr fontId="1" type="noConversion"/>
  </si>
  <si>
    <t>Shop</t>
    <phoneticPr fontId="1" type="noConversion"/>
  </si>
  <si>
    <t>GiftBag2</t>
    <phoneticPr fontId="1" type="noConversion"/>
  </si>
  <si>
    <t>GiftBag3</t>
    <phoneticPr fontId="1" type="noConversion"/>
  </si>
  <si>
    <t>配置名称</t>
    <phoneticPr fontId="1" type="noConversion"/>
  </si>
  <si>
    <t>配置索引</t>
    <phoneticPr fontId="1" type="noConversion"/>
  </si>
  <si>
    <t>道具id</t>
    <phoneticPr fontId="1" type="noConversion"/>
  </si>
  <si>
    <t>道具名称</t>
    <phoneticPr fontId="1" type="noConversion"/>
  </si>
  <si>
    <t>turntablePoints</t>
    <phoneticPr fontId="1" type="noConversion"/>
  </si>
  <si>
    <t>coin</t>
    <phoneticPr fontId="1" type="noConversion"/>
  </si>
  <si>
    <t>内购id</t>
    <phoneticPr fontId="1" type="noConversion"/>
  </si>
  <si>
    <t>内购价格</t>
    <phoneticPr fontId="1" type="noConversion"/>
  </si>
  <si>
    <t>Turntable</t>
    <phoneticPr fontId="1" type="noConversion"/>
  </si>
  <si>
    <t>配置关卡</t>
    <phoneticPr fontId="1" type="noConversion"/>
  </si>
  <si>
    <t>配置循环</t>
    <phoneticPr fontId="1" type="noConversion"/>
  </si>
  <si>
    <t>×8模式</t>
    <phoneticPr fontId="1" type="noConversion"/>
  </si>
  <si>
    <t>LevelStreak</t>
    <phoneticPr fontId="1" type="noConversion"/>
  </si>
  <si>
    <t>特殊</t>
    <phoneticPr fontId="1" type="noConversion"/>
  </si>
  <si>
    <t>新手奖励</t>
    <phoneticPr fontId="1" type="noConversion"/>
  </si>
  <si>
    <t>NewPlayerReward</t>
    <phoneticPr fontId="1" type="noConversion"/>
  </si>
  <si>
    <t>VictoryGift</t>
    <phoneticPr fontId="1" type="noConversion"/>
  </si>
  <si>
    <t>Offline</t>
    <phoneticPr fontId="1" type="noConversion"/>
  </si>
  <si>
    <t>LevelStartDropWild</t>
  </si>
  <si>
    <t>LevelStartRemoveCard</t>
  </si>
  <si>
    <t>LevelStartMode2</t>
  </si>
  <si>
    <t>LevelStartMode3</t>
  </si>
  <si>
    <t>LevelStartMode4</t>
  </si>
  <si>
    <t>LevelWild</t>
    <phoneticPr fontId="1" type="noConversion"/>
  </si>
  <si>
    <t>GiftBagTime</t>
    <phoneticPr fontId="1" type="noConversion"/>
  </si>
  <si>
    <t>GiftBagLevel</t>
    <phoneticPr fontId="1" type="noConversion"/>
  </si>
  <si>
    <t>功能名称</t>
    <phoneticPr fontId="1" type="noConversion"/>
  </si>
  <si>
    <t>开启限制天数</t>
    <phoneticPr fontId="1" type="noConversion"/>
  </si>
  <si>
    <t>签到</t>
    <phoneticPr fontId="1" type="noConversion"/>
  </si>
  <si>
    <t>废弃配置</t>
    <phoneticPr fontId="1" type="noConversion"/>
  </si>
  <si>
    <t>关卡进度奖励</t>
    <phoneticPr fontId="1" type="noConversion"/>
  </si>
  <si>
    <t>开启ID</t>
    <phoneticPr fontId="1" type="noConversion"/>
  </si>
  <si>
    <t>奖励类型数量</t>
    <phoneticPr fontId="1" type="noConversion"/>
  </si>
  <si>
    <t>初始资源</t>
    <phoneticPr fontId="1" type="noConversion"/>
  </si>
  <si>
    <t>关卡进度</t>
    <phoneticPr fontId="1" type="noConversion"/>
  </si>
  <si>
    <t>奖励金币系数</t>
    <phoneticPr fontId="1" type="noConversion"/>
  </si>
  <si>
    <t>总价值</t>
    <phoneticPr fontId="1" type="noConversion"/>
  </si>
  <si>
    <t>关卡消耗×1</t>
    <phoneticPr fontId="1" type="noConversion"/>
  </si>
  <si>
    <t>道具价值</t>
    <phoneticPr fontId="1" type="noConversion"/>
  </si>
  <si>
    <t xml:space="preserve"> </t>
    <phoneticPr fontId="1" type="noConversion"/>
  </si>
  <si>
    <t>验算胜率</t>
  </si>
  <si>
    <t>道具使用2</t>
  </si>
  <si>
    <t>道具使用3</t>
  </si>
  <si>
    <t>道具使用4</t>
  </si>
  <si>
    <t>消耗_通关</t>
    <phoneticPr fontId="1" type="noConversion"/>
  </si>
  <si>
    <t>奖励_通关</t>
    <phoneticPr fontId="1" type="noConversion"/>
  </si>
  <si>
    <t>奖励_失败</t>
    <phoneticPr fontId="1" type="noConversion"/>
  </si>
  <si>
    <t>损耗_通关</t>
    <phoneticPr fontId="1" type="noConversion"/>
  </si>
  <si>
    <t>奖励_离线</t>
    <phoneticPr fontId="1" type="noConversion"/>
  </si>
  <si>
    <t>奖励_免费转盘</t>
    <phoneticPr fontId="1" type="noConversion"/>
  </si>
  <si>
    <t>通关率</t>
    <phoneticPr fontId="1" type="noConversion"/>
  </si>
  <si>
    <t>通关率类型</t>
    <phoneticPr fontId="1" type="noConversion"/>
  </si>
  <si>
    <t>消耗_挑战</t>
    <phoneticPr fontId="1" type="noConversion"/>
  </si>
  <si>
    <t>奖励_签到</t>
    <phoneticPr fontId="1" type="noConversion"/>
  </si>
  <si>
    <t>奖励_免费进度礼包</t>
    <phoneticPr fontId="1" type="noConversion"/>
  </si>
  <si>
    <t>奖励_付费进度礼包</t>
    <phoneticPr fontId="1" type="noConversion"/>
  </si>
  <si>
    <t>损耗_通关_累计</t>
    <phoneticPr fontId="1" type="noConversion"/>
  </si>
  <si>
    <t>奖励_付费限时礼包</t>
    <phoneticPr fontId="1" type="noConversion"/>
  </si>
  <si>
    <t>奖励_首次通关</t>
    <phoneticPr fontId="1" type="noConversion"/>
  </si>
  <si>
    <t>挑战次数</t>
    <phoneticPr fontId="1" type="noConversion"/>
  </si>
  <si>
    <t>累计挑战次数</t>
    <phoneticPr fontId="1" type="noConversion"/>
  </si>
  <si>
    <t>期望挑战次数</t>
    <phoneticPr fontId="1" type="noConversion"/>
  </si>
  <si>
    <t>实际挑战次数</t>
    <phoneticPr fontId="1" type="noConversion"/>
  </si>
  <si>
    <t>累计总奖励</t>
    <phoneticPr fontId="1" type="noConversion"/>
  </si>
  <si>
    <t>实际累计挑战次数</t>
    <phoneticPr fontId="1" type="noConversion"/>
  </si>
  <si>
    <t>通关累计消耗</t>
    <phoneticPr fontId="1" type="noConversion"/>
  </si>
  <si>
    <t>期望累计挑战次数</t>
    <phoneticPr fontId="1" type="noConversion"/>
  </si>
  <si>
    <t>开始关卡</t>
    <phoneticPr fontId="1" type="noConversion"/>
  </si>
  <si>
    <t>累计_循环奖励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</si>
  <si>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</si>
  <si>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</si>
  <si>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</si>
  <si>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加5</t>
    <phoneticPr fontId="1" type="noConversion"/>
  </si>
  <si>
    <t>plus5</t>
  </si>
  <si>
    <t>消耗_加5</t>
    <phoneticPr fontId="1" type="noConversion"/>
  </si>
  <si>
    <t>Free</t>
    <phoneticPr fontId="1" type="noConversion"/>
  </si>
  <si>
    <t>AD</t>
    <phoneticPr fontId="1" type="noConversion"/>
  </si>
  <si>
    <t>离线关卡</t>
    <phoneticPr fontId="1" type="noConversion"/>
  </si>
  <si>
    <t>成长间隔(离线关卡)</t>
    <phoneticPr fontId="1" type="noConversion"/>
  </si>
  <si>
    <t>开启离线索引</t>
    <phoneticPr fontId="1" type="noConversion"/>
  </si>
  <si>
    <t>领取关卡×1</t>
    <phoneticPr fontId="1" type="noConversion"/>
  </si>
  <si>
    <t>领取关卡×2</t>
    <phoneticPr fontId="1" type="noConversion"/>
  </si>
  <si>
    <t>领取关卡×4</t>
    <phoneticPr fontId="1" type="noConversion"/>
  </si>
  <si>
    <t>领取间隔×1</t>
    <phoneticPr fontId="1" type="noConversion"/>
  </si>
  <si>
    <t>领取间隔×2</t>
    <phoneticPr fontId="1" type="noConversion"/>
  </si>
  <si>
    <t>领取间隔×4</t>
    <phoneticPr fontId="1" type="noConversion"/>
  </si>
  <si>
    <t>免费进度礼包</t>
    <phoneticPr fontId="1" type="noConversion"/>
  </si>
  <si>
    <t>转盘关卡×1</t>
    <phoneticPr fontId="1" type="noConversion"/>
  </si>
  <si>
    <t>POWER(局内奖励/(消耗/P3),P1) * P26 * (关卡消耗/P3)-局内奖励)</t>
    <phoneticPr fontId="1" type="noConversion"/>
  </si>
  <si>
    <t>成长间隔调整(离线关卡)</t>
    <phoneticPr fontId="1" type="noConversion"/>
  </si>
  <si>
    <t>DailyGift</t>
    <phoneticPr fontId="1" type="noConversion"/>
  </si>
  <si>
    <t>LevelStartClearCard</t>
    <phoneticPr fontId="1" type="noConversion"/>
  </si>
  <si>
    <t>实际价值</t>
    <phoneticPr fontId="1" type="noConversion"/>
  </si>
  <si>
    <t>道具折扣</t>
    <phoneticPr fontId="1" type="noConversion"/>
  </si>
  <si>
    <t>道具定价</t>
    <phoneticPr fontId="1" type="noConversion"/>
  </si>
  <si>
    <t>export</t>
    <phoneticPr fontId="1" type="noConversion"/>
  </si>
  <si>
    <t>模式×1</t>
    <phoneticPr fontId="1" type="noConversion"/>
  </si>
  <si>
    <t>模式×2</t>
    <phoneticPr fontId="1" type="noConversion"/>
  </si>
  <si>
    <t>模式×4</t>
    <phoneticPr fontId="1" type="noConversion"/>
  </si>
  <si>
    <t>产出基础系统</t>
    <phoneticPr fontId="1" type="noConversion"/>
  </si>
  <si>
    <t>以离线奖励为基础</t>
    <phoneticPr fontId="1" type="noConversion"/>
  </si>
  <si>
    <t>以关卡消耗为基础</t>
    <phoneticPr fontId="1" type="noConversion"/>
  </si>
  <si>
    <t>关卡奖励=消除奖励+余牌奖励+连击任务奖励+通关奖励</t>
    <phoneticPr fontId="1" type="noConversion"/>
  </si>
  <si>
    <t>高倍模式折扣</t>
    <phoneticPr fontId="1" type="noConversion"/>
  </si>
  <si>
    <t>以万能牌为基础</t>
    <phoneticPr fontId="1" type="noConversion"/>
  </si>
  <si>
    <t>标准系数</t>
    <phoneticPr fontId="1" type="noConversion"/>
  </si>
  <si>
    <t>新手关卡折扣</t>
    <phoneticPr fontId="1" type="noConversion"/>
  </si>
  <si>
    <t>以道具基础消耗系数为基础</t>
    <phoneticPr fontId="1" type="noConversion"/>
  </si>
  <si>
    <t>实际道具消耗</t>
    <phoneticPr fontId="1" type="noConversion"/>
  </si>
  <si>
    <t>开启关卡以离线奖励为基础</t>
    <phoneticPr fontId="1" type="noConversion"/>
  </si>
  <si>
    <t>×1模式基础进度</t>
    <phoneticPr fontId="1" type="noConversion"/>
  </si>
  <si>
    <t>商品价格</t>
    <phoneticPr fontId="1" type="noConversion"/>
  </si>
  <si>
    <t>金币成长值</t>
    <phoneticPr fontId="1" type="noConversion"/>
  </si>
  <si>
    <t>按关卡开启</t>
    <phoneticPr fontId="1" type="noConversion"/>
  </si>
  <si>
    <t>临时方案</t>
    <phoneticPr fontId="1" type="noConversion"/>
  </si>
  <si>
    <t>折扣预留</t>
  </si>
  <si>
    <t>配置关卡</t>
  </si>
  <si>
    <t>免费转盘_奖励标记</t>
    <phoneticPr fontId="1" type="noConversion"/>
  </si>
  <si>
    <t>免费转盘_奖励进度</t>
    <phoneticPr fontId="1" type="noConversion"/>
  </si>
  <si>
    <t>失败奖励系数</t>
    <phoneticPr fontId="1" type="noConversion"/>
  </si>
  <si>
    <t>LevelUndo</t>
  </si>
  <si>
    <t>LevelPlus5</t>
  </si>
  <si>
    <t>LevelSetting</t>
  </si>
  <si>
    <t>设置</t>
    <phoneticPr fontId="1" type="noConversion"/>
  </si>
  <si>
    <t>通关奖励MF</t>
    <phoneticPr fontId="1" type="noConversion"/>
  </si>
  <si>
    <t>结算倍率</t>
    <phoneticPr fontId="1" type="noConversion"/>
  </si>
  <si>
    <t>Robot_加5</t>
    <phoneticPr fontId="1" type="noConversion"/>
  </si>
  <si>
    <t>Robot_模式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</si>
</sst>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_ "/>
    <numFmt numFmtId="178" formatCode="0.00_);[Red]\(0.00\)"/>
    <numFmt numFmtId="179" formatCode="0.00;[Red]0.00"/>
    <numFmt numFmtId="180" formatCode="0.00000000000000%"/>
  </numFmts>
  <fonts count="1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0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theme="4" tint="-0.499984740745262"/>
      <name val="微软雅黑"/>
      <family val="2"/>
      <charset val="134"/>
    </font>
    <font>
      <b/>
      <sz val="10"/>
      <color theme="4" tint="-0.49998474074526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 tint="0.1499679555650502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22262E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horizontal="left" vertical="center"/>
    </xf>
    <xf numFmtId="0" fontId="2" fillId="0" borderId="0" applyNumberFormat="0" applyProtection="0">
      <alignment horizontal="left" vertical="center"/>
    </xf>
    <xf numFmtId="0" fontId="3" fillId="0" borderId="0" applyNumberFormat="0" applyProtection="0">
      <alignment horizontal="left" vertical="center"/>
    </xf>
    <xf numFmtId="0" fontId="5" fillId="0" borderId="0" applyProtection="0">
      <alignment horizontal="left" vertical="center"/>
    </xf>
    <xf numFmtId="0" fontId="12" fillId="4" borderId="0" applyProtection="0">
      <alignment horizontal="left" vertical="center"/>
    </xf>
    <xf numFmtId="0" fontId="10" fillId="0" borderId="0" applyNumberFormat="0" applyProtection="0">
      <alignment horizontal="left" vertical="center"/>
    </xf>
    <xf numFmtId="0" fontId="9" fillId="3" borderId="0" applyProtection="0">
      <alignment vertical="center"/>
    </xf>
    <xf numFmtId="0" fontId="8" fillId="2" borderId="0" applyNumberFormat="0" applyProtection="0">
      <alignment vertical="center"/>
    </xf>
  </cellStyleXfs>
  <cellXfs count="27">
    <xf numFmtId="0" fontId="0" fillId="0" borderId="0" xfId="0">
      <alignment horizontal="left" vertical="center"/>
    </xf>
    <xf numFmtId="0" fontId="5" fillId="0" borderId="0" xfId="3">
      <alignment horizontal="left" vertical="center"/>
    </xf>
    <xf numFmtId="0" fontId="3" fillId="0" borderId="0" xfId="2">
      <alignment horizontal="left" vertical="center"/>
    </xf>
    <xf numFmtId="0" fontId="4" fillId="0" borderId="0" xfId="2" applyFont="1">
      <alignment horizontal="left" vertical="center"/>
    </xf>
    <xf numFmtId="0" fontId="12" fillId="4" borderId="0" xfId="4">
      <alignment horizontal="left" vertical="center"/>
    </xf>
    <xf numFmtId="0" fontId="3" fillId="0" borderId="0" xfId="2" applyNumberFormat="1">
      <alignment horizontal="left" vertical="center"/>
    </xf>
    <xf numFmtId="10" fontId="5" fillId="0" borderId="0" xfId="3" applyNumberFormat="1">
      <alignment horizontal="left" vertical="center"/>
    </xf>
    <xf numFmtId="0" fontId="10" fillId="0" borderId="0" xfId="5">
      <alignment horizontal="left" vertical="center"/>
    </xf>
    <xf numFmtId="176" fontId="5" fillId="0" borderId="0" xfId="3" applyNumberFormat="1">
      <alignment horizontal="left" vertical="center"/>
    </xf>
    <xf numFmtId="0" fontId="10" fillId="0" borderId="0" xfId="5" applyNumberFormat="1">
      <alignment horizontal="left" vertical="center"/>
    </xf>
    <xf numFmtId="176" fontId="3" fillId="0" borderId="0" xfId="2" applyNumberFormat="1">
      <alignment horizontal="left" vertical="center"/>
    </xf>
    <xf numFmtId="0" fontId="6" fillId="0" borderId="0" xfId="3" applyFont="1">
      <alignment horizontal="left" vertical="center"/>
    </xf>
    <xf numFmtId="177" fontId="5" fillId="0" borderId="0" xfId="3" applyNumberFormat="1">
      <alignment horizontal="left" vertical="center"/>
    </xf>
    <xf numFmtId="0" fontId="7" fillId="0" borderId="0" xfId="0" applyFont="1">
      <alignment horizontal="left" vertical="center"/>
    </xf>
    <xf numFmtId="176" fontId="10" fillId="0" borderId="0" xfId="5" applyNumberFormat="1">
      <alignment horizontal="left" vertical="center"/>
    </xf>
    <xf numFmtId="178" fontId="5" fillId="0" borderId="0" xfId="3" applyNumberFormat="1">
      <alignment horizontal="left" vertical="center"/>
    </xf>
    <xf numFmtId="178" fontId="10" fillId="0" borderId="0" xfId="5" applyNumberFormat="1">
      <alignment horizontal="left" vertical="center"/>
    </xf>
    <xf numFmtId="0" fontId="9" fillId="3" borderId="0" xfId="6">
      <alignment vertical="center"/>
    </xf>
    <xf numFmtId="177" fontId="3" fillId="0" borderId="0" xfId="2" applyNumberFormat="1">
      <alignment horizontal="left" vertical="center"/>
    </xf>
    <xf numFmtId="179" fontId="3" fillId="0" borderId="0" xfId="2" applyNumberFormat="1">
      <alignment horizontal="left" vertical="center"/>
    </xf>
    <xf numFmtId="180" fontId="0" fillId="0" borderId="0" xfId="0" applyNumberFormat="1">
      <alignment horizontal="left" vertical="center"/>
    </xf>
    <xf numFmtId="0" fontId="11" fillId="0" borderId="0" xfId="5" applyFont="1">
      <alignment horizontal="left" vertical="center"/>
    </xf>
    <xf numFmtId="0" fontId="11" fillId="0" borderId="0" xfId="5" applyNumberFormat="1" applyFont="1">
      <alignment horizontal="left" vertical="center"/>
    </xf>
    <xf numFmtId="0" fontId="4" fillId="0" borderId="0" xfId="2" applyNumberFormat="1" applyFont="1">
      <alignment horizontal="left" vertical="center"/>
    </xf>
    <xf numFmtId="49" fontId="0" fillId="0" borderId="0" xfId="0" applyNumberFormat="1">
      <alignment horizontal="left" vertical="center"/>
    </xf>
    <xf numFmtId="0" fontId="10" fillId="0" borderId="0" xfId="5">
      <alignment horizontal="left" vertical="center"/>
    </xf>
    <xf numFmtId="0" fontId="5" fillId="0" borderId="0" xfId="3" applyFill="1">
      <alignment horizontal="left" vertical="center"/>
    </xf>
  </cellXfs>
  <cellStyles count="8">
    <cellStyle name="标题" xfId="4" builtinId="15" customBuiltin="1"/>
    <cellStyle name="标题 1" xfId="6" builtinId="16" customBuiltin="1"/>
    <cellStyle name="标题 4" xfId="1" builtinId="19" customBuiltin="1"/>
    <cellStyle name="常规" xfId="0" builtinId="0" customBuiltin="1"/>
    <cellStyle name="计算" xfId="3" builtinId="22" customBuiltin="1"/>
    <cellStyle name="解释性文本" xfId="5" builtinId="53" customBuiltin="1"/>
    <cellStyle name="输入" xfId="2" builtinId="20" customBuiltin="1"/>
    <cellStyle name="着色 2" xfId="7" builtinId="33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2262E"/>
      <color rgb="FFF4F5F7"/>
      <color rgb="FF001529"/>
      <color rgb="FF002766"/>
      <color rgb="FF141414"/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E232-378A-4B3F-9B87-BD716653D351}">
  <dimension ref="B1:Y49"/>
  <sheetViews>
    <sheetView topLeftCell="A6" zoomScaleNormal="100" workbookViewId="0">
      <selection activeCell="L31" sqref="L31"/>
    </sheetView>
  </sheetViews>
  <sheetFormatPr defaultRowHeight="16.5" x14ac:dyDescent="0.35"/>
  <cols>
    <col min="2" max="2" width="15" bestFit="1" customWidth="1"/>
    <col min="3" max="3" width="12.875" style="2" bestFit="1" customWidth="1"/>
    <col min="14" max="14" width="9" style="7"/>
    <col min="15" max="15" width="9" style="1"/>
    <col min="16" max="17" width="11" style="1" customWidth="1"/>
    <col min="18" max="19" width="9" style="1"/>
    <col min="21" max="21" width="11.375" bestFit="1" customWidth="1"/>
    <col min="24" max="25" width="9" style="1"/>
  </cols>
  <sheetData>
    <row r="1" spans="2:25" s="4" customFormat="1" ht="32.1" customHeight="1" x14ac:dyDescent="0.35">
      <c r="B1" s="4" t="s">
        <v>148</v>
      </c>
    </row>
    <row r="2" spans="2:25" x14ac:dyDescent="0.35">
      <c r="C2"/>
    </row>
    <row r="3" spans="2:25" x14ac:dyDescent="0.35">
      <c r="C3"/>
      <c r="N3" s="17" t="s">
        <v>348</v>
      </c>
      <c r="O3" s="17"/>
      <c r="P3" s="17"/>
      <c r="Q3" s="17"/>
      <c r="R3" s="17"/>
      <c r="S3" s="17"/>
      <c r="U3" s="17" t="s">
        <v>349</v>
      </c>
      <c r="V3" s="17"/>
      <c r="W3" s="17"/>
      <c r="X3" s="17"/>
      <c r="Y3" s="17"/>
    </row>
    <row r="4" spans="2:25" x14ac:dyDescent="0.35">
      <c r="P4" s="7" t="s">
        <v>368</v>
      </c>
      <c r="Q4" s="7" t="s">
        <v>368</v>
      </c>
      <c r="R4" s="7" t="s">
        <v>368</v>
      </c>
      <c r="V4" s="7" t="s">
        <v>368</v>
      </c>
      <c r="W4" s="7" t="s">
        <v>368</v>
      </c>
    </row>
    <row r="5" spans="2:25" s="13" customFormat="1" x14ac:dyDescent="0.35">
      <c r="B5" s="13" t="s">
        <v>372</v>
      </c>
      <c r="E5" s="13" t="s">
        <v>24</v>
      </c>
      <c r="F5" s="13" t="s">
        <v>18</v>
      </c>
      <c r="G5" s="13" t="s">
        <v>1</v>
      </c>
      <c r="H5" s="13" t="s">
        <v>2</v>
      </c>
      <c r="I5" s="13" t="s">
        <v>80</v>
      </c>
      <c r="J5" s="13" t="s">
        <v>13</v>
      </c>
      <c r="N5" s="13" t="s">
        <v>17</v>
      </c>
      <c r="O5" s="13" t="s">
        <v>3</v>
      </c>
      <c r="P5" s="13" t="s">
        <v>235</v>
      </c>
      <c r="Q5" s="13" t="s">
        <v>1</v>
      </c>
      <c r="R5" s="13" t="s">
        <v>233</v>
      </c>
      <c r="S5" s="13" t="s">
        <v>8</v>
      </c>
      <c r="U5" s="13" t="s">
        <v>231</v>
      </c>
      <c r="V5" s="13" t="s">
        <v>235</v>
      </c>
      <c r="W5" s="13" t="s">
        <v>232</v>
      </c>
      <c r="X5" s="13" t="s">
        <v>233</v>
      </c>
      <c r="Y5" s="13" t="s">
        <v>234</v>
      </c>
    </row>
    <row r="6" spans="2:25" x14ac:dyDescent="0.35">
      <c r="B6" t="s">
        <v>4</v>
      </c>
      <c r="C6" s="2">
        <v>4</v>
      </c>
      <c r="E6" s="2">
        <v>1</v>
      </c>
      <c r="F6" s="2">
        <f>C6</f>
        <v>4</v>
      </c>
      <c r="G6" s="2">
        <v>8</v>
      </c>
      <c r="H6" s="2">
        <v>50</v>
      </c>
      <c r="I6" s="2" t="s">
        <v>9</v>
      </c>
      <c r="J6" s="1">
        <f>ROUNDUP((F7-F6)/G6,0)</f>
        <v>1</v>
      </c>
      <c r="N6" s="7">
        <v>1</v>
      </c>
      <c r="O6" s="1">
        <f>MATCH(P6,$F$6:$F$24,1)</f>
        <v>1</v>
      </c>
      <c r="P6" s="1">
        <f>F6</f>
        <v>4</v>
      </c>
      <c r="Q6" s="1">
        <f>G6</f>
        <v>8</v>
      </c>
      <c r="R6" s="1">
        <f t="shared" ref="R6:R48" si="0">ROUND($C$7+(N6-1)*INDEX($H$6:$H$24,O6),-1)</f>
        <v>2000</v>
      </c>
      <c r="S6" s="1">
        <f t="shared" ref="S6:S49" si="1">ROUND(R6*$C$12*$C$14,2)</f>
        <v>6</v>
      </c>
      <c r="U6" s="7">
        <v>1</v>
      </c>
      <c r="V6" s="2">
        <f>F6</f>
        <v>4</v>
      </c>
      <c r="W6" s="2">
        <v>2</v>
      </c>
      <c r="X6" s="1">
        <f t="shared" ref="X6:X11" si="2">INDEX(base_v,MATCH(V6,base_k,1))</f>
        <v>2000</v>
      </c>
      <c r="Y6" s="1">
        <f>X6*W6</f>
        <v>4000</v>
      </c>
    </row>
    <row r="7" spans="2:25" x14ac:dyDescent="0.35">
      <c r="B7" t="s">
        <v>0</v>
      </c>
      <c r="C7" s="2">
        <v>2000</v>
      </c>
      <c r="E7" s="2">
        <v>2</v>
      </c>
      <c r="F7" s="2">
        <v>12</v>
      </c>
      <c r="G7" s="2">
        <v>15</v>
      </c>
      <c r="H7" s="2">
        <v>50</v>
      </c>
      <c r="I7" s="2" t="s">
        <v>9</v>
      </c>
      <c r="J7" s="1">
        <f>ROUNDUP((F8-F7)/G7,0)</f>
        <v>1</v>
      </c>
      <c r="N7" s="7">
        <v>2</v>
      </c>
      <c r="O7" s="1">
        <f t="shared" ref="O7:O48" si="3">MATCH(P7,$F$6:$F$24,1)</f>
        <v>2</v>
      </c>
      <c r="P7" s="1">
        <f t="shared" ref="P7:P48" si="4">P6+Q6</f>
        <v>12</v>
      </c>
      <c r="Q7" s="1">
        <f>INDEX($G$6:$G$24,O7)</f>
        <v>15</v>
      </c>
      <c r="R7" s="1">
        <f t="shared" si="0"/>
        <v>2050</v>
      </c>
      <c r="S7" s="1">
        <f t="shared" si="1"/>
        <v>6.15</v>
      </c>
      <c r="U7" s="7">
        <v>2</v>
      </c>
      <c r="V7" s="2">
        <v>21</v>
      </c>
      <c r="W7" s="2">
        <v>1.6</v>
      </c>
      <c r="X7" s="1">
        <f t="shared" si="2"/>
        <v>2050</v>
      </c>
      <c r="Y7" s="1">
        <f t="shared" ref="Y7:Y11" si="5">X7*W7</f>
        <v>3280</v>
      </c>
    </row>
    <row r="8" spans="2:25" x14ac:dyDescent="0.35">
      <c r="E8" s="2">
        <v>3</v>
      </c>
      <c r="F8" s="2">
        <v>27</v>
      </c>
      <c r="G8" s="2">
        <v>20</v>
      </c>
      <c r="H8" s="2">
        <v>50</v>
      </c>
      <c r="I8" s="2" t="s">
        <v>10</v>
      </c>
      <c r="J8" s="1">
        <f>ROUNDUP((F9-F8)/G8,0)</f>
        <v>11</v>
      </c>
      <c r="N8" s="7">
        <v>3</v>
      </c>
      <c r="O8" s="1">
        <f t="shared" si="3"/>
        <v>3</v>
      </c>
      <c r="P8" s="1">
        <f t="shared" si="4"/>
        <v>27</v>
      </c>
      <c r="Q8" s="1">
        <f>INDEX($G$6:$G$24,O8)</f>
        <v>20</v>
      </c>
      <c r="R8" s="1">
        <f t="shared" si="0"/>
        <v>2100</v>
      </c>
      <c r="S8" s="1">
        <f t="shared" si="1"/>
        <v>6.3</v>
      </c>
      <c r="U8" s="7">
        <v>3</v>
      </c>
      <c r="V8" s="2">
        <v>30</v>
      </c>
      <c r="W8" s="2">
        <v>1.2</v>
      </c>
      <c r="X8" s="1">
        <f t="shared" si="2"/>
        <v>2100</v>
      </c>
      <c r="Y8" s="1">
        <f t="shared" si="5"/>
        <v>2520</v>
      </c>
    </row>
    <row r="9" spans="2:25" x14ac:dyDescent="0.35">
      <c r="E9" s="2">
        <v>4</v>
      </c>
      <c r="F9" s="2">
        <v>247</v>
      </c>
      <c r="G9" s="2">
        <v>25</v>
      </c>
      <c r="H9" s="2">
        <v>50</v>
      </c>
      <c r="I9" s="2" t="s">
        <v>10</v>
      </c>
      <c r="J9" s="1">
        <f>ROUNDUP((F10-F9)/G9,0)</f>
        <v>31</v>
      </c>
      <c r="N9" s="7">
        <v>4</v>
      </c>
      <c r="O9" s="1">
        <f t="shared" si="3"/>
        <v>3</v>
      </c>
      <c r="P9" s="1">
        <f t="shared" si="4"/>
        <v>47</v>
      </c>
      <c r="Q9" s="1">
        <f t="shared" ref="Q9:Q48" si="6">INDEX($G$6:$G$24,O9)</f>
        <v>20</v>
      </c>
      <c r="R9" s="1">
        <f t="shared" si="0"/>
        <v>2150</v>
      </c>
      <c r="S9" s="1">
        <f t="shared" si="1"/>
        <v>6.45</v>
      </c>
      <c r="U9" s="7">
        <v>4</v>
      </c>
      <c r="V9" s="2">
        <v>40</v>
      </c>
      <c r="W9" s="2">
        <v>1</v>
      </c>
      <c r="X9" s="1">
        <f t="shared" si="2"/>
        <v>2100</v>
      </c>
      <c r="Y9" s="1">
        <f t="shared" si="5"/>
        <v>2100</v>
      </c>
    </row>
    <row r="10" spans="2:25" x14ac:dyDescent="0.35">
      <c r="B10" s="13" t="s">
        <v>110</v>
      </c>
      <c r="E10" s="2"/>
      <c r="F10" s="2">
        <v>1000</v>
      </c>
      <c r="H10" s="2"/>
      <c r="I10" s="2"/>
      <c r="N10" s="7">
        <v>5</v>
      </c>
      <c r="O10" s="1">
        <f t="shared" si="3"/>
        <v>3</v>
      </c>
      <c r="P10" s="1">
        <f t="shared" si="4"/>
        <v>67</v>
      </c>
      <c r="Q10" s="1">
        <f t="shared" si="6"/>
        <v>20</v>
      </c>
      <c r="R10" s="1">
        <f t="shared" si="0"/>
        <v>2200</v>
      </c>
      <c r="S10" s="1">
        <f t="shared" si="1"/>
        <v>6.6</v>
      </c>
      <c r="U10" s="7">
        <v>5</v>
      </c>
      <c r="V10" s="2">
        <v>50</v>
      </c>
      <c r="W10" s="2">
        <v>0.8</v>
      </c>
      <c r="X10" s="1">
        <f t="shared" si="2"/>
        <v>2150</v>
      </c>
      <c r="Y10" s="1">
        <f t="shared" si="5"/>
        <v>1720</v>
      </c>
    </row>
    <row r="11" spans="2:25" x14ac:dyDescent="0.35">
      <c r="B11" t="s">
        <v>14</v>
      </c>
      <c r="C11" s="2">
        <v>60</v>
      </c>
      <c r="E11" s="2"/>
      <c r="F11" s="2"/>
      <c r="G11" s="2"/>
      <c r="H11" s="2"/>
      <c r="I11" s="2"/>
      <c r="N11" s="7">
        <v>6</v>
      </c>
      <c r="O11" s="1">
        <f t="shared" si="3"/>
        <v>3</v>
      </c>
      <c r="P11" s="1">
        <f t="shared" si="4"/>
        <v>87</v>
      </c>
      <c r="Q11" s="1">
        <f t="shared" si="6"/>
        <v>20</v>
      </c>
      <c r="R11" s="1">
        <f t="shared" si="0"/>
        <v>2250</v>
      </c>
      <c r="S11" s="1">
        <f t="shared" si="1"/>
        <v>6.75</v>
      </c>
      <c r="U11" s="7">
        <v>6</v>
      </c>
      <c r="V11" s="2">
        <v>60</v>
      </c>
      <c r="W11" s="2">
        <v>0.6</v>
      </c>
      <c r="X11" s="1">
        <f t="shared" si="2"/>
        <v>2150</v>
      </c>
      <c r="Y11" s="1">
        <f t="shared" si="5"/>
        <v>1290</v>
      </c>
    </row>
    <row r="12" spans="2:25" x14ac:dyDescent="0.35">
      <c r="B12" t="s">
        <v>15</v>
      </c>
      <c r="C12" s="2">
        <v>3</v>
      </c>
      <c r="E12" s="2"/>
      <c r="F12" s="2"/>
      <c r="G12" s="2"/>
      <c r="H12" s="2"/>
      <c r="I12" s="2"/>
      <c r="N12" s="7">
        <v>7</v>
      </c>
      <c r="O12" s="1">
        <f t="shared" si="3"/>
        <v>3</v>
      </c>
      <c r="P12" s="1">
        <f t="shared" si="4"/>
        <v>107</v>
      </c>
      <c r="Q12" s="1">
        <f t="shared" si="6"/>
        <v>20</v>
      </c>
      <c r="R12" s="1">
        <f t="shared" si="0"/>
        <v>2300</v>
      </c>
      <c r="S12" s="1">
        <f t="shared" si="1"/>
        <v>6.9</v>
      </c>
      <c r="U12" s="2"/>
      <c r="V12" s="2"/>
      <c r="W12" s="2"/>
    </row>
    <row r="13" spans="2:25" x14ac:dyDescent="0.35">
      <c r="B13" t="s">
        <v>6</v>
      </c>
      <c r="C13" s="1">
        <f>1/C12</f>
        <v>0.33333333333333331</v>
      </c>
      <c r="E13" s="2"/>
      <c r="F13" s="2"/>
      <c r="G13" s="2"/>
      <c r="H13" s="2"/>
      <c r="I13" s="2"/>
      <c r="N13" s="7">
        <v>8</v>
      </c>
      <c r="O13" s="1">
        <f t="shared" si="3"/>
        <v>3</v>
      </c>
      <c r="P13" s="1">
        <f t="shared" si="4"/>
        <v>127</v>
      </c>
      <c r="Q13" s="1">
        <f t="shared" si="6"/>
        <v>20</v>
      </c>
      <c r="R13" s="1">
        <f t="shared" si="0"/>
        <v>2350</v>
      </c>
      <c r="S13" s="1">
        <f t="shared" si="1"/>
        <v>7.05</v>
      </c>
      <c r="U13" s="2"/>
      <c r="V13" s="2"/>
      <c r="W13" s="2"/>
    </row>
    <row r="14" spans="2:25" x14ac:dyDescent="0.35">
      <c r="B14" t="s">
        <v>7</v>
      </c>
      <c r="C14" s="1">
        <f>1/1000</f>
        <v>1E-3</v>
      </c>
      <c r="E14" s="2"/>
      <c r="F14" s="2"/>
      <c r="G14" s="2"/>
      <c r="H14" s="2"/>
      <c r="I14" s="2"/>
      <c r="N14" s="7">
        <v>9</v>
      </c>
      <c r="O14" s="1">
        <f t="shared" si="3"/>
        <v>3</v>
      </c>
      <c r="P14" s="1">
        <f t="shared" si="4"/>
        <v>147</v>
      </c>
      <c r="Q14" s="1">
        <f t="shared" si="6"/>
        <v>20</v>
      </c>
      <c r="R14" s="1">
        <f t="shared" si="0"/>
        <v>2400</v>
      </c>
      <c r="S14" s="1">
        <f t="shared" si="1"/>
        <v>7.2</v>
      </c>
      <c r="U14" s="2"/>
      <c r="V14" s="2"/>
      <c r="W14" s="2"/>
    </row>
    <row r="15" spans="2:25" x14ac:dyDescent="0.35">
      <c r="E15" s="2"/>
      <c r="F15" s="2"/>
      <c r="G15" s="2"/>
      <c r="H15" s="2"/>
      <c r="I15" s="2"/>
      <c r="N15" s="7">
        <v>10</v>
      </c>
      <c r="O15" s="1">
        <f t="shared" si="3"/>
        <v>3</v>
      </c>
      <c r="P15" s="1">
        <f>P14+Q14</f>
        <v>167</v>
      </c>
      <c r="Q15" s="1">
        <f t="shared" si="6"/>
        <v>20</v>
      </c>
      <c r="R15" s="1">
        <f t="shared" si="0"/>
        <v>2450</v>
      </c>
      <c r="S15" s="1">
        <f t="shared" si="1"/>
        <v>7.35</v>
      </c>
      <c r="U15" s="2"/>
      <c r="V15" s="2"/>
      <c r="W15" s="2"/>
    </row>
    <row r="16" spans="2:25" x14ac:dyDescent="0.35">
      <c r="E16" s="2"/>
      <c r="F16" s="2"/>
      <c r="G16" s="2"/>
      <c r="H16" s="2"/>
      <c r="I16" s="2"/>
      <c r="N16" s="7">
        <v>11</v>
      </c>
      <c r="O16" s="1">
        <f t="shared" si="3"/>
        <v>3</v>
      </c>
      <c r="P16" s="1">
        <f t="shared" si="4"/>
        <v>187</v>
      </c>
      <c r="Q16" s="1">
        <f t="shared" si="6"/>
        <v>20</v>
      </c>
      <c r="R16" s="1">
        <f t="shared" si="0"/>
        <v>2500</v>
      </c>
      <c r="S16" s="1">
        <f t="shared" si="1"/>
        <v>7.5</v>
      </c>
      <c r="U16" s="2"/>
      <c r="V16" s="2"/>
      <c r="W16" s="2"/>
    </row>
    <row r="17" spans="5:23" x14ac:dyDescent="0.35">
      <c r="E17" s="2"/>
      <c r="F17" s="2"/>
      <c r="G17" s="2"/>
      <c r="H17" s="2"/>
      <c r="I17" s="2"/>
      <c r="N17" s="7">
        <v>12</v>
      </c>
      <c r="O17" s="1">
        <f t="shared" si="3"/>
        <v>3</v>
      </c>
      <c r="P17" s="1">
        <f t="shared" si="4"/>
        <v>207</v>
      </c>
      <c r="Q17" s="1">
        <f t="shared" si="6"/>
        <v>20</v>
      </c>
      <c r="R17" s="1">
        <f t="shared" si="0"/>
        <v>2550</v>
      </c>
      <c r="S17" s="1">
        <f t="shared" si="1"/>
        <v>7.65</v>
      </c>
      <c r="U17" s="2"/>
      <c r="V17" s="2"/>
      <c r="W17" s="2"/>
    </row>
    <row r="18" spans="5:23" x14ac:dyDescent="0.35">
      <c r="E18" s="2"/>
      <c r="F18" s="2"/>
      <c r="G18" s="2"/>
      <c r="H18" s="2"/>
      <c r="I18" s="2"/>
      <c r="N18" s="7">
        <v>13</v>
      </c>
      <c r="O18" s="1">
        <f t="shared" si="3"/>
        <v>3</v>
      </c>
      <c r="P18" s="1">
        <f t="shared" si="4"/>
        <v>227</v>
      </c>
      <c r="Q18" s="1">
        <f t="shared" si="6"/>
        <v>20</v>
      </c>
      <c r="R18" s="1">
        <f t="shared" si="0"/>
        <v>2600</v>
      </c>
      <c r="S18" s="1">
        <f t="shared" si="1"/>
        <v>7.8</v>
      </c>
      <c r="U18" s="2"/>
      <c r="V18" s="2"/>
      <c r="W18" s="2"/>
    </row>
    <row r="19" spans="5:23" x14ac:dyDescent="0.35">
      <c r="E19" s="2"/>
      <c r="F19" s="2"/>
      <c r="G19" s="2"/>
      <c r="H19" s="2"/>
      <c r="I19" s="2"/>
      <c r="N19" s="7">
        <v>14</v>
      </c>
      <c r="O19" s="1">
        <f t="shared" si="3"/>
        <v>4</v>
      </c>
      <c r="P19" s="1">
        <f t="shared" si="4"/>
        <v>247</v>
      </c>
      <c r="Q19" s="1">
        <f t="shared" si="6"/>
        <v>25</v>
      </c>
      <c r="R19" s="1">
        <f t="shared" si="0"/>
        <v>2650</v>
      </c>
      <c r="S19" s="1">
        <f t="shared" si="1"/>
        <v>7.95</v>
      </c>
      <c r="U19" s="2"/>
      <c r="V19" s="2"/>
      <c r="W19" s="2"/>
    </row>
    <row r="20" spans="5:23" x14ac:dyDescent="0.35">
      <c r="E20" s="2"/>
      <c r="F20" s="2"/>
      <c r="G20" s="2"/>
      <c r="H20" s="2"/>
      <c r="I20" s="2"/>
      <c r="N20" s="7">
        <v>15</v>
      </c>
      <c r="O20" s="1">
        <f t="shared" si="3"/>
        <v>4</v>
      </c>
      <c r="P20" s="1">
        <f t="shared" si="4"/>
        <v>272</v>
      </c>
      <c r="Q20" s="1">
        <f t="shared" si="6"/>
        <v>25</v>
      </c>
      <c r="R20" s="1">
        <f t="shared" si="0"/>
        <v>2700</v>
      </c>
      <c r="S20" s="1">
        <f t="shared" si="1"/>
        <v>8.1</v>
      </c>
      <c r="U20" s="2"/>
      <c r="V20" s="2"/>
      <c r="W20" s="2"/>
    </row>
    <row r="21" spans="5:23" x14ac:dyDescent="0.35">
      <c r="E21" s="2"/>
      <c r="F21" s="2"/>
      <c r="G21" s="2"/>
      <c r="H21" s="2"/>
      <c r="I21" s="2"/>
      <c r="N21" s="7">
        <v>16</v>
      </c>
      <c r="O21" s="1">
        <f t="shared" si="3"/>
        <v>4</v>
      </c>
      <c r="P21" s="1">
        <f t="shared" si="4"/>
        <v>297</v>
      </c>
      <c r="Q21" s="1">
        <f t="shared" si="6"/>
        <v>25</v>
      </c>
      <c r="R21" s="1">
        <f t="shared" si="0"/>
        <v>2750</v>
      </c>
      <c r="S21" s="1">
        <f t="shared" si="1"/>
        <v>8.25</v>
      </c>
      <c r="U21" s="2"/>
      <c r="V21" s="2"/>
      <c r="W21" s="2"/>
    </row>
    <row r="22" spans="5:23" x14ac:dyDescent="0.35">
      <c r="E22" s="2"/>
      <c r="F22" s="2"/>
      <c r="G22" s="2"/>
      <c r="H22" s="2"/>
      <c r="I22" s="2"/>
      <c r="N22" s="7">
        <v>17</v>
      </c>
      <c r="O22" s="1">
        <f t="shared" si="3"/>
        <v>4</v>
      </c>
      <c r="P22" s="1">
        <f t="shared" si="4"/>
        <v>322</v>
      </c>
      <c r="Q22" s="1">
        <f t="shared" si="6"/>
        <v>25</v>
      </c>
      <c r="R22" s="1">
        <f t="shared" si="0"/>
        <v>2800</v>
      </c>
      <c r="S22" s="1">
        <f t="shared" si="1"/>
        <v>8.4</v>
      </c>
      <c r="U22" s="2"/>
      <c r="V22" s="2"/>
      <c r="W22" s="2"/>
    </row>
    <row r="23" spans="5:23" x14ac:dyDescent="0.35">
      <c r="E23" s="2"/>
      <c r="F23" s="2"/>
      <c r="G23" s="2"/>
      <c r="H23" s="2"/>
      <c r="I23" s="2"/>
      <c r="N23" s="7">
        <v>18</v>
      </c>
      <c r="O23" s="1">
        <f t="shared" si="3"/>
        <v>4</v>
      </c>
      <c r="P23" s="1">
        <f t="shared" si="4"/>
        <v>347</v>
      </c>
      <c r="Q23" s="1">
        <f t="shared" si="6"/>
        <v>25</v>
      </c>
      <c r="R23" s="1">
        <f t="shared" si="0"/>
        <v>2850</v>
      </c>
      <c r="S23" s="1">
        <f t="shared" si="1"/>
        <v>8.5500000000000007</v>
      </c>
      <c r="U23" s="2"/>
      <c r="V23" s="2"/>
      <c r="W23" s="2"/>
    </row>
    <row r="24" spans="5:23" x14ac:dyDescent="0.35">
      <c r="E24" s="2"/>
      <c r="F24" s="2"/>
      <c r="G24" s="2"/>
      <c r="H24" s="2"/>
      <c r="I24" s="2"/>
      <c r="N24" s="7">
        <v>19</v>
      </c>
      <c r="O24" s="1">
        <f t="shared" si="3"/>
        <v>4</v>
      </c>
      <c r="P24" s="1">
        <f t="shared" si="4"/>
        <v>372</v>
      </c>
      <c r="Q24" s="1">
        <f t="shared" si="6"/>
        <v>25</v>
      </c>
      <c r="R24" s="1">
        <f t="shared" si="0"/>
        <v>2900</v>
      </c>
      <c r="S24" s="1">
        <f t="shared" si="1"/>
        <v>8.6999999999999993</v>
      </c>
      <c r="U24" s="2"/>
      <c r="V24" s="2"/>
      <c r="W24" s="2"/>
    </row>
    <row r="25" spans="5:23" x14ac:dyDescent="0.35">
      <c r="E25" s="2"/>
      <c r="F25" s="2"/>
      <c r="G25" s="2"/>
      <c r="H25" s="2"/>
      <c r="I25" s="2"/>
      <c r="N25" s="7">
        <v>20</v>
      </c>
      <c r="O25" s="1">
        <f t="shared" si="3"/>
        <v>4</v>
      </c>
      <c r="P25" s="1">
        <f t="shared" si="4"/>
        <v>397</v>
      </c>
      <c r="Q25" s="1">
        <f t="shared" si="6"/>
        <v>25</v>
      </c>
      <c r="R25" s="1">
        <f t="shared" si="0"/>
        <v>2950</v>
      </c>
      <c r="S25" s="1">
        <f t="shared" si="1"/>
        <v>8.85</v>
      </c>
      <c r="U25" s="2"/>
      <c r="V25" s="2"/>
      <c r="W25" s="2"/>
    </row>
    <row r="26" spans="5:23" x14ac:dyDescent="0.35">
      <c r="E26" s="2"/>
      <c r="F26" s="2"/>
      <c r="G26" s="2"/>
      <c r="H26" s="2"/>
      <c r="I26" s="2"/>
      <c r="N26" s="7">
        <v>21</v>
      </c>
      <c r="O26" s="1">
        <f t="shared" si="3"/>
        <v>4</v>
      </c>
      <c r="P26" s="1">
        <f t="shared" si="4"/>
        <v>422</v>
      </c>
      <c r="Q26" s="1">
        <f t="shared" si="6"/>
        <v>25</v>
      </c>
      <c r="R26" s="1">
        <f t="shared" si="0"/>
        <v>3000</v>
      </c>
      <c r="S26" s="1">
        <f t="shared" si="1"/>
        <v>9</v>
      </c>
      <c r="U26" s="2"/>
      <c r="V26" s="2"/>
      <c r="W26" s="2"/>
    </row>
    <row r="27" spans="5:23" x14ac:dyDescent="0.35">
      <c r="E27" s="2"/>
      <c r="F27" s="2"/>
      <c r="G27" s="2"/>
      <c r="H27" s="2"/>
      <c r="I27" s="2"/>
      <c r="N27" s="7">
        <v>22</v>
      </c>
      <c r="O27" s="1">
        <f t="shared" si="3"/>
        <v>4</v>
      </c>
      <c r="P27" s="1">
        <f t="shared" si="4"/>
        <v>447</v>
      </c>
      <c r="Q27" s="1">
        <f t="shared" si="6"/>
        <v>25</v>
      </c>
      <c r="R27" s="1">
        <f t="shared" si="0"/>
        <v>3050</v>
      </c>
      <c r="S27" s="1">
        <f t="shared" si="1"/>
        <v>9.15</v>
      </c>
      <c r="U27" s="2"/>
      <c r="V27" s="2"/>
      <c r="W27" s="2"/>
    </row>
    <row r="28" spans="5:23" x14ac:dyDescent="0.35">
      <c r="N28" s="7">
        <v>23</v>
      </c>
      <c r="O28" s="1">
        <f t="shared" si="3"/>
        <v>4</v>
      </c>
      <c r="P28" s="1">
        <f t="shared" si="4"/>
        <v>472</v>
      </c>
      <c r="Q28" s="1">
        <f t="shared" si="6"/>
        <v>25</v>
      </c>
      <c r="R28" s="1">
        <f t="shared" si="0"/>
        <v>3100</v>
      </c>
      <c r="S28" s="1">
        <f t="shared" si="1"/>
        <v>9.3000000000000007</v>
      </c>
      <c r="U28" s="2"/>
      <c r="V28" s="2"/>
      <c r="W28" s="2"/>
    </row>
    <row r="29" spans="5:23" x14ac:dyDescent="0.35">
      <c r="N29" s="7">
        <v>24</v>
      </c>
      <c r="O29" s="1">
        <f t="shared" si="3"/>
        <v>4</v>
      </c>
      <c r="P29" s="1">
        <f t="shared" si="4"/>
        <v>497</v>
      </c>
      <c r="Q29" s="1">
        <f t="shared" si="6"/>
        <v>25</v>
      </c>
      <c r="R29" s="1">
        <f t="shared" si="0"/>
        <v>3150</v>
      </c>
      <c r="S29" s="1">
        <f t="shared" si="1"/>
        <v>9.4499999999999993</v>
      </c>
      <c r="U29" s="2"/>
      <c r="V29" s="2"/>
      <c r="W29" s="2"/>
    </row>
    <row r="30" spans="5:23" x14ac:dyDescent="0.35">
      <c r="N30" s="7">
        <v>25</v>
      </c>
      <c r="O30" s="1">
        <f t="shared" si="3"/>
        <v>4</v>
      </c>
      <c r="P30" s="1">
        <f t="shared" si="4"/>
        <v>522</v>
      </c>
      <c r="Q30" s="1">
        <f t="shared" si="6"/>
        <v>25</v>
      </c>
      <c r="R30" s="1">
        <f t="shared" si="0"/>
        <v>3200</v>
      </c>
      <c r="S30" s="1">
        <f t="shared" si="1"/>
        <v>9.6</v>
      </c>
      <c r="U30" s="2"/>
      <c r="V30" s="2"/>
      <c r="W30" s="2"/>
    </row>
    <row r="31" spans="5:23" x14ac:dyDescent="0.35">
      <c r="N31" s="7">
        <v>26</v>
      </c>
      <c r="O31" s="1">
        <f t="shared" si="3"/>
        <v>4</v>
      </c>
      <c r="P31" s="1">
        <f t="shared" si="4"/>
        <v>547</v>
      </c>
      <c r="Q31" s="1">
        <f t="shared" si="6"/>
        <v>25</v>
      </c>
      <c r="R31" s="1">
        <f t="shared" si="0"/>
        <v>3250</v>
      </c>
      <c r="S31" s="1">
        <f t="shared" si="1"/>
        <v>9.75</v>
      </c>
      <c r="U31" s="2"/>
      <c r="V31" s="2"/>
      <c r="W31" s="2"/>
    </row>
    <row r="32" spans="5:23" x14ac:dyDescent="0.35">
      <c r="N32" s="7">
        <v>27</v>
      </c>
      <c r="O32" s="1">
        <f t="shared" si="3"/>
        <v>4</v>
      </c>
      <c r="P32" s="1">
        <f t="shared" si="4"/>
        <v>572</v>
      </c>
      <c r="Q32" s="1">
        <f t="shared" si="6"/>
        <v>25</v>
      </c>
      <c r="R32" s="1">
        <f t="shared" si="0"/>
        <v>3300</v>
      </c>
      <c r="S32" s="1">
        <f t="shared" si="1"/>
        <v>9.9</v>
      </c>
      <c r="U32" s="2"/>
      <c r="V32" s="2"/>
      <c r="W32" s="2"/>
    </row>
    <row r="33" spans="14:23" x14ac:dyDescent="0.35">
      <c r="N33" s="7">
        <v>28</v>
      </c>
      <c r="O33" s="1">
        <f t="shared" si="3"/>
        <v>4</v>
      </c>
      <c r="P33" s="1">
        <f t="shared" si="4"/>
        <v>597</v>
      </c>
      <c r="Q33" s="1">
        <f t="shared" si="6"/>
        <v>25</v>
      </c>
      <c r="R33" s="1">
        <f t="shared" si="0"/>
        <v>3350</v>
      </c>
      <c r="S33" s="1">
        <f t="shared" si="1"/>
        <v>10.050000000000001</v>
      </c>
      <c r="U33" s="2"/>
      <c r="V33" s="2"/>
      <c r="W33" s="2"/>
    </row>
    <row r="34" spans="14:23" x14ac:dyDescent="0.35">
      <c r="N34" s="7">
        <v>29</v>
      </c>
      <c r="O34" s="1">
        <f t="shared" si="3"/>
        <v>4</v>
      </c>
      <c r="P34" s="1">
        <f t="shared" si="4"/>
        <v>622</v>
      </c>
      <c r="Q34" s="1">
        <f t="shared" si="6"/>
        <v>25</v>
      </c>
      <c r="R34" s="1">
        <f t="shared" si="0"/>
        <v>3400</v>
      </c>
      <c r="S34" s="1">
        <f t="shared" si="1"/>
        <v>10.199999999999999</v>
      </c>
      <c r="U34" s="2"/>
      <c r="V34" s="2"/>
      <c r="W34" s="2"/>
    </row>
    <row r="35" spans="14:23" x14ac:dyDescent="0.35">
      <c r="N35" s="7">
        <v>30</v>
      </c>
      <c r="O35" s="1">
        <f t="shared" si="3"/>
        <v>4</v>
      </c>
      <c r="P35" s="1">
        <f t="shared" si="4"/>
        <v>647</v>
      </c>
      <c r="Q35" s="1">
        <f t="shared" si="6"/>
        <v>25</v>
      </c>
      <c r="R35" s="1">
        <f t="shared" si="0"/>
        <v>3450</v>
      </c>
      <c r="S35" s="1">
        <f t="shared" si="1"/>
        <v>10.35</v>
      </c>
      <c r="U35" s="2"/>
      <c r="V35" s="2"/>
      <c r="W35" s="2"/>
    </row>
    <row r="36" spans="14:23" x14ac:dyDescent="0.35">
      <c r="N36" s="7">
        <v>31</v>
      </c>
      <c r="O36" s="1">
        <f t="shared" si="3"/>
        <v>4</v>
      </c>
      <c r="P36" s="1">
        <f t="shared" si="4"/>
        <v>672</v>
      </c>
      <c r="Q36" s="1">
        <f t="shared" si="6"/>
        <v>25</v>
      </c>
      <c r="R36" s="1">
        <f t="shared" si="0"/>
        <v>3500</v>
      </c>
      <c r="S36" s="1">
        <f t="shared" si="1"/>
        <v>10.5</v>
      </c>
      <c r="U36" s="2"/>
      <c r="V36" s="2"/>
      <c r="W36" s="2"/>
    </row>
    <row r="37" spans="14:23" x14ac:dyDescent="0.35">
      <c r="N37" s="7">
        <v>32</v>
      </c>
      <c r="O37" s="1">
        <f t="shared" si="3"/>
        <v>4</v>
      </c>
      <c r="P37" s="1">
        <f t="shared" si="4"/>
        <v>697</v>
      </c>
      <c r="Q37" s="1">
        <f t="shared" si="6"/>
        <v>25</v>
      </c>
      <c r="R37" s="1">
        <f t="shared" si="0"/>
        <v>3550</v>
      </c>
      <c r="S37" s="1">
        <f t="shared" si="1"/>
        <v>10.65</v>
      </c>
      <c r="U37" s="2"/>
      <c r="V37" s="2"/>
      <c r="W37" s="2"/>
    </row>
    <row r="38" spans="14:23" x14ac:dyDescent="0.35">
      <c r="N38" s="7">
        <v>33</v>
      </c>
      <c r="O38" s="1">
        <f t="shared" si="3"/>
        <v>4</v>
      </c>
      <c r="P38" s="1">
        <f t="shared" si="4"/>
        <v>722</v>
      </c>
      <c r="Q38" s="1">
        <f t="shared" si="6"/>
        <v>25</v>
      </c>
      <c r="R38" s="1">
        <f t="shared" si="0"/>
        <v>3600</v>
      </c>
      <c r="S38" s="1">
        <f t="shared" si="1"/>
        <v>10.8</v>
      </c>
      <c r="U38" s="2"/>
      <c r="V38" s="2"/>
      <c r="W38" s="2"/>
    </row>
    <row r="39" spans="14:23" x14ac:dyDescent="0.35">
      <c r="N39" s="7">
        <v>34</v>
      </c>
      <c r="O39" s="1">
        <f t="shared" si="3"/>
        <v>4</v>
      </c>
      <c r="P39" s="1">
        <f t="shared" si="4"/>
        <v>747</v>
      </c>
      <c r="Q39" s="1">
        <f t="shared" si="6"/>
        <v>25</v>
      </c>
      <c r="R39" s="1">
        <f t="shared" si="0"/>
        <v>3650</v>
      </c>
      <c r="S39" s="1">
        <f t="shared" si="1"/>
        <v>10.95</v>
      </c>
      <c r="U39" s="2"/>
      <c r="V39" s="2"/>
      <c r="W39" s="2"/>
    </row>
    <row r="40" spans="14:23" x14ac:dyDescent="0.35">
      <c r="N40" s="7">
        <v>35</v>
      </c>
      <c r="O40" s="1">
        <f t="shared" si="3"/>
        <v>4</v>
      </c>
      <c r="P40" s="1">
        <f t="shared" si="4"/>
        <v>772</v>
      </c>
      <c r="Q40" s="1">
        <f t="shared" si="6"/>
        <v>25</v>
      </c>
      <c r="R40" s="1">
        <f t="shared" si="0"/>
        <v>3700</v>
      </c>
      <c r="S40" s="1">
        <f t="shared" si="1"/>
        <v>11.1</v>
      </c>
      <c r="U40" s="2"/>
      <c r="V40" s="2"/>
      <c r="W40" s="2"/>
    </row>
    <row r="41" spans="14:23" x14ac:dyDescent="0.35">
      <c r="N41" s="7">
        <v>36</v>
      </c>
      <c r="O41" s="1">
        <f t="shared" si="3"/>
        <v>4</v>
      </c>
      <c r="P41" s="1">
        <f t="shared" si="4"/>
        <v>797</v>
      </c>
      <c r="Q41" s="1">
        <f t="shared" si="6"/>
        <v>25</v>
      </c>
      <c r="R41" s="1">
        <f t="shared" si="0"/>
        <v>3750</v>
      </c>
      <c r="S41" s="1">
        <f t="shared" si="1"/>
        <v>11.25</v>
      </c>
      <c r="U41" s="2"/>
      <c r="V41" s="2"/>
      <c r="W41" s="2"/>
    </row>
    <row r="42" spans="14:23" x14ac:dyDescent="0.35">
      <c r="N42" s="7">
        <v>37</v>
      </c>
      <c r="O42" s="1">
        <f t="shared" si="3"/>
        <v>4</v>
      </c>
      <c r="P42" s="1">
        <f t="shared" si="4"/>
        <v>822</v>
      </c>
      <c r="Q42" s="1">
        <f t="shared" si="6"/>
        <v>25</v>
      </c>
      <c r="R42" s="1">
        <f t="shared" si="0"/>
        <v>3800</v>
      </c>
      <c r="S42" s="1">
        <f t="shared" si="1"/>
        <v>11.4</v>
      </c>
      <c r="U42" s="2"/>
      <c r="V42" s="2"/>
      <c r="W42" s="2"/>
    </row>
    <row r="43" spans="14:23" x14ac:dyDescent="0.35">
      <c r="N43" s="7">
        <v>38</v>
      </c>
      <c r="O43" s="1">
        <f t="shared" si="3"/>
        <v>4</v>
      </c>
      <c r="P43" s="1">
        <f t="shared" si="4"/>
        <v>847</v>
      </c>
      <c r="Q43" s="1">
        <f t="shared" si="6"/>
        <v>25</v>
      </c>
      <c r="R43" s="1">
        <f t="shared" si="0"/>
        <v>3850</v>
      </c>
      <c r="S43" s="1">
        <f t="shared" si="1"/>
        <v>11.55</v>
      </c>
      <c r="U43" s="2"/>
      <c r="V43" s="2"/>
      <c r="W43" s="2"/>
    </row>
    <row r="44" spans="14:23" x14ac:dyDescent="0.35">
      <c r="N44" s="7">
        <v>39</v>
      </c>
      <c r="O44" s="1">
        <f t="shared" si="3"/>
        <v>4</v>
      </c>
      <c r="P44" s="1">
        <f t="shared" si="4"/>
        <v>872</v>
      </c>
      <c r="Q44" s="1">
        <f t="shared" si="6"/>
        <v>25</v>
      </c>
      <c r="R44" s="1">
        <f t="shared" si="0"/>
        <v>3900</v>
      </c>
      <c r="S44" s="1">
        <f t="shared" si="1"/>
        <v>11.7</v>
      </c>
      <c r="U44" s="2"/>
      <c r="V44" s="2"/>
      <c r="W44" s="2"/>
    </row>
    <row r="45" spans="14:23" x14ac:dyDescent="0.35">
      <c r="N45" s="7">
        <v>40</v>
      </c>
      <c r="O45" s="1">
        <f t="shared" si="3"/>
        <v>4</v>
      </c>
      <c r="P45" s="1">
        <f t="shared" si="4"/>
        <v>897</v>
      </c>
      <c r="Q45" s="1">
        <f t="shared" si="6"/>
        <v>25</v>
      </c>
      <c r="R45" s="1">
        <f t="shared" si="0"/>
        <v>3950</v>
      </c>
      <c r="S45" s="1">
        <f t="shared" si="1"/>
        <v>11.85</v>
      </c>
      <c r="U45" s="2"/>
      <c r="V45" s="2"/>
      <c r="W45" s="2"/>
    </row>
    <row r="46" spans="14:23" x14ac:dyDescent="0.35">
      <c r="N46" s="7">
        <v>41</v>
      </c>
      <c r="O46" s="1">
        <f t="shared" si="3"/>
        <v>4</v>
      </c>
      <c r="P46" s="1">
        <f t="shared" si="4"/>
        <v>922</v>
      </c>
      <c r="Q46" s="1">
        <f t="shared" si="6"/>
        <v>25</v>
      </c>
      <c r="R46" s="1">
        <f t="shared" si="0"/>
        <v>4000</v>
      </c>
      <c r="S46" s="1">
        <f t="shared" si="1"/>
        <v>12</v>
      </c>
      <c r="U46" s="2"/>
      <c r="V46" s="2"/>
      <c r="W46" s="2"/>
    </row>
    <row r="47" spans="14:23" x14ac:dyDescent="0.35">
      <c r="N47" s="7">
        <v>42</v>
      </c>
      <c r="O47" s="1">
        <f t="shared" si="3"/>
        <v>4</v>
      </c>
      <c r="P47" s="1">
        <f t="shared" si="4"/>
        <v>947</v>
      </c>
      <c r="Q47" s="1">
        <f t="shared" si="6"/>
        <v>25</v>
      </c>
      <c r="R47" s="1">
        <f t="shared" si="0"/>
        <v>4050</v>
      </c>
      <c r="S47" s="1">
        <f t="shared" si="1"/>
        <v>12.15</v>
      </c>
      <c r="U47" s="2"/>
      <c r="V47" s="2"/>
      <c r="W47" s="2"/>
    </row>
    <row r="48" spans="14:23" x14ac:dyDescent="0.35">
      <c r="N48" s="7">
        <v>43</v>
      </c>
      <c r="O48" s="1">
        <f t="shared" si="3"/>
        <v>4</v>
      </c>
      <c r="P48" s="1">
        <f t="shared" si="4"/>
        <v>972</v>
      </c>
      <c r="Q48" s="1">
        <f t="shared" si="6"/>
        <v>25</v>
      </c>
      <c r="R48" s="1">
        <f t="shared" si="0"/>
        <v>4100</v>
      </c>
      <c r="S48" s="1">
        <f t="shared" si="1"/>
        <v>12.3</v>
      </c>
      <c r="U48" s="2"/>
      <c r="V48" s="2"/>
      <c r="W48" s="2"/>
    </row>
    <row r="49" spans="14:23" x14ac:dyDescent="0.35">
      <c r="N49" s="7">
        <v>44</v>
      </c>
      <c r="O49" s="1">
        <f>MATCH(P49,$F$6:$F$24,1)</f>
        <v>4</v>
      </c>
      <c r="P49" s="1">
        <f>P48+Q48</f>
        <v>997</v>
      </c>
      <c r="Q49" s="1">
        <f>INDEX($G$6:$G$24,O49)</f>
        <v>25</v>
      </c>
      <c r="R49" s="1">
        <f>ROUND($C$7+(N49-1)*INDEX($H$6:$H$24,O49),-1)</f>
        <v>4150</v>
      </c>
      <c r="S49" s="1">
        <f t="shared" si="1"/>
        <v>12.45</v>
      </c>
      <c r="U49" s="2"/>
      <c r="V49" s="2"/>
      <c r="W4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2AC7-8D81-4768-B000-B985FF0DD42E}">
  <dimension ref="B1:U49"/>
  <sheetViews>
    <sheetView zoomScaleNormal="100" workbookViewId="0">
      <selection activeCell="D13" sqref="D13"/>
    </sheetView>
  </sheetViews>
  <sheetFormatPr defaultRowHeight="16.5" x14ac:dyDescent="0.35"/>
  <cols>
    <col min="2" max="2" width="15.875" bestFit="1" customWidth="1"/>
    <col min="3" max="3" width="11.375" style="2" bestFit="1" customWidth="1"/>
    <col min="5" max="5" width="6.75" style="7" customWidth="1"/>
    <col min="6" max="6" width="11.375" style="1" bestFit="1" customWidth="1"/>
    <col min="7" max="7" width="15" style="1" bestFit="1" customWidth="1"/>
    <col min="8" max="9" width="11.375" style="1" bestFit="1" customWidth="1"/>
    <col min="10" max="10" width="8" style="1" bestFit="1" customWidth="1"/>
    <col min="11" max="12" width="9" style="1"/>
    <col min="13" max="13" width="8" style="1" bestFit="1" customWidth="1"/>
    <col min="14" max="14" width="9" style="2"/>
    <col min="16" max="16" width="11.375" bestFit="1" customWidth="1"/>
    <col min="19" max="19" width="9" style="7"/>
  </cols>
  <sheetData>
    <row r="1" spans="2:21" s="4" customFormat="1" ht="32.1" customHeight="1" x14ac:dyDescent="0.35">
      <c r="B1" s="4" t="s">
        <v>62</v>
      </c>
    </row>
    <row r="2" spans="2:21" x14ac:dyDescent="0.35">
      <c r="C2"/>
      <c r="F2"/>
      <c r="G2"/>
      <c r="H2"/>
      <c r="I2"/>
      <c r="J2"/>
      <c r="K2"/>
      <c r="L2"/>
      <c r="M2"/>
      <c r="N2"/>
    </row>
    <row r="3" spans="2:21" s="7" customFormat="1" x14ac:dyDescent="0.35"/>
    <row r="4" spans="2:21" x14ac:dyDescent="0.35">
      <c r="F4" s="25" t="s">
        <v>148</v>
      </c>
      <c r="G4" s="25"/>
      <c r="H4" s="25"/>
      <c r="I4" s="25" t="s">
        <v>149</v>
      </c>
      <c r="J4" s="25"/>
      <c r="K4" s="25"/>
      <c r="L4" s="25"/>
      <c r="M4" s="25"/>
    </row>
    <row r="5" spans="2:21" s="13" customFormat="1" x14ac:dyDescent="0.35">
      <c r="B5" s="13" t="s">
        <v>373</v>
      </c>
      <c r="E5" s="13" t="s">
        <v>17</v>
      </c>
      <c r="F5" s="13" t="s">
        <v>11</v>
      </c>
      <c r="G5" s="13" t="s">
        <v>1</v>
      </c>
      <c r="H5" s="13" t="s">
        <v>16</v>
      </c>
      <c r="I5" s="13" t="s">
        <v>11</v>
      </c>
      <c r="J5" s="13" t="s">
        <v>1</v>
      </c>
      <c r="K5" s="13" t="s">
        <v>16</v>
      </c>
      <c r="L5" s="13" t="s">
        <v>22</v>
      </c>
      <c r="M5" s="13" t="s">
        <v>23</v>
      </c>
      <c r="P5" s="13" t="s">
        <v>61</v>
      </c>
      <c r="Q5" s="13">
        <f>COUNTIF(L6:L204,"&gt;0")</f>
        <v>23</v>
      </c>
      <c r="S5" s="13" t="s">
        <v>25</v>
      </c>
      <c r="T5" s="13" t="s">
        <v>26</v>
      </c>
      <c r="U5" s="13" t="s">
        <v>129</v>
      </c>
    </row>
    <row r="6" spans="2:21" x14ac:dyDescent="0.35">
      <c r="E6" s="7">
        <v>1</v>
      </c>
      <c r="F6" s="1">
        <f t="shared" ref="F6:F49" si="0">INDEX(base_k,E6)</f>
        <v>4</v>
      </c>
      <c r="G6" s="1">
        <f>F6</f>
        <v>4</v>
      </c>
      <c r="H6" s="1">
        <f t="shared" ref="H6:H49" si="1">INDEX(base_v,E6)</f>
        <v>2000</v>
      </c>
      <c r="I6" s="1">
        <f t="shared" ref="I6:I49" si="2">IF((MOD(E6-1,$C$8)+1)=$C$8,F6+$C$9,0)</f>
        <v>0</v>
      </c>
      <c r="J6" s="1">
        <f t="shared" ref="J6:J49" ca="1" si="3">IFERROR(I6-OFFSET(I6,-$C$8,0),0)</f>
        <v>0</v>
      </c>
      <c r="K6" s="1">
        <f t="shared" ref="K6:K49" si="4">ROUND(H6,-2)*MIN(I6,1)</f>
        <v>0</v>
      </c>
      <c r="L6" s="2">
        <v>1</v>
      </c>
      <c r="M6" s="2">
        <f>C11</f>
        <v>1000</v>
      </c>
      <c r="S6" s="7">
        <v>1</v>
      </c>
      <c r="T6" s="1">
        <f t="array" ref="T6">SMALL(IF($L$6:$L$49&gt;0,$L$6:$L$49),S6)</f>
        <v>1</v>
      </c>
      <c r="U6" s="1">
        <f>INDEX($M$6:$M$49,MATCH(T6,$L$6:$L$49,0))</f>
        <v>1000</v>
      </c>
    </row>
    <row r="7" spans="2:21" x14ac:dyDescent="0.35">
      <c r="B7" t="s">
        <v>4</v>
      </c>
      <c r="C7" s="2">
        <v>1</v>
      </c>
      <c r="E7" s="7">
        <v>2</v>
      </c>
      <c r="F7" s="1">
        <f t="shared" si="0"/>
        <v>12</v>
      </c>
      <c r="G7" s="1">
        <f>F7-F6</f>
        <v>8</v>
      </c>
      <c r="H7" s="1">
        <f t="shared" si="1"/>
        <v>2050</v>
      </c>
      <c r="I7" s="1">
        <f t="shared" si="2"/>
        <v>13</v>
      </c>
      <c r="J7" s="1">
        <f t="shared" ca="1" si="3"/>
        <v>0</v>
      </c>
      <c r="K7" s="1">
        <f t="shared" si="4"/>
        <v>2100</v>
      </c>
      <c r="L7" s="2">
        <v>20</v>
      </c>
      <c r="M7" s="2">
        <v>1500</v>
      </c>
      <c r="S7" s="7">
        <v>2</v>
      </c>
      <c r="T7" s="1">
        <f t="array" ref="T7">SMALL(IF($L$6:$L$49&gt;0,$L$6:$L$49),S7)</f>
        <v>20</v>
      </c>
      <c r="U7" s="1">
        <f t="shared" ref="U7:U28" si="5">INDEX($M$6:$M$49,MATCH(T7,$L$6:$L$49,0))</f>
        <v>1500</v>
      </c>
    </row>
    <row r="8" spans="2:21" x14ac:dyDescent="0.35">
      <c r="B8" t="s">
        <v>19</v>
      </c>
      <c r="C8" s="2">
        <v>2</v>
      </c>
      <c r="E8" s="7">
        <v>3</v>
      </c>
      <c r="F8" s="1">
        <f t="shared" si="0"/>
        <v>27</v>
      </c>
      <c r="G8" s="1">
        <f t="shared" ref="G8:G49" si="6">F8-F7</f>
        <v>15</v>
      </c>
      <c r="H8" s="1">
        <f t="shared" si="1"/>
        <v>2100</v>
      </c>
      <c r="I8" s="1">
        <f t="shared" si="2"/>
        <v>0</v>
      </c>
      <c r="J8" s="1">
        <f t="shared" ca="1" si="3"/>
        <v>0</v>
      </c>
      <c r="K8" s="1">
        <f t="shared" si="4"/>
        <v>0</v>
      </c>
      <c r="L8" s="2">
        <v>35</v>
      </c>
      <c r="M8" s="2">
        <v>1800</v>
      </c>
      <c r="S8" s="7">
        <v>3</v>
      </c>
      <c r="T8" s="1">
        <f t="array" ref="T8">SMALL(IF($L$6:$L$49&gt;0,$L$6:$L$49),S8)</f>
        <v>35</v>
      </c>
      <c r="U8" s="1">
        <f t="shared" si="5"/>
        <v>1800</v>
      </c>
    </row>
    <row r="9" spans="2:21" x14ac:dyDescent="0.35">
      <c r="B9" t="s">
        <v>20</v>
      </c>
      <c r="C9" s="2">
        <v>1</v>
      </c>
      <c r="E9" s="7">
        <v>4</v>
      </c>
      <c r="F9" s="1">
        <f t="shared" si="0"/>
        <v>47</v>
      </c>
      <c r="G9" s="1">
        <f t="shared" si="6"/>
        <v>20</v>
      </c>
      <c r="H9" s="1">
        <f t="shared" si="1"/>
        <v>2150</v>
      </c>
      <c r="I9" s="1">
        <f t="shared" si="2"/>
        <v>48</v>
      </c>
      <c r="J9" s="1">
        <f t="shared" ca="1" si="3"/>
        <v>35</v>
      </c>
      <c r="K9" s="1">
        <f t="shared" si="4"/>
        <v>2200</v>
      </c>
      <c r="L9" s="2">
        <v>58</v>
      </c>
      <c r="M9" s="2">
        <v>2000</v>
      </c>
      <c r="S9" s="7">
        <v>4</v>
      </c>
      <c r="T9" s="1">
        <f t="array" ref="T9">SMALL(IF($L$6:$L$49&gt;0,$L$6:$L$49),S9)</f>
        <v>58</v>
      </c>
      <c r="U9" s="1">
        <f t="shared" si="5"/>
        <v>2000</v>
      </c>
    </row>
    <row r="10" spans="2:21" x14ac:dyDescent="0.35">
      <c r="B10" t="s">
        <v>21</v>
      </c>
      <c r="C10" s="2">
        <v>168</v>
      </c>
      <c r="E10" s="7">
        <v>5</v>
      </c>
      <c r="F10" s="1">
        <f t="shared" si="0"/>
        <v>67</v>
      </c>
      <c r="G10" s="1">
        <f t="shared" si="6"/>
        <v>20</v>
      </c>
      <c r="H10" s="1">
        <f t="shared" si="1"/>
        <v>2200</v>
      </c>
      <c r="I10" s="1">
        <f t="shared" si="2"/>
        <v>0</v>
      </c>
      <c r="J10" s="1">
        <f t="shared" ca="1" si="3"/>
        <v>0</v>
      </c>
      <c r="K10" s="1">
        <f t="shared" si="4"/>
        <v>0</v>
      </c>
      <c r="L10" s="2">
        <v>100</v>
      </c>
      <c r="M10" s="2">
        <v>2200</v>
      </c>
      <c r="S10" s="7">
        <v>5</v>
      </c>
      <c r="T10" s="1">
        <f t="array" ref="T10">SMALL(IF($L$6:$L$49&gt;0,$L$6:$L$49),S10)</f>
        <v>100</v>
      </c>
      <c r="U10" s="1">
        <f t="shared" si="5"/>
        <v>2200</v>
      </c>
    </row>
    <row r="11" spans="2:21" x14ac:dyDescent="0.35">
      <c r="B11" t="s">
        <v>5</v>
      </c>
      <c r="C11" s="2">
        <v>1000</v>
      </c>
      <c r="E11" s="7">
        <v>6</v>
      </c>
      <c r="F11" s="1">
        <f t="shared" si="0"/>
        <v>87</v>
      </c>
      <c r="G11" s="1">
        <f t="shared" si="6"/>
        <v>20</v>
      </c>
      <c r="H11" s="1">
        <f t="shared" si="1"/>
        <v>2250</v>
      </c>
      <c r="I11" s="1">
        <f t="shared" si="2"/>
        <v>88</v>
      </c>
      <c r="J11" s="1">
        <f t="shared" ca="1" si="3"/>
        <v>40</v>
      </c>
      <c r="K11" s="1">
        <f t="shared" si="4"/>
        <v>2300</v>
      </c>
      <c r="L11" s="2"/>
      <c r="M11" s="2"/>
      <c r="S11" s="7">
        <v>6</v>
      </c>
      <c r="T11" s="1">
        <f t="array" ref="T11">SMALL(IF($L$6:$L$49&gt;0,$L$6:$L$49),S11)</f>
        <v>168</v>
      </c>
      <c r="U11" s="1">
        <f t="shared" si="5"/>
        <v>2500</v>
      </c>
    </row>
    <row r="12" spans="2:21" x14ac:dyDescent="0.35">
      <c r="E12" s="7">
        <v>7</v>
      </c>
      <c r="F12" s="1">
        <f t="shared" si="0"/>
        <v>107</v>
      </c>
      <c r="G12" s="1">
        <f t="shared" si="6"/>
        <v>20</v>
      </c>
      <c r="H12" s="1">
        <f t="shared" si="1"/>
        <v>2300</v>
      </c>
      <c r="I12" s="1">
        <f t="shared" si="2"/>
        <v>0</v>
      </c>
      <c r="J12" s="1">
        <f t="shared" ca="1" si="3"/>
        <v>0</v>
      </c>
      <c r="K12" s="1">
        <f t="shared" si="4"/>
        <v>0</v>
      </c>
      <c r="L12" s="2"/>
      <c r="M12" s="2"/>
      <c r="S12" s="7">
        <v>7</v>
      </c>
      <c r="T12" s="1">
        <f t="array" ref="T12">SMALL(IF($L$6:$L$49&gt;0,$L$6:$L$49),S12)</f>
        <v>208</v>
      </c>
      <c r="U12" s="1">
        <f t="shared" si="5"/>
        <v>2600</v>
      </c>
    </row>
    <row r="13" spans="2:21" x14ac:dyDescent="0.35">
      <c r="E13" s="7">
        <v>8</v>
      </c>
      <c r="F13" s="1">
        <f t="shared" si="0"/>
        <v>127</v>
      </c>
      <c r="G13" s="1">
        <f t="shared" si="6"/>
        <v>20</v>
      </c>
      <c r="H13" s="1">
        <f t="shared" si="1"/>
        <v>2350</v>
      </c>
      <c r="I13" s="1">
        <f t="shared" si="2"/>
        <v>128</v>
      </c>
      <c r="J13" s="1">
        <f t="shared" ca="1" si="3"/>
        <v>40</v>
      </c>
      <c r="K13" s="1">
        <f t="shared" si="4"/>
        <v>2400</v>
      </c>
      <c r="L13" s="2"/>
      <c r="M13" s="2"/>
      <c r="S13" s="7">
        <v>8</v>
      </c>
      <c r="T13" s="1">
        <f t="array" ref="T13">SMALL(IF($L$6:$L$49&gt;0,$L$6:$L$49),S13)</f>
        <v>248</v>
      </c>
      <c r="U13" s="1">
        <f t="shared" si="5"/>
        <v>2700</v>
      </c>
    </row>
    <row r="14" spans="2:21" x14ac:dyDescent="0.35">
      <c r="E14" s="7">
        <v>9</v>
      </c>
      <c r="F14" s="1">
        <f t="shared" si="0"/>
        <v>147</v>
      </c>
      <c r="G14" s="1">
        <f t="shared" si="6"/>
        <v>20</v>
      </c>
      <c r="H14" s="1">
        <f t="shared" si="1"/>
        <v>2400</v>
      </c>
      <c r="I14" s="1">
        <f t="shared" si="2"/>
        <v>0</v>
      </c>
      <c r="J14" s="1">
        <f t="shared" ca="1" si="3"/>
        <v>0</v>
      </c>
      <c r="K14" s="1">
        <f t="shared" si="4"/>
        <v>0</v>
      </c>
      <c r="L14" s="2"/>
      <c r="M14" s="2"/>
      <c r="S14" s="7">
        <v>9</v>
      </c>
      <c r="T14" s="1">
        <f t="array" ref="T14">SMALL(IF($L$6:$L$49&gt;0,$L$6:$L$49),S14)</f>
        <v>298</v>
      </c>
      <c r="U14" s="1">
        <f t="shared" si="5"/>
        <v>2800</v>
      </c>
    </row>
    <row r="15" spans="2:21" x14ac:dyDescent="0.35">
      <c r="E15" s="7">
        <v>10</v>
      </c>
      <c r="F15" s="1">
        <f t="shared" si="0"/>
        <v>167</v>
      </c>
      <c r="G15" s="1">
        <f t="shared" si="6"/>
        <v>20</v>
      </c>
      <c r="H15" s="1">
        <f t="shared" si="1"/>
        <v>2450</v>
      </c>
      <c r="I15" s="1">
        <f t="shared" si="2"/>
        <v>168</v>
      </c>
      <c r="J15" s="1">
        <f t="shared" ca="1" si="3"/>
        <v>40</v>
      </c>
      <c r="K15" s="1">
        <f t="shared" si="4"/>
        <v>2500</v>
      </c>
      <c r="L15" s="1">
        <f>I15</f>
        <v>168</v>
      </c>
      <c r="M15" s="1">
        <f t="shared" ref="M15:M49" si="7">K15</f>
        <v>2500</v>
      </c>
      <c r="S15" s="7">
        <v>10</v>
      </c>
      <c r="T15" s="1">
        <f t="array" ref="T15">SMALL(IF($L$6:$L$49&gt;0,$L$6:$L$49),S15)</f>
        <v>348</v>
      </c>
      <c r="U15" s="1">
        <f t="shared" si="5"/>
        <v>2900</v>
      </c>
    </row>
    <row r="16" spans="2:21" x14ac:dyDescent="0.35">
      <c r="E16" s="7">
        <v>11</v>
      </c>
      <c r="F16" s="1">
        <f t="shared" si="0"/>
        <v>187</v>
      </c>
      <c r="G16" s="1">
        <f t="shared" si="6"/>
        <v>20</v>
      </c>
      <c r="H16" s="1">
        <f t="shared" si="1"/>
        <v>2500</v>
      </c>
      <c r="I16" s="1">
        <f t="shared" si="2"/>
        <v>0</v>
      </c>
      <c r="J16" s="1">
        <f t="shared" ca="1" si="3"/>
        <v>0</v>
      </c>
      <c r="K16" s="1">
        <f t="shared" si="4"/>
        <v>0</v>
      </c>
      <c r="L16" s="1">
        <f t="shared" ref="L16:L49" si="8">I16</f>
        <v>0</v>
      </c>
      <c r="M16" s="1">
        <f t="shared" si="7"/>
        <v>0</v>
      </c>
      <c r="S16" s="7">
        <v>11</v>
      </c>
      <c r="T16" s="1">
        <f t="array" ref="T16">SMALL(IF($L$6:$L$49&gt;0,$L$6:$L$49),S16)</f>
        <v>398</v>
      </c>
      <c r="U16" s="1">
        <f t="shared" si="5"/>
        <v>3000</v>
      </c>
    </row>
    <row r="17" spans="5:21" x14ac:dyDescent="0.35">
      <c r="E17" s="7">
        <v>12</v>
      </c>
      <c r="F17" s="1">
        <f t="shared" si="0"/>
        <v>207</v>
      </c>
      <c r="G17" s="1">
        <f t="shared" si="6"/>
        <v>20</v>
      </c>
      <c r="H17" s="1">
        <f t="shared" si="1"/>
        <v>2550</v>
      </c>
      <c r="I17" s="1">
        <f t="shared" si="2"/>
        <v>208</v>
      </c>
      <c r="J17" s="1">
        <f t="shared" ca="1" si="3"/>
        <v>40</v>
      </c>
      <c r="K17" s="1">
        <f t="shared" si="4"/>
        <v>2600</v>
      </c>
      <c r="L17" s="1">
        <f t="shared" si="8"/>
        <v>208</v>
      </c>
      <c r="M17" s="1">
        <f t="shared" si="7"/>
        <v>2600</v>
      </c>
      <c r="S17" s="7">
        <v>12</v>
      </c>
      <c r="T17" s="1">
        <f t="array" ref="T17">SMALL(IF($L$6:$L$49&gt;0,$L$6:$L$49),S17)</f>
        <v>448</v>
      </c>
      <c r="U17" s="1">
        <f t="shared" si="5"/>
        <v>3100</v>
      </c>
    </row>
    <row r="18" spans="5:21" x14ac:dyDescent="0.35">
      <c r="E18" s="7">
        <v>13</v>
      </c>
      <c r="F18" s="1">
        <f t="shared" si="0"/>
        <v>227</v>
      </c>
      <c r="G18" s="1">
        <f t="shared" si="6"/>
        <v>20</v>
      </c>
      <c r="H18" s="1">
        <f t="shared" si="1"/>
        <v>2600</v>
      </c>
      <c r="I18" s="1">
        <f t="shared" si="2"/>
        <v>0</v>
      </c>
      <c r="J18" s="1">
        <f t="shared" ca="1" si="3"/>
        <v>0</v>
      </c>
      <c r="K18" s="1">
        <f t="shared" si="4"/>
        <v>0</v>
      </c>
      <c r="L18" s="1">
        <f t="shared" si="8"/>
        <v>0</v>
      </c>
      <c r="M18" s="1">
        <f t="shared" si="7"/>
        <v>0</v>
      </c>
      <c r="S18" s="7">
        <v>13</v>
      </c>
      <c r="T18" s="1">
        <f t="array" ref="T18">SMALL(IF($L$6:$L$49&gt;0,$L$6:$L$49),S18)</f>
        <v>498</v>
      </c>
      <c r="U18" s="1">
        <f t="shared" si="5"/>
        <v>3200</v>
      </c>
    </row>
    <row r="19" spans="5:21" x14ac:dyDescent="0.35">
      <c r="E19" s="7">
        <v>14</v>
      </c>
      <c r="F19" s="1">
        <f t="shared" si="0"/>
        <v>247</v>
      </c>
      <c r="G19" s="1">
        <f t="shared" si="6"/>
        <v>20</v>
      </c>
      <c r="H19" s="1">
        <f t="shared" si="1"/>
        <v>2650</v>
      </c>
      <c r="I19" s="1">
        <f t="shared" si="2"/>
        <v>248</v>
      </c>
      <c r="J19" s="1">
        <f t="shared" ca="1" si="3"/>
        <v>40</v>
      </c>
      <c r="K19" s="1">
        <f t="shared" si="4"/>
        <v>2700</v>
      </c>
      <c r="L19" s="1">
        <f t="shared" si="8"/>
        <v>248</v>
      </c>
      <c r="M19" s="1">
        <f t="shared" si="7"/>
        <v>2700</v>
      </c>
      <c r="S19" s="7">
        <v>14</v>
      </c>
      <c r="T19" s="1">
        <f t="array" ref="T19">SMALL(IF($L$6:$L$49&gt;0,$L$6:$L$49),S19)</f>
        <v>548</v>
      </c>
      <c r="U19" s="1">
        <f t="shared" si="5"/>
        <v>3300</v>
      </c>
    </row>
    <row r="20" spans="5:21" x14ac:dyDescent="0.35">
      <c r="E20" s="7">
        <v>15</v>
      </c>
      <c r="F20" s="1">
        <f t="shared" si="0"/>
        <v>272</v>
      </c>
      <c r="G20" s="1">
        <f t="shared" si="6"/>
        <v>25</v>
      </c>
      <c r="H20" s="1">
        <f t="shared" si="1"/>
        <v>2700</v>
      </c>
      <c r="I20" s="1">
        <f t="shared" si="2"/>
        <v>0</v>
      </c>
      <c r="J20" s="1">
        <f t="shared" ca="1" si="3"/>
        <v>0</v>
      </c>
      <c r="K20" s="1">
        <f t="shared" si="4"/>
        <v>0</v>
      </c>
      <c r="L20" s="1">
        <f t="shared" si="8"/>
        <v>0</v>
      </c>
      <c r="M20" s="1">
        <f t="shared" si="7"/>
        <v>0</v>
      </c>
      <c r="S20" s="7">
        <v>15</v>
      </c>
      <c r="T20" s="1">
        <f t="array" ref="T20">SMALL(IF($L$6:$L$49&gt;0,$L$6:$L$49),S20)</f>
        <v>598</v>
      </c>
      <c r="U20" s="1">
        <f t="shared" si="5"/>
        <v>3400</v>
      </c>
    </row>
    <row r="21" spans="5:21" x14ac:dyDescent="0.35">
      <c r="E21" s="7">
        <v>16</v>
      </c>
      <c r="F21" s="1">
        <f t="shared" si="0"/>
        <v>297</v>
      </c>
      <c r="G21" s="1">
        <f t="shared" si="6"/>
        <v>25</v>
      </c>
      <c r="H21" s="1">
        <f t="shared" si="1"/>
        <v>2750</v>
      </c>
      <c r="I21" s="1">
        <f t="shared" si="2"/>
        <v>298</v>
      </c>
      <c r="J21" s="1">
        <f t="shared" ca="1" si="3"/>
        <v>50</v>
      </c>
      <c r="K21" s="1">
        <f t="shared" si="4"/>
        <v>2800</v>
      </c>
      <c r="L21" s="1">
        <f t="shared" si="8"/>
        <v>298</v>
      </c>
      <c r="M21" s="1">
        <f t="shared" si="7"/>
        <v>2800</v>
      </c>
      <c r="S21" s="7">
        <v>16</v>
      </c>
      <c r="T21" s="1">
        <f t="array" ref="T21">SMALL(IF($L$6:$L$49&gt;0,$L$6:$L$49),S21)</f>
        <v>648</v>
      </c>
      <c r="U21" s="1">
        <f t="shared" si="5"/>
        <v>3500</v>
      </c>
    </row>
    <row r="22" spans="5:21" x14ac:dyDescent="0.35">
      <c r="E22" s="7">
        <v>17</v>
      </c>
      <c r="F22" s="1">
        <f t="shared" si="0"/>
        <v>322</v>
      </c>
      <c r="G22" s="1">
        <f t="shared" si="6"/>
        <v>25</v>
      </c>
      <c r="H22" s="1">
        <f t="shared" si="1"/>
        <v>2800</v>
      </c>
      <c r="I22" s="1">
        <f t="shared" si="2"/>
        <v>0</v>
      </c>
      <c r="J22" s="1">
        <f t="shared" ca="1" si="3"/>
        <v>0</v>
      </c>
      <c r="K22" s="1">
        <f t="shared" si="4"/>
        <v>0</v>
      </c>
      <c r="L22" s="1">
        <f t="shared" si="8"/>
        <v>0</v>
      </c>
      <c r="M22" s="1">
        <f t="shared" si="7"/>
        <v>0</v>
      </c>
      <c r="S22" s="7">
        <v>17</v>
      </c>
      <c r="T22" s="1">
        <f t="array" ref="T22">SMALL(IF($L$6:$L$49&gt;0,$L$6:$L$49),S22)</f>
        <v>698</v>
      </c>
      <c r="U22" s="1">
        <f t="shared" si="5"/>
        <v>3600</v>
      </c>
    </row>
    <row r="23" spans="5:21" x14ac:dyDescent="0.35">
      <c r="E23" s="7">
        <v>18</v>
      </c>
      <c r="F23" s="1">
        <f t="shared" si="0"/>
        <v>347</v>
      </c>
      <c r="G23" s="1">
        <f t="shared" si="6"/>
        <v>25</v>
      </c>
      <c r="H23" s="1">
        <f t="shared" si="1"/>
        <v>2850</v>
      </c>
      <c r="I23" s="1">
        <f t="shared" si="2"/>
        <v>348</v>
      </c>
      <c r="J23" s="1">
        <f t="shared" ca="1" si="3"/>
        <v>50</v>
      </c>
      <c r="K23" s="1">
        <f t="shared" si="4"/>
        <v>2900</v>
      </c>
      <c r="L23" s="1">
        <f t="shared" si="8"/>
        <v>348</v>
      </c>
      <c r="M23" s="1">
        <f t="shared" si="7"/>
        <v>2900</v>
      </c>
      <c r="S23" s="7">
        <v>18</v>
      </c>
      <c r="T23" s="1">
        <f t="array" ref="T23">SMALL(IF($L$6:$L$49&gt;0,$L$6:$L$49),S23)</f>
        <v>748</v>
      </c>
      <c r="U23" s="1">
        <f t="shared" si="5"/>
        <v>3700</v>
      </c>
    </row>
    <row r="24" spans="5:21" x14ac:dyDescent="0.35">
      <c r="E24" s="7">
        <v>19</v>
      </c>
      <c r="F24" s="1">
        <f t="shared" si="0"/>
        <v>372</v>
      </c>
      <c r="G24" s="1">
        <f t="shared" si="6"/>
        <v>25</v>
      </c>
      <c r="H24" s="1">
        <f t="shared" si="1"/>
        <v>2900</v>
      </c>
      <c r="I24" s="1">
        <f t="shared" si="2"/>
        <v>0</v>
      </c>
      <c r="J24" s="1">
        <f t="shared" ca="1" si="3"/>
        <v>0</v>
      </c>
      <c r="K24" s="1">
        <f t="shared" si="4"/>
        <v>0</v>
      </c>
      <c r="L24" s="1">
        <f t="shared" si="8"/>
        <v>0</v>
      </c>
      <c r="M24" s="1">
        <f t="shared" si="7"/>
        <v>0</v>
      </c>
      <c r="S24" s="7">
        <v>19</v>
      </c>
      <c r="T24" s="1">
        <f t="array" ref="T24">SMALL(IF($L$6:$L$49&gt;0,$L$6:$L$49),S24)</f>
        <v>798</v>
      </c>
      <c r="U24" s="1">
        <f t="shared" si="5"/>
        <v>3800</v>
      </c>
    </row>
    <row r="25" spans="5:21" x14ac:dyDescent="0.35">
      <c r="E25" s="7">
        <v>20</v>
      </c>
      <c r="F25" s="1">
        <f t="shared" si="0"/>
        <v>397</v>
      </c>
      <c r="G25" s="1">
        <f t="shared" si="6"/>
        <v>25</v>
      </c>
      <c r="H25" s="1">
        <f t="shared" si="1"/>
        <v>2950</v>
      </c>
      <c r="I25" s="1">
        <f t="shared" si="2"/>
        <v>398</v>
      </c>
      <c r="J25" s="1">
        <f t="shared" ca="1" si="3"/>
        <v>50</v>
      </c>
      <c r="K25" s="1">
        <f t="shared" si="4"/>
        <v>3000</v>
      </c>
      <c r="L25" s="1">
        <f t="shared" si="8"/>
        <v>398</v>
      </c>
      <c r="M25" s="1">
        <f t="shared" si="7"/>
        <v>3000</v>
      </c>
      <c r="S25" s="7">
        <v>20</v>
      </c>
      <c r="T25" s="1">
        <f t="array" ref="T25">SMALL(IF($L$6:$L$49&gt;0,$L$6:$L$49),S25)</f>
        <v>848</v>
      </c>
      <c r="U25" s="1">
        <f t="shared" si="5"/>
        <v>3900</v>
      </c>
    </row>
    <row r="26" spans="5:21" x14ac:dyDescent="0.35">
      <c r="E26" s="7">
        <v>21</v>
      </c>
      <c r="F26" s="1">
        <f t="shared" si="0"/>
        <v>422</v>
      </c>
      <c r="G26" s="1">
        <f t="shared" si="6"/>
        <v>25</v>
      </c>
      <c r="H26" s="1">
        <f t="shared" si="1"/>
        <v>3000</v>
      </c>
      <c r="I26" s="1">
        <f t="shared" si="2"/>
        <v>0</v>
      </c>
      <c r="J26" s="1">
        <f t="shared" ca="1" si="3"/>
        <v>0</v>
      </c>
      <c r="K26" s="1">
        <f t="shared" si="4"/>
        <v>0</v>
      </c>
      <c r="L26" s="1">
        <f t="shared" si="8"/>
        <v>0</v>
      </c>
      <c r="M26" s="1">
        <f t="shared" si="7"/>
        <v>0</v>
      </c>
      <c r="S26" s="7">
        <v>21</v>
      </c>
      <c r="T26" s="1">
        <f t="array" ref="T26">SMALL(IF($L$6:$L$49&gt;0,$L$6:$L$49),S26)</f>
        <v>898</v>
      </c>
      <c r="U26" s="1">
        <f t="shared" si="5"/>
        <v>4000</v>
      </c>
    </row>
    <row r="27" spans="5:21" x14ac:dyDescent="0.35">
      <c r="E27" s="7">
        <v>22</v>
      </c>
      <c r="F27" s="1">
        <f t="shared" si="0"/>
        <v>447</v>
      </c>
      <c r="G27" s="1">
        <f t="shared" si="6"/>
        <v>25</v>
      </c>
      <c r="H27" s="1">
        <f t="shared" si="1"/>
        <v>3050</v>
      </c>
      <c r="I27" s="1">
        <f t="shared" si="2"/>
        <v>448</v>
      </c>
      <c r="J27" s="1">
        <f t="shared" ca="1" si="3"/>
        <v>50</v>
      </c>
      <c r="K27" s="1">
        <f t="shared" si="4"/>
        <v>3100</v>
      </c>
      <c r="L27" s="1">
        <f t="shared" si="8"/>
        <v>448</v>
      </c>
      <c r="M27" s="1">
        <f t="shared" si="7"/>
        <v>3100</v>
      </c>
      <c r="S27" s="7">
        <v>22</v>
      </c>
      <c r="T27" s="1">
        <f t="array" ref="T27">SMALL(IF($L$6:$L$49&gt;0,$L$6:$L$49),S27)</f>
        <v>948</v>
      </c>
      <c r="U27" s="1">
        <f t="shared" si="5"/>
        <v>4100</v>
      </c>
    </row>
    <row r="28" spans="5:21" x14ac:dyDescent="0.35">
      <c r="E28" s="7">
        <v>23</v>
      </c>
      <c r="F28" s="1">
        <f t="shared" si="0"/>
        <v>472</v>
      </c>
      <c r="G28" s="1">
        <f t="shared" si="6"/>
        <v>25</v>
      </c>
      <c r="H28" s="1">
        <f t="shared" si="1"/>
        <v>3100</v>
      </c>
      <c r="I28" s="1">
        <f t="shared" si="2"/>
        <v>0</v>
      </c>
      <c r="J28" s="1">
        <f t="shared" ca="1" si="3"/>
        <v>0</v>
      </c>
      <c r="K28" s="1">
        <f t="shared" si="4"/>
        <v>0</v>
      </c>
      <c r="L28" s="1">
        <f t="shared" si="8"/>
        <v>0</v>
      </c>
      <c r="M28" s="1">
        <f t="shared" si="7"/>
        <v>0</v>
      </c>
      <c r="S28" s="7">
        <v>23</v>
      </c>
      <c r="T28" s="1">
        <f t="array" ref="T28">SMALL(IF($L$6:$L$49&gt;0,$L$6:$L$49),S28)</f>
        <v>998</v>
      </c>
      <c r="U28" s="1">
        <f t="shared" si="5"/>
        <v>4200</v>
      </c>
    </row>
    <row r="29" spans="5:21" x14ac:dyDescent="0.35">
      <c r="E29" s="7">
        <v>24</v>
      </c>
      <c r="F29" s="1">
        <f t="shared" si="0"/>
        <v>497</v>
      </c>
      <c r="G29" s="1">
        <f t="shared" si="6"/>
        <v>25</v>
      </c>
      <c r="H29" s="1">
        <f t="shared" si="1"/>
        <v>3150</v>
      </c>
      <c r="I29" s="1">
        <f t="shared" si="2"/>
        <v>498</v>
      </c>
      <c r="J29" s="1">
        <f t="shared" ca="1" si="3"/>
        <v>50</v>
      </c>
      <c r="K29" s="1">
        <f t="shared" si="4"/>
        <v>3200</v>
      </c>
      <c r="L29" s="1">
        <f t="shared" si="8"/>
        <v>498</v>
      </c>
      <c r="M29" s="1">
        <f t="shared" si="7"/>
        <v>3200</v>
      </c>
    </row>
    <row r="30" spans="5:21" x14ac:dyDescent="0.35">
      <c r="E30" s="7">
        <v>25</v>
      </c>
      <c r="F30" s="1">
        <f t="shared" si="0"/>
        <v>522</v>
      </c>
      <c r="G30" s="1">
        <f t="shared" si="6"/>
        <v>25</v>
      </c>
      <c r="H30" s="1">
        <f t="shared" si="1"/>
        <v>3200</v>
      </c>
      <c r="I30" s="1">
        <f t="shared" si="2"/>
        <v>0</v>
      </c>
      <c r="J30" s="1">
        <f t="shared" ca="1" si="3"/>
        <v>0</v>
      </c>
      <c r="K30" s="1">
        <f t="shared" si="4"/>
        <v>0</v>
      </c>
      <c r="L30" s="1">
        <f t="shared" si="8"/>
        <v>0</v>
      </c>
      <c r="M30" s="1">
        <f t="shared" si="7"/>
        <v>0</v>
      </c>
    </row>
    <row r="31" spans="5:21" x14ac:dyDescent="0.35">
      <c r="E31" s="7">
        <v>26</v>
      </c>
      <c r="F31" s="1">
        <f t="shared" si="0"/>
        <v>547</v>
      </c>
      <c r="G31" s="1">
        <f t="shared" si="6"/>
        <v>25</v>
      </c>
      <c r="H31" s="1">
        <f t="shared" si="1"/>
        <v>3250</v>
      </c>
      <c r="I31" s="1">
        <f t="shared" si="2"/>
        <v>548</v>
      </c>
      <c r="J31" s="1">
        <f t="shared" ca="1" si="3"/>
        <v>50</v>
      </c>
      <c r="K31" s="1">
        <f t="shared" si="4"/>
        <v>3300</v>
      </c>
      <c r="L31" s="1">
        <f t="shared" si="8"/>
        <v>548</v>
      </c>
      <c r="M31" s="1">
        <f t="shared" si="7"/>
        <v>3300</v>
      </c>
    </row>
    <row r="32" spans="5:21" x14ac:dyDescent="0.35">
      <c r="E32" s="7">
        <v>27</v>
      </c>
      <c r="F32" s="1">
        <f t="shared" si="0"/>
        <v>572</v>
      </c>
      <c r="G32" s="1">
        <f t="shared" si="6"/>
        <v>25</v>
      </c>
      <c r="H32" s="1">
        <f t="shared" si="1"/>
        <v>3300</v>
      </c>
      <c r="I32" s="1">
        <f t="shared" si="2"/>
        <v>0</v>
      </c>
      <c r="J32" s="1">
        <f t="shared" ca="1" si="3"/>
        <v>0</v>
      </c>
      <c r="K32" s="1">
        <f t="shared" si="4"/>
        <v>0</v>
      </c>
      <c r="L32" s="1">
        <f t="shared" si="8"/>
        <v>0</v>
      </c>
      <c r="M32" s="1">
        <f t="shared" si="7"/>
        <v>0</v>
      </c>
    </row>
    <row r="33" spans="5:13" x14ac:dyDescent="0.35">
      <c r="E33" s="7">
        <v>28</v>
      </c>
      <c r="F33" s="1">
        <f t="shared" si="0"/>
        <v>597</v>
      </c>
      <c r="G33" s="1">
        <f t="shared" si="6"/>
        <v>25</v>
      </c>
      <c r="H33" s="1">
        <f t="shared" si="1"/>
        <v>3350</v>
      </c>
      <c r="I33" s="1">
        <f t="shared" si="2"/>
        <v>598</v>
      </c>
      <c r="J33" s="1">
        <f t="shared" ca="1" si="3"/>
        <v>50</v>
      </c>
      <c r="K33" s="1">
        <f t="shared" si="4"/>
        <v>3400</v>
      </c>
      <c r="L33" s="1">
        <f t="shared" si="8"/>
        <v>598</v>
      </c>
      <c r="M33" s="1">
        <f t="shared" si="7"/>
        <v>3400</v>
      </c>
    </row>
    <row r="34" spans="5:13" x14ac:dyDescent="0.35">
      <c r="E34" s="7">
        <v>29</v>
      </c>
      <c r="F34" s="1">
        <f t="shared" si="0"/>
        <v>622</v>
      </c>
      <c r="G34" s="1">
        <f t="shared" si="6"/>
        <v>25</v>
      </c>
      <c r="H34" s="1">
        <f t="shared" si="1"/>
        <v>3400</v>
      </c>
      <c r="I34" s="1">
        <f t="shared" si="2"/>
        <v>0</v>
      </c>
      <c r="J34" s="1">
        <f t="shared" ca="1" si="3"/>
        <v>0</v>
      </c>
      <c r="K34" s="1">
        <f t="shared" si="4"/>
        <v>0</v>
      </c>
      <c r="L34" s="1">
        <f t="shared" si="8"/>
        <v>0</v>
      </c>
      <c r="M34" s="1">
        <f t="shared" si="7"/>
        <v>0</v>
      </c>
    </row>
    <row r="35" spans="5:13" x14ac:dyDescent="0.35">
      <c r="E35" s="7">
        <v>30</v>
      </c>
      <c r="F35" s="1">
        <f t="shared" si="0"/>
        <v>647</v>
      </c>
      <c r="G35" s="1">
        <f t="shared" si="6"/>
        <v>25</v>
      </c>
      <c r="H35" s="1">
        <f t="shared" si="1"/>
        <v>3450</v>
      </c>
      <c r="I35" s="1">
        <f t="shared" si="2"/>
        <v>648</v>
      </c>
      <c r="J35" s="1">
        <f t="shared" ca="1" si="3"/>
        <v>50</v>
      </c>
      <c r="K35" s="1">
        <f t="shared" si="4"/>
        <v>3500</v>
      </c>
      <c r="L35" s="1">
        <f t="shared" si="8"/>
        <v>648</v>
      </c>
      <c r="M35" s="1">
        <f t="shared" si="7"/>
        <v>3500</v>
      </c>
    </row>
    <row r="36" spans="5:13" x14ac:dyDescent="0.35">
      <c r="E36" s="7">
        <v>31</v>
      </c>
      <c r="F36" s="1">
        <f t="shared" si="0"/>
        <v>672</v>
      </c>
      <c r="G36" s="1">
        <f t="shared" si="6"/>
        <v>25</v>
      </c>
      <c r="H36" s="1">
        <f t="shared" si="1"/>
        <v>3500</v>
      </c>
      <c r="I36" s="1">
        <f t="shared" si="2"/>
        <v>0</v>
      </c>
      <c r="J36" s="1">
        <f t="shared" ca="1" si="3"/>
        <v>0</v>
      </c>
      <c r="K36" s="1">
        <f t="shared" si="4"/>
        <v>0</v>
      </c>
      <c r="L36" s="1">
        <f t="shared" si="8"/>
        <v>0</v>
      </c>
      <c r="M36" s="1">
        <f t="shared" si="7"/>
        <v>0</v>
      </c>
    </row>
    <row r="37" spans="5:13" x14ac:dyDescent="0.35">
      <c r="E37" s="7">
        <v>32</v>
      </c>
      <c r="F37" s="1">
        <f t="shared" si="0"/>
        <v>697</v>
      </c>
      <c r="G37" s="1">
        <f t="shared" si="6"/>
        <v>25</v>
      </c>
      <c r="H37" s="1">
        <f t="shared" si="1"/>
        <v>3550</v>
      </c>
      <c r="I37" s="1">
        <f t="shared" si="2"/>
        <v>698</v>
      </c>
      <c r="J37" s="1">
        <f t="shared" ca="1" si="3"/>
        <v>50</v>
      </c>
      <c r="K37" s="1">
        <f t="shared" si="4"/>
        <v>3600</v>
      </c>
      <c r="L37" s="1">
        <f t="shared" si="8"/>
        <v>698</v>
      </c>
      <c r="M37" s="1">
        <f t="shared" si="7"/>
        <v>3600</v>
      </c>
    </row>
    <row r="38" spans="5:13" x14ac:dyDescent="0.35">
      <c r="E38" s="7">
        <v>33</v>
      </c>
      <c r="F38" s="1">
        <f t="shared" si="0"/>
        <v>722</v>
      </c>
      <c r="G38" s="1">
        <f t="shared" si="6"/>
        <v>25</v>
      </c>
      <c r="H38" s="1">
        <f t="shared" si="1"/>
        <v>3600</v>
      </c>
      <c r="I38" s="1">
        <f t="shared" si="2"/>
        <v>0</v>
      </c>
      <c r="J38" s="1">
        <f t="shared" ca="1" si="3"/>
        <v>0</v>
      </c>
      <c r="K38" s="1">
        <f t="shared" si="4"/>
        <v>0</v>
      </c>
      <c r="L38" s="1">
        <f t="shared" si="8"/>
        <v>0</v>
      </c>
      <c r="M38" s="1">
        <f t="shared" si="7"/>
        <v>0</v>
      </c>
    </row>
    <row r="39" spans="5:13" x14ac:dyDescent="0.35">
      <c r="E39" s="7">
        <v>34</v>
      </c>
      <c r="F39" s="1">
        <f t="shared" si="0"/>
        <v>747</v>
      </c>
      <c r="G39" s="1">
        <f t="shared" si="6"/>
        <v>25</v>
      </c>
      <c r="H39" s="1">
        <f t="shared" si="1"/>
        <v>3650</v>
      </c>
      <c r="I39" s="1">
        <f t="shared" si="2"/>
        <v>748</v>
      </c>
      <c r="J39" s="1">
        <f t="shared" ca="1" si="3"/>
        <v>50</v>
      </c>
      <c r="K39" s="1">
        <f t="shared" si="4"/>
        <v>3700</v>
      </c>
      <c r="L39" s="1">
        <f t="shared" si="8"/>
        <v>748</v>
      </c>
      <c r="M39" s="1">
        <f t="shared" si="7"/>
        <v>3700</v>
      </c>
    </row>
    <row r="40" spans="5:13" x14ac:dyDescent="0.35">
      <c r="E40" s="7">
        <v>35</v>
      </c>
      <c r="F40" s="1">
        <f t="shared" si="0"/>
        <v>772</v>
      </c>
      <c r="G40" s="1">
        <f t="shared" si="6"/>
        <v>25</v>
      </c>
      <c r="H40" s="1">
        <f t="shared" si="1"/>
        <v>3700</v>
      </c>
      <c r="I40" s="1">
        <f t="shared" si="2"/>
        <v>0</v>
      </c>
      <c r="J40" s="1">
        <f t="shared" ca="1" si="3"/>
        <v>0</v>
      </c>
      <c r="K40" s="1">
        <f t="shared" si="4"/>
        <v>0</v>
      </c>
      <c r="L40" s="1">
        <f t="shared" si="8"/>
        <v>0</v>
      </c>
      <c r="M40" s="1">
        <f t="shared" si="7"/>
        <v>0</v>
      </c>
    </row>
    <row r="41" spans="5:13" x14ac:dyDescent="0.35">
      <c r="E41" s="7">
        <v>36</v>
      </c>
      <c r="F41" s="1">
        <f t="shared" si="0"/>
        <v>797</v>
      </c>
      <c r="G41" s="1">
        <f t="shared" si="6"/>
        <v>25</v>
      </c>
      <c r="H41" s="1">
        <f t="shared" si="1"/>
        <v>3750</v>
      </c>
      <c r="I41" s="1">
        <f t="shared" si="2"/>
        <v>798</v>
      </c>
      <c r="J41" s="1">
        <f t="shared" ca="1" si="3"/>
        <v>50</v>
      </c>
      <c r="K41" s="1">
        <f t="shared" si="4"/>
        <v>3800</v>
      </c>
      <c r="L41" s="1">
        <f t="shared" si="8"/>
        <v>798</v>
      </c>
      <c r="M41" s="1">
        <f t="shared" si="7"/>
        <v>3800</v>
      </c>
    </row>
    <row r="42" spans="5:13" x14ac:dyDescent="0.35">
      <c r="E42" s="7">
        <v>37</v>
      </c>
      <c r="F42" s="1">
        <f t="shared" si="0"/>
        <v>822</v>
      </c>
      <c r="G42" s="1">
        <f t="shared" si="6"/>
        <v>25</v>
      </c>
      <c r="H42" s="1">
        <f t="shared" si="1"/>
        <v>3800</v>
      </c>
      <c r="I42" s="1">
        <f t="shared" si="2"/>
        <v>0</v>
      </c>
      <c r="J42" s="1">
        <f t="shared" ca="1" si="3"/>
        <v>0</v>
      </c>
      <c r="K42" s="1">
        <f t="shared" si="4"/>
        <v>0</v>
      </c>
      <c r="L42" s="1">
        <f t="shared" si="8"/>
        <v>0</v>
      </c>
      <c r="M42" s="1">
        <f t="shared" si="7"/>
        <v>0</v>
      </c>
    </row>
    <row r="43" spans="5:13" x14ac:dyDescent="0.35">
      <c r="E43" s="7">
        <v>38</v>
      </c>
      <c r="F43" s="1">
        <f t="shared" si="0"/>
        <v>847</v>
      </c>
      <c r="G43" s="1">
        <f t="shared" si="6"/>
        <v>25</v>
      </c>
      <c r="H43" s="1">
        <f t="shared" si="1"/>
        <v>3850</v>
      </c>
      <c r="I43" s="1">
        <f t="shared" si="2"/>
        <v>848</v>
      </c>
      <c r="J43" s="1">
        <f t="shared" ca="1" si="3"/>
        <v>50</v>
      </c>
      <c r="K43" s="1">
        <f t="shared" si="4"/>
        <v>3900</v>
      </c>
      <c r="L43" s="1">
        <f t="shared" si="8"/>
        <v>848</v>
      </c>
      <c r="M43" s="1">
        <f t="shared" si="7"/>
        <v>3900</v>
      </c>
    </row>
    <row r="44" spans="5:13" x14ac:dyDescent="0.35">
      <c r="E44" s="7">
        <v>39</v>
      </c>
      <c r="F44" s="1">
        <f t="shared" si="0"/>
        <v>872</v>
      </c>
      <c r="G44" s="1">
        <f t="shared" si="6"/>
        <v>25</v>
      </c>
      <c r="H44" s="1">
        <f t="shared" si="1"/>
        <v>3900</v>
      </c>
      <c r="I44" s="1">
        <f t="shared" si="2"/>
        <v>0</v>
      </c>
      <c r="J44" s="1">
        <f t="shared" ca="1" si="3"/>
        <v>0</v>
      </c>
      <c r="K44" s="1">
        <f t="shared" si="4"/>
        <v>0</v>
      </c>
      <c r="L44" s="1">
        <f t="shared" si="8"/>
        <v>0</v>
      </c>
      <c r="M44" s="1">
        <f t="shared" si="7"/>
        <v>0</v>
      </c>
    </row>
    <row r="45" spans="5:13" x14ac:dyDescent="0.35">
      <c r="E45" s="7">
        <v>40</v>
      </c>
      <c r="F45" s="1">
        <f t="shared" si="0"/>
        <v>897</v>
      </c>
      <c r="G45" s="1">
        <f t="shared" si="6"/>
        <v>25</v>
      </c>
      <c r="H45" s="1">
        <f t="shared" si="1"/>
        <v>3950</v>
      </c>
      <c r="I45" s="1">
        <f t="shared" si="2"/>
        <v>898</v>
      </c>
      <c r="J45" s="1">
        <f t="shared" ca="1" si="3"/>
        <v>50</v>
      </c>
      <c r="K45" s="1">
        <f t="shared" si="4"/>
        <v>4000</v>
      </c>
      <c r="L45" s="1">
        <f t="shared" si="8"/>
        <v>898</v>
      </c>
      <c r="M45" s="1">
        <f t="shared" si="7"/>
        <v>4000</v>
      </c>
    </row>
    <row r="46" spans="5:13" x14ac:dyDescent="0.35">
      <c r="E46" s="7">
        <v>41</v>
      </c>
      <c r="F46" s="1">
        <f t="shared" si="0"/>
        <v>922</v>
      </c>
      <c r="G46" s="1">
        <f t="shared" si="6"/>
        <v>25</v>
      </c>
      <c r="H46" s="1">
        <f t="shared" si="1"/>
        <v>4000</v>
      </c>
      <c r="I46" s="1">
        <f t="shared" si="2"/>
        <v>0</v>
      </c>
      <c r="J46" s="1">
        <f t="shared" ca="1" si="3"/>
        <v>0</v>
      </c>
      <c r="K46" s="1">
        <f t="shared" si="4"/>
        <v>0</v>
      </c>
      <c r="L46" s="1">
        <f t="shared" si="8"/>
        <v>0</v>
      </c>
      <c r="M46" s="1">
        <f t="shared" si="7"/>
        <v>0</v>
      </c>
    </row>
    <row r="47" spans="5:13" x14ac:dyDescent="0.35">
      <c r="E47" s="7">
        <v>42</v>
      </c>
      <c r="F47" s="1">
        <f t="shared" si="0"/>
        <v>947</v>
      </c>
      <c r="G47" s="1">
        <f t="shared" si="6"/>
        <v>25</v>
      </c>
      <c r="H47" s="1">
        <f t="shared" si="1"/>
        <v>4050</v>
      </c>
      <c r="I47" s="1">
        <f t="shared" si="2"/>
        <v>948</v>
      </c>
      <c r="J47" s="1">
        <f t="shared" ca="1" si="3"/>
        <v>50</v>
      </c>
      <c r="K47" s="1">
        <f t="shared" si="4"/>
        <v>4100</v>
      </c>
      <c r="L47" s="1">
        <f t="shared" si="8"/>
        <v>948</v>
      </c>
      <c r="M47" s="1">
        <f t="shared" si="7"/>
        <v>4100</v>
      </c>
    </row>
    <row r="48" spans="5:13" x14ac:dyDescent="0.35">
      <c r="E48" s="7">
        <v>43</v>
      </c>
      <c r="F48" s="1">
        <f t="shared" si="0"/>
        <v>972</v>
      </c>
      <c r="G48" s="1">
        <f t="shared" si="6"/>
        <v>25</v>
      </c>
      <c r="H48" s="1">
        <f t="shared" si="1"/>
        <v>4100</v>
      </c>
      <c r="I48" s="1">
        <f t="shared" si="2"/>
        <v>0</v>
      </c>
      <c r="J48" s="1">
        <f t="shared" ca="1" si="3"/>
        <v>0</v>
      </c>
      <c r="K48" s="1">
        <f t="shared" si="4"/>
        <v>0</v>
      </c>
      <c r="L48" s="1">
        <f t="shared" si="8"/>
        <v>0</v>
      </c>
      <c r="M48" s="1">
        <f t="shared" si="7"/>
        <v>0</v>
      </c>
    </row>
    <row r="49" spans="5:13" x14ac:dyDescent="0.35">
      <c r="E49" s="7">
        <v>44</v>
      </c>
      <c r="F49" s="1">
        <f t="shared" si="0"/>
        <v>997</v>
      </c>
      <c r="G49" s="1">
        <f t="shared" si="6"/>
        <v>25</v>
      </c>
      <c r="H49" s="1">
        <f t="shared" si="1"/>
        <v>4150</v>
      </c>
      <c r="I49" s="1">
        <f t="shared" si="2"/>
        <v>998</v>
      </c>
      <c r="J49" s="1">
        <f t="shared" ca="1" si="3"/>
        <v>50</v>
      </c>
      <c r="K49" s="1">
        <f t="shared" si="4"/>
        <v>4200</v>
      </c>
      <c r="L49" s="1">
        <f t="shared" si="8"/>
        <v>998</v>
      </c>
      <c r="M49" s="1">
        <f t="shared" si="7"/>
        <v>4200</v>
      </c>
    </row>
  </sheetData>
  <mergeCells count="2">
    <mergeCell ref="F4:H4"/>
    <mergeCell ref="I4:M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DBA6-027A-456E-B304-3576717D5C60}">
  <dimension ref="B1:AJ83"/>
  <sheetViews>
    <sheetView topLeftCell="A46" workbookViewId="0">
      <selection activeCell="J71" sqref="J71"/>
    </sheetView>
  </sheetViews>
  <sheetFormatPr defaultColWidth="13" defaultRowHeight="16.5" x14ac:dyDescent="0.35"/>
  <cols>
    <col min="2" max="2" width="19.375" bestFit="1" customWidth="1"/>
    <col min="13" max="13" width="13" style="5"/>
    <col min="14" max="14" width="7.875" style="5" customWidth="1"/>
    <col min="15" max="18" width="13" style="1"/>
    <col min="19" max="25" width="12.5" style="1" customWidth="1"/>
    <col min="28" max="34" width="12.5" style="1" customWidth="1"/>
  </cols>
  <sheetData>
    <row r="1" spans="2:34" s="4" customFormat="1" ht="32.1" customHeight="1" x14ac:dyDescent="0.35">
      <c r="B1" s="4" t="s">
        <v>122</v>
      </c>
    </row>
    <row r="2" spans="2:34" x14ac:dyDescent="0.35">
      <c r="L2" s="1"/>
      <c r="M2"/>
      <c r="N2"/>
      <c r="O2"/>
      <c r="P2"/>
      <c r="Q2"/>
      <c r="R2"/>
      <c r="S2"/>
      <c r="T2"/>
      <c r="U2"/>
      <c r="V2"/>
      <c r="W2"/>
      <c r="X2"/>
      <c r="Y2"/>
      <c r="AB2"/>
      <c r="AC2"/>
      <c r="AD2"/>
      <c r="AE2"/>
      <c r="AF2"/>
      <c r="AG2"/>
      <c r="AH2"/>
    </row>
    <row r="3" spans="2:34" x14ac:dyDescent="0.35">
      <c r="L3" s="1"/>
      <c r="R3" s="7" t="s">
        <v>12</v>
      </c>
      <c r="S3" s="7">
        <v>1</v>
      </c>
      <c r="T3" s="7">
        <v>1</v>
      </c>
      <c r="U3" s="7">
        <v>2</v>
      </c>
      <c r="V3" s="7">
        <v>3</v>
      </c>
      <c r="W3" s="7">
        <v>4</v>
      </c>
      <c r="X3" s="7">
        <v>5</v>
      </c>
      <c r="Y3" s="7">
        <v>6</v>
      </c>
      <c r="Z3" s="7"/>
      <c r="AA3" s="7"/>
      <c r="AB3" s="7">
        <v>1</v>
      </c>
      <c r="AC3" s="7">
        <v>1</v>
      </c>
      <c r="AD3" s="7">
        <v>2</v>
      </c>
      <c r="AE3" s="7">
        <v>3</v>
      </c>
      <c r="AF3" s="7">
        <v>4</v>
      </c>
      <c r="AG3" s="7">
        <v>5</v>
      </c>
      <c r="AH3" s="7">
        <v>6</v>
      </c>
    </row>
    <row r="4" spans="2:34" s="13" customFormat="1" x14ac:dyDescent="0.35">
      <c r="B4" s="13" t="s">
        <v>134</v>
      </c>
      <c r="O4" s="13" t="s">
        <v>139</v>
      </c>
      <c r="AA4" s="7" t="s">
        <v>368</v>
      </c>
      <c r="AB4" s="7" t="s">
        <v>368</v>
      </c>
      <c r="AC4" s="7" t="s">
        <v>368</v>
      </c>
      <c r="AD4" s="7" t="s">
        <v>368</v>
      </c>
      <c r="AE4" s="7" t="s">
        <v>368</v>
      </c>
      <c r="AF4" s="7" t="s">
        <v>368</v>
      </c>
      <c r="AG4" s="7" t="s">
        <v>368</v>
      </c>
      <c r="AH4" s="7" t="s">
        <v>368</v>
      </c>
    </row>
    <row r="5" spans="2:34" s="13" customFormat="1" x14ac:dyDescent="0.35">
      <c r="B5" s="13" t="s">
        <v>31</v>
      </c>
      <c r="E5" s="13">
        <v>1.5</v>
      </c>
      <c r="F5" s="13">
        <v>2</v>
      </c>
      <c r="N5" s="13" t="s">
        <v>17</v>
      </c>
      <c r="O5" s="13" t="s">
        <v>59</v>
      </c>
      <c r="P5" s="13" t="s">
        <v>61</v>
      </c>
      <c r="Q5" s="13" t="s">
        <v>137</v>
      </c>
      <c r="R5" s="13" t="s">
        <v>11</v>
      </c>
      <c r="S5" s="13" t="s">
        <v>62</v>
      </c>
      <c r="T5" s="13" t="str">
        <f t="shared" ref="T5:Y5" si="0">INDEX($C$7:$C$12,T3)</f>
        <v>回退</v>
      </c>
      <c r="U5" s="13" t="str">
        <f t="shared" si="0"/>
        <v>加5张</v>
      </c>
      <c r="V5" s="13" t="str">
        <f t="shared" si="0"/>
        <v>万能牌</v>
      </c>
      <c r="W5" s="13" t="str">
        <f t="shared" si="0"/>
        <v>开局-消三张</v>
      </c>
      <c r="X5" s="13" t="str">
        <f t="shared" si="0"/>
        <v>开局-全清</v>
      </c>
      <c r="Y5" s="13" t="str">
        <f t="shared" si="0"/>
        <v>开局-万能牌</v>
      </c>
      <c r="AA5" s="13" t="s">
        <v>235</v>
      </c>
      <c r="AB5" s="13" t="s">
        <v>62</v>
      </c>
      <c r="AC5" s="13" t="str">
        <f t="shared" ref="AC5:AH5" si="1">INDEX($C$7:$C$12,AC3)</f>
        <v>回退</v>
      </c>
      <c r="AD5" s="13" t="str">
        <f t="shared" si="1"/>
        <v>加5张</v>
      </c>
      <c r="AE5" s="13" t="str">
        <f t="shared" si="1"/>
        <v>万能牌</v>
      </c>
      <c r="AF5" s="13" t="str">
        <f t="shared" si="1"/>
        <v>开局-消三张</v>
      </c>
      <c r="AG5" s="13" t="str">
        <f t="shared" si="1"/>
        <v>开局-全清</v>
      </c>
      <c r="AH5" s="13" t="str">
        <f t="shared" si="1"/>
        <v>开局-万能牌</v>
      </c>
    </row>
    <row r="6" spans="2:34" s="13" customFormat="1" x14ac:dyDescent="0.35">
      <c r="B6" s="13" t="s">
        <v>124</v>
      </c>
      <c r="C6" s="13" t="s">
        <v>53</v>
      </c>
      <c r="D6" s="13" t="s">
        <v>130</v>
      </c>
      <c r="E6" s="13" t="s">
        <v>51</v>
      </c>
      <c r="F6" s="13" t="s">
        <v>52</v>
      </c>
      <c r="I6" s="22"/>
      <c r="M6" s="23"/>
      <c r="N6" s="9">
        <v>1</v>
      </c>
      <c r="O6" s="1" t="str">
        <f t="shared" ref="O6:O37" si="2">IF(N6&gt;$L$13,$K$15,$C$24)</f>
        <v>调整关卡</v>
      </c>
      <c r="P6" s="1">
        <f t="shared" ref="P6:P37" si="3">IF(N6&gt;$L$13,INT((N6-$L$13-1)/$L$8)+$L$16,INT((N6-1)/$L$8)+1)</f>
        <v>1</v>
      </c>
      <c r="Q6" s="1">
        <v>1</v>
      </c>
      <c r="R6" s="1">
        <f t="shared" ref="R6:R37" si="4">IF(O6=$K$15,INDEX(leve_cost_k,P6),INDEX($D$24:$I$24,1,P6))</f>
        <v>1</v>
      </c>
      <c r="S6" s="1">
        <f t="shared" ref="S6:S37" si="5">INDEX($C$17:$F$17,1,$Q6)</f>
        <v>1</v>
      </c>
      <c r="T6" s="8">
        <f t="shared" ref="T6:Y15" si="6">INDEX($D$7:$D$12,T$3)*INDEX($C$20:$F$20,1,$Q6)/IF($O6=$O$6,INDEX($D$25:$I$30,T$3,$P6),1)</f>
        <v>0.1</v>
      </c>
      <c r="U6" s="8">
        <f t="shared" si="6"/>
        <v>0.5</v>
      </c>
      <c r="V6" s="8">
        <f t="shared" si="6"/>
        <v>0.5</v>
      </c>
      <c r="W6" s="8">
        <f t="shared" si="6"/>
        <v>1.3888888888888888</v>
      </c>
      <c r="X6" s="8">
        <f t="shared" si="6"/>
        <v>1.6666666666666667</v>
      </c>
      <c r="Y6" s="8">
        <f t="shared" si="6"/>
        <v>2.2222222222222223</v>
      </c>
      <c r="AA6" s="1">
        <f>R6</f>
        <v>1</v>
      </c>
      <c r="AB6" s="1">
        <f t="shared" ref="AB6:AB37" si="7">INDEX(leve_cost_v,MATCH(R6,leve_cost_k,1))*INDEX($C$17:$F$17,,$Q6)</f>
        <v>1000</v>
      </c>
      <c r="AC6" s="1">
        <f t="shared" ref="AC6:AC37" si="8">_xlfn.CEILING.MATH(T6*$AB6,50)</f>
        <v>100</v>
      </c>
      <c r="AD6" s="1">
        <f t="shared" ref="AD6:AD37" si="9">_xlfn.CEILING.MATH(U6*$AB6,50)</f>
        <v>500</v>
      </c>
      <c r="AE6" s="1">
        <f t="shared" ref="AE6:AE37" si="10">_xlfn.CEILING.MATH(V6*$AB6,50)</f>
        <v>500</v>
      </c>
      <c r="AF6" s="1">
        <f t="shared" ref="AF6:AF37" si="11">_xlfn.CEILING.MATH(W6*$AB6,50)</f>
        <v>1400</v>
      </c>
      <c r="AG6" s="1">
        <f t="shared" ref="AG6:AG37" si="12">_xlfn.CEILING.MATH(X6*$AB6,50)</f>
        <v>1700</v>
      </c>
      <c r="AH6" s="1">
        <f t="shared" ref="AH6:AH37" si="13">_xlfn.CEILING.MATH(Y6*$AB6,50)</f>
        <v>2250</v>
      </c>
    </row>
    <row r="7" spans="2:34" x14ac:dyDescent="0.35">
      <c r="B7">
        <v>301</v>
      </c>
      <c r="C7" t="str">
        <f t="shared" ref="C7:C12" si="14">INDEX(item_name,MATCH(B7,item_id,0))</f>
        <v>回退</v>
      </c>
      <c r="D7" s="10">
        <f>1/4</f>
        <v>0.25</v>
      </c>
      <c r="E7" s="1">
        <f>$D7*E$5</f>
        <v>0.375</v>
      </c>
      <c r="F7" s="1">
        <f>$D7*F$5</f>
        <v>0.5</v>
      </c>
      <c r="K7" s="13" t="s">
        <v>138</v>
      </c>
      <c r="L7" s="1"/>
      <c r="N7" s="9">
        <v>2</v>
      </c>
      <c r="O7" s="1" t="str">
        <f t="shared" si="2"/>
        <v>调整关卡</v>
      </c>
      <c r="P7" s="1">
        <f t="shared" si="3"/>
        <v>1</v>
      </c>
      <c r="Q7" s="1">
        <v>2</v>
      </c>
      <c r="R7" s="1">
        <f t="shared" si="4"/>
        <v>1</v>
      </c>
      <c r="S7" s="1">
        <f t="shared" si="5"/>
        <v>2</v>
      </c>
      <c r="T7" s="8">
        <f t="shared" si="6"/>
        <v>8.7499999999999994E-2</v>
      </c>
      <c r="U7" s="8">
        <f t="shared" si="6"/>
        <v>0.4375</v>
      </c>
      <c r="V7" s="8">
        <f t="shared" si="6"/>
        <v>0.4375</v>
      </c>
      <c r="W7" s="8">
        <f t="shared" si="6"/>
        <v>1.2152777777777777</v>
      </c>
      <c r="X7" s="8">
        <f t="shared" si="6"/>
        <v>1.4583333333333335</v>
      </c>
      <c r="Y7" s="8">
        <f t="shared" si="6"/>
        <v>1.9444444444444442</v>
      </c>
      <c r="AA7" s="1">
        <f t="shared" ref="AA7:AA70" si="15">R7</f>
        <v>1</v>
      </c>
      <c r="AB7" s="1">
        <f t="shared" si="7"/>
        <v>2000</v>
      </c>
      <c r="AC7" s="1">
        <f t="shared" si="8"/>
        <v>200</v>
      </c>
      <c r="AD7" s="1">
        <f t="shared" si="9"/>
        <v>900</v>
      </c>
      <c r="AE7" s="1">
        <f t="shared" si="10"/>
        <v>900</v>
      </c>
      <c r="AF7" s="1">
        <f t="shared" si="11"/>
        <v>2450</v>
      </c>
      <c r="AG7" s="1">
        <f t="shared" si="12"/>
        <v>2950</v>
      </c>
      <c r="AH7" s="1">
        <f t="shared" si="13"/>
        <v>3900</v>
      </c>
    </row>
    <row r="8" spans="2:34" x14ac:dyDescent="0.35">
      <c r="B8">
        <v>302</v>
      </c>
      <c r="C8" t="str">
        <f t="shared" si="14"/>
        <v>加5张</v>
      </c>
      <c r="D8" s="10">
        <v>2</v>
      </c>
      <c r="E8" s="1">
        <f>$D8*E$5</f>
        <v>3</v>
      </c>
      <c r="F8" s="1">
        <f>$D8*F$5</f>
        <v>4</v>
      </c>
      <c r="K8" t="s">
        <v>135</v>
      </c>
      <c r="L8" s="1">
        <v>3</v>
      </c>
      <c r="N8" s="9">
        <v>3</v>
      </c>
      <c r="O8" s="1" t="str">
        <f t="shared" si="2"/>
        <v>调整关卡</v>
      </c>
      <c r="P8" s="1">
        <f t="shared" si="3"/>
        <v>1</v>
      </c>
      <c r="Q8" s="1">
        <v>3</v>
      </c>
      <c r="R8" s="1">
        <f t="shared" si="4"/>
        <v>1</v>
      </c>
      <c r="S8" s="1">
        <f t="shared" si="5"/>
        <v>4</v>
      </c>
      <c r="T8" s="8">
        <f t="shared" si="6"/>
        <v>6.6666666666666666E-2</v>
      </c>
      <c r="U8" s="8">
        <f t="shared" si="6"/>
        <v>0.33333333333333331</v>
      </c>
      <c r="V8" s="8">
        <f t="shared" si="6"/>
        <v>0.33333333333333331</v>
      </c>
      <c r="W8" s="8">
        <f t="shared" si="6"/>
        <v>0.92592592592592582</v>
      </c>
      <c r="X8" s="8">
        <f t="shared" si="6"/>
        <v>1.1111111111111112</v>
      </c>
      <c r="Y8" s="8">
        <f t="shared" si="6"/>
        <v>1.4814814814814814</v>
      </c>
      <c r="AA8" s="1">
        <f t="shared" si="15"/>
        <v>1</v>
      </c>
      <c r="AB8" s="1">
        <f t="shared" si="7"/>
        <v>4000</v>
      </c>
      <c r="AC8" s="1">
        <f t="shared" si="8"/>
        <v>300</v>
      </c>
      <c r="AD8" s="1">
        <f t="shared" si="9"/>
        <v>1350</v>
      </c>
      <c r="AE8" s="1">
        <f t="shared" si="10"/>
        <v>1350</v>
      </c>
      <c r="AF8" s="1">
        <f t="shared" si="11"/>
        <v>3750</v>
      </c>
      <c r="AG8" s="1">
        <f t="shared" si="12"/>
        <v>4450</v>
      </c>
      <c r="AH8" s="1">
        <f t="shared" si="13"/>
        <v>5950</v>
      </c>
    </row>
    <row r="9" spans="2:34" x14ac:dyDescent="0.35">
      <c r="B9">
        <v>303</v>
      </c>
      <c r="C9" t="str">
        <f t="shared" si="14"/>
        <v>万能牌</v>
      </c>
      <c r="D9" s="10">
        <v>3</v>
      </c>
      <c r="E9" s="1"/>
      <c r="F9" s="1"/>
      <c r="K9" t="s">
        <v>56</v>
      </c>
      <c r="L9" s="1">
        <f>COUNT(D24:I24)</f>
        <v>6</v>
      </c>
      <c r="N9" s="9">
        <v>4</v>
      </c>
      <c r="O9" s="1" t="str">
        <f t="shared" si="2"/>
        <v>调整关卡</v>
      </c>
      <c r="P9" s="1">
        <f t="shared" si="3"/>
        <v>2</v>
      </c>
      <c r="Q9" s="1">
        <v>1</v>
      </c>
      <c r="R9" s="1">
        <f t="shared" si="4"/>
        <v>13</v>
      </c>
      <c r="S9" s="1">
        <f t="shared" si="5"/>
        <v>1</v>
      </c>
      <c r="T9" s="8">
        <f t="shared" si="6"/>
        <v>0.1</v>
      </c>
      <c r="U9" s="8">
        <f t="shared" si="6"/>
        <v>0.5</v>
      </c>
      <c r="V9" s="8">
        <f t="shared" si="6"/>
        <v>1</v>
      </c>
      <c r="W9" s="8">
        <f t="shared" si="6"/>
        <v>1.3888888888888888</v>
      </c>
      <c r="X9" s="8">
        <f t="shared" si="6"/>
        <v>1.6666666666666667</v>
      </c>
      <c r="Y9" s="8">
        <f t="shared" si="6"/>
        <v>2.2222222222222223</v>
      </c>
      <c r="AA9" s="1">
        <f t="shared" si="15"/>
        <v>13</v>
      </c>
      <c r="AB9" s="1">
        <f t="shared" si="7"/>
        <v>1000</v>
      </c>
      <c r="AC9" s="1">
        <f t="shared" si="8"/>
        <v>100</v>
      </c>
      <c r="AD9" s="1">
        <f t="shared" si="9"/>
        <v>500</v>
      </c>
      <c r="AE9" s="1">
        <f t="shared" si="10"/>
        <v>1000</v>
      </c>
      <c r="AF9" s="1">
        <f t="shared" si="11"/>
        <v>1400</v>
      </c>
      <c r="AG9" s="1">
        <f t="shared" si="12"/>
        <v>1700</v>
      </c>
      <c r="AH9" s="1">
        <f t="shared" si="13"/>
        <v>2250</v>
      </c>
    </row>
    <row r="10" spans="2:34" x14ac:dyDescent="0.35">
      <c r="B10">
        <v>201</v>
      </c>
      <c r="C10" t="str">
        <f t="shared" si="14"/>
        <v>开局-消三张</v>
      </c>
      <c r="D10" s="10">
        <f>1+2/3</f>
        <v>1.6666666666666665</v>
      </c>
      <c r="E10" s="1"/>
      <c r="F10" s="1"/>
      <c r="K10" t="s">
        <v>57</v>
      </c>
      <c r="L10" s="1">
        <f>COUNTIF(关卡消耗!T6:T28,"&gt;="&amp;L15)</f>
        <v>20</v>
      </c>
      <c r="N10" s="9">
        <v>5</v>
      </c>
      <c r="O10" s="1" t="str">
        <f t="shared" si="2"/>
        <v>调整关卡</v>
      </c>
      <c r="P10" s="1">
        <f t="shared" si="3"/>
        <v>2</v>
      </c>
      <c r="Q10" s="1">
        <v>2</v>
      </c>
      <c r="R10" s="1">
        <f t="shared" si="4"/>
        <v>13</v>
      </c>
      <c r="S10" s="1">
        <f t="shared" si="5"/>
        <v>2</v>
      </c>
      <c r="T10" s="8">
        <f t="shared" si="6"/>
        <v>8.7499999999999994E-2</v>
      </c>
      <c r="U10" s="8">
        <f t="shared" si="6"/>
        <v>0.4375</v>
      </c>
      <c r="V10" s="8">
        <f t="shared" si="6"/>
        <v>0.875</v>
      </c>
      <c r="W10" s="8">
        <f t="shared" si="6"/>
        <v>1.2152777777777777</v>
      </c>
      <c r="X10" s="8">
        <f t="shared" si="6"/>
        <v>1.4583333333333335</v>
      </c>
      <c r="Y10" s="8">
        <f t="shared" si="6"/>
        <v>1.9444444444444442</v>
      </c>
      <c r="AA10" s="1">
        <f t="shared" si="15"/>
        <v>13</v>
      </c>
      <c r="AB10" s="1">
        <f t="shared" si="7"/>
        <v>2000</v>
      </c>
      <c r="AC10" s="1">
        <f t="shared" si="8"/>
        <v>200</v>
      </c>
      <c r="AD10" s="1">
        <f t="shared" si="9"/>
        <v>900</v>
      </c>
      <c r="AE10" s="1">
        <f t="shared" si="10"/>
        <v>1750</v>
      </c>
      <c r="AF10" s="1">
        <f t="shared" si="11"/>
        <v>2450</v>
      </c>
      <c r="AG10" s="1">
        <f t="shared" si="12"/>
        <v>2950</v>
      </c>
      <c r="AH10" s="1">
        <f t="shared" si="13"/>
        <v>3900</v>
      </c>
    </row>
    <row r="11" spans="2:34" x14ac:dyDescent="0.35">
      <c r="B11">
        <v>202</v>
      </c>
      <c r="C11" t="str">
        <f t="shared" si="14"/>
        <v>开局-全清</v>
      </c>
      <c r="D11" s="10">
        <v>2</v>
      </c>
      <c r="E11" s="1"/>
      <c r="F11" s="1"/>
      <c r="L11" s="1"/>
      <c r="N11" s="9">
        <v>6</v>
      </c>
      <c r="O11" s="1" t="str">
        <f t="shared" si="2"/>
        <v>调整关卡</v>
      </c>
      <c r="P11" s="1">
        <f t="shared" si="3"/>
        <v>2</v>
      </c>
      <c r="Q11" s="1">
        <v>3</v>
      </c>
      <c r="R11" s="1">
        <f t="shared" si="4"/>
        <v>13</v>
      </c>
      <c r="S11" s="1">
        <f t="shared" si="5"/>
        <v>4</v>
      </c>
      <c r="T11" s="8">
        <f t="shared" si="6"/>
        <v>6.6666666666666666E-2</v>
      </c>
      <c r="U11" s="8">
        <f t="shared" si="6"/>
        <v>0.33333333333333331</v>
      </c>
      <c r="V11" s="8">
        <f t="shared" si="6"/>
        <v>0.66666666666666663</v>
      </c>
      <c r="W11" s="8">
        <f t="shared" si="6"/>
        <v>0.92592592592592582</v>
      </c>
      <c r="X11" s="8">
        <f t="shared" si="6"/>
        <v>1.1111111111111112</v>
      </c>
      <c r="Y11" s="8">
        <f t="shared" si="6"/>
        <v>1.4814814814814814</v>
      </c>
      <c r="AA11" s="1">
        <f t="shared" si="15"/>
        <v>13</v>
      </c>
      <c r="AB11" s="1">
        <f t="shared" si="7"/>
        <v>4000</v>
      </c>
      <c r="AC11" s="1">
        <f t="shared" si="8"/>
        <v>300</v>
      </c>
      <c r="AD11" s="1">
        <f t="shared" si="9"/>
        <v>1350</v>
      </c>
      <c r="AE11" s="1">
        <f t="shared" si="10"/>
        <v>2700</v>
      </c>
      <c r="AF11" s="1">
        <f t="shared" si="11"/>
        <v>3750</v>
      </c>
      <c r="AG11" s="1">
        <f t="shared" si="12"/>
        <v>4450</v>
      </c>
      <c r="AH11" s="1">
        <f t="shared" si="13"/>
        <v>5950</v>
      </c>
    </row>
    <row r="12" spans="2:34" x14ac:dyDescent="0.35">
      <c r="B12">
        <v>203</v>
      </c>
      <c r="C12" t="str">
        <f t="shared" si="14"/>
        <v>开局-万能牌</v>
      </c>
      <c r="D12" s="10">
        <f>2+2/3</f>
        <v>2.6666666666666665</v>
      </c>
      <c r="E12" s="1"/>
      <c r="F12" s="1"/>
      <c r="K12" t="s">
        <v>12</v>
      </c>
      <c r="L12" s="1">
        <f>(L10+L9)*L8</f>
        <v>78</v>
      </c>
      <c r="N12" s="9">
        <v>7</v>
      </c>
      <c r="O12" s="1" t="str">
        <f t="shared" si="2"/>
        <v>调整关卡</v>
      </c>
      <c r="P12" s="1">
        <f t="shared" si="3"/>
        <v>3</v>
      </c>
      <c r="Q12" s="1">
        <v>1</v>
      </c>
      <c r="R12" s="1">
        <f t="shared" si="4"/>
        <v>20</v>
      </c>
      <c r="S12" s="1">
        <f t="shared" si="5"/>
        <v>1</v>
      </c>
      <c r="T12" s="8">
        <f t="shared" si="6"/>
        <v>0.13333333333333333</v>
      </c>
      <c r="U12" s="8">
        <f t="shared" si="6"/>
        <v>0.6</v>
      </c>
      <c r="V12" s="8">
        <f t="shared" si="6"/>
        <v>1.3333333333333333</v>
      </c>
      <c r="W12" s="8">
        <f t="shared" si="6"/>
        <v>1.3888888888888888</v>
      </c>
      <c r="X12" s="8">
        <f t="shared" si="6"/>
        <v>1.6666666666666667</v>
      </c>
      <c r="Y12" s="8">
        <f t="shared" si="6"/>
        <v>2.2222222222222223</v>
      </c>
      <c r="AA12" s="1">
        <f t="shared" si="15"/>
        <v>20</v>
      </c>
      <c r="AB12" s="1">
        <f t="shared" si="7"/>
        <v>1500</v>
      </c>
      <c r="AC12" s="1">
        <f t="shared" si="8"/>
        <v>200</v>
      </c>
      <c r="AD12" s="1">
        <f t="shared" si="9"/>
        <v>900</v>
      </c>
      <c r="AE12" s="1">
        <f t="shared" si="10"/>
        <v>2000</v>
      </c>
      <c r="AF12" s="1">
        <f t="shared" si="11"/>
        <v>2100</v>
      </c>
      <c r="AG12" s="1">
        <f t="shared" si="12"/>
        <v>2500</v>
      </c>
      <c r="AH12" s="1">
        <f t="shared" si="13"/>
        <v>3350</v>
      </c>
    </row>
    <row r="13" spans="2:34" x14ac:dyDescent="0.35">
      <c r="K13" t="s">
        <v>58</v>
      </c>
      <c r="L13" s="1">
        <f>L9*L8</f>
        <v>18</v>
      </c>
      <c r="N13" s="9">
        <v>8</v>
      </c>
      <c r="O13" s="1" t="str">
        <f t="shared" si="2"/>
        <v>调整关卡</v>
      </c>
      <c r="P13" s="1">
        <f t="shared" si="3"/>
        <v>3</v>
      </c>
      <c r="Q13" s="1">
        <v>2</v>
      </c>
      <c r="R13" s="1">
        <f t="shared" si="4"/>
        <v>20</v>
      </c>
      <c r="S13" s="1">
        <f t="shared" si="5"/>
        <v>2</v>
      </c>
      <c r="T13" s="8">
        <f t="shared" si="6"/>
        <v>0.11666666666666667</v>
      </c>
      <c r="U13" s="8">
        <f t="shared" si="6"/>
        <v>0.52500000000000002</v>
      </c>
      <c r="V13" s="8">
        <f t="shared" si="6"/>
        <v>1.1666666666666667</v>
      </c>
      <c r="W13" s="8">
        <f t="shared" si="6"/>
        <v>1.2152777777777777</v>
      </c>
      <c r="X13" s="8">
        <f t="shared" si="6"/>
        <v>1.4583333333333335</v>
      </c>
      <c r="Y13" s="8">
        <f t="shared" si="6"/>
        <v>1.9444444444444442</v>
      </c>
      <c r="AA13" s="1">
        <f t="shared" si="15"/>
        <v>20</v>
      </c>
      <c r="AB13" s="1">
        <f t="shared" si="7"/>
        <v>3000</v>
      </c>
      <c r="AC13" s="1">
        <f t="shared" si="8"/>
        <v>350</v>
      </c>
      <c r="AD13" s="1">
        <f t="shared" si="9"/>
        <v>1600</v>
      </c>
      <c r="AE13" s="1">
        <f t="shared" si="10"/>
        <v>3500</v>
      </c>
      <c r="AF13" s="1">
        <f t="shared" si="11"/>
        <v>3650</v>
      </c>
      <c r="AG13" s="1">
        <f t="shared" si="12"/>
        <v>4400</v>
      </c>
      <c r="AH13" s="1">
        <f t="shared" si="13"/>
        <v>5850</v>
      </c>
    </row>
    <row r="14" spans="2:34" x14ac:dyDescent="0.35">
      <c r="B14" s="13" t="s">
        <v>376</v>
      </c>
      <c r="L14" s="1"/>
      <c r="N14" s="9">
        <v>9</v>
      </c>
      <c r="O14" s="1" t="str">
        <f t="shared" si="2"/>
        <v>调整关卡</v>
      </c>
      <c r="P14" s="1">
        <f t="shared" si="3"/>
        <v>3</v>
      </c>
      <c r="Q14" s="1">
        <v>3</v>
      </c>
      <c r="R14" s="1">
        <f t="shared" si="4"/>
        <v>20</v>
      </c>
      <c r="S14" s="1">
        <f t="shared" si="5"/>
        <v>4</v>
      </c>
      <c r="T14" s="8">
        <f t="shared" si="6"/>
        <v>8.8888888888888878E-2</v>
      </c>
      <c r="U14" s="8">
        <f t="shared" si="6"/>
        <v>0.39999999999999997</v>
      </c>
      <c r="V14" s="8">
        <f t="shared" si="6"/>
        <v>0.88888888888888884</v>
      </c>
      <c r="W14" s="8">
        <f t="shared" si="6"/>
        <v>0.92592592592592582</v>
      </c>
      <c r="X14" s="8">
        <f t="shared" si="6"/>
        <v>1.1111111111111112</v>
      </c>
      <c r="Y14" s="8">
        <f t="shared" si="6"/>
        <v>1.4814814814814814</v>
      </c>
      <c r="AA14" s="1">
        <f t="shared" si="15"/>
        <v>20</v>
      </c>
      <c r="AB14" s="1">
        <f t="shared" si="7"/>
        <v>6000</v>
      </c>
      <c r="AC14" s="1">
        <f t="shared" si="8"/>
        <v>550</v>
      </c>
      <c r="AD14" s="1">
        <f t="shared" si="9"/>
        <v>2400</v>
      </c>
      <c r="AE14" s="1">
        <f t="shared" si="10"/>
        <v>5350</v>
      </c>
      <c r="AF14" s="1">
        <f t="shared" si="11"/>
        <v>5600</v>
      </c>
      <c r="AG14" s="1">
        <f t="shared" si="12"/>
        <v>6700</v>
      </c>
      <c r="AH14" s="1">
        <f t="shared" si="13"/>
        <v>8900</v>
      </c>
    </row>
    <row r="15" spans="2:34" x14ac:dyDescent="0.35">
      <c r="B15" s="13" t="s">
        <v>377</v>
      </c>
      <c r="K15" t="s">
        <v>21</v>
      </c>
      <c r="L15" s="1">
        <v>58</v>
      </c>
      <c r="N15" s="9">
        <v>10</v>
      </c>
      <c r="O15" s="1" t="str">
        <f t="shared" si="2"/>
        <v>调整关卡</v>
      </c>
      <c r="P15" s="1">
        <f t="shared" si="3"/>
        <v>4</v>
      </c>
      <c r="Q15" s="1">
        <v>1</v>
      </c>
      <c r="R15" s="1">
        <f t="shared" si="4"/>
        <v>27</v>
      </c>
      <c r="S15" s="1">
        <f t="shared" si="5"/>
        <v>1</v>
      </c>
      <c r="T15" s="8">
        <f t="shared" si="6"/>
        <v>0.13333333333333333</v>
      </c>
      <c r="U15" s="8">
        <f t="shared" si="6"/>
        <v>1</v>
      </c>
      <c r="V15" s="8">
        <f t="shared" si="6"/>
        <v>1.3333333333333333</v>
      </c>
      <c r="W15" s="8">
        <f t="shared" si="6"/>
        <v>1.3888888888888888</v>
      </c>
      <c r="X15" s="8">
        <f t="shared" si="6"/>
        <v>1.6666666666666667</v>
      </c>
      <c r="Y15" s="8">
        <f t="shared" si="6"/>
        <v>2.2222222222222223</v>
      </c>
      <c r="AA15" s="1">
        <f t="shared" si="15"/>
        <v>27</v>
      </c>
      <c r="AB15" s="1">
        <f t="shared" si="7"/>
        <v>1500</v>
      </c>
      <c r="AC15" s="1">
        <f t="shared" si="8"/>
        <v>200</v>
      </c>
      <c r="AD15" s="1">
        <f t="shared" si="9"/>
        <v>1500</v>
      </c>
      <c r="AE15" s="1">
        <f t="shared" si="10"/>
        <v>2000</v>
      </c>
      <c r="AF15" s="1">
        <f t="shared" si="11"/>
        <v>2100</v>
      </c>
      <c r="AG15" s="1">
        <f t="shared" si="12"/>
        <v>2500</v>
      </c>
      <c r="AH15" s="1">
        <f t="shared" si="13"/>
        <v>3350</v>
      </c>
    </row>
    <row r="16" spans="2:34" x14ac:dyDescent="0.35">
      <c r="B16" s="13" t="s">
        <v>133</v>
      </c>
      <c r="C16" s="13">
        <v>1</v>
      </c>
      <c r="D16" s="13">
        <v>2</v>
      </c>
      <c r="E16" s="13">
        <v>3</v>
      </c>
      <c r="F16" s="13">
        <v>4</v>
      </c>
      <c r="K16" t="s">
        <v>60</v>
      </c>
      <c r="L16" s="1">
        <f>MATCH(L15,leve_cost_k,1)</f>
        <v>4</v>
      </c>
      <c r="N16" s="9">
        <v>11</v>
      </c>
      <c r="O16" s="1" t="str">
        <f t="shared" si="2"/>
        <v>调整关卡</v>
      </c>
      <c r="P16" s="1">
        <f t="shared" si="3"/>
        <v>4</v>
      </c>
      <c r="Q16" s="1">
        <v>2</v>
      </c>
      <c r="R16" s="1">
        <f t="shared" si="4"/>
        <v>27</v>
      </c>
      <c r="S16" s="1">
        <f t="shared" si="5"/>
        <v>2</v>
      </c>
      <c r="T16" s="8">
        <f t="shared" ref="T16:Y25" si="16">INDEX($D$7:$D$12,T$3)*INDEX($C$20:$F$20,1,$Q16)/IF($O16=$O$6,INDEX($D$25:$I$30,T$3,$P16),1)</f>
        <v>0.11666666666666667</v>
      </c>
      <c r="U16" s="8">
        <f t="shared" si="16"/>
        <v>0.875</v>
      </c>
      <c r="V16" s="8">
        <f t="shared" si="16"/>
        <v>1.1666666666666667</v>
      </c>
      <c r="W16" s="8">
        <f t="shared" si="16"/>
        <v>1.2152777777777777</v>
      </c>
      <c r="X16" s="8">
        <f t="shared" si="16"/>
        <v>1.4583333333333335</v>
      </c>
      <c r="Y16" s="8">
        <f t="shared" si="16"/>
        <v>1.9444444444444442</v>
      </c>
      <c r="AA16" s="1">
        <f t="shared" si="15"/>
        <v>27</v>
      </c>
      <c r="AB16" s="1">
        <f t="shared" si="7"/>
        <v>3000</v>
      </c>
      <c r="AC16" s="1">
        <f t="shared" si="8"/>
        <v>350</v>
      </c>
      <c r="AD16" s="1">
        <f t="shared" si="9"/>
        <v>2650</v>
      </c>
      <c r="AE16" s="1">
        <f t="shared" si="10"/>
        <v>3500</v>
      </c>
      <c r="AF16" s="1">
        <f t="shared" si="11"/>
        <v>3650</v>
      </c>
      <c r="AG16" s="1">
        <f t="shared" si="12"/>
        <v>4400</v>
      </c>
      <c r="AH16" s="1">
        <f t="shared" si="13"/>
        <v>5850</v>
      </c>
    </row>
    <row r="17" spans="2:34" x14ac:dyDescent="0.35">
      <c r="B17" s="13" t="s">
        <v>46</v>
      </c>
      <c r="C17" s="5">
        <v>1</v>
      </c>
      <c r="D17" s="5">
        <v>2</v>
      </c>
      <c r="E17" s="5">
        <v>4</v>
      </c>
      <c r="F17" s="5">
        <v>8</v>
      </c>
      <c r="K17" s="5"/>
      <c r="L17" s="1"/>
      <c r="N17" s="9">
        <v>12</v>
      </c>
      <c r="O17" s="1" t="str">
        <f t="shared" si="2"/>
        <v>调整关卡</v>
      </c>
      <c r="P17" s="1">
        <f t="shared" si="3"/>
        <v>4</v>
      </c>
      <c r="Q17" s="1">
        <v>3</v>
      </c>
      <c r="R17" s="1">
        <f t="shared" si="4"/>
        <v>27</v>
      </c>
      <c r="S17" s="1">
        <f t="shared" si="5"/>
        <v>4</v>
      </c>
      <c r="T17" s="8">
        <f t="shared" si="16"/>
        <v>8.8888888888888878E-2</v>
      </c>
      <c r="U17" s="8">
        <f t="shared" si="16"/>
        <v>0.66666666666666663</v>
      </c>
      <c r="V17" s="8">
        <f t="shared" si="16"/>
        <v>0.88888888888888884</v>
      </c>
      <c r="W17" s="8">
        <f t="shared" si="16"/>
        <v>0.92592592592592582</v>
      </c>
      <c r="X17" s="8">
        <f t="shared" si="16"/>
        <v>1.1111111111111112</v>
      </c>
      <c r="Y17" s="8">
        <f t="shared" si="16"/>
        <v>1.4814814814814814</v>
      </c>
      <c r="AA17" s="1">
        <f t="shared" si="15"/>
        <v>27</v>
      </c>
      <c r="AB17" s="1">
        <f t="shared" si="7"/>
        <v>6000</v>
      </c>
      <c r="AC17" s="1">
        <f t="shared" si="8"/>
        <v>550</v>
      </c>
      <c r="AD17" s="1">
        <f t="shared" si="9"/>
        <v>4000</v>
      </c>
      <c r="AE17" s="1">
        <f t="shared" si="10"/>
        <v>5350</v>
      </c>
      <c r="AF17" s="1">
        <f t="shared" si="11"/>
        <v>5600</v>
      </c>
      <c r="AG17" s="1">
        <f t="shared" si="12"/>
        <v>6700</v>
      </c>
      <c r="AH17" s="1">
        <f t="shared" si="13"/>
        <v>8900</v>
      </c>
    </row>
    <row r="18" spans="2:34" x14ac:dyDescent="0.35">
      <c r="B18" s="13" t="s">
        <v>109</v>
      </c>
      <c r="C18" s="5">
        <v>3</v>
      </c>
      <c r="D18" s="5">
        <v>5.25</v>
      </c>
      <c r="E18" s="5">
        <v>8</v>
      </c>
      <c r="F18" s="5">
        <v>10</v>
      </c>
      <c r="K18" s="5"/>
      <c r="L18" s="1"/>
      <c r="N18" s="9">
        <v>13</v>
      </c>
      <c r="O18" s="1" t="str">
        <f t="shared" si="2"/>
        <v>调整关卡</v>
      </c>
      <c r="P18" s="1">
        <f t="shared" si="3"/>
        <v>5</v>
      </c>
      <c r="Q18" s="1">
        <v>1</v>
      </c>
      <c r="R18" s="1">
        <f t="shared" si="4"/>
        <v>35</v>
      </c>
      <c r="S18" s="1">
        <f t="shared" si="5"/>
        <v>1</v>
      </c>
      <c r="T18" s="8">
        <f t="shared" si="16"/>
        <v>0.16666666666666666</v>
      </c>
      <c r="U18" s="8">
        <f t="shared" si="16"/>
        <v>1.1111111111111112</v>
      </c>
      <c r="V18" s="8">
        <f t="shared" si="16"/>
        <v>1.6666666666666667</v>
      </c>
      <c r="W18" s="8">
        <f t="shared" si="16"/>
        <v>1.3888888888888888</v>
      </c>
      <c r="X18" s="8">
        <f t="shared" si="16"/>
        <v>1.6666666666666667</v>
      </c>
      <c r="Y18" s="8">
        <f t="shared" si="16"/>
        <v>2.2222222222222223</v>
      </c>
      <c r="AA18" s="1">
        <f t="shared" si="15"/>
        <v>35</v>
      </c>
      <c r="AB18" s="1">
        <f t="shared" si="7"/>
        <v>1800</v>
      </c>
      <c r="AC18" s="1">
        <f t="shared" si="8"/>
        <v>300</v>
      </c>
      <c r="AD18" s="1">
        <f t="shared" si="9"/>
        <v>2000</v>
      </c>
      <c r="AE18" s="1">
        <f t="shared" si="10"/>
        <v>3000</v>
      </c>
      <c r="AF18" s="1">
        <f t="shared" si="11"/>
        <v>2500</v>
      </c>
      <c r="AG18" s="1">
        <f t="shared" si="12"/>
        <v>3000</v>
      </c>
      <c r="AH18" s="1">
        <f t="shared" si="13"/>
        <v>4000</v>
      </c>
    </row>
    <row r="19" spans="2:34" x14ac:dyDescent="0.35">
      <c r="B19" s="13" t="s">
        <v>378</v>
      </c>
      <c r="C19" s="1">
        <f>$D$9*C17</f>
        <v>3</v>
      </c>
      <c r="D19" s="1">
        <f>$D$9*D17</f>
        <v>6</v>
      </c>
      <c r="E19" s="1">
        <f>$D$9*E17</f>
        <v>12</v>
      </c>
      <c r="F19" s="1">
        <f>$D$9*F17</f>
        <v>24</v>
      </c>
      <c r="K19" s="5"/>
      <c r="N19" s="9">
        <v>14</v>
      </c>
      <c r="O19" s="1" t="str">
        <f t="shared" si="2"/>
        <v>调整关卡</v>
      </c>
      <c r="P19" s="1">
        <f t="shared" si="3"/>
        <v>5</v>
      </c>
      <c r="Q19" s="1">
        <v>2</v>
      </c>
      <c r="R19" s="1">
        <f t="shared" si="4"/>
        <v>35</v>
      </c>
      <c r="S19" s="1">
        <f t="shared" si="5"/>
        <v>2</v>
      </c>
      <c r="T19" s="8">
        <f t="shared" si="16"/>
        <v>0.14583333333333334</v>
      </c>
      <c r="U19" s="8">
        <f t="shared" si="16"/>
        <v>0.97222222222222221</v>
      </c>
      <c r="V19" s="8">
        <f t="shared" si="16"/>
        <v>1.4583333333333335</v>
      </c>
      <c r="W19" s="8">
        <f t="shared" si="16"/>
        <v>1.2152777777777777</v>
      </c>
      <c r="X19" s="8">
        <f t="shared" si="16"/>
        <v>1.4583333333333335</v>
      </c>
      <c r="Y19" s="8">
        <f t="shared" si="16"/>
        <v>1.9444444444444442</v>
      </c>
      <c r="AA19" s="1">
        <f t="shared" si="15"/>
        <v>35</v>
      </c>
      <c r="AB19" s="1">
        <f t="shared" si="7"/>
        <v>3600</v>
      </c>
      <c r="AC19" s="1">
        <f t="shared" si="8"/>
        <v>550</v>
      </c>
      <c r="AD19" s="1">
        <f t="shared" si="9"/>
        <v>3500</v>
      </c>
      <c r="AE19" s="1">
        <f t="shared" si="10"/>
        <v>5250</v>
      </c>
      <c r="AF19" s="1">
        <f t="shared" si="11"/>
        <v>4400</v>
      </c>
      <c r="AG19" s="1">
        <f t="shared" si="12"/>
        <v>5250</v>
      </c>
      <c r="AH19" s="1">
        <f t="shared" si="13"/>
        <v>7000</v>
      </c>
    </row>
    <row r="20" spans="2:34" x14ac:dyDescent="0.35">
      <c r="B20" s="13" t="s">
        <v>154</v>
      </c>
      <c r="C20" s="1">
        <f>C18/C19</f>
        <v>1</v>
      </c>
      <c r="D20" s="1">
        <f>D18/D19</f>
        <v>0.875</v>
      </c>
      <c r="E20" s="1">
        <f>E18/E19</f>
        <v>0.66666666666666663</v>
      </c>
      <c r="F20" s="1">
        <f>F18/F19</f>
        <v>0.41666666666666669</v>
      </c>
      <c r="G20" s="26"/>
      <c r="K20" s="5"/>
      <c r="N20" s="9">
        <v>15</v>
      </c>
      <c r="O20" s="1" t="str">
        <f t="shared" si="2"/>
        <v>调整关卡</v>
      </c>
      <c r="P20" s="1">
        <f t="shared" si="3"/>
        <v>5</v>
      </c>
      <c r="Q20" s="1">
        <v>3</v>
      </c>
      <c r="R20" s="1">
        <f t="shared" si="4"/>
        <v>35</v>
      </c>
      <c r="S20" s="1">
        <f t="shared" si="5"/>
        <v>4</v>
      </c>
      <c r="T20" s="8">
        <f t="shared" si="16"/>
        <v>0.1111111111111111</v>
      </c>
      <c r="U20" s="8">
        <f t="shared" si="16"/>
        <v>0.7407407407407407</v>
      </c>
      <c r="V20" s="8">
        <f t="shared" si="16"/>
        <v>1.1111111111111112</v>
      </c>
      <c r="W20" s="8">
        <f t="shared" si="16"/>
        <v>0.92592592592592582</v>
      </c>
      <c r="X20" s="8">
        <f t="shared" si="16"/>
        <v>1.1111111111111112</v>
      </c>
      <c r="Y20" s="8">
        <f t="shared" si="16"/>
        <v>1.4814814814814814</v>
      </c>
      <c r="AA20" s="1">
        <f t="shared" si="15"/>
        <v>35</v>
      </c>
      <c r="AB20" s="1">
        <f t="shared" si="7"/>
        <v>7200</v>
      </c>
      <c r="AC20" s="1">
        <f t="shared" si="8"/>
        <v>800</v>
      </c>
      <c r="AD20" s="1">
        <f t="shared" si="9"/>
        <v>5350</v>
      </c>
      <c r="AE20" s="1">
        <f t="shared" si="10"/>
        <v>8000</v>
      </c>
      <c r="AF20" s="1">
        <f t="shared" si="11"/>
        <v>6700</v>
      </c>
      <c r="AG20" s="1">
        <f t="shared" si="12"/>
        <v>8000</v>
      </c>
      <c r="AH20" s="1">
        <f t="shared" si="13"/>
        <v>10700</v>
      </c>
    </row>
    <row r="21" spans="2:34" x14ac:dyDescent="0.35">
      <c r="E21" s="26"/>
      <c r="F21" s="26"/>
      <c r="K21" s="5"/>
      <c r="N21" s="9">
        <v>16</v>
      </c>
      <c r="O21" s="1" t="str">
        <f t="shared" si="2"/>
        <v>调整关卡</v>
      </c>
      <c r="P21" s="1">
        <f t="shared" si="3"/>
        <v>6</v>
      </c>
      <c r="Q21" s="1">
        <v>1</v>
      </c>
      <c r="R21" s="1">
        <f t="shared" si="4"/>
        <v>47</v>
      </c>
      <c r="S21" s="1">
        <f t="shared" si="5"/>
        <v>1</v>
      </c>
      <c r="T21" s="8">
        <f t="shared" si="16"/>
        <v>0.22222222222222221</v>
      </c>
      <c r="U21" s="8">
        <f t="shared" si="16"/>
        <v>1.6666666666666667</v>
      </c>
      <c r="V21" s="8">
        <f t="shared" si="16"/>
        <v>2.5</v>
      </c>
      <c r="W21" s="8">
        <f t="shared" si="16"/>
        <v>1.3888888888888888</v>
      </c>
      <c r="X21" s="8">
        <f t="shared" si="16"/>
        <v>1.6666666666666667</v>
      </c>
      <c r="Y21" s="8">
        <f t="shared" si="16"/>
        <v>2.2222222222222223</v>
      </c>
      <c r="AA21" s="1">
        <f t="shared" si="15"/>
        <v>47</v>
      </c>
      <c r="AB21" s="1">
        <f t="shared" si="7"/>
        <v>1800</v>
      </c>
      <c r="AC21" s="1">
        <f t="shared" si="8"/>
        <v>400</v>
      </c>
      <c r="AD21" s="1">
        <f t="shared" si="9"/>
        <v>3000</v>
      </c>
      <c r="AE21" s="1">
        <f t="shared" si="10"/>
        <v>4500</v>
      </c>
      <c r="AF21" s="1">
        <f t="shared" si="11"/>
        <v>2500</v>
      </c>
      <c r="AG21" s="1">
        <f t="shared" si="12"/>
        <v>3000</v>
      </c>
      <c r="AH21" s="1">
        <f t="shared" si="13"/>
        <v>4000</v>
      </c>
    </row>
    <row r="22" spans="2:34" x14ac:dyDescent="0.35">
      <c r="B22" s="13" t="s">
        <v>379</v>
      </c>
      <c r="C22" s="5"/>
      <c r="E22" s="5"/>
      <c r="F22" s="5"/>
      <c r="I22" s="24"/>
      <c r="K22" s="5"/>
      <c r="N22" s="9">
        <v>17</v>
      </c>
      <c r="O22" s="1" t="str">
        <f t="shared" si="2"/>
        <v>调整关卡</v>
      </c>
      <c r="P22" s="1">
        <f t="shared" si="3"/>
        <v>6</v>
      </c>
      <c r="Q22" s="1">
        <v>2</v>
      </c>
      <c r="R22" s="1">
        <f t="shared" si="4"/>
        <v>47</v>
      </c>
      <c r="S22" s="1">
        <f t="shared" si="5"/>
        <v>2</v>
      </c>
      <c r="T22" s="8">
        <f t="shared" si="16"/>
        <v>0.19444444444444445</v>
      </c>
      <c r="U22" s="8">
        <f t="shared" si="16"/>
        <v>1.4583333333333335</v>
      </c>
      <c r="V22" s="8">
        <f t="shared" si="16"/>
        <v>2.1875</v>
      </c>
      <c r="W22" s="8">
        <f t="shared" si="16"/>
        <v>1.2152777777777777</v>
      </c>
      <c r="X22" s="8">
        <f t="shared" si="16"/>
        <v>1.4583333333333335</v>
      </c>
      <c r="Y22" s="8">
        <f t="shared" si="16"/>
        <v>1.9444444444444442</v>
      </c>
      <c r="AA22" s="1">
        <f t="shared" si="15"/>
        <v>47</v>
      </c>
      <c r="AB22" s="1">
        <f t="shared" si="7"/>
        <v>3600</v>
      </c>
      <c r="AC22" s="1">
        <f t="shared" si="8"/>
        <v>700</v>
      </c>
      <c r="AD22" s="1">
        <f t="shared" si="9"/>
        <v>5250</v>
      </c>
      <c r="AE22" s="1">
        <f t="shared" si="10"/>
        <v>7900</v>
      </c>
      <c r="AF22" s="1">
        <f t="shared" si="11"/>
        <v>4400</v>
      </c>
      <c r="AG22" s="1">
        <f t="shared" si="12"/>
        <v>5250</v>
      </c>
      <c r="AH22" s="1">
        <f t="shared" si="13"/>
        <v>7000</v>
      </c>
    </row>
    <row r="23" spans="2:34" x14ac:dyDescent="0.35">
      <c r="B23" s="13" t="s">
        <v>380</v>
      </c>
      <c r="N23" s="9">
        <v>18</v>
      </c>
      <c r="O23" s="1" t="str">
        <f t="shared" si="2"/>
        <v>调整关卡</v>
      </c>
      <c r="P23" s="1">
        <f t="shared" si="3"/>
        <v>6</v>
      </c>
      <c r="Q23" s="1">
        <v>3</v>
      </c>
      <c r="R23" s="1">
        <f t="shared" si="4"/>
        <v>47</v>
      </c>
      <c r="S23" s="1">
        <f t="shared" si="5"/>
        <v>4</v>
      </c>
      <c r="T23" s="8">
        <f t="shared" si="16"/>
        <v>0.14814814814814814</v>
      </c>
      <c r="U23" s="8">
        <f t="shared" si="16"/>
        <v>1.1111111111111112</v>
      </c>
      <c r="V23" s="8">
        <f t="shared" si="16"/>
        <v>1.6666666666666667</v>
      </c>
      <c r="W23" s="8">
        <f t="shared" si="16"/>
        <v>0.92592592592592582</v>
      </c>
      <c r="X23" s="8">
        <f t="shared" si="16"/>
        <v>1.1111111111111112</v>
      </c>
      <c r="Y23" s="8">
        <f t="shared" si="16"/>
        <v>1.4814814814814814</v>
      </c>
      <c r="AA23" s="1">
        <f t="shared" si="15"/>
        <v>47</v>
      </c>
      <c r="AB23" s="1">
        <f t="shared" si="7"/>
        <v>7200</v>
      </c>
      <c r="AC23" s="1">
        <f t="shared" si="8"/>
        <v>1100</v>
      </c>
      <c r="AD23" s="1">
        <f t="shared" si="9"/>
        <v>8000</v>
      </c>
      <c r="AE23" s="1">
        <f t="shared" si="10"/>
        <v>12000</v>
      </c>
      <c r="AF23" s="1">
        <f t="shared" si="11"/>
        <v>6700</v>
      </c>
      <c r="AG23" s="1">
        <f t="shared" si="12"/>
        <v>8000</v>
      </c>
      <c r="AH23" s="1">
        <f t="shared" si="13"/>
        <v>10700</v>
      </c>
    </row>
    <row r="24" spans="2:34" x14ac:dyDescent="0.35">
      <c r="B24" s="13" t="s">
        <v>124</v>
      </c>
      <c r="C24" s="13" t="s">
        <v>22</v>
      </c>
      <c r="D24" s="13">
        <v>1</v>
      </c>
      <c r="E24" s="13">
        <v>13</v>
      </c>
      <c r="F24" s="13">
        <v>20</v>
      </c>
      <c r="G24" s="13">
        <v>27</v>
      </c>
      <c r="H24" s="13">
        <v>35</v>
      </c>
      <c r="I24" s="13">
        <v>47</v>
      </c>
      <c r="J24" s="13" t="s">
        <v>136</v>
      </c>
      <c r="N24" s="9">
        <v>19</v>
      </c>
      <c r="O24" s="1" t="str">
        <f t="shared" si="2"/>
        <v>标准关卡</v>
      </c>
      <c r="P24" s="1">
        <f t="shared" si="3"/>
        <v>4</v>
      </c>
      <c r="Q24" s="1">
        <v>1</v>
      </c>
      <c r="R24" s="1">
        <f t="shared" si="4"/>
        <v>58</v>
      </c>
      <c r="S24" s="1">
        <f t="shared" si="5"/>
        <v>1</v>
      </c>
      <c r="T24" s="8">
        <f t="shared" si="16"/>
        <v>0.25</v>
      </c>
      <c r="U24" s="8">
        <f t="shared" si="16"/>
        <v>2</v>
      </c>
      <c r="V24" s="8">
        <f t="shared" si="16"/>
        <v>3</v>
      </c>
      <c r="W24" s="8">
        <f t="shared" si="16"/>
        <v>1.6666666666666665</v>
      </c>
      <c r="X24" s="8">
        <f t="shared" si="16"/>
        <v>2</v>
      </c>
      <c r="Y24" s="8">
        <f t="shared" si="16"/>
        <v>2.6666666666666665</v>
      </c>
      <c r="AA24" s="1">
        <f t="shared" si="15"/>
        <v>58</v>
      </c>
      <c r="AB24" s="1">
        <f t="shared" si="7"/>
        <v>2000</v>
      </c>
      <c r="AC24" s="1">
        <f t="shared" si="8"/>
        <v>500</v>
      </c>
      <c r="AD24" s="1">
        <f t="shared" si="9"/>
        <v>4000</v>
      </c>
      <c r="AE24" s="1">
        <f t="shared" si="10"/>
        <v>6000</v>
      </c>
      <c r="AF24" s="1">
        <f t="shared" si="11"/>
        <v>3350</v>
      </c>
      <c r="AG24" s="1">
        <f t="shared" si="12"/>
        <v>4000</v>
      </c>
      <c r="AH24" s="1">
        <f t="shared" si="13"/>
        <v>5350</v>
      </c>
    </row>
    <row r="25" spans="2:34" x14ac:dyDescent="0.35">
      <c r="B25">
        <f t="shared" ref="B25:B30" si="17">B7</f>
        <v>301</v>
      </c>
      <c r="C25" t="str">
        <f t="shared" ref="C25:C30" si="18">INDEX(item_name,MATCH(B25,item_id,0))</f>
        <v>回退</v>
      </c>
      <c r="D25" s="5">
        <v>2.5</v>
      </c>
      <c r="E25" s="5">
        <v>2.5</v>
      </c>
      <c r="F25" s="5">
        <v>1.875</v>
      </c>
      <c r="G25" s="5">
        <v>1.875</v>
      </c>
      <c r="H25" s="5">
        <v>1.5</v>
      </c>
      <c r="I25" s="5">
        <f>1+1/8</f>
        <v>1.125</v>
      </c>
      <c r="J25" s="5">
        <v>1</v>
      </c>
      <c r="N25" s="9">
        <v>20</v>
      </c>
      <c r="O25" s="1" t="str">
        <f t="shared" si="2"/>
        <v>标准关卡</v>
      </c>
      <c r="P25" s="1">
        <f t="shared" si="3"/>
        <v>4</v>
      </c>
      <c r="Q25" s="1">
        <v>2</v>
      </c>
      <c r="R25" s="1">
        <f t="shared" si="4"/>
        <v>58</v>
      </c>
      <c r="S25" s="1">
        <f t="shared" si="5"/>
        <v>2</v>
      </c>
      <c r="T25" s="8">
        <f t="shared" si="16"/>
        <v>0.21875</v>
      </c>
      <c r="U25" s="8">
        <f t="shared" si="16"/>
        <v>1.75</v>
      </c>
      <c r="V25" s="8">
        <f t="shared" si="16"/>
        <v>2.625</v>
      </c>
      <c r="W25" s="8">
        <f t="shared" si="16"/>
        <v>1.4583333333333333</v>
      </c>
      <c r="X25" s="8">
        <f t="shared" si="16"/>
        <v>1.75</v>
      </c>
      <c r="Y25" s="8">
        <f t="shared" si="16"/>
        <v>2.333333333333333</v>
      </c>
      <c r="AA25" s="1">
        <f t="shared" si="15"/>
        <v>58</v>
      </c>
      <c r="AB25" s="1">
        <f t="shared" si="7"/>
        <v>4000</v>
      </c>
      <c r="AC25" s="1">
        <f t="shared" si="8"/>
        <v>900</v>
      </c>
      <c r="AD25" s="1">
        <f t="shared" si="9"/>
        <v>7000</v>
      </c>
      <c r="AE25" s="1">
        <f t="shared" si="10"/>
        <v>10500</v>
      </c>
      <c r="AF25" s="1">
        <f t="shared" si="11"/>
        <v>5850</v>
      </c>
      <c r="AG25" s="1">
        <f t="shared" si="12"/>
        <v>7000</v>
      </c>
      <c r="AH25" s="1">
        <f t="shared" si="13"/>
        <v>9350</v>
      </c>
    </row>
    <row r="26" spans="2:34" x14ac:dyDescent="0.35">
      <c r="B26">
        <f t="shared" si="17"/>
        <v>302</v>
      </c>
      <c r="C26" t="str">
        <f t="shared" si="18"/>
        <v>加5张</v>
      </c>
      <c r="D26" s="5">
        <v>4</v>
      </c>
      <c r="E26" s="5">
        <v>4</v>
      </c>
      <c r="F26" s="5">
        <f>3+1/3</f>
        <v>3.3333333333333335</v>
      </c>
      <c r="G26" s="5">
        <v>2</v>
      </c>
      <c r="H26" s="5">
        <v>1.8</v>
      </c>
      <c r="I26" s="5">
        <v>1.2</v>
      </c>
      <c r="J26" s="5">
        <v>1</v>
      </c>
      <c r="N26" s="9">
        <v>21</v>
      </c>
      <c r="O26" s="1" t="str">
        <f t="shared" si="2"/>
        <v>标准关卡</v>
      </c>
      <c r="P26" s="1">
        <f t="shared" si="3"/>
        <v>4</v>
      </c>
      <c r="Q26" s="1">
        <v>3</v>
      </c>
      <c r="R26" s="1">
        <f t="shared" si="4"/>
        <v>58</v>
      </c>
      <c r="S26" s="1">
        <f t="shared" si="5"/>
        <v>4</v>
      </c>
      <c r="T26" s="8">
        <f t="shared" ref="T26:Y35" si="19">INDEX($D$7:$D$12,T$3)*INDEX($C$20:$F$20,1,$Q26)/IF($O26=$O$6,INDEX($D$25:$I$30,T$3,$P26),1)</f>
        <v>0.16666666666666666</v>
      </c>
      <c r="U26" s="8">
        <f t="shared" si="19"/>
        <v>1.3333333333333333</v>
      </c>
      <c r="V26" s="8">
        <f t="shared" si="19"/>
        <v>2</v>
      </c>
      <c r="W26" s="8">
        <f t="shared" si="19"/>
        <v>1.1111111111111109</v>
      </c>
      <c r="X26" s="8">
        <f t="shared" si="19"/>
        <v>1.3333333333333333</v>
      </c>
      <c r="Y26" s="8">
        <f t="shared" si="19"/>
        <v>1.7777777777777777</v>
      </c>
      <c r="AA26" s="1">
        <f t="shared" si="15"/>
        <v>58</v>
      </c>
      <c r="AB26" s="1">
        <f t="shared" si="7"/>
        <v>8000</v>
      </c>
      <c r="AC26" s="1">
        <f t="shared" si="8"/>
        <v>1350</v>
      </c>
      <c r="AD26" s="1">
        <f t="shared" si="9"/>
        <v>10700</v>
      </c>
      <c r="AE26" s="1">
        <f t="shared" si="10"/>
        <v>16000</v>
      </c>
      <c r="AF26" s="1">
        <f t="shared" si="11"/>
        <v>8900</v>
      </c>
      <c r="AG26" s="1">
        <f t="shared" si="12"/>
        <v>10700</v>
      </c>
      <c r="AH26" s="1">
        <f t="shared" si="13"/>
        <v>14250</v>
      </c>
    </row>
    <row r="27" spans="2:34" x14ac:dyDescent="0.35">
      <c r="B27">
        <f t="shared" si="17"/>
        <v>303</v>
      </c>
      <c r="C27" t="str">
        <f t="shared" si="18"/>
        <v>万能牌</v>
      </c>
      <c r="D27" s="5">
        <v>6</v>
      </c>
      <c r="E27" s="5">
        <v>3</v>
      </c>
      <c r="F27" s="5">
        <v>2.25</v>
      </c>
      <c r="G27" s="5">
        <v>2.25</v>
      </c>
      <c r="H27" s="5">
        <v>1.7999999999999998</v>
      </c>
      <c r="I27" s="5">
        <v>1.2</v>
      </c>
      <c r="J27" s="5">
        <v>1</v>
      </c>
      <c r="K27" s="1"/>
      <c r="N27" s="9">
        <v>22</v>
      </c>
      <c r="O27" s="1" t="str">
        <f t="shared" si="2"/>
        <v>标准关卡</v>
      </c>
      <c r="P27" s="1">
        <f t="shared" si="3"/>
        <v>5</v>
      </c>
      <c r="Q27" s="1">
        <v>1</v>
      </c>
      <c r="R27" s="1">
        <f t="shared" si="4"/>
        <v>100</v>
      </c>
      <c r="S27" s="1">
        <f t="shared" si="5"/>
        <v>1</v>
      </c>
      <c r="T27" s="8">
        <f t="shared" si="19"/>
        <v>0.25</v>
      </c>
      <c r="U27" s="8">
        <f t="shared" si="19"/>
        <v>2</v>
      </c>
      <c r="V27" s="8">
        <f t="shared" si="19"/>
        <v>3</v>
      </c>
      <c r="W27" s="8">
        <f t="shared" si="19"/>
        <v>1.6666666666666665</v>
      </c>
      <c r="X27" s="8">
        <f t="shared" si="19"/>
        <v>2</v>
      </c>
      <c r="Y27" s="8">
        <f t="shared" si="19"/>
        <v>2.6666666666666665</v>
      </c>
      <c r="AA27" s="1">
        <f t="shared" si="15"/>
        <v>100</v>
      </c>
      <c r="AB27" s="1">
        <f t="shared" si="7"/>
        <v>2200</v>
      </c>
      <c r="AC27" s="1">
        <f t="shared" si="8"/>
        <v>550</v>
      </c>
      <c r="AD27" s="1">
        <f t="shared" si="9"/>
        <v>4400</v>
      </c>
      <c r="AE27" s="1">
        <f t="shared" si="10"/>
        <v>6600</v>
      </c>
      <c r="AF27" s="1">
        <f t="shared" si="11"/>
        <v>3700</v>
      </c>
      <c r="AG27" s="1">
        <f t="shared" si="12"/>
        <v>4400</v>
      </c>
      <c r="AH27" s="1">
        <f t="shared" si="13"/>
        <v>5900</v>
      </c>
    </row>
    <row r="28" spans="2:34" x14ac:dyDescent="0.35">
      <c r="B28">
        <f t="shared" si="17"/>
        <v>201</v>
      </c>
      <c r="C28" t="str">
        <f t="shared" si="18"/>
        <v>开局-消三张</v>
      </c>
      <c r="D28" s="5">
        <v>1.2</v>
      </c>
      <c r="E28" s="5">
        <v>1.2</v>
      </c>
      <c r="F28" s="5">
        <v>1.2</v>
      </c>
      <c r="G28" s="5">
        <v>1.2</v>
      </c>
      <c r="H28" s="5">
        <v>1.2</v>
      </c>
      <c r="I28" s="5">
        <v>1.2</v>
      </c>
      <c r="J28" s="5">
        <v>1</v>
      </c>
      <c r="K28" s="5"/>
      <c r="N28" s="9">
        <v>23</v>
      </c>
      <c r="O28" s="1" t="str">
        <f t="shared" si="2"/>
        <v>标准关卡</v>
      </c>
      <c r="P28" s="1">
        <f t="shared" si="3"/>
        <v>5</v>
      </c>
      <c r="Q28" s="1">
        <v>2</v>
      </c>
      <c r="R28" s="1">
        <f t="shared" si="4"/>
        <v>100</v>
      </c>
      <c r="S28" s="1">
        <f t="shared" si="5"/>
        <v>2</v>
      </c>
      <c r="T28" s="8">
        <f t="shared" si="19"/>
        <v>0.21875</v>
      </c>
      <c r="U28" s="8">
        <f t="shared" si="19"/>
        <v>1.75</v>
      </c>
      <c r="V28" s="8">
        <f t="shared" si="19"/>
        <v>2.625</v>
      </c>
      <c r="W28" s="8">
        <f t="shared" si="19"/>
        <v>1.4583333333333333</v>
      </c>
      <c r="X28" s="8">
        <f t="shared" si="19"/>
        <v>1.75</v>
      </c>
      <c r="Y28" s="8">
        <f t="shared" si="19"/>
        <v>2.333333333333333</v>
      </c>
      <c r="AA28" s="1">
        <f t="shared" si="15"/>
        <v>100</v>
      </c>
      <c r="AB28" s="1">
        <f t="shared" si="7"/>
        <v>4400</v>
      </c>
      <c r="AC28" s="1">
        <f t="shared" si="8"/>
        <v>1000</v>
      </c>
      <c r="AD28" s="1">
        <f t="shared" si="9"/>
        <v>7700</v>
      </c>
      <c r="AE28" s="1">
        <f t="shared" si="10"/>
        <v>11550</v>
      </c>
      <c r="AF28" s="1">
        <f t="shared" si="11"/>
        <v>6450</v>
      </c>
      <c r="AG28" s="1">
        <f t="shared" si="12"/>
        <v>7700</v>
      </c>
      <c r="AH28" s="1">
        <f t="shared" si="13"/>
        <v>10300</v>
      </c>
    </row>
    <row r="29" spans="2:34" x14ac:dyDescent="0.35">
      <c r="B29">
        <f t="shared" si="17"/>
        <v>202</v>
      </c>
      <c r="C29" t="str">
        <f t="shared" si="18"/>
        <v>开局-全清</v>
      </c>
      <c r="D29" s="5">
        <v>1.2</v>
      </c>
      <c r="E29" s="5">
        <v>1.2</v>
      </c>
      <c r="F29" s="5">
        <v>1.2</v>
      </c>
      <c r="G29" s="5">
        <v>1.2</v>
      </c>
      <c r="H29" s="5">
        <v>1.2</v>
      </c>
      <c r="I29" s="5">
        <v>1.2</v>
      </c>
      <c r="J29" s="5">
        <v>1</v>
      </c>
      <c r="K29" s="5"/>
      <c r="N29" s="9">
        <v>24</v>
      </c>
      <c r="O29" s="1" t="str">
        <f t="shared" si="2"/>
        <v>标准关卡</v>
      </c>
      <c r="P29" s="1">
        <f t="shared" si="3"/>
        <v>5</v>
      </c>
      <c r="Q29" s="1">
        <v>3</v>
      </c>
      <c r="R29" s="1">
        <f t="shared" si="4"/>
        <v>100</v>
      </c>
      <c r="S29" s="1">
        <f t="shared" si="5"/>
        <v>4</v>
      </c>
      <c r="T29" s="8">
        <f t="shared" si="19"/>
        <v>0.16666666666666666</v>
      </c>
      <c r="U29" s="8">
        <f t="shared" si="19"/>
        <v>1.3333333333333333</v>
      </c>
      <c r="V29" s="8">
        <f t="shared" si="19"/>
        <v>2</v>
      </c>
      <c r="W29" s="8">
        <f t="shared" si="19"/>
        <v>1.1111111111111109</v>
      </c>
      <c r="X29" s="8">
        <f t="shared" si="19"/>
        <v>1.3333333333333333</v>
      </c>
      <c r="Y29" s="8">
        <f t="shared" si="19"/>
        <v>1.7777777777777777</v>
      </c>
      <c r="AA29" s="1">
        <f t="shared" si="15"/>
        <v>100</v>
      </c>
      <c r="AB29" s="1">
        <f t="shared" si="7"/>
        <v>8800</v>
      </c>
      <c r="AC29" s="1">
        <f t="shared" si="8"/>
        <v>1500</v>
      </c>
      <c r="AD29" s="1">
        <f t="shared" si="9"/>
        <v>11750</v>
      </c>
      <c r="AE29" s="1">
        <f t="shared" si="10"/>
        <v>17600</v>
      </c>
      <c r="AF29" s="1">
        <f t="shared" si="11"/>
        <v>9800</v>
      </c>
      <c r="AG29" s="1">
        <f t="shared" si="12"/>
        <v>11750</v>
      </c>
      <c r="AH29" s="1">
        <f t="shared" si="13"/>
        <v>15650</v>
      </c>
    </row>
    <row r="30" spans="2:34" x14ac:dyDescent="0.35">
      <c r="B30">
        <f t="shared" si="17"/>
        <v>203</v>
      </c>
      <c r="C30" t="str">
        <f t="shared" si="18"/>
        <v>开局-万能牌</v>
      </c>
      <c r="D30" s="5">
        <v>1.2</v>
      </c>
      <c r="E30" s="5">
        <v>1.2</v>
      </c>
      <c r="F30" s="5">
        <v>1.2</v>
      </c>
      <c r="G30" s="5">
        <v>1.2</v>
      </c>
      <c r="H30" s="5">
        <v>1.2</v>
      </c>
      <c r="I30" s="5">
        <v>1.2</v>
      </c>
      <c r="J30" s="5">
        <v>1</v>
      </c>
      <c r="K30" s="5"/>
      <c r="N30" s="9">
        <v>25</v>
      </c>
      <c r="O30" s="1" t="str">
        <f t="shared" si="2"/>
        <v>标准关卡</v>
      </c>
      <c r="P30" s="1">
        <f t="shared" si="3"/>
        <v>6</v>
      </c>
      <c r="Q30" s="1">
        <v>1</v>
      </c>
      <c r="R30" s="1">
        <f t="shared" si="4"/>
        <v>168</v>
      </c>
      <c r="S30" s="1">
        <f t="shared" si="5"/>
        <v>1</v>
      </c>
      <c r="T30" s="8">
        <f t="shared" si="19"/>
        <v>0.25</v>
      </c>
      <c r="U30" s="8">
        <f t="shared" si="19"/>
        <v>2</v>
      </c>
      <c r="V30" s="8">
        <f t="shared" si="19"/>
        <v>3</v>
      </c>
      <c r="W30" s="8">
        <f t="shared" si="19"/>
        <v>1.6666666666666665</v>
      </c>
      <c r="X30" s="8">
        <f t="shared" si="19"/>
        <v>2</v>
      </c>
      <c r="Y30" s="8">
        <f t="shared" si="19"/>
        <v>2.6666666666666665</v>
      </c>
      <c r="AA30" s="1">
        <f t="shared" si="15"/>
        <v>168</v>
      </c>
      <c r="AB30" s="1">
        <f t="shared" si="7"/>
        <v>2500</v>
      </c>
      <c r="AC30" s="1">
        <f t="shared" si="8"/>
        <v>650</v>
      </c>
      <c r="AD30" s="1">
        <f t="shared" si="9"/>
        <v>5000</v>
      </c>
      <c r="AE30" s="1">
        <f t="shared" si="10"/>
        <v>7500</v>
      </c>
      <c r="AF30" s="1">
        <f t="shared" si="11"/>
        <v>4200</v>
      </c>
      <c r="AG30" s="1">
        <f t="shared" si="12"/>
        <v>5000</v>
      </c>
      <c r="AH30" s="1">
        <f t="shared" si="13"/>
        <v>6700</v>
      </c>
    </row>
    <row r="31" spans="2:34" x14ac:dyDescent="0.35">
      <c r="B31" s="5"/>
      <c r="C31" s="5"/>
      <c r="D31" s="5"/>
      <c r="E31" s="5"/>
      <c r="F31" s="5"/>
      <c r="G31" s="5"/>
      <c r="H31" s="5"/>
      <c r="I31" s="5"/>
      <c r="J31" s="5"/>
      <c r="K31" s="5"/>
      <c r="N31" s="9">
        <v>26</v>
      </c>
      <c r="O31" s="1" t="str">
        <f t="shared" si="2"/>
        <v>标准关卡</v>
      </c>
      <c r="P31" s="1">
        <f t="shared" si="3"/>
        <v>6</v>
      </c>
      <c r="Q31" s="1">
        <v>2</v>
      </c>
      <c r="R31" s="1">
        <f t="shared" si="4"/>
        <v>168</v>
      </c>
      <c r="S31" s="1">
        <f t="shared" si="5"/>
        <v>2</v>
      </c>
      <c r="T31" s="8">
        <f t="shared" si="19"/>
        <v>0.21875</v>
      </c>
      <c r="U31" s="8">
        <f t="shared" si="19"/>
        <v>1.75</v>
      </c>
      <c r="V31" s="8">
        <f t="shared" si="19"/>
        <v>2.625</v>
      </c>
      <c r="W31" s="8">
        <f t="shared" si="19"/>
        <v>1.4583333333333333</v>
      </c>
      <c r="X31" s="8">
        <f t="shared" si="19"/>
        <v>1.75</v>
      </c>
      <c r="Y31" s="8">
        <f t="shared" si="19"/>
        <v>2.333333333333333</v>
      </c>
      <c r="AA31" s="1">
        <f t="shared" si="15"/>
        <v>168</v>
      </c>
      <c r="AB31" s="1">
        <f t="shared" si="7"/>
        <v>5000</v>
      </c>
      <c r="AC31" s="1">
        <f t="shared" si="8"/>
        <v>1100</v>
      </c>
      <c r="AD31" s="1">
        <f t="shared" si="9"/>
        <v>8750</v>
      </c>
      <c r="AE31" s="1">
        <f t="shared" si="10"/>
        <v>13150</v>
      </c>
      <c r="AF31" s="1">
        <f t="shared" si="11"/>
        <v>7300</v>
      </c>
      <c r="AG31" s="1">
        <f t="shared" si="12"/>
        <v>8750</v>
      </c>
      <c r="AH31" s="1">
        <f t="shared" si="13"/>
        <v>11700</v>
      </c>
    </row>
    <row r="32" spans="2:34" x14ac:dyDescent="0.35">
      <c r="C32" s="5"/>
      <c r="D32" s="5"/>
      <c r="E32" s="5"/>
      <c r="F32" s="5"/>
      <c r="G32" s="5"/>
      <c r="H32" s="5"/>
      <c r="I32" s="5"/>
      <c r="J32" s="5"/>
      <c r="K32" s="5"/>
      <c r="N32" s="9">
        <v>27</v>
      </c>
      <c r="O32" s="1" t="str">
        <f t="shared" si="2"/>
        <v>标准关卡</v>
      </c>
      <c r="P32" s="1">
        <f t="shared" si="3"/>
        <v>6</v>
      </c>
      <c r="Q32" s="1">
        <v>3</v>
      </c>
      <c r="R32" s="1">
        <f t="shared" si="4"/>
        <v>168</v>
      </c>
      <c r="S32" s="1">
        <f t="shared" si="5"/>
        <v>4</v>
      </c>
      <c r="T32" s="8">
        <f t="shared" si="19"/>
        <v>0.16666666666666666</v>
      </c>
      <c r="U32" s="8">
        <f t="shared" si="19"/>
        <v>1.3333333333333333</v>
      </c>
      <c r="V32" s="8">
        <f t="shared" si="19"/>
        <v>2</v>
      </c>
      <c r="W32" s="8">
        <f t="shared" si="19"/>
        <v>1.1111111111111109</v>
      </c>
      <c r="X32" s="8">
        <f t="shared" si="19"/>
        <v>1.3333333333333333</v>
      </c>
      <c r="Y32" s="8">
        <f t="shared" si="19"/>
        <v>1.7777777777777777</v>
      </c>
      <c r="AA32" s="1">
        <f t="shared" si="15"/>
        <v>168</v>
      </c>
      <c r="AB32" s="1">
        <f t="shared" si="7"/>
        <v>10000</v>
      </c>
      <c r="AC32" s="1">
        <f t="shared" si="8"/>
        <v>1700</v>
      </c>
      <c r="AD32" s="1">
        <f t="shared" si="9"/>
        <v>13350</v>
      </c>
      <c r="AE32" s="1">
        <f t="shared" si="10"/>
        <v>20000</v>
      </c>
      <c r="AF32" s="1">
        <f t="shared" si="11"/>
        <v>11150</v>
      </c>
      <c r="AG32" s="1">
        <f t="shared" si="12"/>
        <v>13350</v>
      </c>
      <c r="AH32" s="1">
        <f t="shared" si="13"/>
        <v>17800</v>
      </c>
    </row>
    <row r="33" spans="2:36" x14ac:dyDescent="0.35">
      <c r="B33" s="13" t="s">
        <v>381</v>
      </c>
      <c r="E33" s="5"/>
      <c r="F33" s="5"/>
      <c r="G33" s="5"/>
      <c r="H33" s="5"/>
      <c r="I33" s="5"/>
      <c r="J33" s="5"/>
      <c r="K33" s="5"/>
      <c r="N33" s="9">
        <v>28</v>
      </c>
      <c r="O33" s="1" t="str">
        <f t="shared" si="2"/>
        <v>标准关卡</v>
      </c>
      <c r="P33" s="1">
        <f t="shared" si="3"/>
        <v>7</v>
      </c>
      <c r="Q33" s="1">
        <v>1</v>
      </c>
      <c r="R33" s="1">
        <f t="shared" si="4"/>
        <v>208</v>
      </c>
      <c r="S33" s="1">
        <f t="shared" si="5"/>
        <v>1</v>
      </c>
      <c r="T33" s="8">
        <f t="shared" si="19"/>
        <v>0.25</v>
      </c>
      <c r="U33" s="8">
        <f t="shared" si="19"/>
        <v>2</v>
      </c>
      <c r="V33" s="8">
        <f t="shared" si="19"/>
        <v>3</v>
      </c>
      <c r="W33" s="8">
        <f t="shared" si="19"/>
        <v>1.6666666666666665</v>
      </c>
      <c r="X33" s="8">
        <f t="shared" si="19"/>
        <v>2</v>
      </c>
      <c r="Y33" s="8">
        <f t="shared" si="19"/>
        <v>2.6666666666666665</v>
      </c>
      <c r="AA33" s="1">
        <f t="shared" si="15"/>
        <v>208</v>
      </c>
      <c r="AB33" s="1">
        <f t="shared" si="7"/>
        <v>2600</v>
      </c>
      <c r="AC33" s="1">
        <f t="shared" si="8"/>
        <v>650</v>
      </c>
      <c r="AD33" s="1">
        <f t="shared" si="9"/>
        <v>5200</v>
      </c>
      <c r="AE33" s="1">
        <f t="shared" si="10"/>
        <v>7800</v>
      </c>
      <c r="AF33" s="1">
        <f t="shared" si="11"/>
        <v>4350</v>
      </c>
      <c r="AG33" s="1">
        <f t="shared" si="12"/>
        <v>5200</v>
      </c>
      <c r="AH33" s="1">
        <f t="shared" si="13"/>
        <v>6950</v>
      </c>
    </row>
    <row r="34" spans="2:36" x14ac:dyDescent="0.35">
      <c r="B34" s="13" t="s">
        <v>140</v>
      </c>
      <c r="N34" s="9">
        <v>29</v>
      </c>
      <c r="O34" s="1" t="str">
        <f t="shared" si="2"/>
        <v>标准关卡</v>
      </c>
      <c r="P34" s="1">
        <f t="shared" si="3"/>
        <v>7</v>
      </c>
      <c r="Q34" s="1">
        <v>2</v>
      </c>
      <c r="R34" s="1">
        <f t="shared" si="4"/>
        <v>208</v>
      </c>
      <c r="S34" s="1">
        <f t="shared" si="5"/>
        <v>2</v>
      </c>
      <c r="T34" s="8">
        <f t="shared" si="19"/>
        <v>0.21875</v>
      </c>
      <c r="U34" s="8">
        <f t="shared" si="19"/>
        <v>1.75</v>
      </c>
      <c r="V34" s="8">
        <f t="shared" si="19"/>
        <v>2.625</v>
      </c>
      <c r="W34" s="8">
        <f t="shared" si="19"/>
        <v>1.4583333333333333</v>
      </c>
      <c r="X34" s="8">
        <f t="shared" si="19"/>
        <v>1.75</v>
      </c>
      <c r="Y34" s="8">
        <f t="shared" si="19"/>
        <v>2.333333333333333</v>
      </c>
      <c r="AA34" s="1">
        <f t="shared" si="15"/>
        <v>208</v>
      </c>
      <c r="AB34" s="1">
        <f t="shared" si="7"/>
        <v>5200</v>
      </c>
      <c r="AC34" s="1">
        <f t="shared" si="8"/>
        <v>1150</v>
      </c>
      <c r="AD34" s="1">
        <f t="shared" si="9"/>
        <v>9100</v>
      </c>
      <c r="AE34" s="1">
        <f t="shared" si="10"/>
        <v>13650</v>
      </c>
      <c r="AF34" s="1">
        <f t="shared" si="11"/>
        <v>7600</v>
      </c>
      <c r="AG34" s="1">
        <f t="shared" si="12"/>
        <v>9100</v>
      </c>
      <c r="AH34" s="1">
        <f t="shared" si="13"/>
        <v>12150</v>
      </c>
    </row>
    <row r="35" spans="2:36" x14ac:dyDescent="0.35">
      <c r="N35" s="9">
        <v>30</v>
      </c>
      <c r="O35" s="1" t="str">
        <f t="shared" si="2"/>
        <v>标准关卡</v>
      </c>
      <c r="P35" s="1">
        <f t="shared" si="3"/>
        <v>7</v>
      </c>
      <c r="Q35" s="1">
        <v>3</v>
      </c>
      <c r="R35" s="1">
        <f t="shared" si="4"/>
        <v>208</v>
      </c>
      <c r="S35" s="1">
        <f t="shared" si="5"/>
        <v>4</v>
      </c>
      <c r="T35" s="8">
        <f t="shared" si="19"/>
        <v>0.16666666666666666</v>
      </c>
      <c r="U35" s="8">
        <f t="shared" si="19"/>
        <v>1.3333333333333333</v>
      </c>
      <c r="V35" s="8">
        <f t="shared" si="19"/>
        <v>2</v>
      </c>
      <c r="W35" s="8">
        <f t="shared" si="19"/>
        <v>1.1111111111111109</v>
      </c>
      <c r="X35" s="8">
        <f t="shared" si="19"/>
        <v>1.3333333333333333</v>
      </c>
      <c r="Y35" s="8">
        <f t="shared" si="19"/>
        <v>1.7777777777777777</v>
      </c>
      <c r="AA35" s="1">
        <f t="shared" si="15"/>
        <v>208</v>
      </c>
      <c r="AB35" s="1">
        <f t="shared" si="7"/>
        <v>10400</v>
      </c>
      <c r="AC35" s="1">
        <f t="shared" si="8"/>
        <v>1750</v>
      </c>
      <c r="AD35" s="1">
        <f t="shared" si="9"/>
        <v>13900</v>
      </c>
      <c r="AE35" s="1">
        <f t="shared" si="10"/>
        <v>20800</v>
      </c>
      <c r="AF35" s="1">
        <f t="shared" si="11"/>
        <v>11600</v>
      </c>
      <c r="AG35" s="1">
        <f t="shared" si="12"/>
        <v>13900</v>
      </c>
      <c r="AH35" s="1">
        <f t="shared" si="13"/>
        <v>18500</v>
      </c>
      <c r="AJ35" s="1"/>
    </row>
    <row r="36" spans="2:36" x14ac:dyDescent="0.35">
      <c r="N36" s="9">
        <v>31</v>
      </c>
      <c r="O36" s="1" t="str">
        <f t="shared" si="2"/>
        <v>标准关卡</v>
      </c>
      <c r="P36" s="1">
        <f t="shared" si="3"/>
        <v>8</v>
      </c>
      <c r="Q36" s="1">
        <v>1</v>
      </c>
      <c r="R36" s="1">
        <f t="shared" si="4"/>
        <v>248</v>
      </c>
      <c r="S36" s="1">
        <f t="shared" si="5"/>
        <v>1</v>
      </c>
      <c r="T36" s="8">
        <f t="shared" ref="T36:Y45" si="20">INDEX($D$7:$D$12,T$3)*INDEX($C$20:$F$20,1,$Q36)/IF($O36=$O$6,INDEX($D$25:$I$30,T$3,$P36),1)</f>
        <v>0.25</v>
      </c>
      <c r="U36" s="8">
        <f t="shared" si="20"/>
        <v>2</v>
      </c>
      <c r="V36" s="8">
        <f t="shared" si="20"/>
        <v>3</v>
      </c>
      <c r="W36" s="8">
        <f t="shared" si="20"/>
        <v>1.6666666666666665</v>
      </c>
      <c r="X36" s="8">
        <f t="shared" si="20"/>
        <v>2</v>
      </c>
      <c r="Y36" s="8">
        <f t="shared" si="20"/>
        <v>2.6666666666666665</v>
      </c>
      <c r="AA36" s="1">
        <f t="shared" si="15"/>
        <v>248</v>
      </c>
      <c r="AB36" s="1">
        <f t="shared" si="7"/>
        <v>2700</v>
      </c>
      <c r="AC36" s="1">
        <f t="shared" si="8"/>
        <v>700</v>
      </c>
      <c r="AD36" s="1">
        <f t="shared" si="9"/>
        <v>5400</v>
      </c>
      <c r="AE36" s="1">
        <f t="shared" si="10"/>
        <v>8100</v>
      </c>
      <c r="AF36" s="1">
        <f t="shared" si="11"/>
        <v>4500</v>
      </c>
      <c r="AG36" s="1">
        <f t="shared" si="12"/>
        <v>5400</v>
      </c>
      <c r="AH36" s="1">
        <f t="shared" si="13"/>
        <v>7200</v>
      </c>
    </row>
    <row r="37" spans="2:36" x14ac:dyDescent="0.35">
      <c r="B37" s="9"/>
      <c r="N37" s="9">
        <v>32</v>
      </c>
      <c r="O37" s="1" t="str">
        <f t="shared" si="2"/>
        <v>标准关卡</v>
      </c>
      <c r="P37" s="1">
        <f t="shared" si="3"/>
        <v>8</v>
      </c>
      <c r="Q37" s="1">
        <v>2</v>
      </c>
      <c r="R37" s="1">
        <f t="shared" si="4"/>
        <v>248</v>
      </c>
      <c r="S37" s="1">
        <f t="shared" si="5"/>
        <v>2</v>
      </c>
      <c r="T37" s="8">
        <f t="shared" si="20"/>
        <v>0.21875</v>
      </c>
      <c r="U37" s="8">
        <f t="shared" si="20"/>
        <v>1.75</v>
      </c>
      <c r="V37" s="8">
        <f t="shared" si="20"/>
        <v>2.625</v>
      </c>
      <c r="W37" s="8">
        <f t="shared" si="20"/>
        <v>1.4583333333333333</v>
      </c>
      <c r="X37" s="8">
        <f t="shared" si="20"/>
        <v>1.75</v>
      </c>
      <c r="Y37" s="8">
        <f t="shared" si="20"/>
        <v>2.333333333333333</v>
      </c>
      <c r="AA37" s="1">
        <f t="shared" si="15"/>
        <v>248</v>
      </c>
      <c r="AB37" s="1">
        <f t="shared" si="7"/>
        <v>5400</v>
      </c>
      <c r="AC37" s="1">
        <f t="shared" si="8"/>
        <v>1200</v>
      </c>
      <c r="AD37" s="1">
        <f t="shared" si="9"/>
        <v>9450</v>
      </c>
      <c r="AE37" s="1">
        <f t="shared" si="10"/>
        <v>14200</v>
      </c>
      <c r="AF37" s="1">
        <f t="shared" si="11"/>
        <v>7900</v>
      </c>
      <c r="AG37" s="1">
        <f t="shared" si="12"/>
        <v>9450</v>
      </c>
      <c r="AH37" s="1">
        <f t="shared" si="13"/>
        <v>12600</v>
      </c>
    </row>
    <row r="38" spans="2:36" x14ac:dyDescent="0.35">
      <c r="N38" s="9">
        <v>33</v>
      </c>
      <c r="O38" s="1" t="str">
        <f t="shared" ref="O38:O69" si="21">IF(N38&gt;$L$13,$K$15,$C$24)</f>
        <v>标准关卡</v>
      </c>
      <c r="P38" s="1">
        <f t="shared" ref="P38:P69" si="22">IF(N38&gt;$L$13,INT((N38-$L$13-1)/$L$8)+$L$16,INT((N38-1)/$L$8)+1)</f>
        <v>8</v>
      </c>
      <c r="Q38" s="1">
        <v>3</v>
      </c>
      <c r="R38" s="1">
        <f t="shared" ref="R38:R69" si="23">IF(O38=$K$15,INDEX(leve_cost_k,P38),INDEX($D$24:$I$24,1,P38))</f>
        <v>248</v>
      </c>
      <c r="S38" s="1">
        <f t="shared" ref="S38:S69" si="24">INDEX($C$17:$F$17,1,$Q38)</f>
        <v>4</v>
      </c>
      <c r="T38" s="8">
        <f t="shared" si="20"/>
        <v>0.16666666666666666</v>
      </c>
      <c r="U38" s="8">
        <f t="shared" si="20"/>
        <v>1.3333333333333333</v>
      </c>
      <c r="V38" s="8">
        <f t="shared" si="20"/>
        <v>2</v>
      </c>
      <c r="W38" s="8">
        <f t="shared" si="20"/>
        <v>1.1111111111111109</v>
      </c>
      <c r="X38" s="8">
        <f t="shared" si="20"/>
        <v>1.3333333333333333</v>
      </c>
      <c r="Y38" s="8">
        <f t="shared" si="20"/>
        <v>1.7777777777777777</v>
      </c>
      <c r="AA38" s="1">
        <f t="shared" si="15"/>
        <v>248</v>
      </c>
      <c r="AB38" s="1">
        <f t="shared" ref="AB38:AB69" si="25">INDEX(leve_cost_v,MATCH(R38,leve_cost_k,1))*INDEX($C$17:$F$17,,$Q38)</f>
        <v>10800</v>
      </c>
      <c r="AC38" s="1">
        <f t="shared" ref="AC38:AC69" si="26">_xlfn.CEILING.MATH(T38*$AB38,50)</f>
        <v>1800</v>
      </c>
      <c r="AD38" s="1">
        <f t="shared" ref="AD38:AD69" si="27">_xlfn.CEILING.MATH(U38*$AB38,50)</f>
        <v>14400</v>
      </c>
      <c r="AE38" s="1">
        <f t="shared" ref="AE38:AE69" si="28">_xlfn.CEILING.MATH(V38*$AB38,50)</f>
        <v>21600</v>
      </c>
      <c r="AF38" s="1">
        <f t="shared" ref="AF38:AF69" si="29">_xlfn.CEILING.MATH(W38*$AB38,50)</f>
        <v>12000</v>
      </c>
      <c r="AG38" s="1">
        <f t="shared" ref="AG38:AG69" si="30">_xlfn.CEILING.MATH(X38*$AB38,50)</f>
        <v>14400</v>
      </c>
      <c r="AH38" s="1">
        <f t="shared" ref="AH38:AH69" si="31">_xlfn.CEILING.MATH(Y38*$AB38,50)</f>
        <v>19200</v>
      </c>
      <c r="AJ38" s="1"/>
    </row>
    <row r="39" spans="2:36" x14ac:dyDescent="0.35">
      <c r="B39" s="5"/>
      <c r="C39" s="5"/>
      <c r="D39" s="5"/>
      <c r="E39" s="1"/>
      <c r="F39" s="1"/>
      <c r="N39" s="9">
        <v>34</v>
      </c>
      <c r="O39" s="1" t="str">
        <f t="shared" si="21"/>
        <v>标准关卡</v>
      </c>
      <c r="P39" s="1">
        <f t="shared" si="22"/>
        <v>9</v>
      </c>
      <c r="Q39" s="1">
        <v>1</v>
      </c>
      <c r="R39" s="1">
        <f t="shared" si="23"/>
        <v>298</v>
      </c>
      <c r="S39" s="1">
        <f t="shared" si="24"/>
        <v>1</v>
      </c>
      <c r="T39" s="8">
        <f t="shared" si="20"/>
        <v>0.25</v>
      </c>
      <c r="U39" s="8">
        <f t="shared" si="20"/>
        <v>2</v>
      </c>
      <c r="V39" s="8">
        <f t="shared" si="20"/>
        <v>3</v>
      </c>
      <c r="W39" s="8">
        <f t="shared" si="20"/>
        <v>1.6666666666666665</v>
      </c>
      <c r="X39" s="8">
        <f t="shared" si="20"/>
        <v>2</v>
      </c>
      <c r="Y39" s="8">
        <f t="shared" si="20"/>
        <v>2.6666666666666665</v>
      </c>
      <c r="AA39" s="1">
        <f t="shared" si="15"/>
        <v>298</v>
      </c>
      <c r="AB39" s="1">
        <f t="shared" si="25"/>
        <v>2800</v>
      </c>
      <c r="AC39" s="1">
        <f t="shared" si="26"/>
        <v>700</v>
      </c>
      <c r="AD39" s="1">
        <f t="shared" si="27"/>
        <v>5600</v>
      </c>
      <c r="AE39" s="1">
        <f t="shared" si="28"/>
        <v>8400</v>
      </c>
      <c r="AF39" s="1">
        <f t="shared" si="29"/>
        <v>4700</v>
      </c>
      <c r="AG39" s="1">
        <f t="shared" si="30"/>
        <v>5600</v>
      </c>
      <c r="AH39" s="1">
        <f t="shared" si="31"/>
        <v>7500</v>
      </c>
      <c r="AJ39" s="1"/>
    </row>
    <row r="40" spans="2:36" x14ac:dyDescent="0.35">
      <c r="B40" s="5"/>
      <c r="C40" s="5"/>
      <c r="D40" s="5"/>
      <c r="E40" s="1"/>
      <c r="F40" s="1"/>
      <c r="N40" s="9">
        <v>35</v>
      </c>
      <c r="O40" s="1" t="str">
        <f t="shared" si="21"/>
        <v>标准关卡</v>
      </c>
      <c r="P40" s="1">
        <f t="shared" si="22"/>
        <v>9</v>
      </c>
      <c r="Q40" s="1">
        <v>2</v>
      </c>
      <c r="R40" s="1">
        <f t="shared" si="23"/>
        <v>298</v>
      </c>
      <c r="S40" s="1">
        <f t="shared" si="24"/>
        <v>2</v>
      </c>
      <c r="T40" s="8">
        <f t="shared" si="20"/>
        <v>0.21875</v>
      </c>
      <c r="U40" s="8">
        <f t="shared" si="20"/>
        <v>1.75</v>
      </c>
      <c r="V40" s="8">
        <f t="shared" si="20"/>
        <v>2.625</v>
      </c>
      <c r="W40" s="8">
        <f t="shared" si="20"/>
        <v>1.4583333333333333</v>
      </c>
      <c r="X40" s="8">
        <f t="shared" si="20"/>
        <v>1.75</v>
      </c>
      <c r="Y40" s="8">
        <f t="shared" si="20"/>
        <v>2.333333333333333</v>
      </c>
      <c r="AA40" s="1">
        <f t="shared" si="15"/>
        <v>298</v>
      </c>
      <c r="AB40" s="1">
        <f t="shared" si="25"/>
        <v>5600</v>
      </c>
      <c r="AC40" s="1">
        <f t="shared" si="26"/>
        <v>1250</v>
      </c>
      <c r="AD40" s="1">
        <f t="shared" si="27"/>
        <v>9800</v>
      </c>
      <c r="AE40" s="1">
        <f t="shared" si="28"/>
        <v>14700</v>
      </c>
      <c r="AF40" s="1">
        <f t="shared" si="29"/>
        <v>8200</v>
      </c>
      <c r="AG40" s="1">
        <f t="shared" si="30"/>
        <v>9800</v>
      </c>
      <c r="AH40" s="1">
        <f t="shared" si="31"/>
        <v>13100</v>
      </c>
    </row>
    <row r="41" spans="2:36" x14ac:dyDescent="0.35">
      <c r="B41" s="5"/>
      <c r="C41" s="5"/>
      <c r="D41" s="5"/>
      <c r="E41" s="1"/>
      <c r="F41" s="1"/>
      <c r="N41" s="9">
        <v>36</v>
      </c>
      <c r="O41" s="1" t="str">
        <f t="shared" si="21"/>
        <v>标准关卡</v>
      </c>
      <c r="P41" s="1">
        <f t="shared" si="22"/>
        <v>9</v>
      </c>
      <c r="Q41" s="1">
        <v>3</v>
      </c>
      <c r="R41" s="1">
        <f t="shared" si="23"/>
        <v>298</v>
      </c>
      <c r="S41" s="1">
        <f t="shared" si="24"/>
        <v>4</v>
      </c>
      <c r="T41" s="8">
        <f t="shared" si="20"/>
        <v>0.16666666666666666</v>
      </c>
      <c r="U41" s="8">
        <f t="shared" si="20"/>
        <v>1.3333333333333333</v>
      </c>
      <c r="V41" s="8">
        <f t="shared" si="20"/>
        <v>2</v>
      </c>
      <c r="W41" s="8">
        <f t="shared" si="20"/>
        <v>1.1111111111111109</v>
      </c>
      <c r="X41" s="8">
        <f t="shared" si="20"/>
        <v>1.3333333333333333</v>
      </c>
      <c r="Y41" s="8">
        <f t="shared" si="20"/>
        <v>1.7777777777777777</v>
      </c>
      <c r="AA41" s="1">
        <f t="shared" si="15"/>
        <v>298</v>
      </c>
      <c r="AB41" s="1">
        <f t="shared" si="25"/>
        <v>11200</v>
      </c>
      <c r="AC41" s="1">
        <f t="shared" si="26"/>
        <v>1900</v>
      </c>
      <c r="AD41" s="1">
        <f t="shared" si="27"/>
        <v>14950</v>
      </c>
      <c r="AE41" s="1">
        <f t="shared" si="28"/>
        <v>22400</v>
      </c>
      <c r="AF41" s="1">
        <f t="shared" si="29"/>
        <v>12450</v>
      </c>
      <c r="AG41" s="1">
        <f t="shared" si="30"/>
        <v>14950</v>
      </c>
      <c r="AH41" s="1">
        <f t="shared" si="31"/>
        <v>19950</v>
      </c>
    </row>
    <row r="42" spans="2:36" x14ac:dyDescent="0.35">
      <c r="B42" s="5"/>
      <c r="C42" s="5"/>
      <c r="D42" s="5"/>
      <c r="E42" s="1"/>
      <c r="F42" s="1"/>
      <c r="N42" s="9">
        <v>37</v>
      </c>
      <c r="O42" s="1" t="str">
        <f t="shared" si="21"/>
        <v>标准关卡</v>
      </c>
      <c r="P42" s="1">
        <f t="shared" si="22"/>
        <v>10</v>
      </c>
      <c r="Q42" s="1">
        <v>1</v>
      </c>
      <c r="R42" s="1">
        <f t="shared" si="23"/>
        <v>348</v>
      </c>
      <c r="S42" s="1">
        <f t="shared" si="24"/>
        <v>1</v>
      </c>
      <c r="T42" s="8">
        <f t="shared" si="20"/>
        <v>0.25</v>
      </c>
      <c r="U42" s="8">
        <f t="shared" si="20"/>
        <v>2</v>
      </c>
      <c r="V42" s="8">
        <f t="shared" si="20"/>
        <v>3</v>
      </c>
      <c r="W42" s="8">
        <f t="shared" si="20"/>
        <v>1.6666666666666665</v>
      </c>
      <c r="X42" s="8">
        <f t="shared" si="20"/>
        <v>2</v>
      </c>
      <c r="Y42" s="8">
        <f t="shared" si="20"/>
        <v>2.6666666666666665</v>
      </c>
      <c r="AA42" s="1">
        <f t="shared" si="15"/>
        <v>348</v>
      </c>
      <c r="AB42" s="1">
        <f t="shared" si="25"/>
        <v>2900</v>
      </c>
      <c r="AC42" s="1">
        <f t="shared" si="26"/>
        <v>750</v>
      </c>
      <c r="AD42" s="1">
        <f t="shared" si="27"/>
        <v>5800</v>
      </c>
      <c r="AE42" s="1">
        <f t="shared" si="28"/>
        <v>8700</v>
      </c>
      <c r="AF42" s="1">
        <f t="shared" si="29"/>
        <v>4850</v>
      </c>
      <c r="AG42" s="1">
        <f t="shared" si="30"/>
        <v>5800</v>
      </c>
      <c r="AH42" s="1">
        <f t="shared" si="31"/>
        <v>7750</v>
      </c>
    </row>
    <row r="43" spans="2:36" x14ac:dyDescent="0.35">
      <c r="B43" s="5"/>
      <c r="C43" s="5"/>
      <c r="D43" s="5"/>
      <c r="E43" s="1"/>
      <c r="F43" s="1"/>
      <c r="N43" s="9">
        <v>38</v>
      </c>
      <c r="O43" s="1" t="str">
        <f t="shared" si="21"/>
        <v>标准关卡</v>
      </c>
      <c r="P43" s="1">
        <f t="shared" si="22"/>
        <v>10</v>
      </c>
      <c r="Q43" s="1">
        <v>2</v>
      </c>
      <c r="R43" s="1">
        <f t="shared" si="23"/>
        <v>348</v>
      </c>
      <c r="S43" s="1">
        <f t="shared" si="24"/>
        <v>2</v>
      </c>
      <c r="T43" s="8">
        <f t="shared" si="20"/>
        <v>0.21875</v>
      </c>
      <c r="U43" s="8">
        <f t="shared" si="20"/>
        <v>1.75</v>
      </c>
      <c r="V43" s="8">
        <f t="shared" si="20"/>
        <v>2.625</v>
      </c>
      <c r="W43" s="8">
        <f t="shared" si="20"/>
        <v>1.4583333333333333</v>
      </c>
      <c r="X43" s="8">
        <f t="shared" si="20"/>
        <v>1.75</v>
      </c>
      <c r="Y43" s="8">
        <f t="shared" si="20"/>
        <v>2.333333333333333</v>
      </c>
      <c r="AA43" s="1">
        <f t="shared" si="15"/>
        <v>348</v>
      </c>
      <c r="AB43" s="1">
        <f t="shared" si="25"/>
        <v>5800</v>
      </c>
      <c r="AC43" s="1">
        <f t="shared" si="26"/>
        <v>1300</v>
      </c>
      <c r="AD43" s="1">
        <f t="shared" si="27"/>
        <v>10150</v>
      </c>
      <c r="AE43" s="1">
        <f t="shared" si="28"/>
        <v>15250</v>
      </c>
      <c r="AF43" s="1">
        <f t="shared" si="29"/>
        <v>8500</v>
      </c>
      <c r="AG43" s="1">
        <f t="shared" si="30"/>
        <v>10150</v>
      </c>
      <c r="AH43" s="1">
        <f t="shared" si="31"/>
        <v>13550</v>
      </c>
    </row>
    <row r="44" spans="2:36" x14ac:dyDescent="0.35">
      <c r="M44"/>
      <c r="N44" s="9">
        <v>39</v>
      </c>
      <c r="O44" s="1" t="str">
        <f t="shared" si="21"/>
        <v>标准关卡</v>
      </c>
      <c r="P44" s="1">
        <f t="shared" si="22"/>
        <v>10</v>
      </c>
      <c r="Q44" s="1">
        <v>3</v>
      </c>
      <c r="R44" s="1">
        <f t="shared" si="23"/>
        <v>348</v>
      </c>
      <c r="S44" s="1">
        <f t="shared" si="24"/>
        <v>4</v>
      </c>
      <c r="T44" s="8">
        <f t="shared" si="20"/>
        <v>0.16666666666666666</v>
      </c>
      <c r="U44" s="8">
        <f t="shared" si="20"/>
        <v>1.3333333333333333</v>
      </c>
      <c r="V44" s="8">
        <f t="shared" si="20"/>
        <v>2</v>
      </c>
      <c r="W44" s="8">
        <f t="shared" si="20"/>
        <v>1.1111111111111109</v>
      </c>
      <c r="X44" s="8">
        <f t="shared" si="20"/>
        <v>1.3333333333333333</v>
      </c>
      <c r="Y44" s="8">
        <f t="shared" si="20"/>
        <v>1.7777777777777777</v>
      </c>
      <c r="AA44" s="1">
        <f t="shared" si="15"/>
        <v>348</v>
      </c>
      <c r="AB44" s="1">
        <f t="shared" si="25"/>
        <v>11600</v>
      </c>
      <c r="AC44" s="1">
        <f t="shared" si="26"/>
        <v>1950</v>
      </c>
      <c r="AD44" s="1">
        <f t="shared" si="27"/>
        <v>15500</v>
      </c>
      <c r="AE44" s="1">
        <f t="shared" si="28"/>
        <v>23200</v>
      </c>
      <c r="AF44" s="1">
        <f t="shared" si="29"/>
        <v>12900</v>
      </c>
      <c r="AG44" s="1">
        <f t="shared" si="30"/>
        <v>15500</v>
      </c>
      <c r="AH44" s="1">
        <f t="shared" si="31"/>
        <v>20650</v>
      </c>
    </row>
    <row r="45" spans="2:36" x14ac:dyDescent="0.35">
      <c r="L45" s="1"/>
      <c r="M45"/>
      <c r="N45" s="9">
        <v>40</v>
      </c>
      <c r="O45" s="1" t="str">
        <f t="shared" si="21"/>
        <v>标准关卡</v>
      </c>
      <c r="P45" s="1">
        <f t="shared" si="22"/>
        <v>11</v>
      </c>
      <c r="Q45" s="1">
        <v>1</v>
      </c>
      <c r="R45" s="1">
        <f t="shared" si="23"/>
        <v>398</v>
      </c>
      <c r="S45" s="1">
        <f t="shared" si="24"/>
        <v>1</v>
      </c>
      <c r="T45" s="8">
        <f t="shared" si="20"/>
        <v>0.25</v>
      </c>
      <c r="U45" s="8">
        <f t="shared" si="20"/>
        <v>2</v>
      </c>
      <c r="V45" s="8">
        <f t="shared" si="20"/>
        <v>3</v>
      </c>
      <c r="W45" s="8">
        <f t="shared" si="20"/>
        <v>1.6666666666666665</v>
      </c>
      <c r="X45" s="8">
        <f t="shared" si="20"/>
        <v>2</v>
      </c>
      <c r="Y45" s="8">
        <f t="shared" si="20"/>
        <v>2.6666666666666665</v>
      </c>
      <c r="AA45" s="1">
        <f t="shared" si="15"/>
        <v>398</v>
      </c>
      <c r="AB45" s="1">
        <f t="shared" si="25"/>
        <v>3000</v>
      </c>
      <c r="AC45" s="1">
        <f t="shared" si="26"/>
        <v>750</v>
      </c>
      <c r="AD45" s="1">
        <f t="shared" si="27"/>
        <v>6000</v>
      </c>
      <c r="AE45" s="1">
        <f t="shared" si="28"/>
        <v>9000</v>
      </c>
      <c r="AF45" s="1">
        <f t="shared" si="29"/>
        <v>5000</v>
      </c>
      <c r="AG45" s="1">
        <f t="shared" si="30"/>
        <v>6000</v>
      </c>
      <c r="AH45" s="1">
        <f t="shared" si="31"/>
        <v>8000</v>
      </c>
    </row>
    <row r="46" spans="2:36" x14ac:dyDescent="0.35">
      <c r="M46"/>
      <c r="N46" s="9">
        <v>41</v>
      </c>
      <c r="O46" s="1" t="str">
        <f t="shared" si="21"/>
        <v>标准关卡</v>
      </c>
      <c r="P46" s="1">
        <f t="shared" si="22"/>
        <v>11</v>
      </c>
      <c r="Q46" s="1">
        <v>2</v>
      </c>
      <c r="R46" s="1">
        <f t="shared" si="23"/>
        <v>398</v>
      </c>
      <c r="S46" s="1">
        <f t="shared" si="24"/>
        <v>2</v>
      </c>
      <c r="T46" s="8">
        <f t="shared" ref="T46:Y55" si="32">INDEX($D$7:$D$12,T$3)*INDEX($C$20:$F$20,1,$Q46)/IF($O46=$O$6,INDEX($D$25:$I$30,T$3,$P46),1)</f>
        <v>0.21875</v>
      </c>
      <c r="U46" s="8">
        <f t="shared" si="32"/>
        <v>1.75</v>
      </c>
      <c r="V46" s="8">
        <f t="shared" si="32"/>
        <v>2.625</v>
      </c>
      <c r="W46" s="8">
        <f t="shared" si="32"/>
        <v>1.4583333333333333</v>
      </c>
      <c r="X46" s="8">
        <f t="shared" si="32"/>
        <v>1.75</v>
      </c>
      <c r="Y46" s="8">
        <f t="shared" si="32"/>
        <v>2.333333333333333</v>
      </c>
      <c r="AA46" s="1">
        <f t="shared" si="15"/>
        <v>398</v>
      </c>
      <c r="AB46" s="1">
        <f t="shared" si="25"/>
        <v>6000</v>
      </c>
      <c r="AC46" s="1">
        <f t="shared" si="26"/>
        <v>1350</v>
      </c>
      <c r="AD46" s="1">
        <f t="shared" si="27"/>
        <v>10500</v>
      </c>
      <c r="AE46" s="1">
        <f t="shared" si="28"/>
        <v>15750</v>
      </c>
      <c r="AF46" s="1">
        <f t="shared" si="29"/>
        <v>8750</v>
      </c>
      <c r="AG46" s="1">
        <f t="shared" si="30"/>
        <v>10500</v>
      </c>
      <c r="AH46" s="1">
        <f t="shared" si="31"/>
        <v>14000</v>
      </c>
    </row>
    <row r="47" spans="2:36" x14ac:dyDescent="0.35">
      <c r="M47"/>
      <c r="N47" s="9">
        <v>42</v>
      </c>
      <c r="O47" s="1" t="str">
        <f t="shared" si="21"/>
        <v>标准关卡</v>
      </c>
      <c r="P47" s="1">
        <f t="shared" si="22"/>
        <v>11</v>
      </c>
      <c r="Q47" s="1">
        <v>3</v>
      </c>
      <c r="R47" s="1">
        <f t="shared" si="23"/>
        <v>398</v>
      </c>
      <c r="S47" s="1">
        <f t="shared" si="24"/>
        <v>4</v>
      </c>
      <c r="T47" s="8">
        <f t="shared" si="32"/>
        <v>0.16666666666666666</v>
      </c>
      <c r="U47" s="8">
        <f t="shared" si="32"/>
        <v>1.3333333333333333</v>
      </c>
      <c r="V47" s="8">
        <f t="shared" si="32"/>
        <v>2</v>
      </c>
      <c r="W47" s="8">
        <f t="shared" si="32"/>
        <v>1.1111111111111109</v>
      </c>
      <c r="X47" s="8">
        <f t="shared" si="32"/>
        <v>1.3333333333333333</v>
      </c>
      <c r="Y47" s="8">
        <f t="shared" si="32"/>
        <v>1.7777777777777777</v>
      </c>
      <c r="AA47" s="1">
        <f t="shared" si="15"/>
        <v>398</v>
      </c>
      <c r="AB47" s="1">
        <f t="shared" si="25"/>
        <v>12000</v>
      </c>
      <c r="AC47" s="1">
        <f t="shared" si="26"/>
        <v>2000</v>
      </c>
      <c r="AD47" s="1">
        <f t="shared" si="27"/>
        <v>16000</v>
      </c>
      <c r="AE47" s="1">
        <f t="shared" si="28"/>
        <v>24000</v>
      </c>
      <c r="AF47" s="1">
        <f t="shared" si="29"/>
        <v>13350</v>
      </c>
      <c r="AG47" s="1">
        <f t="shared" si="30"/>
        <v>16000</v>
      </c>
      <c r="AH47" s="1">
        <f t="shared" si="31"/>
        <v>21350</v>
      </c>
    </row>
    <row r="48" spans="2:36" x14ac:dyDescent="0.35">
      <c r="L48" s="5"/>
      <c r="M48"/>
      <c r="N48" s="9">
        <v>43</v>
      </c>
      <c r="O48" s="1" t="str">
        <f t="shared" si="21"/>
        <v>标准关卡</v>
      </c>
      <c r="P48" s="1">
        <f t="shared" si="22"/>
        <v>12</v>
      </c>
      <c r="Q48" s="1">
        <v>1</v>
      </c>
      <c r="R48" s="1">
        <f t="shared" si="23"/>
        <v>448</v>
      </c>
      <c r="S48" s="1">
        <f t="shared" si="24"/>
        <v>1</v>
      </c>
      <c r="T48" s="8">
        <f t="shared" si="32"/>
        <v>0.25</v>
      </c>
      <c r="U48" s="8">
        <f t="shared" si="32"/>
        <v>2</v>
      </c>
      <c r="V48" s="8">
        <f t="shared" si="32"/>
        <v>3</v>
      </c>
      <c r="W48" s="8">
        <f t="shared" si="32"/>
        <v>1.6666666666666665</v>
      </c>
      <c r="X48" s="8">
        <f t="shared" si="32"/>
        <v>2</v>
      </c>
      <c r="Y48" s="8">
        <f t="shared" si="32"/>
        <v>2.6666666666666665</v>
      </c>
      <c r="AA48" s="1">
        <f t="shared" si="15"/>
        <v>448</v>
      </c>
      <c r="AB48" s="1">
        <f t="shared" si="25"/>
        <v>3100</v>
      </c>
      <c r="AC48" s="1">
        <f t="shared" si="26"/>
        <v>800</v>
      </c>
      <c r="AD48" s="1">
        <f t="shared" si="27"/>
        <v>6200</v>
      </c>
      <c r="AE48" s="1">
        <f t="shared" si="28"/>
        <v>9300</v>
      </c>
      <c r="AF48" s="1">
        <f t="shared" si="29"/>
        <v>5200</v>
      </c>
      <c r="AG48" s="1">
        <f t="shared" si="30"/>
        <v>6200</v>
      </c>
      <c r="AH48" s="1">
        <f t="shared" si="31"/>
        <v>8300</v>
      </c>
    </row>
    <row r="49" spans="12:34" x14ac:dyDescent="0.35">
      <c r="L49" s="5"/>
      <c r="M49"/>
      <c r="N49" s="9">
        <v>44</v>
      </c>
      <c r="O49" s="1" t="str">
        <f t="shared" si="21"/>
        <v>标准关卡</v>
      </c>
      <c r="P49" s="1">
        <f t="shared" si="22"/>
        <v>12</v>
      </c>
      <c r="Q49" s="1">
        <v>2</v>
      </c>
      <c r="R49" s="1">
        <f t="shared" si="23"/>
        <v>448</v>
      </c>
      <c r="S49" s="1">
        <f t="shared" si="24"/>
        <v>2</v>
      </c>
      <c r="T49" s="8">
        <f t="shared" si="32"/>
        <v>0.21875</v>
      </c>
      <c r="U49" s="8">
        <f t="shared" si="32"/>
        <v>1.75</v>
      </c>
      <c r="V49" s="8">
        <f t="shared" si="32"/>
        <v>2.625</v>
      </c>
      <c r="W49" s="8">
        <f t="shared" si="32"/>
        <v>1.4583333333333333</v>
      </c>
      <c r="X49" s="8">
        <f t="shared" si="32"/>
        <v>1.75</v>
      </c>
      <c r="Y49" s="8">
        <f t="shared" si="32"/>
        <v>2.333333333333333</v>
      </c>
      <c r="AA49" s="1">
        <f t="shared" si="15"/>
        <v>448</v>
      </c>
      <c r="AB49" s="1">
        <f t="shared" si="25"/>
        <v>6200</v>
      </c>
      <c r="AC49" s="1">
        <f t="shared" si="26"/>
        <v>1400</v>
      </c>
      <c r="AD49" s="1">
        <f t="shared" si="27"/>
        <v>10850</v>
      </c>
      <c r="AE49" s="1">
        <f t="shared" si="28"/>
        <v>16300</v>
      </c>
      <c r="AF49" s="1">
        <f t="shared" si="29"/>
        <v>9050</v>
      </c>
      <c r="AG49" s="1">
        <f t="shared" si="30"/>
        <v>10850</v>
      </c>
      <c r="AH49" s="1">
        <f t="shared" si="31"/>
        <v>14500</v>
      </c>
    </row>
    <row r="50" spans="12:34" x14ac:dyDescent="0.35">
      <c r="L50" s="5"/>
      <c r="M50"/>
      <c r="N50" s="9">
        <v>45</v>
      </c>
      <c r="O50" s="1" t="str">
        <f t="shared" si="21"/>
        <v>标准关卡</v>
      </c>
      <c r="P50" s="1">
        <f t="shared" si="22"/>
        <v>12</v>
      </c>
      <c r="Q50" s="1">
        <v>3</v>
      </c>
      <c r="R50" s="1">
        <f t="shared" si="23"/>
        <v>448</v>
      </c>
      <c r="S50" s="1">
        <f t="shared" si="24"/>
        <v>4</v>
      </c>
      <c r="T50" s="8">
        <f t="shared" si="32"/>
        <v>0.16666666666666666</v>
      </c>
      <c r="U50" s="8">
        <f t="shared" si="32"/>
        <v>1.3333333333333333</v>
      </c>
      <c r="V50" s="8">
        <f t="shared" si="32"/>
        <v>2</v>
      </c>
      <c r="W50" s="8">
        <f t="shared" si="32"/>
        <v>1.1111111111111109</v>
      </c>
      <c r="X50" s="8">
        <f t="shared" si="32"/>
        <v>1.3333333333333333</v>
      </c>
      <c r="Y50" s="8">
        <f t="shared" si="32"/>
        <v>1.7777777777777777</v>
      </c>
      <c r="AA50" s="1">
        <f t="shared" si="15"/>
        <v>448</v>
      </c>
      <c r="AB50" s="1">
        <f t="shared" si="25"/>
        <v>12400</v>
      </c>
      <c r="AC50" s="1">
        <f t="shared" si="26"/>
        <v>2100</v>
      </c>
      <c r="AD50" s="1">
        <f t="shared" si="27"/>
        <v>16550</v>
      </c>
      <c r="AE50" s="1">
        <f t="shared" si="28"/>
        <v>24800</v>
      </c>
      <c r="AF50" s="1">
        <f t="shared" si="29"/>
        <v>13800</v>
      </c>
      <c r="AG50" s="1">
        <f t="shared" si="30"/>
        <v>16550</v>
      </c>
      <c r="AH50" s="1">
        <f t="shared" si="31"/>
        <v>22050</v>
      </c>
    </row>
    <row r="51" spans="12:34" x14ac:dyDescent="0.35">
      <c r="L51" s="5"/>
      <c r="M51"/>
      <c r="N51" s="9">
        <v>46</v>
      </c>
      <c r="O51" s="1" t="str">
        <f t="shared" si="21"/>
        <v>标准关卡</v>
      </c>
      <c r="P51" s="1">
        <f t="shared" si="22"/>
        <v>13</v>
      </c>
      <c r="Q51" s="1">
        <v>1</v>
      </c>
      <c r="R51" s="1">
        <f t="shared" si="23"/>
        <v>498</v>
      </c>
      <c r="S51" s="1">
        <f t="shared" si="24"/>
        <v>1</v>
      </c>
      <c r="T51" s="8">
        <f t="shared" si="32"/>
        <v>0.25</v>
      </c>
      <c r="U51" s="8">
        <f t="shared" si="32"/>
        <v>2</v>
      </c>
      <c r="V51" s="8">
        <f t="shared" si="32"/>
        <v>3</v>
      </c>
      <c r="W51" s="8">
        <f t="shared" si="32"/>
        <v>1.6666666666666665</v>
      </c>
      <c r="X51" s="8">
        <f t="shared" si="32"/>
        <v>2</v>
      </c>
      <c r="Y51" s="8">
        <f t="shared" si="32"/>
        <v>2.6666666666666665</v>
      </c>
      <c r="AA51" s="1">
        <f t="shared" si="15"/>
        <v>498</v>
      </c>
      <c r="AB51" s="1">
        <f t="shared" si="25"/>
        <v>3200</v>
      </c>
      <c r="AC51" s="1">
        <f t="shared" si="26"/>
        <v>800</v>
      </c>
      <c r="AD51" s="1">
        <f t="shared" si="27"/>
        <v>6400</v>
      </c>
      <c r="AE51" s="1">
        <f t="shared" si="28"/>
        <v>9600</v>
      </c>
      <c r="AF51" s="1">
        <f t="shared" si="29"/>
        <v>5350</v>
      </c>
      <c r="AG51" s="1">
        <f t="shared" si="30"/>
        <v>6400</v>
      </c>
      <c r="AH51" s="1">
        <f t="shared" si="31"/>
        <v>8550</v>
      </c>
    </row>
    <row r="52" spans="12:34" x14ac:dyDescent="0.35">
      <c r="L52" s="5"/>
      <c r="M52"/>
      <c r="N52" s="9">
        <v>47</v>
      </c>
      <c r="O52" s="1" t="str">
        <f t="shared" si="21"/>
        <v>标准关卡</v>
      </c>
      <c r="P52" s="1">
        <f t="shared" si="22"/>
        <v>13</v>
      </c>
      <c r="Q52" s="1">
        <v>2</v>
      </c>
      <c r="R52" s="1">
        <f t="shared" si="23"/>
        <v>498</v>
      </c>
      <c r="S52" s="1">
        <f t="shared" si="24"/>
        <v>2</v>
      </c>
      <c r="T52" s="8">
        <f t="shared" si="32"/>
        <v>0.21875</v>
      </c>
      <c r="U52" s="8">
        <f t="shared" si="32"/>
        <v>1.75</v>
      </c>
      <c r="V52" s="8">
        <f t="shared" si="32"/>
        <v>2.625</v>
      </c>
      <c r="W52" s="8">
        <f t="shared" si="32"/>
        <v>1.4583333333333333</v>
      </c>
      <c r="X52" s="8">
        <f t="shared" si="32"/>
        <v>1.75</v>
      </c>
      <c r="Y52" s="8">
        <f t="shared" si="32"/>
        <v>2.333333333333333</v>
      </c>
      <c r="AA52" s="1">
        <f t="shared" si="15"/>
        <v>498</v>
      </c>
      <c r="AB52" s="1">
        <f t="shared" si="25"/>
        <v>6400</v>
      </c>
      <c r="AC52" s="1">
        <f t="shared" si="26"/>
        <v>1400</v>
      </c>
      <c r="AD52" s="1">
        <f t="shared" si="27"/>
        <v>11200</v>
      </c>
      <c r="AE52" s="1">
        <f t="shared" si="28"/>
        <v>16800</v>
      </c>
      <c r="AF52" s="1">
        <f t="shared" si="29"/>
        <v>9350</v>
      </c>
      <c r="AG52" s="1">
        <f t="shared" si="30"/>
        <v>11200</v>
      </c>
      <c r="AH52" s="1">
        <f t="shared" si="31"/>
        <v>14950</v>
      </c>
    </row>
    <row r="53" spans="12:34" x14ac:dyDescent="0.35">
      <c r="L53" s="5"/>
      <c r="M53"/>
      <c r="N53" s="9">
        <v>48</v>
      </c>
      <c r="O53" s="1" t="str">
        <f t="shared" si="21"/>
        <v>标准关卡</v>
      </c>
      <c r="P53" s="1">
        <f t="shared" si="22"/>
        <v>13</v>
      </c>
      <c r="Q53" s="1">
        <v>3</v>
      </c>
      <c r="R53" s="1">
        <f t="shared" si="23"/>
        <v>498</v>
      </c>
      <c r="S53" s="1">
        <f t="shared" si="24"/>
        <v>4</v>
      </c>
      <c r="T53" s="8">
        <f t="shared" si="32"/>
        <v>0.16666666666666666</v>
      </c>
      <c r="U53" s="8">
        <f t="shared" si="32"/>
        <v>1.3333333333333333</v>
      </c>
      <c r="V53" s="8">
        <f t="shared" si="32"/>
        <v>2</v>
      </c>
      <c r="W53" s="8">
        <f t="shared" si="32"/>
        <v>1.1111111111111109</v>
      </c>
      <c r="X53" s="8">
        <f t="shared" si="32"/>
        <v>1.3333333333333333</v>
      </c>
      <c r="Y53" s="8">
        <f t="shared" si="32"/>
        <v>1.7777777777777777</v>
      </c>
      <c r="AA53" s="1">
        <f t="shared" si="15"/>
        <v>498</v>
      </c>
      <c r="AB53" s="1">
        <f t="shared" si="25"/>
        <v>12800</v>
      </c>
      <c r="AC53" s="1">
        <f t="shared" si="26"/>
        <v>2150</v>
      </c>
      <c r="AD53" s="1">
        <f t="shared" si="27"/>
        <v>17100</v>
      </c>
      <c r="AE53" s="1">
        <f t="shared" si="28"/>
        <v>25600</v>
      </c>
      <c r="AF53" s="1">
        <f t="shared" si="29"/>
        <v>14250</v>
      </c>
      <c r="AG53" s="1">
        <f t="shared" si="30"/>
        <v>17100</v>
      </c>
      <c r="AH53" s="1">
        <f t="shared" si="31"/>
        <v>22800</v>
      </c>
    </row>
    <row r="54" spans="12:34" x14ac:dyDescent="0.35">
      <c r="L54" s="5"/>
      <c r="M54"/>
      <c r="N54" s="9">
        <v>49</v>
      </c>
      <c r="O54" s="1" t="str">
        <f t="shared" si="21"/>
        <v>标准关卡</v>
      </c>
      <c r="P54" s="1">
        <f t="shared" si="22"/>
        <v>14</v>
      </c>
      <c r="Q54" s="1">
        <v>1</v>
      </c>
      <c r="R54" s="1">
        <f t="shared" si="23"/>
        <v>548</v>
      </c>
      <c r="S54" s="1">
        <f t="shared" si="24"/>
        <v>1</v>
      </c>
      <c r="T54" s="8">
        <f t="shared" si="32"/>
        <v>0.25</v>
      </c>
      <c r="U54" s="8">
        <f t="shared" si="32"/>
        <v>2</v>
      </c>
      <c r="V54" s="8">
        <f t="shared" si="32"/>
        <v>3</v>
      </c>
      <c r="W54" s="8">
        <f t="shared" si="32"/>
        <v>1.6666666666666665</v>
      </c>
      <c r="X54" s="8">
        <f t="shared" si="32"/>
        <v>2</v>
      </c>
      <c r="Y54" s="8">
        <f t="shared" si="32"/>
        <v>2.6666666666666665</v>
      </c>
      <c r="AA54" s="1">
        <f t="shared" si="15"/>
        <v>548</v>
      </c>
      <c r="AB54" s="1">
        <f t="shared" si="25"/>
        <v>3300</v>
      </c>
      <c r="AC54" s="1">
        <f t="shared" si="26"/>
        <v>850</v>
      </c>
      <c r="AD54" s="1">
        <f t="shared" si="27"/>
        <v>6600</v>
      </c>
      <c r="AE54" s="1">
        <f t="shared" si="28"/>
        <v>9900</v>
      </c>
      <c r="AF54" s="1">
        <f t="shared" si="29"/>
        <v>5500</v>
      </c>
      <c r="AG54" s="1">
        <f t="shared" si="30"/>
        <v>6600</v>
      </c>
      <c r="AH54" s="1">
        <f t="shared" si="31"/>
        <v>8800</v>
      </c>
    </row>
    <row r="55" spans="12:34" x14ac:dyDescent="0.35">
      <c r="M55"/>
      <c r="N55" s="9">
        <v>50</v>
      </c>
      <c r="O55" s="1" t="str">
        <f t="shared" si="21"/>
        <v>标准关卡</v>
      </c>
      <c r="P55" s="1">
        <f t="shared" si="22"/>
        <v>14</v>
      </c>
      <c r="Q55" s="1">
        <v>2</v>
      </c>
      <c r="R55" s="1">
        <f t="shared" si="23"/>
        <v>548</v>
      </c>
      <c r="S55" s="1">
        <f t="shared" si="24"/>
        <v>2</v>
      </c>
      <c r="T55" s="8">
        <f t="shared" si="32"/>
        <v>0.21875</v>
      </c>
      <c r="U55" s="8">
        <f t="shared" si="32"/>
        <v>1.75</v>
      </c>
      <c r="V55" s="8">
        <f t="shared" si="32"/>
        <v>2.625</v>
      </c>
      <c r="W55" s="8">
        <f t="shared" si="32"/>
        <v>1.4583333333333333</v>
      </c>
      <c r="X55" s="8">
        <f t="shared" si="32"/>
        <v>1.75</v>
      </c>
      <c r="Y55" s="8">
        <f t="shared" si="32"/>
        <v>2.333333333333333</v>
      </c>
      <c r="AA55" s="1">
        <f t="shared" si="15"/>
        <v>548</v>
      </c>
      <c r="AB55" s="1">
        <f t="shared" si="25"/>
        <v>6600</v>
      </c>
      <c r="AC55" s="1">
        <f t="shared" si="26"/>
        <v>1450</v>
      </c>
      <c r="AD55" s="1">
        <f t="shared" si="27"/>
        <v>11550</v>
      </c>
      <c r="AE55" s="1">
        <f t="shared" si="28"/>
        <v>17350</v>
      </c>
      <c r="AF55" s="1">
        <f t="shared" si="29"/>
        <v>9650</v>
      </c>
      <c r="AG55" s="1">
        <f t="shared" si="30"/>
        <v>11550</v>
      </c>
      <c r="AH55" s="1">
        <f t="shared" si="31"/>
        <v>15400</v>
      </c>
    </row>
    <row r="56" spans="12:34" x14ac:dyDescent="0.35">
      <c r="M56"/>
      <c r="N56" s="9">
        <v>51</v>
      </c>
      <c r="O56" s="1" t="str">
        <f t="shared" si="21"/>
        <v>标准关卡</v>
      </c>
      <c r="P56" s="1">
        <f t="shared" si="22"/>
        <v>14</v>
      </c>
      <c r="Q56" s="1">
        <v>3</v>
      </c>
      <c r="R56" s="1">
        <f t="shared" si="23"/>
        <v>548</v>
      </c>
      <c r="S56" s="1">
        <f t="shared" si="24"/>
        <v>4</v>
      </c>
      <c r="T56" s="8">
        <f t="shared" ref="T56:Y65" si="33">INDEX($D$7:$D$12,T$3)*INDEX($C$20:$F$20,1,$Q56)/IF($O56=$O$6,INDEX($D$25:$I$30,T$3,$P56),1)</f>
        <v>0.16666666666666666</v>
      </c>
      <c r="U56" s="8">
        <f t="shared" si="33"/>
        <v>1.3333333333333333</v>
      </c>
      <c r="V56" s="8">
        <f t="shared" si="33"/>
        <v>2</v>
      </c>
      <c r="W56" s="8">
        <f t="shared" si="33"/>
        <v>1.1111111111111109</v>
      </c>
      <c r="X56" s="8">
        <f t="shared" si="33"/>
        <v>1.3333333333333333</v>
      </c>
      <c r="Y56" s="8">
        <f t="shared" si="33"/>
        <v>1.7777777777777777</v>
      </c>
      <c r="AA56" s="1">
        <f t="shared" si="15"/>
        <v>548</v>
      </c>
      <c r="AB56" s="1">
        <f t="shared" si="25"/>
        <v>13200</v>
      </c>
      <c r="AC56" s="1">
        <f t="shared" si="26"/>
        <v>2200</v>
      </c>
      <c r="AD56" s="1">
        <f t="shared" si="27"/>
        <v>17600</v>
      </c>
      <c r="AE56" s="1">
        <f t="shared" si="28"/>
        <v>26400</v>
      </c>
      <c r="AF56" s="1">
        <f t="shared" si="29"/>
        <v>14700</v>
      </c>
      <c r="AG56" s="1">
        <f t="shared" si="30"/>
        <v>17600</v>
      </c>
      <c r="AH56" s="1">
        <f t="shared" si="31"/>
        <v>23500</v>
      </c>
    </row>
    <row r="57" spans="12:34" x14ac:dyDescent="0.35">
      <c r="M57"/>
      <c r="N57" s="9">
        <v>52</v>
      </c>
      <c r="O57" s="1" t="str">
        <f t="shared" si="21"/>
        <v>标准关卡</v>
      </c>
      <c r="P57" s="1">
        <f t="shared" si="22"/>
        <v>15</v>
      </c>
      <c r="Q57" s="1">
        <v>1</v>
      </c>
      <c r="R57" s="1">
        <f t="shared" si="23"/>
        <v>598</v>
      </c>
      <c r="S57" s="1">
        <f t="shared" si="24"/>
        <v>1</v>
      </c>
      <c r="T57" s="8">
        <f t="shared" si="33"/>
        <v>0.25</v>
      </c>
      <c r="U57" s="8">
        <f t="shared" si="33"/>
        <v>2</v>
      </c>
      <c r="V57" s="8">
        <f t="shared" si="33"/>
        <v>3</v>
      </c>
      <c r="W57" s="8">
        <f t="shared" si="33"/>
        <v>1.6666666666666665</v>
      </c>
      <c r="X57" s="8">
        <f t="shared" si="33"/>
        <v>2</v>
      </c>
      <c r="Y57" s="8">
        <f t="shared" si="33"/>
        <v>2.6666666666666665</v>
      </c>
      <c r="AA57" s="1">
        <f t="shared" si="15"/>
        <v>598</v>
      </c>
      <c r="AB57" s="1">
        <f t="shared" si="25"/>
        <v>3400</v>
      </c>
      <c r="AC57" s="1">
        <f t="shared" si="26"/>
        <v>850</v>
      </c>
      <c r="AD57" s="1">
        <f t="shared" si="27"/>
        <v>6800</v>
      </c>
      <c r="AE57" s="1">
        <f t="shared" si="28"/>
        <v>10200</v>
      </c>
      <c r="AF57" s="1">
        <f t="shared" si="29"/>
        <v>5700</v>
      </c>
      <c r="AG57" s="1">
        <f t="shared" si="30"/>
        <v>6800</v>
      </c>
      <c r="AH57" s="1">
        <f t="shared" si="31"/>
        <v>9100</v>
      </c>
    </row>
    <row r="58" spans="12:34" x14ac:dyDescent="0.35">
      <c r="M58"/>
      <c r="N58" s="9">
        <v>53</v>
      </c>
      <c r="O58" s="1" t="str">
        <f t="shared" si="21"/>
        <v>标准关卡</v>
      </c>
      <c r="P58" s="1">
        <f t="shared" si="22"/>
        <v>15</v>
      </c>
      <c r="Q58" s="1">
        <v>2</v>
      </c>
      <c r="R58" s="1">
        <f t="shared" si="23"/>
        <v>598</v>
      </c>
      <c r="S58" s="1">
        <f t="shared" si="24"/>
        <v>2</v>
      </c>
      <c r="T58" s="8">
        <f t="shared" si="33"/>
        <v>0.21875</v>
      </c>
      <c r="U58" s="8">
        <f t="shared" si="33"/>
        <v>1.75</v>
      </c>
      <c r="V58" s="8">
        <f t="shared" si="33"/>
        <v>2.625</v>
      </c>
      <c r="W58" s="8">
        <f t="shared" si="33"/>
        <v>1.4583333333333333</v>
      </c>
      <c r="X58" s="8">
        <f t="shared" si="33"/>
        <v>1.75</v>
      </c>
      <c r="Y58" s="8">
        <f t="shared" si="33"/>
        <v>2.333333333333333</v>
      </c>
      <c r="AA58" s="1">
        <f t="shared" si="15"/>
        <v>598</v>
      </c>
      <c r="AB58" s="1">
        <f t="shared" si="25"/>
        <v>6800</v>
      </c>
      <c r="AC58" s="1">
        <f t="shared" si="26"/>
        <v>1500</v>
      </c>
      <c r="AD58" s="1">
        <f t="shared" si="27"/>
        <v>11900</v>
      </c>
      <c r="AE58" s="1">
        <f t="shared" si="28"/>
        <v>17850</v>
      </c>
      <c r="AF58" s="1">
        <f t="shared" si="29"/>
        <v>9950</v>
      </c>
      <c r="AG58" s="1">
        <f t="shared" si="30"/>
        <v>11900</v>
      </c>
      <c r="AH58" s="1">
        <f t="shared" si="31"/>
        <v>15900</v>
      </c>
    </row>
    <row r="59" spans="12:34" x14ac:dyDescent="0.35">
      <c r="M59"/>
      <c r="N59" s="9">
        <v>54</v>
      </c>
      <c r="O59" s="1" t="str">
        <f t="shared" si="21"/>
        <v>标准关卡</v>
      </c>
      <c r="P59" s="1">
        <f t="shared" si="22"/>
        <v>15</v>
      </c>
      <c r="Q59" s="1">
        <v>3</v>
      </c>
      <c r="R59" s="1">
        <f t="shared" si="23"/>
        <v>598</v>
      </c>
      <c r="S59" s="1">
        <f t="shared" si="24"/>
        <v>4</v>
      </c>
      <c r="T59" s="8">
        <f t="shared" si="33"/>
        <v>0.16666666666666666</v>
      </c>
      <c r="U59" s="8">
        <f t="shared" si="33"/>
        <v>1.3333333333333333</v>
      </c>
      <c r="V59" s="8">
        <f t="shared" si="33"/>
        <v>2</v>
      </c>
      <c r="W59" s="8">
        <f t="shared" si="33"/>
        <v>1.1111111111111109</v>
      </c>
      <c r="X59" s="8">
        <f t="shared" si="33"/>
        <v>1.3333333333333333</v>
      </c>
      <c r="Y59" s="8">
        <f t="shared" si="33"/>
        <v>1.7777777777777777</v>
      </c>
      <c r="AA59" s="1">
        <f t="shared" si="15"/>
        <v>598</v>
      </c>
      <c r="AB59" s="1">
        <f t="shared" si="25"/>
        <v>13600</v>
      </c>
      <c r="AC59" s="1">
        <f t="shared" si="26"/>
        <v>2300</v>
      </c>
      <c r="AD59" s="1">
        <f t="shared" si="27"/>
        <v>18150</v>
      </c>
      <c r="AE59" s="1">
        <f t="shared" si="28"/>
        <v>27200</v>
      </c>
      <c r="AF59" s="1">
        <f t="shared" si="29"/>
        <v>15150</v>
      </c>
      <c r="AG59" s="1">
        <f t="shared" si="30"/>
        <v>18150</v>
      </c>
      <c r="AH59" s="1">
        <f t="shared" si="31"/>
        <v>24200</v>
      </c>
    </row>
    <row r="60" spans="12:34" x14ac:dyDescent="0.35">
      <c r="M60"/>
      <c r="N60" s="9">
        <v>55</v>
      </c>
      <c r="O60" s="1" t="str">
        <f t="shared" si="21"/>
        <v>标准关卡</v>
      </c>
      <c r="P60" s="1">
        <f t="shared" si="22"/>
        <v>16</v>
      </c>
      <c r="Q60" s="1">
        <v>1</v>
      </c>
      <c r="R60" s="1">
        <f t="shared" si="23"/>
        <v>648</v>
      </c>
      <c r="S60" s="1">
        <f t="shared" si="24"/>
        <v>1</v>
      </c>
      <c r="T60" s="8">
        <f t="shared" si="33"/>
        <v>0.25</v>
      </c>
      <c r="U60" s="8">
        <f t="shared" si="33"/>
        <v>2</v>
      </c>
      <c r="V60" s="8">
        <f t="shared" si="33"/>
        <v>3</v>
      </c>
      <c r="W60" s="8">
        <f t="shared" si="33"/>
        <v>1.6666666666666665</v>
      </c>
      <c r="X60" s="8">
        <f t="shared" si="33"/>
        <v>2</v>
      </c>
      <c r="Y60" s="8">
        <f t="shared" si="33"/>
        <v>2.6666666666666665</v>
      </c>
      <c r="AA60" s="1">
        <f t="shared" si="15"/>
        <v>648</v>
      </c>
      <c r="AB60" s="1">
        <f t="shared" si="25"/>
        <v>3500</v>
      </c>
      <c r="AC60" s="1">
        <f t="shared" si="26"/>
        <v>900</v>
      </c>
      <c r="AD60" s="1">
        <f t="shared" si="27"/>
        <v>7000</v>
      </c>
      <c r="AE60" s="1">
        <f t="shared" si="28"/>
        <v>10500</v>
      </c>
      <c r="AF60" s="1">
        <f t="shared" si="29"/>
        <v>5850</v>
      </c>
      <c r="AG60" s="1">
        <f t="shared" si="30"/>
        <v>7000</v>
      </c>
      <c r="AH60" s="1">
        <f t="shared" si="31"/>
        <v>9350</v>
      </c>
    </row>
    <row r="61" spans="12:34" x14ac:dyDescent="0.35">
      <c r="M61"/>
      <c r="N61" s="9">
        <v>56</v>
      </c>
      <c r="O61" s="1" t="str">
        <f t="shared" si="21"/>
        <v>标准关卡</v>
      </c>
      <c r="P61" s="1">
        <f t="shared" si="22"/>
        <v>16</v>
      </c>
      <c r="Q61" s="1">
        <v>2</v>
      </c>
      <c r="R61" s="1">
        <f t="shared" si="23"/>
        <v>648</v>
      </c>
      <c r="S61" s="1">
        <f t="shared" si="24"/>
        <v>2</v>
      </c>
      <c r="T61" s="8">
        <f t="shared" si="33"/>
        <v>0.21875</v>
      </c>
      <c r="U61" s="8">
        <f t="shared" si="33"/>
        <v>1.75</v>
      </c>
      <c r="V61" s="8">
        <f t="shared" si="33"/>
        <v>2.625</v>
      </c>
      <c r="W61" s="8">
        <f t="shared" si="33"/>
        <v>1.4583333333333333</v>
      </c>
      <c r="X61" s="8">
        <f t="shared" si="33"/>
        <v>1.75</v>
      </c>
      <c r="Y61" s="8">
        <f t="shared" si="33"/>
        <v>2.333333333333333</v>
      </c>
      <c r="AA61" s="1">
        <f t="shared" si="15"/>
        <v>648</v>
      </c>
      <c r="AB61" s="1">
        <f t="shared" si="25"/>
        <v>7000</v>
      </c>
      <c r="AC61" s="1">
        <f t="shared" si="26"/>
        <v>1550</v>
      </c>
      <c r="AD61" s="1">
        <f t="shared" si="27"/>
        <v>12250</v>
      </c>
      <c r="AE61" s="1">
        <f t="shared" si="28"/>
        <v>18400</v>
      </c>
      <c r="AF61" s="1">
        <f t="shared" si="29"/>
        <v>10250</v>
      </c>
      <c r="AG61" s="1">
        <f t="shared" si="30"/>
        <v>12250</v>
      </c>
      <c r="AH61" s="1">
        <f t="shared" si="31"/>
        <v>16350</v>
      </c>
    </row>
    <row r="62" spans="12:34" x14ac:dyDescent="0.35">
      <c r="M62"/>
      <c r="N62" s="9">
        <v>57</v>
      </c>
      <c r="O62" s="1" t="str">
        <f t="shared" si="21"/>
        <v>标准关卡</v>
      </c>
      <c r="P62" s="1">
        <f t="shared" si="22"/>
        <v>16</v>
      </c>
      <c r="Q62" s="1">
        <v>3</v>
      </c>
      <c r="R62" s="1">
        <f t="shared" si="23"/>
        <v>648</v>
      </c>
      <c r="S62" s="1">
        <f t="shared" si="24"/>
        <v>4</v>
      </c>
      <c r="T62" s="8">
        <f t="shared" si="33"/>
        <v>0.16666666666666666</v>
      </c>
      <c r="U62" s="8">
        <f t="shared" si="33"/>
        <v>1.3333333333333333</v>
      </c>
      <c r="V62" s="8">
        <f t="shared" si="33"/>
        <v>2</v>
      </c>
      <c r="W62" s="8">
        <f t="shared" si="33"/>
        <v>1.1111111111111109</v>
      </c>
      <c r="X62" s="8">
        <f t="shared" si="33"/>
        <v>1.3333333333333333</v>
      </c>
      <c r="Y62" s="8">
        <f t="shared" si="33"/>
        <v>1.7777777777777777</v>
      </c>
      <c r="AA62" s="1">
        <f t="shared" si="15"/>
        <v>648</v>
      </c>
      <c r="AB62" s="1">
        <f t="shared" si="25"/>
        <v>14000</v>
      </c>
      <c r="AC62" s="1">
        <f t="shared" si="26"/>
        <v>2350</v>
      </c>
      <c r="AD62" s="1">
        <f t="shared" si="27"/>
        <v>18700</v>
      </c>
      <c r="AE62" s="1">
        <f t="shared" si="28"/>
        <v>28000</v>
      </c>
      <c r="AF62" s="1">
        <f t="shared" si="29"/>
        <v>15600</v>
      </c>
      <c r="AG62" s="1">
        <f t="shared" si="30"/>
        <v>18700</v>
      </c>
      <c r="AH62" s="1">
        <f t="shared" si="31"/>
        <v>24900</v>
      </c>
    </row>
    <row r="63" spans="12:34" x14ac:dyDescent="0.35">
      <c r="L63" s="5"/>
      <c r="M63"/>
      <c r="N63" s="9">
        <v>58</v>
      </c>
      <c r="O63" s="1" t="str">
        <f t="shared" si="21"/>
        <v>标准关卡</v>
      </c>
      <c r="P63" s="1">
        <f t="shared" si="22"/>
        <v>17</v>
      </c>
      <c r="Q63" s="1">
        <v>1</v>
      </c>
      <c r="R63" s="1">
        <f t="shared" si="23"/>
        <v>698</v>
      </c>
      <c r="S63" s="1">
        <f t="shared" si="24"/>
        <v>1</v>
      </c>
      <c r="T63" s="8">
        <f t="shared" si="33"/>
        <v>0.25</v>
      </c>
      <c r="U63" s="8">
        <f t="shared" si="33"/>
        <v>2</v>
      </c>
      <c r="V63" s="8">
        <f t="shared" si="33"/>
        <v>3</v>
      </c>
      <c r="W63" s="8">
        <f t="shared" si="33"/>
        <v>1.6666666666666665</v>
      </c>
      <c r="X63" s="8">
        <f t="shared" si="33"/>
        <v>2</v>
      </c>
      <c r="Y63" s="8">
        <f t="shared" si="33"/>
        <v>2.6666666666666665</v>
      </c>
      <c r="AA63" s="1">
        <f t="shared" si="15"/>
        <v>698</v>
      </c>
      <c r="AB63" s="1">
        <f t="shared" si="25"/>
        <v>3600</v>
      </c>
      <c r="AC63" s="1">
        <f t="shared" si="26"/>
        <v>900</v>
      </c>
      <c r="AD63" s="1">
        <f t="shared" si="27"/>
        <v>7200</v>
      </c>
      <c r="AE63" s="1">
        <f t="shared" si="28"/>
        <v>10800</v>
      </c>
      <c r="AF63" s="1">
        <f t="shared" si="29"/>
        <v>6000</v>
      </c>
      <c r="AG63" s="1">
        <f t="shared" si="30"/>
        <v>7200</v>
      </c>
      <c r="AH63" s="1">
        <f t="shared" si="31"/>
        <v>9600</v>
      </c>
    </row>
    <row r="64" spans="12:34" x14ac:dyDescent="0.35">
      <c r="L64" s="5"/>
      <c r="M64"/>
      <c r="N64" s="9">
        <v>59</v>
      </c>
      <c r="O64" s="1" t="str">
        <f t="shared" si="21"/>
        <v>标准关卡</v>
      </c>
      <c r="P64" s="1">
        <f t="shared" si="22"/>
        <v>17</v>
      </c>
      <c r="Q64" s="1">
        <v>2</v>
      </c>
      <c r="R64" s="1">
        <f t="shared" si="23"/>
        <v>698</v>
      </c>
      <c r="S64" s="1">
        <f t="shared" si="24"/>
        <v>2</v>
      </c>
      <c r="T64" s="8">
        <f t="shared" si="33"/>
        <v>0.21875</v>
      </c>
      <c r="U64" s="8">
        <f t="shared" si="33"/>
        <v>1.75</v>
      </c>
      <c r="V64" s="8">
        <f t="shared" si="33"/>
        <v>2.625</v>
      </c>
      <c r="W64" s="8">
        <f t="shared" si="33"/>
        <v>1.4583333333333333</v>
      </c>
      <c r="X64" s="8">
        <f t="shared" si="33"/>
        <v>1.75</v>
      </c>
      <c r="Y64" s="8">
        <f t="shared" si="33"/>
        <v>2.333333333333333</v>
      </c>
      <c r="AA64" s="1">
        <f t="shared" si="15"/>
        <v>698</v>
      </c>
      <c r="AB64" s="1">
        <f t="shared" si="25"/>
        <v>7200</v>
      </c>
      <c r="AC64" s="1">
        <f t="shared" si="26"/>
        <v>1600</v>
      </c>
      <c r="AD64" s="1">
        <f t="shared" si="27"/>
        <v>12600</v>
      </c>
      <c r="AE64" s="1">
        <f t="shared" si="28"/>
        <v>18900</v>
      </c>
      <c r="AF64" s="1">
        <f t="shared" si="29"/>
        <v>10500</v>
      </c>
      <c r="AG64" s="1">
        <f t="shared" si="30"/>
        <v>12600</v>
      </c>
      <c r="AH64" s="1">
        <f t="shared" si="31"/>
        <v>16800</v>
      </c>
    </row>
    <row r="65" spans="11:34" x14ac:dyDescent="0.35">
      <c r="L65" s="5"/>
      <c r="N65" s="9">
        <v>60</v>
      </c>
      <c r="O65" s="1" t="str">
        <f t="shared" si="21"/>
        <v>标准关卡</v>
      </c>
      <c r="P65" s="1">
        <f t="shared" si="22"/>
        <v>17</v>
      </c>
      <c r="Q65" s="1">
        <v>3</v>
      </c>
      <c r="R65" s="1">
        <f t="shared" si="23"/>
        <v>698</v>
      </c>
      <c r="S65" s="1">
        <f t="shared" si="24"/>
        <v>4</v>
      </c>
      <c r="T65" s="8">
        <f t="shared" si="33"/>
        <v>0.16666666666666666</v>
      </c>
      <c r="U65" s="8">
        <f t="shared" si="33"/>
        <v>1.3333333333333333</v>
      </c>
      <c r="V65" s="8">
        <f t="shared" si="33"/>
        <v>2</v>
      </c>
      <c r="W65" s="8">
        <f t="shared" si="33"/>
        <v>1.1111111111111109</v>
      </c>
      <c r="X65" s="8">
        <f t="shared" si="33"/>
        <v>1.3333333333333333</v>
      </c>
      <c r="Y65" s="8">
        <f t="shared" si="33"/>
        <v>1.7777777777777777</v>
      </c>
      <c r="AA65" s="1">
        <f t="shared" si="15"/>
        <v>698</v>
      </c>
      <c r="AB65" s="1">
        <f t="shared" si="25"/>
        <v>14400</v>
      </c>
      <c r="AC65" s="1">
        <f t="shared" si="26"/>
        <v>2400</v>
      </c>
      <c r="AD65" s="1">
        <f t="shared" si="27"/>
        <v>19200</v>
      </c>
      <c r="AE65" s="1">
        <f t="shared" si="28"/>
        <v>28800</v>
      </c>
      <c r="AF65" s="1">
        <f t="shared" si="29"/>
        <v>16000</v>
      </c>
      <c r="AG65" s="1">
        <f t="shared" si="30"/>
        <v>19200</v>
      </c>
      <c r="AH65" s="1">
        <f t="shared" si="31"/>
        <v>25600</v>
      </c>
    </row>
    <row r="66" spans="11:34" x14ac:dyDescent="0.35">
      <c r="K66" s="5"/>
      <c r="L66" s="5"/>
      <c r="N66" s="9">
        <v>61</v>
      </c>
      <c r="O66" s="1" t="str">
        <f t="shared" si="21"/>
        <v>标准关卡</v>
      </c>
      <c r="P66" s="1">
        <f t="shared" si="22"/>
        <v>18</v>
      </c>
      <c r="Q66" s="1">
        <v>1</v>
      </c>
      <c r="R66" s="1">
        <f t="shared" si="23"/>
        <v>748</v>
      </c>
      <c r="S66" s="1">
        <f t="shared" si="24"/>
        <v>1</v>
      </c>
      <c r="T66" s="8">
        <f t="shared" ref="T66:Y75" si="34">INDEX($D$7:$D$12,T$3)*INDEX($C$20:$F$20,1,$Q66)/IF($O66=$O$6,INDEX($D$25:$I$30,T$3,$P66),1)</f>
        <v>0.25</v>
      </c>
      <c r="U66" s="8">
        <f t="shared" si="34"/>
        <v>2</v>
      </c>
      <c r="V66" s="8">
        <f t="shared" si="34"/>
        <v>3</v>
      </c>
      <c r="W66" s="8">
        <f t="shared" si="34"/>
        <v>1.6666666666666665</v>
      </c>
      <c r="X66" s="8">
        <f t="shared" si="34"/>
        <v>2</v>
      </c>
      <c r="Y66" s="8">
        <f t="shared" si="34"/>
        <v>2.6666666666666665</v>
      </c>
      <c r="AA66" s="1">
        <f t="shared" si="15"/>
        <v>748</v>
      </c>
      <c r="AB66" s="1">
        <f t="shared" si="25"/>
        <v>3700</v>
      </c>
      <c r="AC66" s="1">
        <f t="shared" si="26"/>
        <v>950</v>
      </c>
      <c r="AD66" s="1">
        <f t="shared" si="27"/>
        <v>7400</v>
      </c>
      <c r="AE66" s="1">
        <f t="shared" si="28"/>
        <v>11100</v>
      </c>
      <c r="AF66" s="1">
        <f t="shared" si="29"/>
        <v>6200</v>
      </c>
      <c r="AG66" s="1">
        <f t="shared" si="30"/>
        <v>7400</v>
      </c>
      <c r="AH66" s="1">
        <f t="shared" si="31"/>
        <v>9900</v>
      </c>
    </row>
    <row r="67" spans="11:34" x14ac:dyDescent="0.35">
      <c r="K67" s="5"/>
      <c r="L67" s="5"/>
      <c r="N67" s="9">
        <v>62</v>
      </c>
      <c r="O67" s="1" t="str">
        <f t="shared" si="21"/>
        <v>标准关卡</v>
      </c>
      <c r="P67" s="1">
        <f t="shared" si="22"/>
        <v>18</v>
      </c>
      <c r="Q67" s="1">
        <v>2</v>
      </c>
      <c r="R67" s="1">
        <f t="shared" si="23"/>
        <v>748</v>
      </c>
      <c r="S67" s="1">
        <f t="shared" si="24"/>
        <v>2</v>
      </c>
      <c r="T67" s="8">
        <f t="shared" si="34"/>
        <v>0.21875</v>
      </c>
      <c r="U67" s="8">
        <f t="shared" si="34"/>
        <v>1.75</v>
      </c>
      <c r="V67" s="8">
        <f t="shared" si="34"/>
        <v>2.625</v>
      </c>
      <c r="W67" s="8">
        <f t="shared" si="34"/>
        <v>1.4583333333333333</v>
      </c>
      <c r="X67" s="8">
        <f t="shared" si="34"/>
        <v>1.75</v>
      </c>
      <c r="Y67" s="8">
        <f t="shared" si="34"/>
        <v>2.333333333333333</v>
      </c>
      <c r="AA67" s="1">
        <f t="shared" si="15"/>
        <v>748</v>
      </c>
      <c r="AB67" s="1">
        <f t="shared" si="25"/>
        <v>7400</v>
      </c>
      <c r="AC67" s="1">
        <f t="shared" si="26"/>
        <v>1650</v>
      </c>
      <c r="AD67" s="1">
        <f t="shared" si="27"/>
        <v>12950</v>
      </c>
      <c r="AE67" s="1">
        <f t="shared" si="28"/>
        <v>19450</v>
      </c>
      <c r="AF67" s="1">
        <f t="shared" si="29"/>
        <v>10800</v>
      </c>
      <c r="AG67" s="1">
        <f t="shared" si="30"/>
        <v>12950</v>
      </c>
      <c r="AH67" s="1">
        <f t="shared" si="31"/>
        <v>17300</v>
      </c>
    </row>
    <row r="68" spans="11:34" x14ac:dyDescent="0.35">
      <c r="K68" s="5"/>
      <c r="L68" s="5"/>
      <c r="N68" s="9">
        <v>63</v>
      </c>
      <c r="O68" s="1" t="str">
        <f t="shared" si="21"/>
        <v>标准关卡</v>
      </c>
      <c r="P68" s="1">
        <f t="shared" si="22"/>
        <v>18</v>
      </c>
      <c r="Q68" s="1">
        <v>3</v>
      </c>
      <c r="R68" s="1">
        <f t="shared" si="23"/>
        <v>748</v>
      </c>
      <c r="S68" s="1">
        <f t="shared" si="24"/>
        <v>4</v>
      </c>
      <c r="T68" s="8">
        <f t="shared" si="34"/>
        <v>0.16666666666666666</v>
      </c>
      <c r="U68" s="8">
        <f t="shared" si="34"/>
        <v>1.3333333333333333</v>
      </c>
      <c r="V68" s="8">
        <f t="shared" si="34"/>
        <v>2</v>
      </c>
      <c r="W68" s="8">
        <f t="shared" si="34"/>
        <v>1.1111111111111109</v>
      </c>
      <c r="X68" s="8">
        <f t="shared" si="34"/>
        <v>1.3333333333333333</v>
      </c>
      <c r="Y68" s="8">
        <f t="shared" si="34"/>
        <v>1.7777777777777777</v>
      </c>
      <c r="AA68" s="1">
        <f t="shared" si="15"/>
        <v>748</v>
      </c>
      <c r="AB68" s="1">
        <f t="shared" si="25"/>
        <v>14800</v>
      </c>
      <c r="AC68" s="1">
        <f t="shared" si="26"/>
        <v>2500</v>
      </c>
      <c r="AD68" s="1">
        <f t="shared" si="27"/>
        <v>19750</v>
      </c>
      <c r="AE68" s="1">
        <f t="shared" si="28"/>
        <v>29600</v>
      </c>
      <c r="AF68" s="1">
        <f t="shared" si="29"/>
        <v>16450</v>
      </c>
      <c r="AG68" s="1">
        <f t="shared" si="30"/>
        <v>19750</v>
      </c>
      <c r="AH68" s="1">
        <f t="shared" si="31"/>
        <v>26350</v>
      </c>
    </row>
    <row r="69" spans="11:34" x14ac:dyDescent="0.35">
      <c r="K69" s="5"/>
      <c r="L69" s="5"/>
      <c r="N69" s="9">
        <v>64</v>
      </c>
      <c r="O69" s="1" t="str">
        <f t="shared" si="21"/>
        <v>标准关卡</v>
      </c>
      <c r="P69" s="1">
        <f t="shared" si="22"/>
        <v>19</v>
      </c>
      <c r="Q69" s="1">
        <v>1</v>
      </c>
      <c r="R69" s="1">
        <f t="shared" si="23"/>
        <v>798</v>
      </c>
      <c r="S69" s="1">
        <f t="shared" si="24"/>
        <v>1</v>
      </c>
      <c r="T69" s="8">
        <f t="shared" si="34"/>
        <v>0.25</v>
      </c>
      <c r="U69" s="8">
        <f t="shared" si="34"/>
        <v>2</v>
      </c>
      <c r="V69" s="8">
        <f t="shared" si="34"/>
        <v>3</v>
      </c>
      <c r="W69" s="8">
        <f t="shared" si="34"/>
        <v>1.6666666666666665</v>
      </c>
      <c r="X69" s="8">
        <f t="shared" si="34"/>
        <v>2</v>
      </c>
      <c r="Y69" s="8">
        <f t="shared" si="34"/>
        <v>2.6666666666666665</v>
      </c>
      <c r="AA69" s="1">
        <f t="shared" si="15"/>
        <v>798</v>
      </c>
      <c r="AB69" s="1">
        <f t="shared" si="25"/>
        <v>3800</v>
      </c>
      <c r="AC69" s="1">
        <f t="shared" si="26"/>
        <v>950</v>
      </c>
      <c r="AD69" s="1">
        <f t="shared" si="27"/>
        <v>7600</v>
      </c>
      <c r="AE69" s="1">
        <f t="shared" si="28"/>
        <v>11400</v>
      </c>
      <c r="AF69" s="1">
        <f t="shared" si="29"/>
        <v>6350</v>
      </c>
      <c r="AG69" s="1">
        <f t="shared" si="30"/>
        <v>7600</v>
      </c>
      <c r="AH69" s="1">
        <f t="shared" si="31"/>
        <v>10150</v>
      </c>
    </row>
    <row r="70" spans="11:34" x14ac:dyDescent="0.35">
      <c r="K70" s="5"/>
      <c r="N70" s="9">
        <v>65</v>
      </c>
      <c r="O70" s="1" t="str">
        <f t="shared" ref="O70:O83" si="35">IF(N70&gt;$L$13,$K$15,$C$24)</f>
        <v>标准关卡</v>
      </c>
      <c r="P70" s="1">
        <f t="shared" ref="P70:P83" si="36">IF(N70&gt;$L$13,INT((N70-$L$13-1)/$L$8)+$L$16,INT((N70-1)/$L$8)+1)</f>
        <v>19</v>
      </c>
      <c r="Q70" s="1">
        <v>2</v>
      </c>
      <c r="R70" s="1">
        <f t="shared" ref="R70:R83" si="37">IF(O70=$K$15,INDEX(leve_cost_k,P70),INDEX($D$24:$I$24,1,P70))</f>
        <v>798</v>
      </c>
      <c r="S70" s="1">
        <f t="shared" ref="S70:S83" si="38">INDEX($C$17:$F$17,1,$Q70)</f>
        <v>2</v>
      </c>
      <c r="T70" s="8">
        <f t="shared" si="34"/>
        <v>0.21875</v>
      </c>
      <c r="U70" s="8">
        <f t="shared" si="34"/>
        <v>1.75</v>
      </c>
      <c r="V70" s="8">
        <f t="shared" si="34"/>
        <v>2.625</v>
      </c>
      <c r="W70" s="8">
        <f t="shared" si="34"/>
        <v>1.4583333333333333</v>
      </c>
      <c r="X70" s="8">
        <f t="shared" si="34"/>
        <v>1.75</v>
      </c>
      <c r="Y70" s="8">
        <f t="shared" si="34"/>
        <v>2.333333333333333</v>
      </c>
      <c r="AA70" s="1">
        <f t="shared" si="15"/>
        <v>798</v>
      </c>
      <c r="AB70" s="1">
        <f t="shared" ref="AB70:AB83" si="39">INDEX(leve_cost_v,MATCH(R70,leve_cost_k,1))*INDEX($C$17:$F$17,,$Q70)</f>
        <v>7600</v>
      </c>
      <c r="AC70" s="1">
        <f t="shared" ref="AC70:AC83" si="40">_xlfn.CEILING.MATH(T70*$AB70,50)</f>
        <v>1700</v>
      </c>
      <c r="AD70" s="1">
        <f t="shared" ref="AD70:AD83" si="41">_xlfn.CEILING.MATH(U70*$AB70,50)</f>
        <v>13300</v>
      </c>
      <c r="AE70" s="1">
        <f t="shared" ref="AE70:AE83" si="42">_xlfn.CEILING.MATH(V70*$AB70,50)</f>
        <v>19950</v>
      </c>
      <c r="AF70" s="1">
        <f t="shared" ref="AF70:AF83" si="43">_xlfn.CEILING.MATH(W70*$AB70,50)</f>
        <v>11100</v>
      </c>
      <c r="AG70" s="1">
        <f t="shared" ref="AG70:AG83" si="44">_xlfn.CEILING.MATH(X70*$AB70,50)</f>
        <v>13300</v>
      </c>
      <c r="AH70" s="1">
        <f t="shared" ref="AH70:AH83" si="45">_xlfn.CEILING.MATH(Y70*$AB70,50)</f>
        <v>17750</v>
      </c>
    </row>
    <row r="71" spans="11:34" x14ac:dyDescent="0.35">
      <c r="K71" s="5"/>
      <c r="N71" s="9">
        <v>66</v>
      </c>
      <c r="O71" s="1" t="str">
        <f t="shared" si="35"/>
        <v>标准关卡</v>
      </c>
      <c r="P71" s="1">
        <f t="shared" si="36"/>
        <v>19</v>
      </c>
      <c r="Q71" s="1">
        <v>3</v>
      </c>
      <c r="R71" s="1">
        <f t="shared" si="37"/>
        <v>798</v>
      </c>
      <c r="S71" s="1">
        <f t="shared" si="38"/>
        <v>4</v>
      </c>
      <c r="T71" s="8">
        <f t="shared" si="34"/>
        <v>0.16666666666666666</v>
      </c>
      <c r="U71" s="8">
        <f t="shared" si="34"/>
        <v>1.3333333333333333</v>
      </c>
      <c r="V71" s="8">
        <f t="shared" si="34"/>
        <v>2</v>
      </c>
      <c r="W71" s="8">
        <f t="shared" si="34"/>
        <v>1.1111111111111109</v>
      </c>
      <c r="X71" s="8">
        <f t="shared" si="34"/>
        <v>1.3333333333333333</v>
      </c>
      <c r="Y71" s="8">
        <f t="shared" si="34"/>
        <v>1.7777777777777777</v>
      </c>
      <c r="AA71" s="1">
        <f t="shared" ref="AA71:AA83" si="46">R71</f>
        <v>798</v>
      </c>
      <c r="AB71" s="1">
        <f t="shared" si="39"/>
        <v>15200</v>
      </c>
      <c r="AC71" s="1">
        <f t="shared" si="40"/>
        <v>2550</v>
      </c>
      <c r="AD71" s="1">
        <f t="shared" si="41"/>
        <v>20300</v>
      </c>
      <c r="AE71" s="1">
        <f t="shared" si="42"/>
        <v>30400</v>
      </c>
      <c r="AF71" s="1">
        <f t="shared" si="43"/>
        <v>16900</v>
      </c>
      <c r="AG71" s="1">
        <f t="shared" si="44"/>
        <v>20300</v>
      </c>
      <c r="AH71" s="1">
        <f t="shared" si="45"/>
        <v>27050</v>
      </c>
    </row>
    <row r="72" spans="11:34" x14ac:dyDescent="0.35">
      <c r="K72" s="5"/>
      <c r="N72" s="9">
        <v>67</v>
      </c>
      <c r="O72" s="1" t="str">
        <f t="shared" si="35"/>
        <v>标准关卡</v>
      </c>
      <c r="P72" s="1">
        <f t="shared" si="36"/>
        <v>20</v>
      </c>
      <c r="Q72" s="1">
        <v>1</v>
      </c>
      <c r="R72" s="1">
        <f t="shared" si="37"/>
        <v>848</v>
      </c>
      <c r="S72" s="1">
        <f t="shared" si="38"/>
        <v>1</v>
      </c>
      <c r="T72" s="8">
        <f t="shared" si="34"/>
        <v>0.25</v>
      </c>
      <c r="U72" s="8">
        <f t="shared" si="34"/>
        <v>2</v>
      </c>
      <c r="V72" s="8">
        <f t="shared" si="34"/>
        <v>3</v>
      </c>
      <c r="W72" s="8">
        <f t="shared" si="34"/>
        <v>1.6666666666666665</v>
      </c>
      <c r="X72" s="8">
        <f t="shared" si="34"/>
        <v>2</v>
      </c>
      <c r="Y72" s="8">
        <f t="shared" si="34"/>
        <v>2.6666666666666665</v>
      </c>
      <c r="AA72" s="1">
        <f t="shared" si="46"/>
        <v>848</v>
      </c>
      <c r="AB72" s="1">
        <f t="shared" si="39"/>
        <v>3900</v>
      </c>
      <c r="AC72" s="1">
        <f t="shared" si="40"/>
        <v>1000</v>
      </c>
      <c r="AD72" s="1">
        <f t="shared" si="41"/>
        <v>7800</v>
      </c>
      <c r="AE72" s="1">
        <f t="shared" si="42"/>
        <v>11700</v>
      </c>
      <c r="AF72" s="1">
        <f t="shared" si="43"/>
        <v>6500</v>
      </c>
      <c r="AG72" s="1">
        <f t="shared" si="44"/>
        <v>7800</v>
      </c>
      <c r="AH72" s="1">
        <f t="shared" si="45"/>
        <v>10400</v>
      </c>
    </row>
    <row r="73" spans="11:34" x14ac:dyDescent="0.35">
      <c r="N73" s="9">
        <v>68</v>
      </c>
      <c r="O73" s="1" t="str">
        <f t="shared" si="35"/>
        <v>标准关卡</v>
      </c>
      <c r="P73" s="1">
        <f t="shared" si="36"/>
        <v>20</v>
      </c>
      <c r="Q73" s="1">
        <v>2</v>
      </c>
      <c r="R73" s="1">
        <f t="shared" si="37"/>
        <v>848</v>
      </c>
      <c r="S73" s="1">
        <f t="shared" si="38"/>
        <v>2</v>
      </c>
      <c r="T73" s="8">
        <f t="shared" si="34"/>
        <v>0.21875</v>
      </c>
      <c r="U73" s="8">
        <f t="shared" si="34"/>
        <v>1.75</v>
      </c>
      <c r="V73" s="8">
        <f t="shared" si="34"/>
        <v>2.625</v>
      </c>
      <c r="W73" s="8">
        <f t="shared" si="34"/>
        <v>1.4583333333333333</v>
      </c>
      <c r="X73" s="8">
        <f t="shared" si="34"/>
        <v>1.75</v>
      </c>
      <c r="Y73" s="8">
        <f t="shared" si="34"/>
        <v>2.333333333333333</v>
      </c>
      <c r="AA73" s="1">
        <f t="shared" si="46"/>
        <v>848</v>
      </c>
      <c r="AB73" s="1">
        <f t="shared" si="39"/>
        <v>7800</v>
      </c>
      <c r="AC73" s="1">
        <f t="shared" si="40"/>
        <v>1750</v>
      </c>
      <c r="AD73" s="1">
        <f t="shared" si="41"/>
        <v>13650</v>
      </c>
      <c r="AE73" s="1">
        <f t="shared" si="42"/>
        <v>20500</v>
      </c>
      <c r="AF73" s="1">
        <f t="shared" si="43"/>
        <v>11400</v>
      </c>
      <c r="AG73" s="1">
        <f t="shared" si="44"/>
        <v>13650</v>
      </c>
      <c r="AH73" s="1">
        <f t="shared" si="45"/>
        <v>18200</v>
      </c>
    </row>
    <row r="74" spans="11:34" x14ac:dyDescent="0.35">
      <c r="N74" s="9">
        <v>69</v>
      </c>
      <c r="O74" s="1" t="str">
        <f t="shared" si="35"/>
        <v>标准关卡</v>
      </c>
      <c r="P74" s="1">
        <f t="shared" si="36"/>
        <v>20</v>
      </c>
      <c r="Q74" s="1">
        <v>3</v>
      </c>
      <c r="R74" s="1">
        <f t="shared" si="37"/>
        <v>848</v>
      </c>
      <c r="S74" s="1">
        <f t="shared" si="38"/>
        <v>4</v>
      </c>
      <c r="T74" s="8">
        <f t="shared" si="34"/>
        <v>0.16666666666666666</v>
      </c>
      <c r="U74" s="8">
        <f t="shared" si="34"/>
        <v>1.3333333333333333</v>
      </c>
      <c r="V74" s="8">
        <f t="shared" si="34"/>
        <v>2</v>
      </c>
      <c r="W74" s="8">
        <f t="shared" si="34"/>
        <v>1.1111111111111109</v>
      </c>
      <c r="X74" s="8">
        <f t="shared" si="34"/>
        <v>1.3333333333333333</v>
      </c>
      <c r="Y74" s="8">
        <f t="shared" si="34"/>
        <v>1.7777777777777777</v>
      </c>
      <c r="AA74" s="1">
        <f t="shared" si="46"/>
        <v>848</v>
      </c>
      <c r="AB74" s="1">
        <f t="shared" si="39"/>
        <v>15600</v>
      </c>
      <c r="AC74" s="1">
        <f t="shared" si="40"/>
        <v>2600</v>
      </c>
      <c r="AD74" s="1">
        <f t="shared" si="41"/>
        <v>20800</v>
      </c>
      <c r="AE74" s="1">
        <f t="shared" si="42"/>
        <v>31200</v>
      </c>
      <c r="AF74" s="1">
        <f t="shared" si="43"/>
        <v>17350</v>
      </c>
      <c r="AG74" s="1">
        <f t="shared" si="44"/>
        <v>20800</v>
      </c>
      <c r="AH74" s="1">
        <f t="shared" si="45"/>
        <v>27750</v>
      </c>
    </row>
    <row r="75" spans="11:34" x14ac:dyDescent="0.35">
      <c r="N75" s="9">
        <v>70</v>
      </c>
      <c r="O75" s="1" t="str">
        <f t="shared" si="35"/>
        <v>标准关卡</v>
      </c>
      <c r="P75" s="1">
        <f t="shared" si="36"/>
        <v>21</v>
      </c>
      <c r="Q75" s="1">
        <v>1</v>
      </c>
      <c r="R75" s="1">
        <f t="shared" si="37"/>
        <v>898</v>
      </c>
      <c r="S75" s="1">
        <f t="shared" si="38"/>
        <v>1</v>
      </c>
      <c r="T75" s="8">
        <f t="shared" si="34"/>
        <v>0.25</v>
      </c>
      <c r="U75" s="8">
        <f t="shared" si="34"/>
        <v>2</v>
      </c>
      <c r="V75" s="8">
        <f t="shared" si="34"/>
        <v>3</v>
      </c>
      <c r="W75" s="8">
        <f t="shared" si="34"/>
        <v>1.6666666666666665</v>
      </c>
      <c r="X75" s="8">
        <f t="shared" si="34"/>
        <v>2</v>
      </c>
      <c r="Y75" s="8">
        <f t="shared" si="34"/>
        <v>2.6666666666666665</v>
      </c>
      <c r="AA75" s="1">
        <f t="shared" si="46"/>
        <v>898</v>
      </c>
      <c r="AB75" s="1">
        <f t="shared" si="39"/>
        <v>4000</v>
      </c>
      <c r="AC75" s="1">
        <f t="shared" si="40"/>
        <v>1000</v>
      </c>
      <c r="AD75" s="1">
        <f t="shared" si="41"/>
        <v>8000</v>
      </c>
      <c r="AE75" s="1">
        <f t="shared" si="42"/>
        <v>12000</v>
      </c>
      <c r="AF75" s="1">
        <f t="shared" si="43"/>
        <v>6700</v>
      </c>
      <c r="AG75" s="1">
        <f t="shared" si="44"/>
        <v>8000</v>
      </c>
      <c r="AH75" s="1">
        <f t="shared" si="45"/>
        <v>10700</v>
      </c>
    </row>
    <row r="76" spans="11:34" x14ac:dyDescent="0.35">
      <c r="N76" s="9">
        <v>71</v>
      </c>
      <c r="O76" s="1" t="str">
        <f t="shared" si="35"/>
        <v>标准关卡</v>
      </c>
      <c r="P76" s="1">
        <f t="shared" si="36"/>
        <v>21</v>
      </c>
      <c r="Q76" s="1">
        <v>2</v>
      </c>
      <c r="R76" s="1">
        <f t="shared" si="37"/>
        <v>898</v>
      </c>
      <c r="S76" s="1">
        <f t="shared" si="38"/>
        <v>2</v>
      </c>
      <c r="T76" s="8">
        <f t="shared" ref="T76:Y83" si="47">INDEX($D$7:$D$12,T$3)*INDEX($C$20:$F$20,1,$Q76)/IF($O76=$O$6,INDEX($D$25:$I$30,T$3,$P76),1)</f>
        <v>0.21875</v>
      </c>
      <c r="U76" s="8">
        <f t="shared" si="47"/>
        <v>1.75</v>
      </c>
      <c r="V76" s="8">
        <f t="shared" si="47"/>
        <v>2.625</v>
      </c>
      <c r="W76" s="8">
        <f t="shared" si="47"/>
        <v>1.4583333333333333</v>
      </c>
      <c r="X76" s="8">
        <f t="shared" si="47"/>
        <v>1.75</v>
      </c>
      <c r="Y76" s="8">
        <f t="shared" si="47"/>
        <v>2.333333333333333</v>
      </c>
      <c r="AA76" s="1">
        <f t="shared" si="46"/>
        <v>898</v>
      </c>
      <c r="AB76" s="1">
        <f t="shared" si="39"/>
        <v>8000</v>
      </c>
      <c r="AC76" s="1">
        <f t="shared" si="40"/>
        <v>1750</v>
      </c>
      <c r="AD76" s="1">
        <f t="shared" si="41"/>
        <v>14000</v>
      </c>
      <c r="AE76" s="1">
        <f t="shared" si="42"/>
        <v>21000</v>
      </c>
      <c r="AF76" s="1">
        <f t="shared" si="43"/>
        <v>11700</v>
      </c>
      <c r="AG76" s="1">
        <f t="shared" si="44"/>
        <v>14000</v>
      </c>
      <c r="AH76" s="1">
        <f t="shared" si="45"/>
        <v>18700</v>
      </c>
    </row>
    <row r="77" spans="11:34" x14ac:dyDescent="0.35">
      <c r="N77" s="9">
        <v>72</v>
      </c>
      <c r="O77" s="1" t="str">
        <f t="shared" si="35"/>
        <v>标准关卡</v>
      </c>
      <c r="P77" s="1">
        <f t="shared" si="36"/>
        <v>21</v>
      </c>
      <c r="Q77" s="1">
        <v>3</v>
      </c>
      <c r="R77" s="1">
        <f t="shared" si="37"/>
        <v>898</v>
      </c>
      <c r="S77" s="1">
        <f t="shared" si="38"/>
        <v>4</v>
      </c>
      <c r="T77" s="8">
        <f t="shared" si="47"/>
        <v>0.16666666666666666</v>
      </c>
      <c r="U77" s="8">
        <f t="shared" si="47"/>
        <v>1.3333333333333333</v>
      </c>
      <c r="V77" s="8">
        <f t="shared" si="47"/>
        <v>2</v>
      </c>
      <c r="W77" s="8">
        <f t="shared" si="47"/>
        <v>1.1111111111111109</v>
      </c>
      <c r="X77" s="8">
        <f t="shared" si="47"/>
        <v>1.3333333333333333</v>
      </c>
      <c r="Y77" s="8">
        <f t="shared" si="47"/>
        <v>1.7777777777777777</v>
      </c>
      <c r="AA77" s="1">
        <f t="shared" si="46"/>
        <v>898</v>
      </c>
      <c r="AB77" s="1">
        <f t="shared" si="39"/>
        <v>16000</v>
      </c>
      <c r="AC77" s="1">
        <f t="shared" si="40"/>
        <v>2700</v>
      </c>
      <c r="AD77" s="1">
        <f t="shared" si="41"/>
        <v>21350</v>
      </c>
      <c r="AE77" s="1">
        <f t="shared" si="42"/>
        <v>32000</v>
      </c>
      <c r="AF77" s="1">
        <f t="shared" si="43"/>
        <v>17800</v>
      </c>
      <c r="AG77" s="1">
        <f t="shared" si="44"/>
        <v>21350</v>
      </c>
      <c r="AH77" s="1">
        <f t="shared" si="45"/>
        <v>28450</v>
      </c>
    </row>
    <row r="78" spans="11:34" x14ac:dyDescent="0.35">
      <c r="N78" s="9">
        <v>73</v>
      </c>
      <c r="O78" s="1" t="str">
        <f t="shared" si="35"/>
        <v>标准关卡</v>
      </c>
      <c r="P78" s="1">
        <f t="shared" si="36"/>
        <v>22</v>
      </c>
      <c r="Q78" s="1">
        <v>1</v>
      </c>
      <c r="R78" s="1">
        <f t="shared" si="37"/>
        <v>948</v>
      </c>
      <c r="S78" s="1">
        <f t="shared" si="38"/>
        <v>1</v>
      </c>
      <c r="T78" s="8">
        <f t="shared" si="47"/>
        <v>0.25</v>
      </c>
      <c r="U78" s="8">
        <f t="shared" si="47"/>
        <v>2</v>
      </c>
      <c r="V78" s="8">
        <f t="shared" si="47"/>
        <v>3</v>
      </c>
      <c r="W78" s="8">
        <f t="shared" si="47"/>
        <v>1.6666666666666665</v>
      </c>
      <c r="X78" s="8">
        <f t="shared" si="47"/>
        <v>2</v>
      </c>
      <c r="Y78" s="8">
        <f t="shared" si="47"/>
        <v>2.6666666666666665</v>
      </c>
      <c r="AA78" s="1">
        <f t="shared" si="46"/>
        <v>948</v>
      </c>
      <c r="AB78" s="1">
        <f t="shared" si="39"/>
        <v>4100</v>
      </c>
      <c r="AC78" s="1">
        <f t="shared" si="40"/>
        <v>1050</v>
      </c>
      <c r="AD78" s="1">
        <f t="shared" si="41"/>
        <v>8200</v>
      </c>
      <c r="AE78" s="1">
        <f t="shared" si="42"/>
        <v>12300</v>
      </c>
      <c r="AF78" s="1">
        <f t="shared" si="43"/>
        <v>6850</v>
      </c>
      <c r="AG78" s="1">
        <f t="shared" si="44"/>
        <v>8200</v>
      </c>
      <c r="AH78" s="1">
        <f t="shared" si="45"/>
        <v>10950</v>
      </c>
    </row>
    <row r="79" spans="11:34" x14ac:dyDescent="0.35">
      <c r="N79" s="9">
        <v>74</v>
      </c>
      <c r="O79" s="1" t="str">
        <f t="shared" si="35"/>
        <v>标准关卡</v>
      </c>
      <c r="P79" s="1">
        <f t="shared" si="36"/>
        <v>22</v>
      </c>
      <c r="Q79" s="1">
        <v>2</v>
      </c>
      <c r="R79" s="1">
        <f t="shared" si="37"/>
        <v>948</v>
      </c>
      <c r="S79" s="1">
        <f t="shared" si="38"/>
        <v>2</v>
      </c>
      <c r="T79" s="8">
        <f t="shared" si="47"/>
        <v>0.21875</v>
      </c>
      <c r="U79" s="8">
        <f t="shared" si="47"/>
        <v>1.75</v>
      </c>
      <c r="V79" s="8">
        <f t="shared" si="47"/>
        <v>2.625</v>
      </c>
      <c r="W79" s="8">
        <f t="shared" si="47"/>
        <v>1.4583333333333333</v>
      </c>
      <c r="X79" s="8">
        <f t="shared" si="47"/>
        <v>1.75</v>
      </c>
      <c r="Y79" s="8">
        <f t="shared" si="47"/>
        <v>2.333333333333333</v>
      </c>
      <c r="AA79" s="1">
        <f t="shared" si="46"/>
        <v>948</v>
      </c>
      <c r="AB79" s="1">
        <f t="shared" si="39"/>
        <v>8200</v>
      </c>
      <c r="AC79" s="1">
        <f t="shared" si="40"/>
        <v>1800</v>
      </c>
      <c r="AD79" s="1">
        <f t="shared" si="41"/>
        <v>14350</v>
      </c>
      <c r="AE79" s="1">
        <f t="shared" si="42"/>
        <v>21550</v>
      </c>
      <c r="AF79" s="1">
        <f t="shared" si="43"/>
        <v>12000</v>
      </c>
      <c r="AG79" s="1">
        <f t="shared" si="44"/>
        <v>14350</v>
      </c>
      <c r="AH79" s="1">
        <f t="shared" si="45"/>
        <v>19150</v>
      </c>
    </row>
    <row r="80" spans="11:34" x14ac:dyDescent="0.35">
      <c r="N80" s="9">
        <v>75</v>
      </c>
      <c r="O80" s="1" t="str">
        <f t="shared" si="35"/>
        <v>标准关卡</v>
      </c>
      <c r="P80" s="1">
        <f t="shared" si="36"/>
        <v>22</v>
      </c>
      <c r="Q80" s="1">
        <v>3</v>
      </c>
      <c r="R80" s="1">
        <f t="shared" si="37"/>
        <v>948</v>
      </c>
      <c r="S80" s="1">
        <f t="shared" si="38"/>
        <v>4</v>
      </c>
      <c r="T80" s="8">
        <f t="shared" si="47"/>
        <v>0.16666666666666666</v>
      </c>
      <c r="U80" s="8">
        <f t="shared" si="47"/>
        <v>1.3333333333333333</v>
      </c>
      <c r="V80" s="8">
        <f t="shared" si="47"/>
        <v>2</v>
      </c>
      <c r="W80" s="8">
        <f t="shared" si="47"/>
        <v>1.1111111111111109</v>
      </c>
      <c r="X80" s="8">
        <f t="shared" si="47"/>
        <v>1.3333333333333333</v>
      </c>
      <c r="Y80" s="8">
        <f t="shared" si="47"/>
        <v>1.7777777777777777</v>
      </c>
      <c r="AA80" s="1">
        <f t="shared" si="46"/>
        <v>948</v>
      </c>
      <c r="AB80" s="1">
        <f t="shared" si="39"/>
        <v>16400</v>
      </c>
      <c r="AC80" s="1">
        <f t="shared" si="40"/>
        <v>2750</v>
      </c>
      <c r="AD80" s="1">
        <f t="shared" si="41"/>
        <v>21900</v>
      </c>
      <c r="AE80" s="1">
        <f t="shared" si="42"/>
        <v>32800</v>
      </c>
      <c r="AF80" s="1">
        <f t="shared" si="43"/>
        <v>18250</v>
      </c>
      <c r="AG80" s="1">
        <f t="shared" si="44"/>
        <v>21900</v>
      </c>
      <c r="AH80" s="1">
        <f t="shared" si="45"/>
        <v>29200</v>
      </c>
    </row>
    <row r="81" spans="14:34" x14ac:dyDescent="0.35">
      <c r="N81" s="9">
        <v>76</v>
      </c>
      <c r="O81" s="1" t="str">
        <f t="shared" si="35"/>
        <v>标准关卡</v>
      </c>
      <c r="P81" s="1">
        <f t="shared" si="36"/>
        <v>23</v>
      </c>
      <c r="Q81" s="1">
        <v>1</v>
      </c>
      <c r="R81" s="1">
        <f t="shared" si="37"/>
        <v>998</v>
      </c>
      <c r="S81" s="1">
        <f t="shared" si="38"/>
        <v>1</v>
      </c>
      <c r="T81" s="8">
        <f t="shared" si="47"/>
        <v>0.25</v>
      </c>
      <c r="U81" s="8">
        <f t="shared" si="47"/>
        <v>2</v>
      </c>
      <c r="V81" s="8">
        <f t="shared" si="47"/>
        <v>3</v>
      </c>
      <c r="W81" s="8">
        <f t="shared" si="47"/>
        <v>1.6666666666666665</v>
      </c>
      <c r="X81" s="8">
        <f t="shared" si="47"/>
        <v>2</v>
      </c>
      <c r="Y81" s="8">
        <f t="shared" si="47"/>
        <v>2.6666666666666665</v>
      </c>
      <c r="AA81" s="1">
        <f t="shared" si="46"/>
        <v>998</v>
      </c>
      <c r="AB81" s="1">
        <f t="shared" si="39"/>
        <v>4200</v>
      </c>
      <c r="AC81" s="1">
        <f t="shared" si="40"/>
        <v>1050</v>
      </c>
      <c r="AD81" s="1">
        <f t="shared" si="41"/>
        <v>8400</v>
      </c>
      <c r="AE81" s="1">
        <f t="shared" si="42"/>
        <v>12600</v>
      </c>
      <c r="AF81" s="1">
        <f t="shared" si="43"/>
        <v>7000</v>
      </c>
      <c r="AG81" s="1">
        <f t="shared" si="44"/>
        <v>8400</v>
      </c>
      <c r="AH81" s="1">
        <f t="shared" si="45"/>
        <v>11200</v>
      </c>
    </row>
    <row r="82" spans="14:34" x14ac:dyDescent="0.35">
      <c r="N82" s="9">
        <v>77</v>
      </c>
      <c r="O82" s="1" t="str">
        <f t="shared" si="35"/>
        <v>标准关卡</v>
      </c>
      <c r="P82" s="1">
        <f t="shared" si="36"/>
        <v>23</v>
      </c>
      <c r="Q82" s="1">
        <v>2</v>
      </c>
      <c r="R82" s="1">
        <f t="shared" si="37"/>
        <v>998</v>
      </c>
      <c r="S82" s="1">
        <f t="shared" si="38"/>
        <v>2</v>
      </c>
      <c r="T82" s="8">
        <f t="shared" si="47"/>
        <v>0.21875</v>
      </c>
      <c r="U82" s="8">
        <f t="shared" si="47"/>
        <v>1.75</v>
      </c>
      <c r="V82" s="8">
        <f t="shared" si="47"/>
        <v>2.625</v>
      </c>
      <c r="W82" s="8">
        <f t="shared" si="47"/>
        <v>1.4583333333333333</v>
      </c>
      <c r="X82" s="8">
        <f t="shared" si="47"/>
        <v>1.75</v>
      </c>
      <c r="Y82" s="8">
        <f t="shared" si="47"/>
        <v>2.333333333333333</v>
      </c>
      <c r="AA82" s="1">
        <f t="shared" si="46"/>
        <v>998</v>
      </c>
      <c r="AB82" s="1">
        <f t="shared" si="39"/>
        <v>8400</v>
      </c>
      <c r="AC82" s="1">
        <f t="shared" si="40"/>
        <v>1850</v>
      </c>
      <c r="AD82" s="1">
        <f t="shared" si="41"/>
        <v>14700</v>
      </c>
      <c r="AE82" s="1">
        <f t="shared" si="42"/>
        <v>22050</v>
      </c>
      <c r="AF82" s="1">
        <f t="shared" si="43"/>
        <v>12250</v>
      </c>
      <c r="AG82" s="1">
        <f t="shared" si="44"/>
        <v>14700</v>
      </c>
      <c r="AH82" s="1">
        <f t="shared" si="45"/>
        <v>19600</v>
      </c>
    </row>
    <row r="83" spans="14:34" x14ac:dyDescent="0.35">
      <c r="N83" s="9">
        <v>78</v>
      </c>
      <c r="O83" s="1" t="str">
        <f t="shared" si="35"/>
        <v>标准关卡</v>
      </c>
      <c r="P83" s="1">
        <f t="shared" si="36"/>
        <v>23</v>
      </c>
      <c r="Q83" s="1">
        <v>3</v>
      </c>
      <c r="R83" s="1">
        <f t="shared" si="37"/>
        <v>998</v>
      </c>
      <c r="S83" s="1">
        <f t="shared" si="38"/>
        <v>4</v>
      </c>
      <c r="T83" s="8">
        <f t="shared" si="47"/>
        <v>0.16666666666666666</v>
      </c>
      <c r="U83" s="8">
        <f t="shared" si="47"/>
        <v>1.3333333333333333</v>
      </c>
      <c r="V83" s="8">
        <f t="shared" si="47"/>
        <v>2</v>
      </c>
      <c r="W83" s="8">
        <f t="shared" si="47"/>
        <v>1.1111111111111109</v>
      </c>
      <c r="X83" s="8">
        <f t="shared" si="47"/>
        <v>1.3333333333333333</v>
      </c>
      <c r="Y83" s="8">
        <f t="shared" si="47"/>
        <v>1.7777777777777777</v>
      </c>
      <c r="AA83" s="1">
        <f t="shared" si="46"/>
        <v>998</v>
      </c>
      <c r="AB83" s="1">
        <f t="shared" si="39"/>
        <v>16800</v>
      </c>
      <c r="AC83" s="1">
        <f t="shared" si="40"/>
        <v>2800</v>
      </c>
      <c r="AD83" s="1">
        <f t="shared" si="41"/>
        <v>22400</v>
      </c>
      <c r="AE83" s="1">
        <f t="shared" si="42"/>
        <v>33600</v>
      </c>
      <c r="AF83" s="1">
        <f t="shared" si="43"/>
        <v>18700</v>
      </c>
      <c r="AG83" s="1">
        <f t="shared" si="44"/>
        <v>22400</v>
      </c>
      <c r="AH83" s="1">
        <f t="shared" si="45"/>
        <v>29900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908C-11F0-4F88-AF1E-D7E676735612}">
  <dimension ref="B1:AJ74"/>
  <sheetViews>
    <sheetView topLeftCell="A19" workbookViewId="0">
      <selection activeCell="X33" sqref="X17:AI33"/>
    </sheetView>
  </sheetViews>
  <sheetFormatPr defaultRowHeight="16.5" x14ac:dyDescent="0.35"/>
  <cols>
    <col min="2" max="2" width="15.875" bestFit="1" customWidth="1"/>
    <col min="3" max="3" width="15.875" style="5" customWidth="1"/>
    <col min="9" max="9" width="9" style="7" customWidth="1"/>
    <col min="10" max="13" width="9" style="1" customWidth="1"/>
    <col min="14" max="18" width="14.625" style="1" customWidth="1"/>
    <col min="19" max="19" width="9" customWidth="1"/>
    <col min="20" max="20" width="11.375" bestFit="1" customWidth="1"/>
    <col min="21" max="22" width="9" style="2"/>
    <col min="23" max="23" width="11.375" style="7" bestFit="1" customWidth="1"/>
    <col min="24" max="24" width="9.625" bestFit="1" customWidth="1"/>
    <col min="25" max="25" width="4.75" bestFit="1" customWidth="1"/>
    <col min="26" max="27" width="11.375" bestFit="1" customWidth="1"/>
    <col min="28" max="28" width="8" style="1" bestFit="1" customWidth="1"/>
    <col min="29" max="34" width="11.75" style="1" customWidth="1"/>
    <col min="36" max="36" width="21.5" bestFit="1" customWidth="1"/>
  </cols>
  <sheetData>
    <row r="1" spans="2:36" s="4" customFormat="1" ht="32.1" customHeight="1" x14ac:dyDescent="0.35">
      <c r="B1" s="4" t="s">
        <v>120</v>
      </c>
    </row>
    <row r="2" spans="2:36" x14ac:dyDescent="0.35">
      <c r="C2"/>
      <c r="I2"/>
      <c r="J2"/>
      <c r="K2"/>
      <c r="L2"/>
      <c r="M2"/>
      <c r="N2"/>
      <c r="O2"/>
      <c r="P2"/>
      <c r="Q2"/>
      <c r="R2"/>
      <c r="U2"/>
      <c r="V2"/>
      <c r="W2"/>
      <c r="AB2"/>
      <c r="AC2"/>
      <c r="AD2"/>
      <c r="AE2"/>
      <c r="AF2"/>
      <c r="AG2"/>
      <c r="AH2"/>
    </row>
    <row r="3" spans="2:36" x14ac:dyDescent="0.35">
      <c r="C3"/>
      <c r="I3"/>
      <c r="J3"/>
      <c r="K3"/>
      <c r="L3"/>
      <c r="M3"/>
      <c r="N3"/>
      <c r="O3"/>
      <c r="P3"/>
      <c r="Q3"/>
      <c r="R3"/>
      <c r="U3"/>
      <c r="V3"/>
      <c r="W3"/>
      <c r="AB3"/>
      <c r="AC3"/>
      <c r="AD3"/>
      <c r="AE3"/>
      <c r="AF3"/>
      <c r="AG3"/>
      <c r="AH3"/>
    </row>
    <row r="4" spans="2:36" x14ac:dyDescent="0.35"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</row>
    <row r="5" spans="2:36" s="13" customFormat="1" x14ac:dyDescent="0.35">
      <c r="B5" s="13" t="s">
        <v>374</v>
      </c>
      <c r="I5" s="13" t="s">
        <v>25</v>
      </c>
      <c r="J5" s="13" t="s">
        <v>236</v>
      </c>
      <c r="K5" s="13" t="s">
        <v>237</v>
      </c>
      <c r="L5" s="13" t="s">
        <v>235</v>
      </c>
      <c r="M5" s="13" t="s">
        <v>27</v>
      </c>
      <c r="N5" s="13" t="s">
        <v>29</v>
      </c>
      <c r="O5" s="13" t="s">
        <v>30</v>
      </c>
      <c r="P5" s="13" t="s">
        <v>32</v>
      </c>
      <c r="Q5" s="13" t="s">
        <v>238</v>
      </c>
      <c r="R5" s="13" t="s">
        <v>302</v>
      </c>
      <c r="T5" s="13" t="s">
        <v>35</v>
      </c>
      <c r="X5" s="13" t="s">
        <v>45</v>
      </c>
      <c r="Y5" s="13" t="s">
        <v>38</v>
      </c>
      <c r="Z5" s="13" t="s">
        <v>47</v>
      </c>
      <c r="AA5" s="13" t="s">
        <v>222</v>
      </c>
      <c r="AB5" s="13" t="s">
        <v>28</v>
      </c>
      <c r="AC5" s="13" t="s">
        <v>39</v>
      </c>
      <c r="AD5" s="13" t="s">
        <v>43</v>
      </c>
      <c r="AE5" s="13" t="s">
        <v>397</v>
      </c>
      <c r="AF5" s="13" t="s">
        <v>34</v>
      </c>
      <c r="AG5" s="13" t="s">
        <v>44</v>
      </c>
      <c r="AH5" s="13" t="s">
        <v>220</v>
      </c>
      <c r="AI5" s="13" t="s">
        <v>221</v>
      </c>
    </row>
    <row r="6" spans="2:36" x14ac:dyDescent="0.35">
      <c r="B6" t="s">
        <v>375</v>
      </c>
      <c r="I6" s="7">
        <v>1</v>
      </c>
      <c r="J6" s="1">
        <f>INT((I6-1)/关卡道具消耗!$L$8)+1</f>
        <v>1</v>
      </c>
      <c r="K6" s="1">
        <f>MOD(I6-1,关卡道具消耗!$L$8)+1</f>
        <v>1</v>
      </c>
      <c r="L6" s="1">
        <f t="shared" ref="L6:L37" si="0">INDEX(leve_cost_k,J6)</f>
        <v>1</v>
      </c>
      <c r="M6" s="1">
        <f>INDEX(leve_cost_v,J6)*INDEX(关卡道具消耗!$C$17:$F$17,1,K6)</f>
        <v>1000</v>
      </c>
      <c r="N6" s="1">
        <f>ROUND($M6*$C$9,0)</f>
        <v>1</v>
      </c>
      <c r="O6" s="1">
        <f>$C$10*INDEX(关卡道具消耗!$C$17:$F$17,1,K6)</f>
        <v>1</v>
      </c>
      <c r="P6" s="1">
        <f>ROUND($M6*$C$12,0)</f>
        <v>10</v>
      </c>
      <c r="Q6" s="1">
        <f>M6</f>
        <v>1000</v>
      </c>
      <c r="R6" s="1">
        <v>1</v>
      </c>
      <c r="T6" t="s">
        <v>42</v>
      </c>
      <c r="U6" s="2">
        <v>2000</v>
      </c>
      <c r="W6" s="7" t="s">
        <v>143</v>
      </c>
      <c r="X6" s="3">
        <v>29</v>
      </c>
      <c r="Y6" s="3">
        <v>21</v>
      </c>
      <c r="Z6" s="3">
        <v>0.4</v>
      </c>
      <c r="AA6" s="3">
        <v>0</v>
      </c>
      <c r="AB6" s="1">
        <f t="shared" ref="AB6:AB25" si="1">(X6*$C$9*$U$6*$U$9+X6*(X6-1)*$C$10*$U$9/2)*INT(($U$8-AA6)/X6)</f>
        <v>478.5</v>
      </c>
      <c r="AC6" s="1">
        <f t="shared" ref="AC6:AC25" si="2">Y6*$C$12*$U$6*$U$9+Y6*(Y6-1)*$U$6*$C$12*$U$9/2</f>
        <v>4620</v>
      </c>
      <c r="AD6" s="1">
        <f>$U$6*Z6*$U$9</f>
        <v>800</v>
      </c>
      <c r="AE6" s="1">
        <f>$U$6*$U$9/$C$22</f>
        <v>2</v>
      </c>
      <c r="AF6" s="1">
        <f t="shared" ref="AF6:AF32" si="3">MAX(ROUNDDOWN(POWER(SUM(AB6:AD6)/$AE6,$C$20)*$C$21*$AE6-SUM(AB6:AD6),-1),$C$23)</f>
        <v>50</v>
      </c>
      <c r="AG6" s="1">
        <f>ROUND(AF6+AC6+AB6+AD6,0)*$U$10</f>
        <v>5949</v>
      </c>
      <c r="AH6" s="6">
        <f>AG6/$U$6/$U$9</f>
        <v>2.9744999999999999</v>
      </c>
      <c r="AI6" s="6">
        <f>IF(AA6=0,0,SUM(AB6,AD6)/$U$6)</f>
        <v>0</v>
      </c>
    </row>
    <row r="7" spans="2:36" x14ac:dyDescent="0.35">
      <c r="I7" s="7">
        <v>2</v>
      </c>
      <c r="J7" s="1">
        <f>INT((I7-1)/关卡道具消耗!$L$8)+1</f>
        <v>1</v>
      </c>
      <c r="K7" s="1">
        <f>MOD(I7-1,关卡道具消耗!$L$8)+1</f>
        <v>2</v>
      </c>
      <c r="L7" s="1">
        <f t="shared" si="0"/>
        <v>1</v>
      </c>
      <c r="M7" s="1">
        <f>INDEX(leve_cost_v,J7)*INDEX(关卡道具消耗!$C$17:$F$17,1,K7)</f>
        <v>2000</v>
      </c>
      <c r="N7" s="1">
        <f t="shared" ref="N7:N70" si="4">ROUND($M7*$C$9,0)</f>
        <v>3</v>
      </c>
      <c r="O7" s="1">
        <f>$C$10*INDEX(关卡道具消耗!$C$17:$F$17,1,K7)</f>
        <v>2</v>
      </c>
      <c r="P7" s="1">
        <f>ROUND($M7*$C$12,0)</f>
        <v>20</v>
      </c>
      <c r="Q7" s="1">
        <f t="shared" ref="Q7:Q70" si="5">M7</f>
        <v>2000</v>
      </c>
      <c r="R7" s="1">
        <v>1</v>
      </c>
      <c r="T7" t="s">
        <v>36</v>
      </c>
      <c r="U7" s="2">
        <v>17</v>
      </c>
      <c r="W7" s="7" t="s">
        <v>144</v>
      </c>
      <c r="X7" s="3">
        <v>1</v>
      </c>
      <c r="Y7" s="3">
        <v>0</v>
      </c>
      <c r="Z7" s="3">
        <v>0</v>
      </c>
      <c r="AA7" s="3">
        <v>0</v>
      </c>
      <c r="AB7" s="1">
        <f t="shared" si="1"/>
        <v>72.5</v>
      </c>
      <c r="AC7" s="1">
        <f t="shared" si="2"/>
        <v>0</v>
      </c>
      <c r="AD7" s="1">
        <f>$U$6*Z7*$U$9</f>
        <v>0</v>
      </c>
      <c r="AE7" s="1">
        <f t="shared" ref="AE7:AE33" si="6">$U$6*$U$9/$C$22</f>
        <v>2</v>
      </c>
      <c r="AF7" s="1">
        <f t="shared" si="3"/>
        <v>1980</v>
      </c>
      <c r="AG7" s="1">
        <f t="shared" ref="AG7:AG33" si="7">ROUND(AF7+AC7+AB7+AD7,0)*$U$10</f>
        <v>2053</v>
      </c>
      <c r="AH7" s="6">
        <f>AG7/$U$6/$U$9</f>
        <v>1.0265</v>
      </c>
      <c r="AI7" s="6">
        <f t="shared" ref="AI7:AI25" si="8">IF(AA7=0,0,SUM(AB7,AD7)/$U$6)</f>
        <v>0</v>
      </c>
    </row>
    <row r="8" spans="2:36" x14ac:dyDescent="0.35">
      <c r="I8" s="7">
        <v>3</v>
      </c>
      <c r="J8" s="1">
        <f>INT((I8-1)/关卡道具消耗!$L$8)+1</f>
        <v>1</v>
      </c>
      <c r="K8" s="1">
        <f>MOD(I8-1,关卡道具消耗!$L$8)+1</f>
        <v>3</v>
      </c>
      <c r="L8" s="1">
        <f t="shared" si="0"/>
        <v>1</v>
      </c>
      <c r="M8" s="1">
        <f>INDEX(leve_cost_v,J8)*INDEX(关卡道具消耗!$C$17:$F$17,1,K8)</f>
        <v>4000</v>
      </c>
      <c r="N8" s="1">
        <f t="shared" si="4"/>
        <v>5</v>
      </c>
      <c r="O8" s="1">
        <f>$C$10*INDEX(关卡道具消耗!$C$17:$F$17,1,K8)</f>
        <v>4</v>
      </c>
      <c r="P8" s="1">
        <f t="shared" ref="P8:P70" si="9">ROUND($M8*$C$12,0)</f>
        <v>40</v>
      </c>
      <c r="Q8" s="1">
        <f t="shared" si="5"/>
        <v>4000</v>
      </c>
      <c r="R8" s="1">
        <v>1</v>
      </c>
      <c r="T8" t="s">
        <v>37</v>
      </c>
      <c r="U8" s="2">
        <v>29</v>
      </c>
      <c r="W8" s="7" t="s">
        <v>145</v>
      </c>
      <c r="X8" s="3">
        <v>2</v>
      </c>
      <c r="Y8" s="3">
        <v>2</v>
      </c>
      <c r="Z8" s="3">
        <v>0.15</v>
      </c>
      <c r="AA8" s="3">
        <v>0</v>
      </c>
      <c r="AB8" s="1">
        <f t="shared" si="1"/>
        <v>84</v>
      </c>
      <c r="AC8" s="1">
        <f t="shared" si="2"/>
        <v>60</v>
      </c>
      <c r="AD8" s="1">
        <f>$U$6*Z8*$U$9</f>
        <v>300</v>
      </c>
      <c r="AE8" s="1">
        <f t="shared" si="6"/>
        <v>2</v>
      </c>
      <c r="AF8" s="1">
        <f t="shared" si="3"/>
        <v>1890</v>
      </c>
      <c r="AG8" s="1">
        <f t="shared" si="7"/>
        <v>2334</v>
      </c>
      <c r="AH8" s="6">
        <f>AG8/$U$6/$U$9</f>
        <v>1.167</v>
      </c>
      <c r="AI8" s="6">
        <f t="shared" si="8"/>
        <v>0</v>
      </c>
    </row>
    <row r="9" spans="2:36" x14ac:dyDescent="0.35">
      <c r="B9" t="s">
        <v>29</v>
      </c>
      <c r="C9" s="5">
        <f>1/(20*40)</f>
        <v>1.25E-3</v>
      </c>
      <c r="I9" s="7">
        <v>4</v>
      </c>
      <c r="J9" s="1">
        <f>INT((I9-1)/关卡道具消耗!$L$8)+1</f>
        <v>2</v>
      </c>
      <c r="K9" s="1">
        <f>MOD(I9-1,关卡道具消耗!$L$8)+1</f>
        <v>1</v>
      </c>
      <c r="L9" s="1">
        <f t="shared" si="0"/>
        <v>20</v>
      </c>
      <c r="M9" s="1">
        <f>INDEX(leve_cost_v,J9)*INDEX(关卡道具消耗!$C$17:$F$17,1,K9)</f>
        <v>1500</v>
      </c>
      <c r="N9" s="1">
        <f t="shared" si="4"/>
        <v>2</v>
      </c>
      <c r="O9" s="1">
        <f>$C$10*INDEX(关卡道具消耗!$C$17:$F$17,1,K9)</f>
        <v>1</v>
      </c>
      <c r="P9" s="1">
        <f t="shared" si="9"/>
        <v>15</v>
      </c>
      <c r="Q9" s="1">
        <f t="shared" si="5"/>
        <v>1500</v>
      </c>
      <c r="R9" s="1">
        <v>1</v>
      </c>
      <c r="T9" t="s">
        <v>46</v>
      </c>
      <c r="U9" s="2">
        <v>1</v>
      </c>
      <c r="W9" s="7" t="s">
        <v>219</v>
      </c>
      <c r="X9" s="3">
        <v>3</v>
      </c>
      <c r="Y9" s="3">
        <v>0</v>
      </c>
      <c r="Z9" s="3">
        <v>0.4</v>
      </c>
      <c r="AA9" s="3">
        <v>1</v>
      </c>
      <c r="AB9" s="1">
        <f t="shared" si="1"/>
        <v>94.5</v>
      </c>
      <c r="AC9" s="1">
        <f t="shared" si="2"/>
        <v>0</v>
      </c>
      <c r="AD9" s="1">
        <f t="shared" ref="AD9:AD25" si="10">$U$6*Z9*$U$9</f>
        <v>800</v>
      </c>
      <c r="AE9" s="1">
        <f t="shared" si="6"/>
        <v>2</v>
      </c>
      <c r="AF9" s="1">
        <f t="shared" si="3"/>
        <v>1550</v>
      </c>
      <c r="AG9" s="1">
        <f t="shared" si="7"/>
        <v>2445</v>
      </c>
      <c r="AH9" s="6">
        <f t="shared" ref="AH9:AH25" si="11">AG9/$U$6/$U$9</f>
        <v>1.2224999999999999</v>
      </c>
      <c r="AI9" s="6">
        <f t="shared" si="8"/>
        <v>0.44724999999999998</v>
      </c>
    </row>
    <row r="10" spans="2:36" x14ac:dyDescent="0.35">
      <c r="B10" t="s">
        <v>30</v>
      </c>
      <c r="C10" s="5">
        <v>1</v>
      </c>
      <c r="I10" s="7">
        <v>5</v>
      </c>
      <c r="J10" s="1">
        <f>INT((I10-1)/关卡道具消耗!$L$8)+1</f>
        <v>2</v>
      </c>
      <c r="K10" s="1">
        <f>MOD(I10-1,关卡道具消耗!$L$8)+1</f>
        <v>2</v>
      </c>
      <c r="L10" s="1">
        <f t="shared" si="0"/>
        <v>20</v>
      </c>
      <c r="M10" s="1">
        <f>INDEX(leve_cost_v,J10)*INDEX(关卡道具消耗!$C$17:$F$17,1,K10)</f>
        <v>3000</v>
      </c>
      <c r="N10" s="1">
        <f t="shared" si="4"/>
        <v>4</v>
      </c>
      <c r="O10" s="1">
        <f>$C$10*INDEX(关卡道具消耗!$C$17:$F$17,1,K10)</f>
        <v>2</v>
      </c>
      <c r="P10" s="1">
        <f t="shared" si="9"/>
        <v>30</v>
      </c>
      <c r="Q10" s="1">
        <f t="shared" si="5"/>
        <v>3000</v>
      </c>
      <c r="R10" s="1">
        <v>1</v>
      </c>
      <c r="T10" t="s">
        <v>398</v>
      </c>
      <c r="U10" s="2">
        <v>1</v>
      </c>
      <c r="W10" s="7" t="s">
        <v>223</v>
      </c>
      <c r="X10" s="3">
        <v>1</v>
      </c>
      <c r="Y10" s="3">
        <v>0</v>
      </c>
      <c r="Z10" s="3">
        <v>0</v>
      </c>
      <c r="AA10" s="3">
        <v>5</v>
      </c>
      <c r="AB10" s="1">
        <f t="shared" si="1"/>
        <v>60</v>
      </c>
      <c r="AC10" s="1">
        <f t="shared" si="2"/>
        <v>0</v>
      </c>
      <c r="AD10" s="1">
        <f t="shared" si="10"/>
        <v>0</v>
      </c>
      <c r="AE10" s="1">
        <f t="shared" si="6"/>
        <v>2</v>
      </c>
      <c r="AF10" s="1">
        <f t="shared" si="3"/>
        <v>1970</v>
      </c>
      <c r="AG10" s="1">
        <f t="shared" si="7"/>
        <v>2030</v>
      </c>
      <c r="AH10" s="6">
        <f t="shared" si="11"/>
        <v>1.0149999999999999</v>
      </c>
      <c r="AI10" s="6">
        <f>IF(AA10=0,0,SUM(AB10,AD10)/$U$6)</f>
        <v>0.03</v>
      </c>
    </row>
    <row r="11" spans="2:36" x14ac:dyDescent="0.35">
      <c r="I11" s="7">
        <v>6</v>
      </c>
      <c r="J11" s="1">
        <f>INT((I11-1)/关卡道具消耗!$L$8)+1</f>
        <v>2</v>
      </c>
      <c r="K11" s="1">
        <f>MOD(I11-1,关卡道具消耗!$L$8)+1</f>
        <v>3</v>
      </c>
      <c r="L11" s="1">
        <f t="shared" si="0"/>
        <v>20</v>
      </c>
      <c r="M11" s="1">
        <f>INDEX(leve_cost_v,J11)*INDEX(关卡道具消耗!$C$17:$F$17,1,K11)</f>
        <v>6000</v>
      </c>
      <c r="N11" s="1">
        <f t="shared" si="4"/>
        <v>8</v>
      </c>
      <c r="O11" s="1">
        <f>$C$10*INDEX(关卡道具消耗!$C$17:$F$17,1,K11)</f>
        <v>4</v>
      </c>
      <c r="P11" s="1">
        <f t="shared" si="9"/>
        <v>60</v>
      </c>
      <c r="Q11" s="1">
        <f t="shared" si="5"/>
        <v>6000</v>
      </c>
      <c r="R11" s="1">
        <v>1</v>
      </c>
      <c r="W11" s="7" t="s">
        <v>218</v>
      </c>
      <c r="X11" s="3">
        <v>3</v>
      </c>
      <c r="Y11" s="3">
        <v>0</v>
      </c>
      <c r="Z11" s="3">
        <v>0.15</v>
      </c>
      <c r="AA11" s="3">
        <v>2</v>
      </c>
      <c r="AB11" s="1">
        <f t="shared" si="1"/>
        <v>94.5</v>
      </c>
      <c r="AC11" s="1">
        <f t="shared" si="2"/>
        <v>0</v>
      </c>
      <c r="AD11" s="1">
        <f t="shared" si="10"/>
        <v>300</v>
      </c>
      <c r="AE11" s="1">
        <f t="shared" si="6"/>
        <v>2</v>
      </c>
      <c r="AF11" s="1">
        <f t="shared" si="3"/>
        <v>1920</v>
      </c>
      <c r="AG11" s="1">
        <f t="shared" si="7"/>
        <v>2315</v>
      </c>
      <c r="AH11" s="6">
        <f t="shared" si="11"/>
        <v>1.1575</v>
      </c>
      <c r="AI11" s="6">
        <f>IF(AA11=0,0,SUM(AB11,AD11)/$U$6)</f>
        <v>0.19725000000000001</v>
      </c>
      <c r="AJ11" s="20"/>
    </row>
    <row r="12" spans="2:36" x14ac:dyDescent="0.35">
      <c r="B12" t="s">
        <v>32</v>
      </c>
      <c r="C12" s="5">
        <f>1/100</f>
        <v>0.01</v>
      </c>
      <c r="I12" s="7">
        <v>7</v>
      </c>
      <c r="J12" s="1">
        <f>INT((I12-1)/关卡道具消耗!$L$8)+1</f>
        <v>3</v>
      </c>
      <c r="K12" s="1">
        <f>MOD(I12-1,关卡道具消耗!$L$8)+1</f>
        <v>1</v>
      </c>
      <c r="L12" s="1">
        <f t="shared" si="0"/>
        <v>35</v>
      </c>
      <c r="M12" s="1">
        <f>INDEX(leve_cost_v,J12)*INDEX(关卡道具消耗!$C$17:$F$17,1,K12)</f>
        <v>1800</v>
      </c>
      <c r="N12" s="1">
        <f t="shared" si="4"/>
        <v>2</v>
      </c>
      <c r="O12" s="1">
        <f>$C$10*INDEX(关卡道具消耗!$C$17:$F$17,1,K12)</f>
        <v>1</v>
      </c>
      <c r="P12" s="1">
        <f t="shared" si="9"/>
        <v>18</v>
      </c>
      <c r="Q12" s="1">
        <f t="shared" si="5"/>
        <v>1800</v>
      </c>
      <c r="R12" s="1">
        <v>1</v>
      </c>
      <c r="X12" s="2">
        <v>2</v>
      </c>
      <c r="Y12" s="2">
        <v>21</v>
      </c>
      <c r="Z12" s="2">
        <v>0.15</v>
      </c>
      <c r="AA12" s="2">
        <v>0</v>
      </c>
      <c r="AB12" s="1">
        <f t="shared" si="1"/>
        <v>84</v>
      </c>
      <c r="AC12" s="1">
        <f t="shared" si="2"/>
        <v>4620</v>
      </c>
      <c r="AD12" s="1">
        <f t="shared" si="10"/>
        <v>300</v>
      </c>
      <c r="AE12" s="1">
        <f t="shared" si="6"/>
        <v>2</v>
      </c>
      <c r="AF12" s="1">
        <f t="shared" si="3"/>
        <v>50</v>
      </c>
      <c r="AG12" s="1">
        <f t="shared" si="7"/>
        <v>5054</v>
      </c>
      <c r="AH12" s="6">
        <f t="shared" si="11"/>
        <v>2.5270000000000001</v>
      </c>
      <c r="AI12" s="6">
        <f t="shared" si="8"/>
        <v>0</v>
      </c>
    </row>
    <row r="13" spans="2:36" x14ac:dyDescent="0.35">
      <c r="B13" t="s">
        <v>33</v>
      </c>
      <c r="C13" s="5">
        <f>1/100</f>
        <v>0.01</v>
      </c>
      <c r="I13" s="7">
        <v>8</v>
      </c>
      <c r="J13" s="1">
        <f>INT((I13-1)/关卡道具消耗!$L$8)+1</f>
        <v>3</v>
      </c>
      <c r="K13" s="1">
        <f>MOD(I13-1,关卡道具消耗!$L$8)+1</f>
        <v>2</v>
      </c>
      <c r="L13" s="1">
        <f t="shared" si="0"/>
        <v>35</v>
      </c>
      <c r="M13" s="1">
        <f>INDEX(leve_cost_v,J13)*INDEX(关卡道具消耗!$C$17:$F$17,1,K13)</f>
        <v>3600</v>
      </c>
      <c r="N13" s="1">
        <f t="shared" si="4"/>
        <v>5</v>
      </c>
      <c r="O13" s="1">
        <f>$C$10*INDEX(关卡道具消耗!$C$17:$F$17,1,K13)</f>
        <v>2</v>
      </c>
      <c r="P13" s="1">
        <f t="shared" si="9"/>
        <v>36</v>
      </c>
      <c r="Q13" s="1">
        <f t="shared" si="5"/>
        <v>3600</v>
      </c>
      <c r="R13" s="1">
        <v>1</v>
      </c>
      <c r="X13" s="2">
        <v>2</v>
      </c>
      <c r="Y13" s="2">
        <v>20</v>
      </c>
      <c r="Z13" s="2">
        <v>0.15</v>
      </c>
      <c r="AA13" s="2">
        <v>0</v>
      </c>
      <c r="AB13" s="1">
        <f t="shared" si="1"/>
        <v>84</v>
      </c>
      <c r="AC13" s="1">
        <f t="shared" si="2"/>
        <v>4200</v>
      </c>
      <c r="AD13" s="1">
        <f t="shared" si="10"/>
        <v>300</v>
      </c>
      <c r="AE13" s="1">
        <f t="shared" si="6"/>
        <v>2</v>
      </c>
      <c r="AF13" s="1">
        <f t="shared" si="3"/>
        <v>50</v>
      </c>
      <c r="AG13" s="1">
        <f t="shared" si="7"/>
        <v>4634</v>
      </c>
      <c r="AH13" s="6">
        <f t="shared" si="11"/>
        <v>2.3170000000000002</v>
      </c>
      <c r="AI13" s="6">
        <f t="shared" si="8"/>
        <v>0</v>
      </c>
    </row>
    <row r="14" spans="2:36" x14ac:dyDescent="0.35">
      <c r="I14" s="7">
        <v>9</v>
      </c>
      <c r="J14" s="1">
        <f>INT((I14-1)/关卡道具消耗!$L$8)+1</f>
        <v>3</v>
      </c>
      <c r="K14" s="1">
        <f>MOD(I14-1,关卡道具消耗!$L$8)+1</f>
        <v>3</v>
      </c>
      <c r="L14" s="1">
        <f t="shared" si="0"/>
        <v>35</v>
      </c>
      <c r="M14" s="1">
        <f>INDEX(leve_cost_v,J14)*INDEX(关卡道具消耗!$C$17:$F$17,1,K14)</f>
        <v>7200</v>
      </c>
      <c r="N14" s="1">
        <f t="shared" si="4"/>
        <v>9</v>
      </c>
      <c r="O14" s="1">
        <f>$C$10*INDEX(关卡道具消耗!$C$17:$F$17,1,K14)</f>
        <v>4</v>
      </c>
      <c r="P14" s="1">
        <f t="shared" si="9"/>
        <v>72</v>
      </c>
      <c r="Q14" s="1">
        <f t="shared" si="5"/>
        <v>7200</v>
      </c>
      <c r="R14" s="1">
        <v>1</v>
      </c>
      <c r="X14" s="2">
        <v>2</v>
      </c>
      <c r="Y14" s="2">
        <v>19</v>
      </c>
      <c r="Z14" s="2">
        <v>0.15</v>
      </c>
      <c r="AA14" s="2">
        <v>0</v>
      </c>
      <c r="AB14" s="1">
        <f t="shared" si="1"/>
        <v>84</v>
      </c>
      <c r="AC14" s="1">
        <f t="shared" si="2"/>
        <v>3800</v>
      </c>
      <c r="AD14" s="1">
        <f t="shared" si="10"/>
        <v>300</v>
      </c>
      <c r="AE14" s="1">
        <f t="shared" si="6"/>
        <v>2</v>
      </c>
      <c r="AF14" s="1">
        <f t="shared" si="3"/>
        <v>50</v>
      </c>
      <c r="AG14" s="1">
        <f t="shared" si="7"/>
        <v>4234</v>
      </c>
      <c r="AH14" s="6">
        <f t="shared" si="11"/>
        <v>2.117</v>
      </c>
      <c r="AI14" s="6">
        <f t="shared" si="8"/>
        <v>0</v>
      </c>
    </row>
    <row r="15" spans="2:36" x14ac:dyDescent="0.35">
      <c r="B15" t="s">
        <v>40</v>
      </c>
      <c r="C15" s="5">
        <v>0.2</v>
      </c>
      <c r="I15" s="7">
        <v>10</v>
      </c>
      <c r="J15" s="1">
        <f>INT((I15-1)/关卡道具消耗!$L$8)+1</f>
        <v>4</v>
      </c>
      <c r="K15" s="1">
        <f>MOD(I15-1,关卡道具消耗!$L$8)+1</f>
        <v>1</v>
      </c>
      <c r="L15" s="1">
        <f t="shared" si="0"/>
        <v>58</v>
      </c>
      <c r="M15" s="1">
        <f>INDEX(leve_cost_v,J15)*INDEX(关卡道具消耗!$C$17:$F$17,1,K15)</f>
        <v>2000</v>
      </c>
      <c r="N15" s="1">
        <f t="shared" si="4"/>
        <v>3</v>
      </c>
      <c r="O15" s="1">
        <f>$C$10*INDEX(关卡道具消耗!$C$17:$F$17,1,K15)</f>
        <v>1</v>
      </c>
      <c r="P15" s="1">
        <f t="shared" si="9"/>
        <v>20</v>
      </c>
      <c r="Q15" s="1">
        <f t="shared" si="5"/>
        <v>2000</v>
      </c>
      <c r="R15" s="1">
        <v>1</v>
      </c>
      <c r="X15" s="2">
        <v>2</v>
      </c>
      <c r="Y15" s="2">
        <v>18</v>
      </c>
      <c r="Z15" s="2">
        <v>0.15</v>
      </c>
      <c r="AA15" s="2">
        <v>0</v>
      </c>
      <c r="AB15" s="1">
        <f t="shared" si="1"/>
        <v>84</v>
      </c>
      <c r="AC15" s="1">
        <f t="shared" si="2"/>
        <v>3420</v>
      </c>
      <c r="AD15" s="1">
        <f t="shared" si="10"/>
        <v>300</v>
      </c>
      <c r="AE15" s="1">
        <f t="shared" si="6"/>
        <v>2</v>
      </c>
      <c r="AF15" s="1">
        <f t="shared" si="3"/>
        <v>50</v>
      </c>
      <c r="AG15" s="1">
        <f t="shared" si="7"/>
        <v>3854</v>
      </c>
      <c r="AH15" s="6">
        <f t="shared" si="11"/>
        <v>1.927</v>
      </c>
      <c r="AI15" s="6">
        <f t="shared" si="8"/>
        <v>0</v>
      </c>
    </row>
    <row r="16" spans="2:36" x14ac:dyDescent="0.35">
      <c r="B16" t="s">
        <v>131</v>
      </c>
      <c r="C16" s="5">
        <v>0.1</v>
      </c>
      <c r="I16" s="7">
        <v>11</v>
      </c>
      <c r="J16" s="1">
        <f>INT((I16-1)/关卡道具消耗!$L$8)+1</f>
        <v>4</v>
      </c>
      <c r="K16" s="1">
        <f>MOD(I16-1,关卡道具消耗!$L$8)+1</f>
        <v>2</v>
      </c>
      <c r="L16" s="1">
        <f t="shared" si="0"/>
        <v>58</v>
      </c>
      <c r="M16" s="1">
        <f>INDEX(leve_cost_v,J16)*INDEX(关卡道具消耗!$C$17:$F$17,1,K16)</f>
        <v>4000</v>
      </c>
      <c r="N16" s="1">
        <f t="shared" si="4"/>
        <v>5</v>
      </c>
      <c r="O16" s="1">
        <f>$C$10*INDEX(关卡道具消耗!$C$17:$F$17,1,K16)</f>
        <v>2</v>
      </c>
      <c r="P16" s="1">
        <f t="shared" si="9"/>
        <v>40</v>
      </c>
      <c r="Q16" s="1">
        <f t="shared" si="5"/>
        <v>4000</v>
      </c>
      <c r="R16" s="1">
        <v>1</v>
      </c>
      <c r="X16" s="2">
        <v>2</v>
      </c>
      <c r="Y16" s="2">
        <v>17</v>
      </c>
      <c r="Z16" s="2">
        <v>0.15</v>
      </c>
      <c r="AA16" s="2">
        <v>0</v>
      </c>
      <c r="AB16" s="1">
        <f t="shared" si="1"/>
        <v>84</v>
      </c>
      <c r="AC16" s="1">
        <f t="shared" si="2"/>
        <v>3060</v>
      </c>
      <c r="AD16" s="1">
        <f t="shared" si="10"/>
        <v>300</v>
      </c>
      <c r="AE16" s="1">
        <f t="shared" si="6"/>
        <v>2</v>
      </c>
      <c r="AF16" s="1">
        <f t="shared" si="3"/>
        <v>50</v>
      </c>
      <c r="AG16" s="1">
        <f t="shared" si="7"/>
        <v>3494</v>
      </c>
      <c r="AH16" s="6">
        <f t="shared" si="11"/>
        <v>1.7470000000000001</v>
      </c>
      <c r="AI16" s="6">
        <f t="shared" si="8"/>
        <v>0</v>
      </c>
    </row>
    <row r="17" spans="2:35" x14ac:dyDescent="0.35">
      <c r="B17" t="s">
        <v>132</v>
      </c>
      <c r="C17" s="5">
        <v>0.05</v>
      </c>
      <c r="I17" s="7">
        <v>12</v>
      </c>
      <c r="J17" s="1">
        <f>INT((I17-1)/关卡道具消耗!$L$8)+1</f>
        <v>4</v>
      </c>
      <c r="K17" s="1">
        <f>MOD(I17-1,关卡道具消耗!$L$8)+1</f>
        <v>3</v>
      </c>
      <c r="L17" s="1">
        <f t="shared" si="0"/>
        <v>58</v>
      </c>
      <c r="M17" s="1">
        <f>INDEX(leve_cost_v,J17)*INDEX(关卡道具消耗!$C$17:$F$17,1,K17)</f>
        <v>8000</v>
      </c>
      <c r="N17" s="1">
        <f t="shared" si="4"/>
        <v>10</v>
      </c>
      <c r="O17" s="1">
        <f>$C$10*INDEX(关卡道具消耗!$C$17:$F$17,1,K17)</f>
        <v>4</v>
      </c>
      <c r="P17" s="1">
        <f t="shared" si="9"/>
        <v>80</v>
      </c>
      <c r="Q17" s="1">
        <f t="shared" si="5"/>
        <v>8000</v>
      </c>
      <c r="R17" s="1">
        <v>1</v>
      </c>
      <c r="X17" s="2">
        <v>2</v>
      </c>
      <c r="Y17" s="2">
        <v>16</v>
      </c>
      <c r="Z17" s="2">
        <v>0.15</v>
      </c>
      <c r="AA17" s="2">
        <v>0</v>
      </c>
      <c r="AB17" s="1">
        <f t="shared" si="1"/>
        <v>84</v>
      </c>
      <c r="AC17" s="1">
        <f t="shared" si="2"/>
        <v>2720</v>
      </c>
      <c r="AD17" s="1">
        <f t="shared" si="10"/>
        <v>300</v>
      </c>
      <c r="AE17" s="1">
        <f t="shared" si="6"/>
        <v>2</v>
      </c>
      <c r="AF17" s="1">
        <f t="shared" si="3"/>
        <v>50</v>
      </c>
      <c r="AG17" s="1">
        <f t="shared" si="7"/>
        <v>3154</v>
      </c>
      <c r="AH17" s="6">
        <f t="shared" si="11"/>
        <v>1.577</v>
      </c>
      <c r="AI17" s="6">
        <f t="shared" si="8"/>
        <v>0</v>
      </c>
    </row>
    <row r="18" spans="2:35" x14ac:dyDescent="0.35">
      <c r="I18" s="7">
        <v>13</v>
      </c>
      <c r="J18" s="1">
        <f>INT((I18-1)/关卡道具消耗!$L$8)+1</f>
        <v>5</v>
      </c>
      <c r="K18" s="1">
        <f>MOD(I18-1,关卡道具消耗!$L$8)+1</f>
        <v>1</v>
      </c>
      <c r="L18" s="1">
        <f t="shared" si="0"/>
        <v>100</v>
      </c>
      <c r="M18" s="1">
        <f>INDEX(leve_cost_v,J18)*INDEX(关卡道具消耗!$C$17:$F$17,1,K18)</f>
        <v>2200</v>
      </c>
      <c r="N18" s="1">
        <f t="shared" si="4"/>
        <v>3</v>
      </c>
      <c r="O18" s="1">
        <f>$C$10*INDEX(关卡道具消耗!$C$17:$F$17,1,K18)</f>
        <v>1</v>
      </c>
      <c r="P18" s="1">
        <f t="shared" si="9"/>
        <v>22</v>
      </c>
      <c r="Q18" s="1">
        <f t="shared" si="5"/>
        <v>2200</v>
      </c>
      <c r="R18" s="1">
        <v>1</v>
      </c>
      <c r="X18" s="2">
        <v>2</v>
      </c>
      <c r="Y18" s="2">
        <v>15</v>
      </c>
      <c r="Z18" s="2">
        <v>0.15</v>
      </c>
      <c r="AA18" s="2">
        <v>0</v>
      </c>
      <c r="AB18" s="1">
        <f t="shared" si="1"/>
        <v>84</v>
      </c>
      <c r="AC18" s="1">
        <f t="shared" si="2"/>
        <v>2400</v>
      </c>
      <c r="AD18" s="1">
        <f t="shared" si="10"/>
        <v>300</v>
      </c>
      <c r="AE18" s="1">
        <f t="shared" si="6"/>
        <v>2</v>
      </c>
      <c r="AF18" s="1">
        <f t="shared" si="3"/>
        <v>50</v>
      </c>
      <c r="AG18" s="1">
        <f t="shared" si="7"/>
        <v>2834</v>
      </c>
      <c r="AH18" s="6">
        <f t="shared" si="11"/>
        <v>1.417</v>
      </c>
      <c r="AI18" s="6">
        <f t="shared" si="8"/>
        <v>0</v>
      </c>
    </row>
    <row r="19" spans="2:35" x14ac:dyDescent="0.35">
      <c r="B19" s="13" t="s">
        <v>361</v>
      </c>
      <c r="I19" s="7">
        <v>14</v>
      </c>
      <c r="J19" s="1">
        <f>INT((I19-1)/关卡道具消耗!$L$8)+1</f>
        <v>5</v>
      </c>
      <c r="K19" s="1">
        <f>MOD(I19-1,关卡道具消耗!$L$8)+1</f>
        <v>2</v>
      </c>
      <c r="L19" s="1">
        <f t="shared" si="0"/>
        <v>100</v>
      </c>
      <c r="M19" s="1">
        <f>INDEX(leve_cost_v,J19)*INDEX(关卡道具消耗!$C$17:$F$17,1,K19)</f>
        <v>4400</v>
      </c>
      <c r="N19" s="1">
        <f t="shared" si="4"/>
        <v>6</v>
      </c>
      <c r="O19" s="1">
        <f>$C$10*INDEX(关卡道具消耗!$C$17:$F$17,1,K19)</f>
        <v>2</v>
      </c>
      <c r="P19" s="1">
        <f t="shared" si="9"/>
        <v>44</v>
      </c>
      <c r="Q19" s="1">
        <f t="shared" si="5"/>
        <v>4400</v>
      </c>
      <c r="R19" s="1">
        <v>1</v>
      </c>
      <c r="X19" s="2">
        <v>2</v>
      </c>
      <c r="Y19" s="2">
        <v>14</v>
      </c>
      <c r="Z19" s="2">
        <v>0.15</v>
      </c>
      <c r="AA19" s="2">
        <v>0</v>
      </c>
      <c r="AB19" s="1">
        <f t="shared" si="1"/>
        <v>84</v>
      </c>
      <c r="AC19" s="1">
        <f t="shared" si="2"/>
        <v>2100</v>
      </c>
      <c r="AD19" s="1">
        <f t="shared" si="10"/>
        <v>300</v>
      </c>
      <c r="AE19" s="1">
        <f t="shared" si="6"/>
        <v>2</v>
      </c>
      <c r="AF19" s="1">
        <f t="shared" si="3"/>
        <v>150</v>
      </c>
      <c r="AG19" s="1">
        <f t="shared" si="7"/>
        <v>2634</v>
      </c>
      <c r="AH19" s="6">
        <f t="shared" si="11"/>
        <v>1.3169999999999999</v>
      </c>
      <c r="AI19" s="6">
        <f t="shared" si="8"/>
        <v>0</v>
      </c>
    </row>
    <row r="20" spans="2:35" x14ac:dyDescent="0.35">
      <c r="B20" t="s">
        <v>342</v>
      </c>
      <c r="C20" s="5">
        <v>7.0000000000000007E-2</v>
      </c>
      <c r="I20" s="7">
        <v>15</v>
      </c>
      <c r="J20" s="1">
        <f>INT((I20-1)/关卡道具消耗!$L$8)+1</f>
        <v>5</v>
      </c>
      <c r="K20" s="1">
        <f>MOD(I20-1,关卡道具消耗!$L$8)+1</f>
        <v>3</v>
      </c>
      <c r="L20" s="1">
        <f t="shared" si="0"/>
        <v>100</v>
      </c>
      <c r="M20" s="1">
        <f>INDEX(leve_cost_v,J20)*INDEX(关卡道具消耗!$C$17:$F$17,1,K20)</f>
        <v>8800</v>
      </c>
      <c r="N20" s="1">
        <f t="shared" si="4"/>
        <v>11</v>
      </c>
      <c r="O20" s="1">
        <f>$C$10*INDEX(关卡道具消耗!$C$17:$F$17,1,K20)</f>
        <v>4</v>
      </c>
      <c r="P20" s="1">
        <f t="shared" si="9"/>
        <v>88</v>
      </c>
      <c r="Q20" s="1">
        <f t="shared" si="5"/>
        <v>8800</v>
      </c>
      <c r="R20" s="1">
        <v>1</v>
      </c>
      <c r="X20" s="2">
        <v>2</v>
      </c>
      <c r="Y20" s="2">
        <v>13</v>
      </c>
      <c r="Z20" s="2">
        <v>0.15</v>
      </c>
      <c r="AA20" s="2">
        <v>0</v>
      </c>
      <c r="AB20" s="1">
        <f t="shared" si="1"/>
        <v>84</v>
      </c>
      <c r="AC20" s="1">
        <f t="shared" si="2"/>
        <v>1820</v>
      </c>
      <c r="AD20" s="1">
        <f t="shared" si="10"/>
        <v>300</v>
      </c>
      <c r="AE20" s="1">
        <f t="shared" si="6"/>
        <v>2</v>
      </c>
      <c r="AF20" s="1">
        <f t="shared" si="3"/>
        <v>400</v>
      </c>
      <c r="AG20" s="1">
        <f t="shared" si="7"/>
        <v>2604</v>
      </c>
      <c r="AH20" s="6">
        <f t="shared" si="11"/>
        <v>1.302</v>
      </c>
      <c r="AI20" s="6">
        <f t="shared" si="8"/>
        <v>0</v>
      </c>
    </row>
    <row r="21" spans="2:35" x14ac:dyDescent="0.35">
      <c r="B21" t="s">
        <v>343</v>
      </c>
      <c r="C21" s="5">
        <v>800</v>
      </c>
      <c r="I21" s="7">
        <v>16</v>
      </c>
      <c r="J21" s="1">
        <f>INT((I21-1)/关卡道具消耗!$L$8)+1</f>
        <v>6</v>
      </c>
      <c r="K21" s="1">
        <f>MOD(I21-1,关卡道具消耗!$L$8)+1</f>
        <v>1</v>
      </c>
      <c r="L21" s="1">
        <f t="shared" si="0"/>
        <v>168</v>
      </c>
      <c r="M21" s="1">
        <f>INDEX(leve_cost_v,J21)*INDEX(关卡道具消耗!$C$17:$F$17,1,K21)</f>
        <v>2500</v>
      </c>
      <c r="N21" s="1">
        <f t="shared" si="4"/>
        <v>3</v>
      </c>
      <c r="O21" s="1">
        <f>$C$10*INDEX(关卡道具消耗!$C$17:$F$17,1,K21)</f>
        <v>1</v>
      </c>
      <c r="P21" s="1">
        <f t="shared" si="9"/>
        <v>25</v>
      </c>
      <c r="Q21" s="1">
        <f t="shared" si="5"/>
        <v>2500</v>
      </c>
      <c r="R21" s="1">
        <v>1</v>
      </c>
      <c r="X21" s="2">
        <v>2</v>
      </c>
      <c r="Y21" s="2">
        <v>12</v>
      </c>
      <c r="Z21" s="2">
        <v>0.15</v>
      </c>
      <c r="AA21" s="2">
        <v>0</v>
      </c>
      <c r="AB21" s="1">
        <f t="shared" si="1"/>
        <v>84</v>
      </c>
      <c r="AC21" s="1">
        <f t="shared" si="2"/>
        <v>1560</v>
      </c>
      <c r="AD21" s="1">
        <f t="shared" si="10"/>
        <v>300</v>
      </c>
      <c r="AE21" s="1">
        <f t="shared" si="6"/>
        <v>2</v>
      </c>
      <c r="AF21" s="1">
        <f t="shared" si="3"/>
        <v>640</v>
      </c>
      <c r="AG21" s="1">
        <f t="shared" si="7"/>
        <v>2584</v>
      </c>
      <c r="AH21" s="6">
        <f t="shared" si="11"/>
        <v>1.292</v>
      </c>
      <c r="AI21" s="6">
        <f t="shared" si="8"/>
        <v>0</v>
      </c>
    </row>
    <row r="22" spans="2:35" x14ac:dyDescent="0.35">
      <c r="B22" t="s">
        <v>344</v>
      </c>
      <c r="C22" s="2">
        <v>1000</v>
      </c>
      <c r="I22" s="7">
        <v>17</v>
      </c>
      <c r="J22" s="1">
        <f>INT((I22-1)/关卡道具消耗!$L$8)+1</f>
        <v>6</v>
      </c>
      <c r="K22" s="1">
        <f>MOD(I22-1,关卡道具消耗!$L$8)+1</f>
        <v>2</v>
      </c>
      <c r="L22" s="1">
        <f t="shared" si="0"/>
        <v>168</v>
      </c>
      <c r="M22" s="1">
        <f>INDEX(leve_cost_v,J22)*INDEX(关卡道具消耗!$C$17:$F$17,1,K22)</f>
        <v>5000</v>
      </c>
      <c r="N22" s="1">
        <f t="shared" si="4"/>
        <v>6</v>
      </c>
      <c r="O22" s="1">
        <f>$C$10*INDEX(关卡道具消耗!$C$17:$F$17,1,K22)</f>
        <v>2</v>
      </c>
      <c r="P22" s="1">
        <f t="shared" si="9"/>
        <v>50</v>
      </c>
      <c r="Q22" s="1">
        <f t="shared" si="5"/>
        <v>5000</v>
      </c>
      <c r="R22" s="1">
        <v>1</v>
      </c>
      <c r="X22" s="2">
        <v>2</v>
      </c>
      <c r="Y22" s="2">
        <v>11</v>
      </c>
      <c r="Z22" s="2">
        <v>0.15</v>
      </c>
      <c r="AA22" s="2">
        <v>0</v>
      </c>
      <c r="AB22" s="1">
        <f t="shared" si="1"/>
        <v>84</v>
      </c>
      <c r="AC22" s="1">
        <f t="shared" si="2"/>
        <v>1320</v>
      </c>
      <c r="AD22" s="1">
        <f t="shared" si="10"/>
        <v>300</v>
      </c>
      <c r="AE22" s="1">
        <f t="shared" si="6"/>
        <v>2</v>
      </c>
      <c r="AF22" s="1">
        <f t="shared" si="3"/>
        <v>860</v>
      </c>
      <c r="AG22" s="1">
        <f t="shared" si="7"/>
        <v>2564</v>
      </c>
      <c r="AH22" s="6">
        <f t="shared" si="11"/>
        <v>1.282</v>
      </c>
      <c r="AI22" s="6">
        <f t="shared" si="8"/>
        <v>0</v>
      </c>
    </row>
    <row r="23" spans="2:35" x14ac:dyDescent="0.35">
      <c r="B23" t="s">
        <v>41</v>
      </c>
      <c r="C23" s="5">
        <f>关卡消耗!C11*0.05</f>
        <v>50</v>
      </c>
      <c r="I23" s="7">
        <v>18</v>
      </c>
      <c r="J23" s="1">
        <f>INT((I23-1)/关卡道具消耗!$L$8)+1</f>
        <v>6</v>
      </c>
      <c r="K23" s="1">
        <f>MOD(I23-1,关卡道具消耗!$L$8)+1</f>
        <v>3</v>
      </c>
      <c r="L23" s="1">
        <f t="shared" si="0"/>
        <v>168</v>
      </c>
      <c r="M23" s="1">
        <f>INDEX(leve_cost_v,J23)*INDEX(关卡道具消耗!$C$17:$F$17,1,K23)</f>
        <v>10000</v>
      </c>
      <c r="N23" s="1">
        <f t="shared" si="4"/>
        <v>13</v>
      </c>
      <c r="O23" s="1">
        <f>$C$10*INDEX(关卡道具消耗!$C$17:$F$17,1,K23)</f>
        <v>4</v>
      </c>
      <c r="P23" s="1">
        <f t="shared" si="9"/>
        <v>100</v>
      </c>
      <c r="Q23" s="1">
        <f t="shared" si="5"/>
        <v>10000</v>
      </c>
      <c r="R23" s="1">
        <v>1</v>
      </c>
      <c r="X23" s="2">
        <v>2</v>
      </c>
      <c r="Y23" s="2">
        <v>10</v>
      </c>
      <c r="Z23" s="2">
        <v>0.15</v>
      </c>
      <c r="AA23" s="2">
        <v>0</v>
      </c>
      <c r="AB23" s="1">
        <f t="shared" si="1"/>
        <v>84</v>
      </c>
      <c r="AC23" s="1">
        <f t="shared" si="2"/>
        <v>1100</v>
      </c>
      <c r="AD23" s="1">
        <f t="shared" si="10"/>
        <v>300</v>
      </c>
      <c r="AE23" s="1">
        <f t="shared" si="6"/>
        <v>2</v>
      </c>
      <c r="AF23" s="1">
        <f t="shared" si="3"/>
        <v>1050</v>
      </c>
      <c r="AG23" s="1">
        <f t="shared" si="7"/>
        <v>2534</v>
      </c>
      <c r="AH23" s="6">
        <f t="shared" si="11"/>
        <v>1.2669999999999999</v>
      </c>
      <c r="AI23" s="6">
        <f t="shared" si="8"/>
        <v>0</v>
      </c>
    </row>
    <row r="24" spans="2:35" x14ac:dyDescent="0.35">
      <c r="I24" s="7">
        <v>19</v>
      </c>
      <c r="J24" s="1">
        <f>INT((I24-1)/关卡道具消耗!$L$8)+1</f>
        <v>7</v>
      </c>
      <c r="K24" s="1">
        <f>MOD(I24-1,关卡道具消耗!$L$8)+1</f>
        <v>1</v>
      </c>
      <c r="L24" s="1">
        <f t="shared" si="0"/>
        <v>208</v>
      </c>
      <c r="M24" s="1">
        <f>INDEX(leve_cost_v,J24)*INDEX(关卡道具消耗!$C$17:$F$17,1,K24)</f>
        <v>2600</v>
      </c>
      <c r="N24" s="1">
        <f t="shared" si="4"/>
        <v>3</v>
      </c>
      <c r="O24" s="1">
        <f>$C$10*INDEX(关卡道具消耗!$C$17:$F$17,1,K24)</f>
        <v>1</v>
      </c>
      <c r="P24" s="1">
        <f t="shared" si="9"/>
        <v>26</v>
      </c>
      <c r="Q24" s="1">
        <f t="shared" si="5"/>
        <v>2600</v>
      </c>
      <c r="R24" s="1">
        <v>1</v>
      </c>
      <c r="X24" s="2">
        <v>2</v>
      </c>
      <c r="Y24" s="2">
        <v>9</v>
      </c>
      <c r="Z24" s="2">
        <v>0.15</v>
      </c>
      <c r="AA24" s="2">
        <v>0</v>
      </c>
      <c r="AB24" s="1">
        <f t="shared" si="1"/>
        <v>84</v>
      </c>
      <c r="AC24" s="1">
        <f t="shared" si="2"/>
        <v>900</v>
      </c>
      <c r="AD24" s="1">
        <f t="shared" si="10"/>
        <v>300</v>
      </c>
      <c r="AE24" s="1">
        <f t="shared" si="6"/>
        <v>2</v>
      </c>
      <c r="AF24" s="1">
        <f t="shared" si="3"/>
        <v>1230</v>
      </c>
      <c r="AG24" s="1">
        <f t="shared" si="7"/>
        <v>2514</v>
      </c>
      <c r="AH24" s="6">
        <f t="shared" si="11"/>
        <v>1.2569999999999999</v>
      </c>
      <c r="AI24" s="6">
        <f t="shared" si="8"/>
        <v>0</v>
      </c>
    </row>
    <row r="25" spans="2:35" x14ac:dyDescent="0.35">
      <c r="I25" s="7">
        <v>20</v>
      </c>
      <c r="J25" s="1">
        <f>INT((I25-1)/关卡道具消耗!$L$8)+1</f>
        <v>7</v>
      </c>
      <c r="K25" s="1">
        <f>MOD(I25-1,关卡道具消耗!$L$8)+1</f>
        <v>2</v>
      </c>
      <c r="L25" s="1">
        <f t="shared" si="0"/>
        <v>208</v>
      </c>
      <c r="M25" s="1">
        <f>INDEX(leve_cost_v,J25)*INDEX(关卡道具消耗!$C$17:$F$17,1,K25)</f>
        <v>5200</v>
      </c>
      <c r="N25" s="1">
        <f t="shared" si="4"/>
        <v>7</v>
      </c>
      <c r="O25" s="1">
        <f>$C$10*INDEX(关卡道具消耗!$C$17:$F$17,1,K25)</f>
        <v>2</v>
      </c>
      <c r="P25" s="1">
        <f t="shared" si="9"/>
        <v>52</v>
      </c>
      <c r="Q25" s="1">
        <f t="shared" si="5"/>
        <v>5200</v>
      </c>
      <c r="R25" s="1">
        <v>1</v>
      </c>
      <c r="X25" s="2">
        <v>2</v>
      </c>
      <c r="Y25" s="2">
        <v>8</v>
      </c>
      <c r="Z25" s="2">
        <v>0.15</v>
      </c>
      <c r="AA25" s="2">
        <v>0</v>
      </c>
      <c r="AB25" s="1">
        <f t="shared" si="1"/>
        <v>84</v>
      </c>
      <c r="AC25" s="1">
        <f t="shared" si="2"/>
        <v>720</v>
      </c>
      <c r="AD25" s="1">
        <f t="shared" si="10"/>
        <v>300</v>
      </c>
      <c r="AE25" s="1">
        <f t="shared" si="6"/>
        <v>2</v>
      </c>
      <c r="AF25" s="1">
        <f t="shared" si="3"/>
        <v>1380</v>
      </c>
      <c r="AG25" s="1">
        <f t="shared" si="7"/>
        <v>2484</v>
      </c>
      <c r="AH25" s="6">
        <f t="shared" si="11"/>
        <v>1.242</v>
      </c>
      <c r="AI25" s="6">
        <f t="shared" si="8"/>
        <v>0</v>
      </c>
    </row>
    <row r="26" spans="2:35" x14ac:dyDescent="0.35">
      <c r="I26" s="7">
        <v>21</v>
      </c>
      <c r="J26" s="1">
        <f>INT((I26-1)/关卡道具消耗!$L$8)+1</f>
        <v>7</v>
      </c>
      <c r="K26" s="1">
        <f>MOD(I26-1,关卡道具消耗!$L$8)+1</f>
        <v>3</v>
      </c>
      <c r="L26" s="1">
        <f t="shared" si="0"/>
        <v>208</v>
      </c>
      <c r="M26" s="1">
        <f>INDEX(leve_cost_v,J26)*INDEX(关卡道具消耗!$C$17:$F$17,1,K26)</f>
        <v>10400</v>
      </c>
      <c r="N26" s="1">
        <f t="shared" si="4"/>
        <v>13</v>
      </c>
      <c r="O26" s="1">
        <f>$C$10*INDEX(关卡道具消耗!$C$17:$F$17,1,K26)</f>
        <v>4</v>
      </c>
      <c r="P26" s="1">
        <f t="shared" si="9"/>
        <v>104</v>
      </c>
      <c r="Q26" s="1">
        <f t="shared" si="5"/>
        <v>10400</v>
      </c>
      <c r="R26" s="1">
        <v>1</v>
      </c>
      <c r="X26" s="2">
        <v>2</v>
      </c>
      <c r="Y26" s="2">
        <v>7</v>
      </c>
      <c r="Z26" s="2">
        <v>0.15</v>
      </c>
      <c r="AA26" s="2">
        <v>0</v>
      </c>
      <c r="AB26" s="1">
        <f t="shared" ref="AB26:AB32" si="12">(X26*$C$9*$U$6*$U$9+X26*(X26-1)*$C$10*$U$9/2)*INT(($U$8-AA26)/X26)</f>
        <v>84</v>
      </c>
      <c r="AC26" s="1">
        <f t="shared" ref="AC26:AC32" si="13">Y26*$C$12*$U$6*$U$9+Y26*(Y26-1)*$U$6*$C$12*$U$9/2</f>
        <v>560</v>
      </c>
      <c r="AD26" s="1">
        <f t="shared" ref="AD26:AD32" si="14">$U$6*Z26*$U$9</f>
        <v>300</v>
      </c>
      <c r="AE26" s="1">
        <f t="shared" si="6"/>
        <v>2</v>
      </c>
      <c r="AF26" s="1">
        <f t="shared" si="3"/>
        <v>1510</v>
      </c>
      <c r="AG26" s="1">
        <f t="shared" si="7"/>
        <v>2454</v>
      </c>
      <c r="AH26" s="6">
        <f t="shared" ref="AH26:AH32" si="15">AG26/$U$6/$U$9</f>
        <v>1.2270000000000001</v>
      </c>
      <c r="AI26" s="6">
        <f t="shared" ref="AI26:AI32" si="16">IF(AA26=0,0,SUM(AB26,AD26)/$U$6)</f>
        <v>0</v>
      </c>
    </row>
    <row r="27" spans="2:35" x14ac:dyDescent="0.35">
      <c r="I27" s="7">
        <v>22</v>
      </c>
      <c r="J27" s="1">
        <f>INT((I27-1)/关卡道具消耗!$L$8)+1</f>
        <v>8</v>
      </c>
      <c r="K27" s="1">
        <f>MOD(I27-1,关卡道具消耗!$L$8)+1</f>
        <v>1</v>
      </c>
      <c r="L27" s="1">
        <f t="shared" si="0"/>
        <v>248</v>
      </c>
      <c r="M27" s="1">
        <f>INDEX(leve_cost_v,J27)*INDEX(关卡道具消耗!$C$17:$F$17,1,K27)</f>
        <v>2700</v>
      </c>
      <c r="N27" s="1">
        <f t="shared" si="4"/>
        <v>3</v>
      </c>
      <c r="O27" s="1">
        <f>$C$10*INDEX(关卡道具消耗!$C$17:$F$17,1,K27)</f>
        <v>1</v>
      </c>
      <c r="P27" s="1">
        <f t="shared" si="9"/>
        <v>27</v>
      </c>
      <c r="Q27" s="1">
        <f t="shared" si="5"/>
        <v>2700</v>
      </c>
      <c r="R27" s="1">
        <v>1</v>
      </c>
      <c r="X27" s="2">
        <v>2</v>
      </c>
      <c r="Y27" s="2">
        <v>6</v>
      </c>
      <c r="Z27" s="2">
        <v>0.15</v>
      </c>
      <c r="AA27" s="2">
        <v>0</v>
      </c>
      <c r="AB27" s="1">
        <f t="shared" si="12"/>
        <v>84</v>
      </c>
      <c r="AC27" s="1">
        <f t="shared" si="13"/>
        <v>420</v>
      </c>
      <c r="AD27" s="1">
        <f t="shared" si="14"/>
        <v>300</v>
      </c>
      <c r="AE27" s="1">
        <f t="shared" si="6"/>
        <v>2</v>
      </c>
      <c r="AF27" s="1">
        <f t="shared" si="3"/>
        <v>1630</v>
      </c>
      <c r="AG27" s="1">
        <f t="shared" si="7"/>
        <v>2434</v>
      </c>
      <c r="AH27" s="6">
        <f t="shared" si="15"/>
        <v>1.2170000000000001</v>
      </c>
      <c r="AI27" s="6">
        <f t="shared" si="16"/>
        <v>0</v>
      </c>
    </row>
    <row r="28" spans="2:35" x14ac:dyDescent="0.35">
      <c r="I28" s="7">
        <v>23</v>
      </c>
      <c r="J28" s="1">
        <f>INT((I28-1)/关卡道具消耗!$L$8)+1</f>
        <v>8</v>
      </c>
      <c r="K28" s="1">
        <f>MOD(I28-1,关卡道具消耗!$L$8)+1</f>
        <v>2</v>
      </c>
      <c r="L28" s="1">
        <f t="shared" si="0"/>
        <v>248</v>
      </c>
      <c r="M28" s="1">
        <f>INDEX(leve_cost_v,J28)*INDEX(关卡道具消耗!$C$17:$F$17,1,K28)</f>
        <v>5400</v>
      </c>
      <c r="N28" s="1">
        <f t="shared" si="4"/>
        <v>7</v>
      </c>
      <c r="O28" s="1">
        <f>$C$10*INDEX(关卡道具消耗!$C$17:$F$17,1,K28)</f>
        <v>2</v>
      </c>
      <c r="P28" s="1">
        <f t="shared" si="9"/>
        <v>54</v>
      </c>
      <c r="Q28" s="1">
        <f t="shared" si="5"/>
        <v>5400</v>
      </c>
      <c r="R28" s="1">
        <v>1</v>
      </c>
      <c r="X28" s="2">
        <v>2</v>
      </c>
      <c r="Y28" s="2">
        <v>5</v>
      </c>
      <c r="Z28" s="2">
        <v>0.15</v>
      </c>
      <c r="AA28" s="2">
        <v>0</v>
      </c>
      <c r="AB28" s="1">
        <f t="shared" si="12"/>
        <v>84</v>
      </c>
      <c r="AC28" s="1">
        <f t="shared" si="13"/>
        <v>300</v>
      </c>
      <c r="AD28" s="1">
        <f t="shared" si="14"/>
        <v>300</v>
      </c>
      <c r="AE28" s="1">
        <f t="shared" si="6"/>
        <v>2</v>
      </c>
      <c r="AF28" s="1">
        <f t="shared" si="3"/>
        <v>1720</v>
      </c>
      <c r="AG28" s="1">
        <f t="shared" si="7"/>
        <v>2404</v>
      </c>
      <c r="AH28" s="6">
        <f t="shared" si="15"/>
        <v>1.202</v>
      </c>
      <c r="AI28" s="6">
        <f t="shared" si="16"/>
        <v>0</v>
      </c>
    </row>
    <row r="29" spans="2:35" x14ac:dyDescent="0.35">
      <c r="I29" s="7">
        <v>24</v>
      </c>
      <c r="J29" s="1">
        <f>INT((I29-1)/关卡道具消耗!$L$8)+1</f>
        <v>8</v>
      </c>
      <c r="K29" s="1">
        <f>MOD(I29-1,关卡道具消耗!$L$8)+1</f>
        <v>3</v>
      </c>
      <c r="L29" s="1">
        <f t="shared" si="0"/>
        <v>248</v>
      </c>
      <c r="M29" s="1">
        <f>INDEX(leve_cost_v,J29)*INDEX(关卡道具消耗!$C$17:$F$17,1,K29)</f>
        <v>10800</v>
      </c>
      <c r="N29" s="1">
        <f t="shared" si="4"/>
        <v>14</v>
      </c>
      <c r="O29" s="1">
        <f>$C$10*INDEX(关卡道具消耗!$C$17:$F$17,1,K29)</f>
        <v>4</v>
      </c>
      <c r="P29" s="1">
        <f t="shared" si="9"/>
        <v>108</v>
      </c>
      <c r="Q29" s="1">
        <f t="shared" si="5"/>
        <v>10800</v>
      </c>
      <c r="R29" s="1">
        <v>1</v>
      </c>
      <c r="X29" s="2">
        <v>2</v>
      </c>
      <c r="Y29" s="2">
        <v>4</v>
      </c>
      <c r="Z29" s="2">
        <v>0.15</v>
      </c>
      <c r="AA29" s="2">
        <v>0</v>
      </c>
      <c r="AB29" s="1">
        <f t="shared" si="12"/>
        <v>84</v>
      </c>
      <c r="AC29" s="1">
        <f t="shared" si="13"/>
        <v>200</v>
      </c>
      <c r="AD29" s="1">
        <f t="shared" si="14"/>
        <v>300</v>
      </c>
      <c r="AE29" s="1">
        <f t="shared" si="6"/>
        <v>2</v>
      </c>
      <c r="AF29" s="1">
        <f t="shared" si="3"/>
        <v>1790</v>
      </c>
      <c r="AG29" s="1">
        <f t="shared" si="7"/>
        <v>2374</v>
      </c>
      <c r="AH29" s="6">
        <f t="shared" si="15"/>
        <v>1.1870000000000001</v>
      </c>
      <c r="AI29" s="6">
        <f t="shared" si="16"/>
        <v>0</v>
      </c>
    </row>
    <row r="30" spans="2:35" x14ac:dyDescent="0.35">
      <c r="I30" s="7">
        <v>25</v>
      </c>
      <c r="J30" s="1">
        <f>INT((I30-1)/关卡道具消耗!$L$8)+1</f>
        <v>9</v>
      </c>
      <c r="K30" s="1">
        <f>MOD(I30-1,关卡道具消耗!$L$8)+1</f>
        <v>1</v>
      </c>
      <c r="L30" s="1">
        <f t="shared" si="0"/>
        <v>298</v>
      </c>
      <c r="M30" s="1">
        <f>INDEX(leve_cost_v,J30)*INDEX(关卡道具消耗!$C$17:$F$17,1,K30)</f>
        <v>2800</v>
      </c>
      <c r="N30" s="1">
        <f t="shared" si="4"/>
        <v>4</v>
      </c>
      <c r="O30" s="1">
        <f>$C$10*INDEX(关卡道具消耗!$C$17:$F$17,1,K30)</f>
        <v>1</v>
      </c>
      <c r="P30" s="1">
        <f t="shared" si="9"/>
        <v>28</v>
      </c>
      <c r="Q30" s="1">
        <f t="shared" si="5"/>
        <v>2800</v>
      </c>
      <c r="R30" s="1">
        <v>1</v>
      </c>
      <c r="X30" s="2">
        <v>2</v>
      </c>
      <c r="Y30" s="2">
        <v>3</v>
      </c>
      <c r="Z30" s="2">
        <v>0.15</v>
      </c>
      <c r="AA30" s="2">
        <v>0</v>
      </c>
      <c r="AB30" s="1">
        <f t="shared" si="12"/>
        <v>84</v>
      </c>
      <c r="AC30" s="1">
        <f t="shared" si="13"/>
        <v>120</v>
      </c>
      <c r="AD30" s="1">
        <f t="shared" si="14"/>
        <v>300</v>
      </c>
      <c r="AE30" s="1">
        <f t="shared" si="6"/>
        <v>2</v>
      </c>
      <c r="AF30" s="1">
        <f t="shared" si="3"/>
        <v>1850</v>
      </c>
      <c r="AG30" s="1">
        <f t="shared" si="7"/>
        <v>2354</v>
      </c>
      <c r="AH30" s="6">
        <f t="shared" si="15"/>
        <v>1.177</v>
      </c>
      <c r="AI30" s="6">
        <f t="shared" si="16"/>
        <v>0</v>
      </c>
    </row>
    <row r="31" spans="2:35" x14ac:dyDescent="0.35">
      <c r="I31" s="7">
        <v>26</v>
      </c>
      <c r="J31" s="1">
        <f>INT((I31-1)/关卡道具消耗!$L$8)+1</f>
        <v>9</v>
      </c>
      <c r="K31" s="1">
        <f>MOD(I31-1,关卡道具消耗!$L$8)+1</f>
        <v>2</v>
      </c>
      <c r="L31" s="1">
        <f t="shared" si="0"/>
        <v>298</v>
      </c>
      <c r="M31" s="1">
        <f>INDEX(leve_cost_v,J31)*INDEX(关卡道具消耗!$C$17:$F$17,1,K31)</f>
        <v>5600</v>
      </c>
      <c r="N31" s="1">
        <f t="shared" si="4"/>
        <v>7</v>
      </c>
      <c r="O31" s="1">
        <f>$C$10*INDEX(关卡道具消耗!$C$17:$F$17,1,K31)</f>
        <v>2</v>
      </c>
      <c r="P31" s="1">
        <f t="shared" si="9"/>
        <v>56</v>
      </c>
      <c r="Q31" s="1">
        <f t="shared" si="5"/>
        <v>5600</v>
      </c>
      <c r="R31" s="1">
        <v>1</v>
      </c>
      <c r="X31" s="2">
        <v>2</v>
      </c>
      <c r="Y31" s="2">
        <v>2</v>
      </c>
      <c r="Z31" s="2">
        <v>0.15</v>
      </c>
      <c r="AA31" s="2">
        <v>0</v>
      </c>
      <c r="AB31" s="1">
        <f t="shared" si="12"/>
        <v>84</v>
      </c>
      <c r="AC31" s="1">
        <f t="shared" si="13"/>
        <v>60</v>
      </c>
      <c r="AD31" s="1">
        <f t="shared" si="14"/>
        <v>300</v>
      </c>
      <c r="AE31" s="1">
        <f t="shared" si="6"/>
        <v>2</v>
      </c>
      <c r="AF31" s="1">
        <f t="shared" si="3"/>
        <v>1890</v>
      </c>
      <c r="AG31" s="1">
        <f t="shared" si="7"/>
        <v>2334</v>
      </c>
      <c r="AH31" s="6">
        <f t="shared" si="15"/>
        <v>1.167</v>
      </c>
      <c r="AI31" s="6">
        <f t="shared" si="16"/>
        <v>0</v>
      </c>
    </row>
    <row r="32" spans="2:35" x14ac:dyDescent="0.35">
      <c r="I32" s="7">
        <v>27</v>
      </c>
      <c r="J32" s="1">
        <f>INT((I32-1)/关卡道具消耗!$L$8)+1</f>
        <v>9</v>
      </c>
      <c r="K32" s="1">
        <f>MOD(I32-1,关卡道具消耗!$L$8)+1</f>
        <v>3</v>
      </c>
      <c r="L32" s="1">
        <f t="shared" si="0"/>
        <v>298</v>
      </c>
      <c r="M32" s="1">
        <f>INDEX(leve_cost_v,J32)*INDEX(关卡道具消耗!$C$17:$F$17,1,K32)</f>
        <v>11200</v>
      </c>
      <c r="N32" s="1">
        <f t="shared" si="4"/>
        <v>14</v>
      </c>
      <c r="O32" s="1">
        <f>$C$10*INDEX(关卡道具消耗!$C$17:$F$17,1,K32)</f>
        <v>4</v>
      </c>
      <c r="P32" s="1">
        <f t="shared" si="9"/>
        <v>112</v>
      </c>
      <c r="Q32" s="1">
        <f t="shared" si="5"/>
        <v>11200</v>
      </c>
      <c r="R32" s="1">
        <v>1</v>
      </c>
      <c r="X32" s="2">
        <v>2</v>
      </c>
      <c r="Y32" s="2">
        <v>1</v>
      </c>
      <c r="Z32" s="2">
        <v>0.15</v>
      </c>
      <c r="AA32" s="2">
        <v>0</v>
      </c>
      <c r="AB32" s="1">
        <f t="shared" si="12"/>
        <v>84</v>
      </c>
      <c r="AC32" s="1">
        <f t="shared" si="13"/>
        <v>20</v>
      </c>
      <c r="AD32" s="1">
        <f t="shared" si="14"/>
        <v>300</v>
      </c>
      <c r="AE32" s="1">
        <f t="shared" si="6"/>
        <v>2</v>
      </c>
      <c r="AF32" s="1">
        <f t="shared" si="3"/>
        <v>1910</v>
      </c>
      <c r="AG32" s="1">
        <f t="shared" si="7"/>
        <v>2314</v>
      </c>
      <c r="AH32" s="6">
        <f t="shared" si="15"/>
        <v>1.157</v>
      </c>
      <c r="AI32" s="6">
        <f t="shared" si="16"/>
        <v>0</v>
      </c>
    </row>
    <row r="33" spans="9:35" x14ac:dyDescent="0.35">
      <c r="I33" s="7">
        <v>28</v>
      </c>
      <c r="J33" s="1">
        <f>INT((I33-1)/关卡道具消耗!$L$8)+1</f>
        <v>10</v>
      </c>
      <c r="K33" s="1">
        <f>MOD(I33-1,关卡道具消耗!$L$8)+1</f>
        <v>1</v>
      </c>
      <c r="L33" s="1">
        <f t="shared" si="0"/>
        <v>348</v>
      </c>
      <c r="M33" s="1">
        <f>INDEX(leve_cost_v,J33)*INDEX(关卡道具消耗!$C$17:$F$17,1,K33)</f>
        <v>2900</v>
      </c>
      <c r="N33" s="1">
        <f t="shared" si="4"/>
        <v>4</v>
      </c>
      <c r="O33" s="1">
        <f>$C$10*INDEX(关卡道具消耗!$C$17:$F$17,1,K33)</f>
        <v>1</v>
      </c>
      <c r="P33" s="1">
        <f t="shared" si="9"/>
        <v>29</v>
      </c>
      <c r="Q33" s="1">
        <f t="shared" si="5"/>
        <v>2900</v>
      </c>
      <c r="R33" s="1">
        <v>1</v>
      </c>
      <c r="X33" s="2">
        <v>1</v>
      </c>
      <c r="Y33" s="2">
        <v>0</v>
      </c>
      <c r="Z33" s="2">
        <v>0.15</v>
      </c>
      <c r="AA33" s="2">
        <v>0</v>
      </c>
      <c r="AB33" s="1">
        <f t="shared" ref="AB33" si="17">(X33*$C$9*$U$6*$U$9+X33*(X33-1)*$C$10*$U$9/2)*INT(($U$8-AA33)/X33)</f>
        <v>72.5</v>
      </c>
      <c r="AC33" s="1">
        <f t="shared" ref="AC33" si="18">Y33*$C$12*$U$6*$U$9+Y33*(Y33-1)*$U$6*$C$12*$U$9/2</f>
        <v>0</v>
      </c>
      <c r="AD33" s="1">
        <f t="shared" ref="AD33" si="19">$U$6*Z33*$U$9</f>
        <v>300</v>
      </c>
      <c r="AE33" s="1">
        <f t="shared" si="6"/>
        <v>2</v>
      </c>
      <c r="AF33" s="1">
        <f>MAX(ROUNDDOWN(POWER(SUM(AB33:AD33)/$AE33,$C$20)*$C$21*$AE33-SUM(AB33:AD33),-1),$C$23)</f>
        <v>1930</v>
      </c>
      <c r="AG33" s="1">
        <f t="shared" si="7"/>
        <v>2303</v>
      </c>
      <c r="AH33" s="6">
        <f t="shared" ref="AH33" si="20">AG33/$U$6/$U$9</f>
        <v>1.1515</v>
      </c>
      <c r="AI33" s="6">
        <f t="shared" ref="AI33" si="21">IF(AA33=0,0,SUM(AB33,AD33)/$U$6)</f>
        <v>0</v>
      </c>
    </row>
    <row r="34" spans="9:35" x14ac:dyDescent="0.35">
      <c r="I34" s="7">
        <v>29</v>
      </c>
      <c r="J34" s="1">
        <f>INT((I34-1)/关卡道具消耗!$L$8)+1</f>
        <v>10</v>
      </c>
      <c r="K34" s="1">
        <f>MOD(I34-1,关卡道具消耗!$L$8)+1</f>
        <v>2</v>
      </c>
      <c r="L34" s="1">
        <f t="shared" si="0"/>
        <v>348</v>
      </c>
      <c r="M34" s="1">
        <f>INDEX(leve_cost_v,J34)*INDEX(关卡道具消耗!$C$17:$F$17,1,K34)</f>
        <v>5800</v>
      </c>
      <c r="N34" s="1">
        <f t="shared" si="4"/>
        <v>7</v>
      </c>
      <c r="O34" s="1">
        <f>$C$10*INDEX(关卡道具消耗!$C$17:$F$17,1,K34)</f>
        <v>2</v>
      </c>
      <c r="P34" s="1">
        <f t="shared" si="9"/>
        <v>58</v>
      </c>
      <c r="Q34" s="1">
        <f t="shared" si="5"/>
        <v>5800</v>
      </c>
      <c r="R34" s="1">
        <v>1</v>
      </c>
      <c r="X34" s="2"/>
      <c r="Y34" s="2"/>
      <c r="Z34" s="2"/>
      <c r="AA34" s="2"/>
      <c r="AH34" s="6"/>
      <c r="AI34" s="7"/>
    </row>
    <row r="35" spans="9:35" x14ac:dyDescent="0.35">
      <c r="I35" s="7">
        <v>30</v>
      </c>
      <c r="J35" s="1">
        <f>INT((I35-1)/关卡道具消耗!$L$8)+1</f>
        <v>10</v>
      </c>
      <c r="K35" s="1">
        <f>MOD(I35-1,关卡道具消耗!$L$8)+1</f>
        <v>3</v>
      </c>
      <c r="L35" s="1">
        <f t="shared" si="0"/>
        <v>348</v>
      </c>
      <c r="M35" s="1">
        <f>INDEX(leve_cost_v,J35)*INDEX(关卡道具消耗!$C$17:$F$17,1,K35)</f>
        <v>11600</v>
      </c>
      <c r="N35" s="1">
        <f t="shared" si="4"/>
        <v>15</v>
      </c>
      <c r="O35" s="1">
        <f>$C$10*INDEX(关卡道具消耗!$C$17:$F$17,1,K35)</f>
        <v>4</v>
      </c>
      <c r="P35" s="1">
        <f t="shared" si="9"/>
        <v>116</v>
      </c>
      <c r="Q35" s="1">
        <f t="shared" si="5"/>
        <v>11600</v>
      </c>
      <c r="R35" s="1">
        <v>1</v>
      </c>
      <c r="X35" s="2"/>
      <c r="Y35" s="2"/>
      <c r="Z35" s="2"/>
      <c r="AA35" s="2"/>
      <c r="AH35" s="6"/>
      <c r="AI35" s="7"/>
    </row>
    <row r="36" spans="9:35" x14ac:dyDescent="0.35">
      <c r="I36" s="7">
        <v>31</v>
      </c>
      <c r="J36" s="1">
        <f>INT((I36-1)/关卡道具消耗!$L$8)+1</f>
        <v>11</v>
      </c>
      <c r="K36" s="1">
        <f>MOD(I36-1,关卡道具消耗!$L$8)+1</f>
        <v>1</v>
      </c>
      <c r="L36" s="1">
        <f t="shared" si="0"/>
        <v>398</v>
      </c>
      <c r="M36" s="1">
        <f>INDEX(leve_cost_v,J36)*INDEX(关卡道具消耗!$C$17:$F$17,1,K36)</f>
        <v>3000</v>
      </c>
      <c r="N36" s="1">
        <f t="shared" si="4"/>
        <v>4</v>
      </c>
      <c r="O36" s="1">
        <f>$C$10*INDEX(关卡道具消耗!$C$17:$F$17,1,K36)</f>
        <v>1</v>
      </c>
      <c r="P36" s="1">
        <f t="shared" si="9"/>
        <v>30</v>
      </c>
      <c r="Q36" s="1">
        <f t="shared" si="5"/>
        <v>3000</v>
      </c>
      <c r="R36" s="1">
        <v>1</v>
      </c>
      <c r="X36" s="2"/>
      <c r="Y36" s="2"/>
      <c r="Z36" s="2"/>
      <c r="AA36" s="2"/>
      <c r="AH36" s="6"/>
      <c r="AI36" s="7"/>
    </row>
    <row r="37" spans="9:35" x14ac:dyDescent="0.35">
      <c r="I37" s="7">
        <v>32</v>
      </c>
      <c r="J37" s="1">
        <f>INT((I37-1)/关卡道具消耗!$L$8)+1</f>
        <v>11</v>
      </c>
      <c r="K37" s="1">
        <f>MOD(I37-1,关卡道具消耗!$L$8)+1</f>
        <v>2</v>
      </c>
      <c r="L37" s="1">
        <f t="shared" si="0"/>
        <v>398</v>
      </c>
      <c r="M37" s="1">
        <f>INDEX(leve_cost_v,J37)*INDEX(关卡道具消耗!$C$17:$F$17,1,K37)</f>
        <v>6000</v>
      </c>
      <c r="N37" s="1">
        <f t="shared" si="4"/>
        <v>8</v>
      </c>
      <c r="O37" s="1">
        <f>$C$10*INDEX(关卡道具消耗!$C$17:$F$17,1,K37)</f>
        <v>2</v>
      </c>
      <c r="P37" s="1">
        <f t="shared" si="9"/>
        <v>60</v>
      </c>
      <c r="Q37" s="1">
        <f t="shared" si="5"/>
        <v>6000</v>
      </c>
      <c r="R37" s="1">
        <v>1</v>
      </c>
      <c r="X37" s="2"/>
      <c r="Y37" s="2"/>
      <c r="Z37" s="2"/>
      <c r="AA37" s="2"/>
      <c r="AH37" s="6"/>
    </row>
    <row r="38" spans="9:35" x14ac:dyDescent="0.35">
      <c r="I38" s="7">
        <v>33</v>
      </c>
      <c r="J38" s="1">
        <f>INT((I38-1)/关卡道具消耗!$L$8)+1</f>
        <v>11</v>
      </c>
      <c r="K38" s="1">
        <f>MOD(I38-1,关卡道具消耗!$L$8)+1</f>
        <v>3</v>
      </c>
      <c r="L38" s="1">
        <f t="shared" ref="L38:L74" si="22">INDEX(leve_cost_k,J38)</f>
        <v>398</v>
      </c>
      <c r="M38" s="1">
        <f>INDEX(leve_cost_v,J38)*INDEX(关卡道具消耗!$C$17:$F$17,1,K38)</f>
        <v>12000</v>
      </c>
      <c r="N38" s="1">
        <f t="shared" si="4"/>
        <v>15</v>
      </c>
      <c r="O38" s="1">
        <f>$C$10*INDEX(关卡道具消耗!$C$17:$F$17,1,K38)</f>
        <v>4</v>
      </c>
      <c r="P38" s="1">
        <f t="shared" si="9"/>
        <v>120</v>
      </c>
      <c r="Q38" s="1">
        <f t="shared" si="5"/>
        <v>12000</v>
      </c>
      <c r="R38" s="1">
        <v>1</v>
      </c>
      <c r="X38" s="2"/>
      <c r="Y38" s="2"/>
      <c r="Z38" s="2"/>
      <c r="AA38" s="2"/>
      <c r="AH38" s="6"/>
    </row>
    <row r="39" spans="9:35" x14ac:dyDescent="0.35">
      <c r="I39" s="7">
        <v>34</v>
      </c>
      <c r="J39" s="1">
        <f>INT((I39-1)/关卡道具消耗!$L$8)+1</f>
        <v>12</v>
      </c>
      <c r="K39" s="1">
        <f>MOD(I39-1,关卡道具消耗!$L$8)+1</f>
        <v>1</v>
      </c>
      <c r="L39" s="1">
        <f t="shared" si="22"/>
        <v>448</v>
      </c>
      <c r="M39" s="1">
        <f>INDEX(leve_cost_v,J39)*INDEX(关卡道具消耗!$C$17:$F$17,1,K39)</f>
        <v>3100</v>
      </c>
      <c r="N39" s="1">
        <f t="shared" si="4"/>
        <v>4</v>
      </c>
      <c r="O39" s="1">
        <f>$C$10*INDEX(关卡道具消耗!$C$17:$F$17,1,K39)</f>
        <v>1</v>
      </c>
      <c r="P39" s="1">
        <f t="shared" si="9"/>
        <v>31</v>
      </c>
      <c r="Q39" s="1">
        <f t="shared" si="5"/>
        <v>3100</v>
      </c>
      <c r="R39" s="1">
        <v>1</v>
      </c>
      <c r="X39" s="2"/>
      <c r="Y39" s="2"/>
      <c r="Z39" s="2"/>
      <c r="AA39" s="2"/>
      <c r="AH39" s="6"/>
    </row>
    <row r="40" spans="9:35" x14ac:dyDescent="0.35">
      <c r="I40" s="7">
        <v>35</v>
      </c>
      <c r="J40" s="1">
        <f>INT((I40-1)/关卡道具消耗!$L$8)+1</f>
        <v>12</v>
      </c>
      <c r="K40" s="1">
        <f>MOD(I40-1,关卡道具消耗!$L$8)+1</f>
        <v>2</v>
      </c>
      <c r="L40" s="1">
        <f t="shared" si="22"/>
        <v>448</v>
      </c>
      <c r="M40" s="1">
        <f>INDEX(leve_cost_v,J40)*INDEX(关卡道具消耗!$C$17:$F$17,1,K40)</f>
        <v>6200</v>
      </c>
      <c r="N40" s="1">
        <f t="shared" si="4"/>
        <v>8</v>
      </c>
      <c r="O40" s="1">
        <f>$C$10*INDEX(关卡道具消耗!$C$17:$F$17,1,K40)</f>
        <v>2</v>
      </c>
      <c r="P40" s="1">
        <f t="shared" si="9"/>
        <v>62</v>
      </c>
      <c r="Q40" s="1">
        <f t="shared" si="5"/>
        <v>6200</v>
      </c>
      <c r="R40" s="1">
        <v>1</v>
      </c>
      <c r="X40" s="2"/>
      <c r="Y40" s="2"/>
      <c r="Z40" s="2"/>
      <c r="AA40" s="2"/>
      <c r="AH40" s="6"/>
    </row>
    <row r="41" spans="9:35" x14ac:dyDescent="0.35">
      <c r="I41" s="7">
        <v>36</v>
      </c>
      <c r="J41" s="1">
        <f>INT((I41-1)/关卡道具消耗!$L$8)+1</f>
        <v>12</v>
      </c>
      <c r="K41" s="1">
        <f>MOD(I41-1,关卡道具消耗!$L$8)+1</f>
        <v>3</v>
      </c>
      <c r="L41" s="1">
        <f t="shared" si="22"/>
        <v>448</v>
      </c>
      <c r="M41" s="1">
        <f>INDEX(leve_cost_v,J41)*INDEX(关卡道具消耗!$C$17:$F$17,1,K41)</f>
        <v>12400</v>
      </c>
      <c r="N41" s="1">
        <f t="shared" si="4"/>
        <v>16</v>
      </c>
      <c r="O41" s="1">
        <f>$C$10*INDEX(关卡道具消耗!$C$17:$F$17,1,K41)</f>
        <v>4</v>
      </c>
      <c r="P41" s="1">
        <f t="shared" si="9"/>
        <v>124</v>
      </c>
      <c r="Q41" s="1">
        <f t="shared" si="5"/>
        <v>12400</v>
      </c>
      <c r="R41" s="1">
        <v>1</v>
      </c>
    </row>
    <row r="42" spans="9:35" x14ac:dyDescent="0.35">
      <c r="I42" s="7">
        <v>37</v>
      </c>
      <c r="J42" s="1">
        <f>INT((I42-1)/关卡道具消耗!$L$8)+1</f>
        <v>13</v>
      </c>
      <c r="K42" s="1">
        <f>MOD(I42-1,关卡道具消耗!$L$8)+1</f>
        <v>1</v>
      </c>
      <c r="L42" s="1">
        <f t="shared" si="22"/>
        <v>498</v>
      </c>
      <c r="M42" s="1">
        <f>INDEX(leve_cost_v,J42)*INDEX(关卡道具消耗!$C$17:$F$17,1,K42)</f>
        <v>3200</v>
      </c>
      <c r="N42" s="1">
        <f t="shared" si="4"/>
        <v>4</v>
      </c>
      <c r="O42" s="1">
        <f>$C$10*INDEX(关卡道具消耗!$C$17:$F$17,1,K42)</f>
        <v>1</v>
      </c>
      <c r="P42" s="1">
        <f t="shared" si="9"/>
        <v>32</v>
      </c>
      <c r="Q42" s="1">
        <f t="shared" si="5"/>
        <v>3200</v>
      </c>
      <c r="R42" s="1">
        <v>1</v>
      </c>
      <c r="X42" s="2"/>
      <c r="Y42" s="2"/>
      <c r="Z42" s="2"/>
      <c r="AA42" s="2"/>
    </row>
    <row r="43" spans="9:35" x14ac:dyDescent="0.35">
      <c r="I43" s="7">
        <v>38</v>
      </c>
      <c r="J43" s="1">
        <f>INT((I43-1)/关卡道具消耗!$L$8)+1</f>
        <v>13</v>
      </c>
      <c r="K43" s="1">
        <f>MOD(I43-1,关卡道具消耗!$L$8)+1</f>
        <v>2</v>
      </c>
      <c r="L43" s="1">
        <f t="shared" si="22"/>
        <v>498</v>
      </c>
      <c r="M43" s="1">
        <f>INDEX(leve_cost_v,J43)*INDEX(关卡道具消耗!$C$17:$F$17,1,K43)</f>
        <v>6400</v>
      </c>
      <c r="N43" s="1">
        <f t="shared" si="4"/>
        <v>8</v>
      </c>
      <c r="O43" s="1">
        <f>$C$10*INDEX(关卡道具消耗!$C$17:$F$17,1,K43)</f>
        <v>2</v>
      </c>
      <c r="P43" s="1">
        <f t="shared" si="9"/>
        <v>64</v>
      </c>
      <c r="Q43" s="1">
        <f t="shared" si="5"/>
        <v>6400</v>
      </c>
      <c r="R43" s="1">
        <v>1</v>
      </c>
      <c r="X43" s="2"/>
      <c r="Y43" s="2"/>
      <c r="Z43" s="2"/>
      <c r="AA43" s="2"/>
    </row>
    <row r="44" spans="9:35" x14ac:dyDescent="0.35">
      <c r="I44" s="7">
        <v>39</v>
      </c>
      <c r="J44" s="1">
        <f>INT((I44-1)/关卡道具消耗!$L$8)+1</f>
        <v>13</v>
      </c>
      <c r="K44" s="1">
        <f>MOD(I44-1,关卡道具消耗!$L$8)+1</f>
        <v>3</v>
      </c>
      <c r="L44" s="1">
        <f t="shared" si="22"/>
        <v>498</v>
      </c>
      <c r="M44" s="1">
        <f>INDEX(leve_cost_v,J44)*INDEX(关卡道具消耗!$C$17:$F$17,1,K44)</f>
        <v>12800</v>
      </c>
      <c r="N44" s="1">
        <f t="shared" si="4"/>
        <v>16</v>
      </c>
      <c r="O44" s="1">
        <f>$C$10*INDEX(关卡道具消耗!$C$17:$F$17,1,K44)</f>
        <v>4</v>
      </c>
      <c r="P44" s="1">
        <f t="shared" si="9"/>
        <v>128</v>
      </c>
      <c r="Q44" s="1">
        <f t="shared" si="5"/>
        <v>12800</v>
      </c>
      <c r="R44" s="1">
        <v>1</v>
      </c>
      <c r="X44" s="2"/>
      <c r="Y44" s="2"/>
      <c r="Z44" s="2"/>
      <c r="AA44" s="2"/>
    </row>
    <row r="45" spans="9:35" x14ac:dyDescent="0.35">
      <c r="I45" s="7">
        <v>40</v>
      </c>
      <c r="J45" s="1">
        <f>INT((I45-1)/关卡道具消耗!$L$8)+1</f>
        <v>14</v>
      </c>
      <c r="K45" s="1">
        <f>MOD(I45-1,关卡道具消耗!$L$8)+1</f>
        <v>1</v>
      </c>
      <c r="L45" s="1">
        <f t="shared" si="22"/>
        <v>548</v>
      </c>
      <c r="M45" s="1">
        <f>INDEX(leve_cost_v,J45)*INDEX(关卡道具消耗!$C$17:$F$17,1,K45)</f>
        <v>3300</v>
      </c>
      <c r="N45" s="1">
        <f t="shared" si="4"/>
        <v>4</v>
      </c>
      <c r="O45" s="1">
        <f>$C$10*INDEX(关卡道具消耗!$C$17:$F$17,1,K45)</f>
        <v>1</v>
      </c>
      <c r="P45" s="1">
        <f t="shared" si="9"/>
        <v>33</v>
      </c>
      <c r="Q45" s="1">
        <f t="shared" si="5"/>
        <v>3300</v>
      </c>
      <c r="R45" s="1">
        <v>1</v>
      </c>
      <c r="X45" s="2"/>
      <c r="Y45" s="2"/>
      <c r="Z45" s="2"/>
      <c r="AA45" s="2"/>
    </row>
    <row r="46" spans="9:35" x14ac:dyDescent="0.35">
      <c r="I46" s="7">
        <v>41</v>
      </c>
      <c r="J46" s="1">
        <f>INT((I46-1)/关卡道具消耗!$L$8)+1</f>
        <v>14</v>
      </c>
      <c r="K46" s="1">
        <f>MOD(I46-1,关卡道具消耗!$L$8)+1</f>
        <v>2</v>
      </c>
      <c r="L46" s="1">
        <f t="shared" si="22"/>
        <v>548</v>
      </c>
      <c r="M46" s="1">
        <f>INDEX(leve_cost_v,J46)*INDEX(关卡道具消耗!$C$17:$F$17,1,K46)</f>
        <v>6600</v>
      </c>
      <c r="N46" s="1">
        <f t="shared" si="4"/>
        <v>8</v>
      </c>
      <c r="O46" s="1">
        <f>$C$10*INDEX(关卡道具消耗!$C$17:$F$17,1,K46)</f>
        <v>2</v>
      </c>
      <c r="P46" s="1">
        <f t="shared" si="9"/>
        <v>66</v>
      </c>
      <c r="Q46" s="1">
        <f t="shared" si="5"/>
        <v>6600</v>
      </c>
      <c r="R46" s="1">
        <v>1</v>
      </c>
      <c r="X46" s="2"/>
      <c r="Y46" s="2"/>
      <c r="Z46" s="2"/>
      <c r="AA46" s="2"/>
    </row>
    <row r="47" spans="9:35" x14ac:dyDescent="0.35">
      <c r="I47" s="7">
        <v>42</v>
      </c>
      <c r="J47" s="1">
        <f>INT((I47-1)/关卡道具消耗!$L$8)+1</f>
        <v>14</v>
      </c>
      <c r="K47" s="1">
        <f>MOD(I47-1,关卡道具消耗!$L$8)+1</f>
        <v>3</v>
      </c>
      <c r="L47" s="1">
        <f t="shared" si="22"/>
        <v>548</v>
      </c>
      <c r="M47" s="1">
        <f>INDEX(leve_cost_v,J47)*INDEX(关卡道具消耗!$C$17:$F$17,1,K47)</f>
        <v>13200</v>
      </c>
      <c r="N47" s="1">
        <f t="shared" si="4"/>
        <v>17</v>
      </c>
      <c r="O47" s="1">
        <f>$C$10*INDEX(关卡道具消耗!$C$17:$F$17,1,K47)</f>
        <v>4</v>
      </c>
      <c r="P47" s="1">
        <f t="shared" si="9"/>
        <v>132</v>
      </c>
      <c r="Q47" s="1">
        <f t="shared" si="5"/>
        <v>13200</v>
      </c>
      <c r="R47" s="1">
        <v>1</v>
      </c>
      <c r="X47" s="2"/>
      <c r="Y47" s="2"/>
      <c r="Z47" s="2"/>
      <c r="AA47" s="2"/>
    </row>
    <row r="48" spans="9:35" x14ac:dyDescent="0.35">
      <c r="I48" s="7">
        <v>43</v>
      </c>
      <c r="J48" s="1">
        <f>INT((I48-1)/关卡道具消耗!$L$8)+1</f>
        <v>15</v>
      </c>
      <c r="K48" s="1">
        <f>MOD(I48-1,关卡道具消耗!$L$8)+1</f>
        <v>1</v>
      </c>
      <c r="L48" s="1">
        <f t="shared" si="22"/>
        <v>598</v>
      </c>
      <c r="M48" s="1">
        <f>INDEX(leve_cost_v,J48)*INDEX(关卡道具消耗!$C$17:$F$17,1,K48)</f>
        <v>3400</v>
      </c>
      <c r="N48" s="1">
        <f t="shared" si="4"/>
        <v>4</v>
      </c>
      <c r="O48" s="1">
        <f>$C$10*INDEX(关卡道具消耗!$C$17:$F$17,1,K48)</f>
        <v>1</v>
      </c>
      <c r="P48" s="1">
        <f t="shared" si="9"/>
        <v>34</v>
      </c>
      <c r="Q48" s="1">
        <f t="shared" si="5"/>
        <v>3400</v>
      </c>
      <c r="R48" s="1">
        <v>1</v>
      </c>
      <c r="X48" s="2"/>
      <c r="Y48" s="2"/>
      <c r="Z48" s="2"/>
      <c r="AA48" s="2"/>
    </row>
    <row r="49" spans="9:27" x14ac:dyDescent="0.35">
      <c r="I49" s="7">
        <v>44</v>
      </c>
      <c r="J49" s="1">
        <f>INT((I49-1)/关卡道具消耗!$L$8)+1</f>
        <v>15</v>
      </c>
      <c r="K49" s="1">
        <f>MOD(I49-1,关卡道具消耗!$L$8)+1</f>
        <v>2</v>
      </c>
      <c r="L49" s="1">
        <f t="shared" si="22"/>
        <v>598</v>
      </c>
      <c r="M49" s="1">
        <f>INDEX(leve_cost_v,J49)*INDEX(关卡道具消耗!$C$17:$F$17,1,K49)</f>
        <v>6800</v>
      </c>
      <c r="N49" s="1">
        <f t="shared" si="4"/>
        <v>9</v>
      </c>
      <c r="O49" s="1">
        <f>$C$10*INDEX(关卡道具消耗!$C$17:$F$17,1,K49)</f>
        <v>2</v>
      </c>
      <c r="P49" s="1">
        <f t="shared" si="9"/>
        <v>68</v>
      </c>
      <c r="Q49" s="1">
        <f t="shared" si="5"/>
        <v>6800</v>
      </c>
      <c r="R49" s="1">
        <v>1</v>
      </c>
      <c r="X49" s="2"/>
      <c r="Y49" s="2"/>
      <c r="Z49" s="2"/>
      <c r="AA49" s="2"/>
    </row>
    <row r="50" spans="9:27" x14ac:dyDescent="0.35">
      <c r="I50" s="7">
        <v>45</v>
      </c>
      <c r="J50" s="1">
        <f>INT((I50-1)/关卡道具消耗!$L$8)+1</f>
        <v>15</v>
      </c>
      <c r="K50" s="1">
        <f>MOD(I50-1,关卡道具消耗!$L$8)+1</f>
        <v>3</v>
      </c>
      <c r="L50" s="1">
        <f t="shared" si="22"/>
        <v>598</v>
      </c>
      <c r="M50" s="1">
        <f>INDEX(leve_cost_v,J50)*INDEX(关卡道具消耗!$C$17:$F$17,1,K50)</f>
        <v>13600</v>
      </c>
      <c r="N50" s="1">
        <f t="shared" si="4"/>
        <v>17</v>
      </c>
      <c r="O50" s="1">
        <f>$C$10*INDEX(关卡道具消耗!$C$17:$F$17,1,K50)</f>
        <v>4</v>
      </c>
      <c r="P50" s="1">
        <f t="shared" si="9"/>
        <v>136</v>
      </c>
      <c r="Q50" s="1">
        <f t="shared" si="5"/>
        <v>13600</v>
      </c>
      <c r="R50" s="1">
        <v>1</v>
      </c>
      <c r="X50" s="2"/>
      <c r="Y50" s="2"/>
      <c r="Z50" s="2"/>
      <c r="AA50" s="2"/>
    </row>
    <row r="51" spans="9:27" x14ac:dyDescent="0.35">
      <c r="I51" s="7">
        <v>46</v>
      </c>
      <c r="J51" s="1">
        <f>INT((I51-1)/关卡道具消耗!$L$8)+1</f>
        <v>16</v>
      </c>
      <c r="K51" s="1">
        <f>MOD(I51-1,关卡道具消耗!$L$8)+1</f>
        <v>1</v>
      </c>
      <c r="L51" s="1">
        <f t="shared" si="22"/>
        <v>648</v>
      </c>
      <c r="M51" s="1">
        <f>INDEX(leve_cost_v,J51)*INDEX(关卡道具消耗!$C$17:$F$17,1,K51)</f>
        <v>3500</v>
      </c>
      <c r="N51" s="1">
        <f t="shared" si="4"/>
        <v>4</v>
      </c>
      <c r="O51" s="1">
        <f>$C$10*INDEX(关卡道具消耗!$C$17:$F$17,1,K51)</f>
        <v>1</v>
      </c>
      <c r="P51" s="1">
        <f t="shared" si="9"/>
        <v>35</v>
      </c>
      <c r="Q51" s="1">
        <f t="shared" si="5"/>
        <v>3500</v>
      </c>
      <c r="R51" s="1">
        <v>1</v>
      </c>
      <c r="X51" s="2"/>
      <c r="Y51" s="2"/>
      <c r="Z51" s="2"/>
      <c r="AA51" s="2"/>
    </row>
    <row r="52" spans="9:27" x14ac:dyDescent="0.35">
      <c r="I52" s="7">
        <v>47</v>
      </c>
      <c r="J52" s="1">
        <f>INT((I52-1)/关卡道具消耗!$L$8)+1</f>
        <v>16</v>
      </c>
      <c r="K52" s="1">
        <f>MOD(I52-1,关卡道具消耗!$L$8)+1</f>
        <v>2</v>
      </c>
      <c r="L52" s="1">
        <f t="shared" si="22"/>
        <v>648</v>
      </c>
      <c r="M52" s="1">
        <f>INDEX(leve_cost_v,J52)*INDEX(关卡道具消耗!$C$17:$F$17,1,K52)</f>
        <v>7000</v>
      </c>
      <c r="N52" s="1">
        <f t="shared" si="4"/>
        <v>9</v>
      </c>
      <c r="O52" s="1">
        <f>$C$10*INDEX(关卡道具消耗!$C$17:$F$17,1,K52)</f>
        <v>2</v>
      </c>
      <c r="P52" s="1">
        <f t="shared" si="9"/>
        <v>70</v>
      </c>
      <c r="Q52" s="1">
        <f t="shared" si="5"/>
        <v>7000</v>
      </c>
      <c r="R52" s="1">
        <v>1</v>
      </c>
      <c r="X52" s="2"/>
      <c r="Y52" s="2"/>
      <c r="Z52" s="2"/>
      <c r="AA52" s="2"/>
    </row>
    <row r="53" spans="9:27" x14ac:dyDescent="0.35">
      <c r="I53" s="7">
        <v>48</v>
      </c>
      <c r="J53" s="1">
        <f>INT((I53-1)/关卡道具消耗!$L$8)+1</f>
        <v>16</v>
      </c>
      <c r="K53" s="1">
        <f>MOD(I53-1,关卡道具消耗!$L$8)+1</f>
        <v>3</v>
      </c>
      <c r="L53" s="1">
        <f t="shared" si="22"/>
        <v>648</v>
      </c>
      <c r="M53" s="1">
        <f>INDEX(leve_cost_v,J53)*INDEX(关卡道具消耗!$C$17:$F$17,1,K53)</f>
        <v>14000</v>
      </c>
      <c r="N53" s="1">
        <f t="shared" si="4"/>
        <v>18</v>
      </c>
      <c r="O53" s="1">
        <f>$C$10*INDEX(关卡道具消耗!$C$17:$F$17,1,K53)</f>
        <v>4</v>
      </c>
      <c r="P53" s="1">
        <f t="shared" si="9"/>
        <v>140</v>
      </c>
      <c r="Q53" s="1">
        <f t="shared" si="5"/>
        <v>14000</v>
      </c>
      <c r="R53" s="1">
        <v>1</v>
      </c>
      <c r="X53" s="2"/>
      <c r="Y53" s="2"/>
      <c r="Z53" s="2"/>
      <c r="AA53" s="2"/>
    </row>
    <row r="54" spans="9:27" x14ac:dyDescent="0.35">
      <c r="I54" s="7">
        <v>49</v>
      </c>
      <c r="J54" s="1">
        <f>INT((I54-1)/关卡道具消耗!$L$8)+1</f>
        <v>17</v>
      </c>
      <c r="K54" s="1">
        <f>MOD(I54-1,关卡道具消耗!$L$8)+1</f>
        <v>1</v>
      </c>
      <c r="L54" s="1">
        <f t="shared" si="22"/>
        <v>698</v>
      </c>
      <c r="M54" s="1">
        <f>INDEX(leve_cost_v,J54)*INDEX(关卡道具消耗!$C$17:$F$17,1,K54)</f>
        <v>3600</v>
      </c>
      <c r="N54" s="1">
        <f t="shared" si="4"/>
        <v>5</v>
      </c>
      <c r="O54" s="1">
        <f>$C$10*INDEX(关卡道具消耗!$C$17:$F$17,1,K54)</f>
        <v>1</v>
      </c>
      <c r="P54" s="1">
        <f t="shared" si="9"/>
        <v>36</v>
      </c>
      <c r="Q54" s="1">
        <f t="shared" si="5"/>
        <v>3600</v>
      </c>
      <c r="R54" s="1">
        <v>1</v>
      </c>
    </row>
    <row r="55" spans="9:27" x14ac:dyDescent="0.35">
      <c r="I55" s="7">
        <v>50</v>
      </c>
      <c r="J55" s="1">
        <f>INT((I55-1)/关卡道具消耗!$L$8)+1</f>
        <v>17</v>
      </c>
      <c r="K55" s="1">
        <f>MOD(I55-1,关卡道具消耗!$L$8)+1</f>
        <v>2</v>
      </c>
      <c r="L55" s="1">
        <f t="shared" si="22"/>
        <v>698</v>
      </c>
      <c r="M55" s="1">
        <f>INDEX(leve_cost_v,J55)*INDEX(关卡道具消耗!$C$17:$F$17,1,K55)</f>
        <v>7200</v>
      </c>
      <c r="N55" s="1">
        <f t="shared" si="4"/>
        <v>9</v>
      </c>
      <c r="O55" s="1">
        <f>$C$10*INDEX(关卡道具消耗!$C$17:$F$17,1,K55)</f>
        <v>2</v>
      </c>
      <c r="P55" s="1">
        <f t="shared" si="9"/>
        <v>72</v>
      </c>
      <c r="Q55" s="1">
        <f t="shared" si="5"/>
        <v>7200</v>
      </c>
      <c r="R55" s="1">
        <v>1</v>
      </c>
    </row>
    <row r="56" spans="9:27" x14ac:dyDescent="0.35">
      <c r="I56" s="7">
        <v>51</v>
      </c>
      <c r="J56" s="1">
        <f>INT((I56-1)/关卡道具消耗!$L$8)+1</f>
        <v>17</v>
      </c>
      <c r="K56" s="1">
        <f>MOD(I56-1,关卡道具消耗!$L$8)+1</f>
        <v>3</v>
      </c>
      <c r="L56" s="1">
        <f t="shared" si="22"/>
        <v>698</v>
      </c>
      <c r="M56" s="1">
        <f>INDEX(leve_cost_v,J56)*INDEX(关卡道具消耗!$C$17:$F$17,1,K56)</f>
        <v>14400</v>
      </c>
      <c r="N56" s="1">
        <f t="shared" si="4"/>
        <v>18</v>
      </c>
      <c r="O56" s="1">
        <f>$C$10*INDEX(关卡道具消耗!$C$17:$F$17,1,K56)</f>
        <v>4</v>
      </c>
      <c r="P56" s="1">
        <f t="shared" si="9"/>
        <v>144</v>
      </c>
      <c r="Q56" s="1">
        <f t="shared" si="5"/>
        <v>14400</v>
      </c>
      <c r="R56" s="1">
        <v>1</v>
      </c>
    </row>
    <row r="57" spans="9:27" x14ac:dyDescent="0.35">
      <c r="I57" s="7">
        <v>52</v>
      </c>
      <c r="J57" s="1">
        <f>INT((I57-1)/关卡道具消耗!$L$8)+1</f>
        <v>18</v>
      </c>
      <c r="K57" s="1">
        <f>MOD(I57-1,关卡道具消耗!$L$8)+1</f>
        <v>1</v>
      </c>
      <c r="L57" s="1">
        <f t="shared" si="22"/>
        <v>748</v>
      </c>
      <c r="M57" s="1">
        <f>INDEX(leve_cost_v,J57)*INDEX(关卡道具消耗!$C$17:$F$17,1,K57)</f>
        <v>3700</v>
      </c>
      <c r="N57" s="1">
        <f t="shared" si="4"/>
        <v>5</v>
      </c>
      <c r="O57" s="1">
        <f>$C$10*INDEX(关卡道具消耗!$C$17:$F$17,1,K57)</f>
        <v>1</v>
      </c>
      <c r="P57" s="1">
        <f t="shared" si="9"/>
        <v>37</v>
      </c>
      <c r="Q57" s="1">
        <f t="shared" si="5"/>
        <v>3700</v>
      </c>
      <c r="R57" s="1">
        <v>1</v>
      </c>
    </row>
    <row r="58" spans="9:27" x14ac:dyDescent="0.35">
      <c r="I58" s="7">
        <v>53</v>
      </c>
      <c r="J58" s="1">
        <f>INT((I58-1)/关卡道具消耗!$L$8)+1</f>
        <v>18</v>
      </c>
      <c r="K58" s="1">
        <f>MOD(I58-1,关卡道具消耗!$L$8)+1</f>
        <v>2</v>
      </c>
      <c r="L58" s="1">
        <f t="shared" si="22"/>
        <v>748</v>
      </c>
      <c r="M58" s="1">
        <f>INDEX(leve_cost_v,J58)*INDEX(关卡道具消耗!$C$17:$F$17,1,K58)</f>
        <v>7400</v>
      </c>
      <c r="N58" s="1">
        <f t="shared" si="4"/>
        <v>9</v>
      </c>
      <c r="O58" s="1">
        <f>$C$10*INDEX(关卡道具消耗!$C$17:$F$17,1,K58)</f>
        <v>2</v>
      </c>
      <c r="P58" s="1">
        <f t="shared" si="9"/>
        <v>74</v>
      </c>
      <c r="Q58" s="1">
        <f t="shared" si="5"/>
        <v>7400</v>
      </c>
      <c r="R58" s="1">
        <v>1</v>
      </c>
    </row>
    <row r="59" spans="9:27" x14ac:dyDescent="0.35">
      <c r="I59" s="7">
        <v>54</v>
      </c>
      <c r="J59" s="1">
        <f>INT((I59-1)/关卡道具消耗!$L$8)+1</f>
        <v>18</v>
      </c>
      <c r="K59" s="1">
        <f>MOD(I59-1,关卡道具消耗!$L$8)+1</f>
        <v>3</v>
      </c>
      <c r="L59" s="1">
        <f t="shared" si="22"/>
        <v>748</v>
      </c>
      <c r="M59" s="1">
        <f>INDEX(leve_cost_v,J59)*INDEX(关卡道具消耗!$C$17:$F$17,1,K59)</f>
        <v>14800</v>
      </c>
      <c r="N59" s="1">
        <f t="shared" si="4"/>
        <v>19</v>
      </c>
      <c r="O59" s="1">
        <f>$C$10*INDEX(关卡道具消耗!$C$17:$F$17,1,K59)</f>
        <v>4</v>
      </c>
      <c r="P59" s="1">
        <f t="shared" si="9"/>
        <v>148</v>
      </c>
      <c r="Q59" s="1">
        <f t="shared" si="5"/>
        <v>14800</v>
      </c>
      <c r="R59" s="1">
        <v>1</v>
      </c>
    </row>
    <row r="60" spans="9:27" x14ac:dyDescent="0.35">
      <c r="I60" s="7">
        <v>55</v>
      </c>
      <c r="J60" s="1">
        <f>INT((I60-1)/关卡道具消耗!$L$8)+1</f>
        <v>19</v>
      </c>
      <c r="K60" s="1">
        <f>MOD(I60-1,关卡道具消耗!$L$8)+1</f>
        <v>1</v>
      </c>
      <c r="L60" s="1">
        <f t="shared" si="22"/>
        <v>798</v>
      </c>
      <c r="M60" s="1">
        <f>INDEX(leve_cost_v,J60)*INDEX(关卡道具消耗!$C$17:$F$17,1,K60)</f>
        <v>3800</v>
      </c>
      <c r="N60" s="1">
        <f t="shared" si="4"/>
        <v>5</v>
      </c>
      <c r="O60" s="1">
        <f>$C$10*INDEX(关卡道具消耗!$C$17:$F$17,1,K60)</f>
        <v>1</v>
      </c>
      <c r="P60" s="1">
        <f t="shared" si="9"/>
        <v>38</v>
      </c>
      <c r="Q60" s="1">
        <f t="shared" si="5"/>
        <v>3800</v>
      </c>
      <c r="R60" s="1">
        <v>1</v>
      </c>
    </row>
    <row r="61" spans="9:27" x14ac:dyDescent="0.35">
      <c r="I61" s="7">
        <v>56</v>
      </c>
      <c r="J61" s="1">
        <f>INT((I61-1)/关卡道具消耗!$L$8)+1</f>
        <v>19</v>
      </c>
      <c r="K61" s="1">
        <f>MOD(I61-1,关卡道具消耗!$L$8)+1</f>
        <v>2</v>
      </c>
      <c r="L61" s="1">
        <f t="shared" si="22"/>
        <v>798</v>
      </c>
      <c r="M61" s="1">
        <f>INDEX(leve_cost_v,J61)*INDEX(关卡道具消耗!$C$17:$F$17,1,K61)</f>
        <v>7600</v>
      </c>
      <c r="N61" s="1">
        <f t="shared" si="4"/>
        <v>10</v>
      </c>
      <c r="O61" s="1">
        <f>$C$10*INDEX(关卡道具消耗!$C$17:$F$17,1,K61)</f>
        <v>2</v>
      </c>
      <c r="P61" s="1">
        <f t="shared" si="9"/>
        <v>76</v>
      </c>
      <c r="Q61" s="1">
        <f t="shared" si="5"/>
        <v>7600</v>
      </c>
      <c r="R61" s="1">
        <v>1</v>
      </c>
    </row>
    <row r="62" spans="9:27" x14ac:dyDescent="0.35">
      <c r="I62" s="7">
        <v>57</v>
      </c>
      <c r="J62" s="1">
        <f>INT((I62-1)/关卡道具消耗!$L$8)+1</f>
        <v>19</v>
      </c>
      <c r="K62" s="1">
        <f>MOD(I62-1,关卡道具消耗!$L$8)+1</f>
        <v>3</v>
      </c>
      <c r="L62" s="1">
        <f t="shared" si="22"/>
        <v>798</v>
      </c>
      <c r="M62" s="1">
        <f>INDEX(leve_cost_v,J62)*INDEX(关卡道具消耗!$C$17:$F$17,1,K62)</f>
        <v>15200</v>
      </c>
      <c r="N62" s="1">
        <f t="shared" si="4"/>
        <v>19</v>
      </c>
      <c r="O62" s="1">
        <f>$C$10*INDEX(关卡道具消耗!$C$17:$F$17,1,K62)</f>
        <v>4</v>
      </c>
      <c r="P62" s="1">
        <f t="shared" si="9"/>
        <v>152</v>
      </c>
      <c r="Q62" s="1">
        <f t="shared" si="5"/>
        <v>15200</v>
      </c>
      <c r="R62" s="1">
        <v>1</v>
      </c>
    </row>
    <row r="63" spans="9:27" x14ac:dyDescent="0.35">
      <c r="I63" s="7">
        <v>58</v>
      </c>
      <c r="J63" s="1">
        <f>INT((I63-1)/关卡道具消耗!$L$8)+1</f>
        <v>20</v>
      </c>
      <c r="K63" s="1">
        <f>MOD(I63-1,关卡道具消耗!$L$8)+1</f>
        <v>1</v>
      </c>
      <c r="L63" s="1">
        <f t="shared" si="22"/>
        <v>848</v>
      </c>
      <c r="M63" s="1">
        <f>INDEX(leve_cost_v,J63)*INDEX(关卡道具消耗!$C$17:$F$17,1,K63)</f>
        <v>3900</v>
      </c>
      <c r="N63" s="1">
        <f t="shared" si="4"/>
        <v>5</v>
      </c>
      <c r="O63" s="1">
        <f>$C$10*INDEX(关卡道具消耗!$C$17:$F$17,1,K63)</f>
        <v>1</v>
      </c>
      <c r="P63" s="1">
        <f t="shared" si="9"/>
        <v>39</v>
      </c>
      <c r="Q63" s="1">
        <f t="shared" si="5"/>
        <v>3900</v>
      </c>
      <c r="R63" s="1">
        <v>1</v>
      </c>
    </row>
    <row r="64" spans="9:27" x14ac:dyDescent="0.35">
      <c r="I64" s="7">
        <v>59</v>
      </c>
      <c r="J64" s="1">
        <f>INT((I64-1)/关卡道具消耗!$L$8)+1</f>
        <v>20</v>
      </c>
      <c r="K64" s="1">
        <f>MOD(I64-1,关卡道具消耗!$L$8)+1</f>
        <v>2</v>
      </c>
      <c r="L64" s="1">
        <f t="shared" si="22"/>
        <v>848</v>
      </c>
      <c r="M64" s="1">
        <f>INDEX(leve_cost_v,J64)*INDEX(关卡道具消耗!$C$17:$F$17,1,K64)</f>
        <v>7800</v>
      </c>
      <c r="N64" s="1">
        <f t="shared" si="4"/>
        <v>10</v>
      </c>
      <c r="O64" s="1">
        <f>$C$10*INDEX(关卡道具消耗!$C$17:$F$17,1,K64)</f>
        <v>2</v>
      </c>
      <c r="P64" s="1">
        <f t="shared" si="9"/>
        <v>78</v>
      </c>
      <c r="Q64" s="1">
        <f t="shared" si="5"/>
        <v>7800</v>
      </c>
      <c r="R64" s="1">
        <v>1</v>
      </c>
    </row>
    <row r="65" spans="9:18" x14ac:dyDescent="0.35">
      <c r="I65" s="7">
        <v>60</v>
      </c>
      <c r="J65" s="1">
        <f>INT((I65-1)/关卡道具消耗!$L$8)+1</f>
        <v>20</v>
      </c>
      <c r="K65" s="1">
        <f>MOD(I65-1,关卡道具消耗!$L$8)+1</f>
        <v>3</v>
      </c>
      <c r="L65" s="1">
        <f t="shared" si="22"/>
        <v>848</v>
      </c>
      <c r="M65" s="1">
        <f>INDEX(leve_cost_v,J65)*INDEX(关卡道具消耗!$C$17:$F$17,1,K65)</f>
        <v>15600</v>
      </c>
      <c r="N65" s="1">
        <f t="shared" si="4"/>
        <v>20</v>
      </c>
      <c r="O65" s="1">
        <f>$C$10*INDEX(关卡道具消耗!$C$17:$F$17,1,K65)</f>
        <v>4</v>
      </c>
      <c r="P65" s="1">
        <f t="shared" si="9"/>
        <v>156</v>
      </c>
      <c r="Q65" s="1">
        <f t="shared" si="5"/>
        <v>15600</v>
      </c>
      <c r="R65" s="1">
        <v>1</v>
      </c>
    </row>
    <row r="66" spans="9:18" x14ac:dyDescent="0.35">
      <c r="I66" s="7">
        <v>61</v>
      </c>
      <c r="J66" s="1">
        <f>INT((I66-1)/关卡道具消耗!$L$8)+1</f>
        <v>21</v>
      </c>
      <c r="K66" s="1">
        <f>MOD(I66-1,关卡道具消耗!$L$8)+1</f>
        <v>1</v>
      </c>
      <c r="L66" s="1">
        <f t="shared" si="22"/>
        <v>898</v>
      </c>
      <c r="M66" s="1">
        <f>INDEX(leve_cost_v,J66)*INDEX(关卡道具消耗!$C$17:$F$17,1,K66)</f>
        <v>4000</v>
      </c>
      <c r="N66" s="1">
        <f t="shared" si="4"/>
        <v>5</v>
      </c>
      <c r="O66" s="1">
        <f>$C$10*INDEX(关卡道具消耗!$C$17:$F$17,1,K66)</f>
        <v>1</v>
      </c>
      <c r="P66" s="1">
        <f t="shared" si="9"/>
        <v>40</v>
      </c>
      <c r="Q66" s="1">
        <f t="shared" si="5"/>
        <v>4000</v>
      </c>
      <c r="R66" s="1">
        <v>1</v>
      </c>
    </row>
    <row r="67" spans="9:18" x14ac:dyDescent="0.35">
      <c r="I67" s="7">
        <v>62</v>
      </c>
      <c r="J67" s="1">
        <f>INT((I67-1)/关卡道具消耗!$L$8)+1</f>
        <v>21</v>
      </c>
      <c r="K67" s="1">
        <f>MOD(I67-1,关卡道具消耗!$L$8)+1</f>
        <v>2</v>
      </c>
      <c r="L67" s="1">
        <f t="shared" si="22"/>
        <v>898</v>
      </c>
      <c r="M67" s="1">
        <f>INDEX(leve_cost_v,J67)*INDEX(关卡道具消耗!$C$17:$F$17,1,K67)</f>
        <v>8000</v>
      </c>
      <c r="N67" s="1">
        <f t="shared" si="4"/>
        <v>10</v>
      </c>
      <c r="O67" s="1">
        <f>$C$10*INDEX(关卡道具消耗!$C$17:$F$17,1,K67)</f>
        <v>2</v>
      </c>
      <c r="P67" s="1">
        <f t="shared" si="9"/>
        <v>80</v>
      </c>
      <c r="Q67" s="1">
        <f t="shared" si="5"/>
        <v>8000</v>
      </c>
      <c r="R67" s="1">
        <v>1</v>
      </c>
    </row>
    <row r="68" spans="9:18" x14ac:dyDescent="0.35">
      <c r="I68" s="7">
        <v>63</v>
      </c>
      <c r="J68" s="1">
        <f>INT((I68-1)/关卡道具消耗!$L$8)+1</f>
        <v>21</v>
      </c>
      <c r="K68" s="1">
        <f>MOD(I68-1,关卡道具消耗!$L$8)+1</f>
        <v>3</v>
      </c>
      <c r="L68" s="1">
        <f t="shared" si="22"/>
        <v>898</v>
      </c>
      <c r="M68" s="1">
        <f>INDEX(leve_cost_v,J68)*INDEX(关卡道具消耗!$C$17:$F$17,1,K68)</f>
        <v>16000</v>
      </c>
      <c r="N68" s="1">
        <f t="shared" si="4"/>
        <v>20</v>
      </c>
      <c r="O68" s="1">
        <f>$C$10*INDEX(关卡道具消耗!$C$17:$F$17,1,K68)</f>
        <v>4</v>
      </c>
      <c r="P68" s="1">
        <f t="shared" si="9"/>
        <v>160</v>
      </c>
      <c r="Q68" s="1">
        <f t="shared" si="5"/>
        <v>16000</v>
      </c>
      <c r="R68" s="1">
        <v>1</v>
      </c>
    </row>
    <row r="69" spans="9:18" x14ac:dyDescent="0.35">
      <c r="I69" s="7">
        <v>64</v>
      </c>
      <c r="J69" s="1">
        <f>INT((I69-1)/关卡道具消耗!$L$8)+1</f>
        <v>22</v>
      </c>
      <c r="K69" s="1">
        <f>MOD(I69-1,关卡道具消耗!$L$8)+1</f>
        <v>1</v>
      </c>
      <c r="L69" s="1">
        <f t="shared" si="22"/>
        <v>948</v>
      </c>
      <c r="M69" s="1">
        <f>INDEX(leve_cost_v,J69)*INDEX(关卡道具消耗!$C$17:$F$17,1,K69)</f>
        <v>4100</v>
      </c>
      <c r="N69" s="1">
        <f t="shared" si="4"/>
        <v>5</v>
      </c>
      <c r="O69" s="1">
        <f>$C$10*INDEX(关卡道具消耗!$C$17:$F$17,1,K69)</f>
        <v>1</v>
      </c>
      <c r="P69" s="1">
        <f t="shared" si="9"/>
        <v>41</v>
      </c>
      <c r="Q69" s="1">
        <f t="shared" si="5"/>
        <v>4100</v>
      </c>
      <c r="R69" s="1">
        <v>1</v>
      </c>
    </row>
    <row r="70" spans="9:18" x14ac:dyDescent="0.35">
      <c r="I70" s="7">
        <v>65</v>
      </c>
      <c r="J70" s="1">
        <f>INT((I70-1)/关卡道具消耗!$L$8)+1</f>
        <v>22</v>
      </c>
      <c r="K70" s="1">
        <f>MOD(I70-1,关卡道具消耗!$L$8)+1</f>
        <v>2</v>
      </c>
      <c r="L70" s="1">
        <f t="shared" si="22"/>
        <v>948</v>
      </c>
      <c r="M70" s="1">
        <f>INDEX(leve_cost_v,J70)*INDEX(关卡道具消耗!$C$17:$F$17,1,K70)</f>
        <v>8200</v>
      </c>
      <c r="N70" s="1">
        <f t="shared" si="4"/>
        <v>10</v>
      </c>
      <c r="O70" s="1">
        <f>$C$10*INDEX(关卡道具消耗!$C$17:$F$17,1,K70)</f>
        <v>2</v>
      </c>
      <c r="P70" s="1">
        <f t="shared" si="9"/>
        <v>82</v>
      </c>
      <c r="Q70" s="1">
        <f t="shared" si="5"/>
        <v>8200</v>
      </c>
      <c r="R70" s="1">
        <v>1</v>
      </c>
    </row>
    <row r="71" spans="9:18" x14ac:dyDescent="0.35">
      <c r="I71" s="7">
        <v>66</v>
      </c>
      <c r="J71" s="1">
        <f>INT((I71-1)/关卡道具消耗!$L$8)+1</f>
        <v>22</v>
      </c>
      <c r="K71" s="1">
        <f>MOD(I71-1,关卡道具消耗!$L$8)+1</f>
        <v>3</v>
      </c>
      <c r="L71" s="1">
        <f t="shared" si="22"/>
        <v>948</v>
      </c>
      <c r="M71" s="1">
        <f>INDEX(leve_cost_v,J71)*INDEX(关卡道具消耗!$C$17:$F$17,1,K71)</f>
        <v>16400</v>
      </c>
      <c r="N71" s="1">
        <f t="shared" ref="N71:N74" si="23">ROUND($M71*$C$9,0)</f>
        <v>21</v>
      </c>
      <c r="O71" s="1">
        <f>$C$10*INDEX(关卡道具消耗!$C$17:$F$17,1,K71)</f>
        <v>4</v>
      </c>
      <c r="P71" s="1">
        <f t="shared" ref="P71:P74" si="24">ROUND($M71*$C$12,0)</f>
        <v>164</v>
      </c>
      <c r="Q71" s="1">
        <f t="shared" ref="Q71:Q74" si="25">M71</f>
        <v>16400</v>
      </c>
      <c r="R71" s="1">
        <v>1</v>
      </c>
    </row>
    <row r="72" spans="9:18" x14ac:dyDescent="0.35">
      <c r="I72" s="7">
        <v>67</v>
      </c>
      <c r="J72" s="1">
        <f>INT((I72-1)/关卡道具消耗!$L$8)+1</f>
        <v>23</v>
      </c>
      <c r="K72" s="1">
        <f>MOD(I72-1,关卡道具消耗!$L$8)+1</f>
        <v>1</v>
      </c>
      <c r="L72" s="1">
        <f t="shared" si="22"/>
        <v>998</v>
      </c>
      <c r="M72" s="1">
        <f>INDEX(leve_cost_v,J72)*INDEX(关卡道具消耗!$C$17:$F$17,1,K72)</f>
        <v>4200</v>
      </c>
      <c r="N72" s="1">
        <f t="shared" si="23"/>
        <v>5</v>
      </c>
      <c r="O72" s="1">
        <f>$C$10*INDEX(关卡道具消耗!$C$17:$F$17,1,K72)</f>
        <v>1</v>
      </c>
      <c r="P72" s="1">
        <f t="shared" si="24"/>
        <v>42</v>
      </c>
      <c r="Q72" s="1">
        <f t="shared" si="25"/>
        <v>4200</v>
      </c>
      <c r="R72" s="1">
        <v>1</v>
      </c>
    </row>
    <row r="73" spans="9:18" x14ac:dyDescent="0.35">
      <c r="I73" s="7">
        <v>68</v>
      </c>
      <c r="J73" s="1">
        <f>INT((I73-1)/关卡道具消耗!$L$8)+1</f>
        <v>23</v>
      </c>
      <c r="K73" s="1">
        <f>MOD(I73-1,关卡道具消耗!$L$8)+1</f>
        <v>2</v>
      </c>
      <c r="L73" s="1">
        <f t="shared" si="22"/>
        <v>998</v>
      </c>
      <c r="M73" s="1">
        <f>INDEX(leve_cost_v,J73)*INDEX(关卡道具消耗!$C$17:$F$17,1,K73)</f>
        <v>8400</v>
      </c>
      <c r="N73" s="1">
        <f t="shared" si="23"/>
        <v>11</v>
      </c>
      <c r="O73" s="1">
        <f>$C$10*INDEX(关卡道具消耗!$C$17:$F$17,1,K73)</f>
        <v>2</v>
      </c>
      <c r="P73" s="1">
        <f t="shared" si="24"/>
        <v>84</v>
      </c>
      <c r="Q73" s="1">
        <f t="shared" si="25"/>
        <v>8400</v>
      </c>
      <c r="R73" s="1">
        <v>1</v>
      </c>
    </row>
    <row r="74" spans="9:18" x14ac:dyDescent="0.35">
      <c r="I74" s="7">
        <v>69</v>
      </c>
      <c r="J74" s="1">
        <f>INT((I74-1)/关卡道具消耗!$L$8)+1</f>
        <v>23</v>
      </c>
      <c r="K74" s="1">
        <f>MOD(I74-1,关卡道具消耗!$L$8)+1</f>
        <v>3</v>
      </c>
      <c r="L74" s="1">
        <f t="shared" si="22"/>
        <v>998</v>
      </c>
      <c r="M74" s="1">
        <f>INDEX(leve_cost_v,J74)*INDEX(关卡道具消耗!$C$17:$F$17,1,K74)</f>
        <v>16800</v>
      </c>
      <c r="N74" s="1">
        <f t="shared" si="23"/>
        <v>21</v>
      </c>
      <c r="O74" s="1">
        <f>$C$10*INDEX(关卡道具消耗!$C$17:$F$17,1,K74)</f>
        <v>4</v>
      </c>
      <c r="P74" s="1">
        <f t="shared" si="24"/>
        <v>168</v>
      </c>
      <c r="Q74" s="1">
        <f t="shared" si="25"/>
        <v>16800</v>
      </c>
      <c r="R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59-42A6-44DA-8CF7-69AEA305EA6B}">
  <dimension ref="B1:M55"/>
  <sheetViews>
    <sheetView topLeftCell="A6" workbookViewId="0">
      <selection activeCell="J11" sqref="J11"/>
    </sheetView>
  </sheetViews>
  <sheetFormatPr defaultRowHeight="16.5" x14ac:dyDescent="0.35"/>
  <cols>
    <col min="2" max="2" width="11.375" bestFit="1" customWidth="1"/>
    <col min="4" max="4" width="6.5" style="1" bestFit="1" customWidth="1"/>
    <col min="5" max="5" width="9" style="1"/>
    <col min="6" max="6" width="24.125" bestFit="1" customWidth="1"/>
    <col min="7" max="7" width="15.25" bestFit="1" customWidth="1"/>
    <col min="8" max="10" width="11.125" style="1" customWidth="1"/>
    <col min="11" max="11" width="17.625" style="9" bestFit="1" customWidth="1"/>
    <col min="12" max="12" width="25.125" bestFit="1" customWidth="1"/>
    <col min="13" max="13" width="27.625" customWidth="1"/>
  </cols>
  <sheetData>
    <row r="1" spans="2:13" s="4" customFormat="1" ht="32.1" customHeight="1" x14ac:dyDescent="0.35">
      <c r="B1" s="4" t="s">
        <v>367</v>
      </c>
    </row>
    <row r="4" spans="2:13" x14ac:dyDescent="0.35">
      <c r="B4" s="7"/>
      <c r="C4" s="7"/>
      <c r="D4" s="7" t="s">
        <v>368</v>
      </c>
      <c r="E4" s="7" t="s">
        <v>368</v>
      </c>
      <c r="F4" s="7"/>
      <c r="G4" s="7"/>
      <c r="H4" s="7">
        <v>1</v>
      </c>
      <c r="I4" s="7">
        <v>2</v>
      </c>
      <c r="J4" s="7">
        <v>3</v>
      </c>
      <c r="K4" s="7"/>
      <c r="L4" s="7"/>
      <c r="M4" s="7"/>
    </row>
    <row r="5" spans="2:13" x14ac:dyDescent="0.35">
      <c r="B5" s="21" t="s">
        <v>17</v>
      </c>
      <c r="C5" s="21" t="s">
        <v>80</v>
      </c>
      <c r="D5" s="21" t="s">
        <v>111</v>
      </c>
      <c r="E5" s="13" t="s">
        <v>275</v>
      </c>
      <c r="F5" s="13" t="s">
        <v>276</v>
      </c>
      <c r="G5" s="13" t="s">
        <v>108</v>
      </c>
      <c r="H5" s="13" t="s">
        <v>369</v>
      </c>
      <c r="I5" s="13" t="s">
        <v>370</v>
      </c>
      <c r="J5" s="13" t="s">
        <v>371</v>
      </c>
      <c r="K5" s="13" t="s">
        <v>80</v>
      </c>
      <c r="L5" s="13" t="s">
        <v>118</v>
      </c>
      <c r="M5" s="13" t="s">
        <v>119</v>
      </c>
    </row>
    <row r="6" spans="2:13" x14ac:dyDescent="0.35">
      <c r="B6" s="7">
        <v>1</v>
      </c>
      <c r="C6" s="7">
        <v>1</v>
      </c>
      <c r="D6" s="7">
        <f t="shared" ref="D6:D23" si="0">IF(C6=C5,D5+1,1)</f>
        <v>1</v>
      </c>
      <c r="E6">
        <f t="shared" ref="E6:E23" si="1">C6*100+D6</f>
        <v>101</v>
      </c>
      <c r="F6" t="s">
        <v>81</v>
      </c>
      <c r="G6" t="s">
        <v>278</v>
      </c>
      <c r="H6" s="8">
        <v>1</v>
      </c>
      <c r="I6" s="8">
        <v>1</v>
      </c>
      <c r="J6" s="8">
        <v>1</v>
      </c>
      <c r="K6" t="s">
        <v>103</v>
      </c>
      <c r="L6" t="s">
        <v>113</v>
      </c>
      <c r="M6" t="s">
        <v>112</v>
      </c>
    </row>
    <row r="7" spans="2:13" x14ac:dyDescent="0.35">
      <c r="B7" s="7">
        <v>2</v>
      </c>
      <c r="C7" s="7">
        <v>2</v>
      </c>
      <c r="D7" s="7">
        <f t="shared" si="0"/>
        <v>1</v>
      </c>
      <c r="E7">
        <f t="shared" si="1"/>
        <v>201</v>
      </c>
      <c r="F7" t="s">
        <v>54</v>
      </c>
      <c r="G7" t="s">
        <v>99</v>
      </c>
      <c r="H7" s="8">
        <f>INDEX(关卡道具消耗!$T$24:$Y$26,MATCH(H$4,关卡道具消耗!$Q$24:$Q$26,0),MATCH($F7,关卡道具消耗!$T$5:$Y$5,0))</f>
        <v>1.6666666666666665</v>
      </c>
      <c r="I7" s="8">
        <f>INDEX(关卡道具消耗!$T$24:$Y$26,MATCH(I$4,关卡道具消耗!$Q$24:$Q$26,0),MATCH($F7,关卡道具消耗!$T$5:$Y$5,0))</f>
        <v>1.4583333333333333</v>
      </c>
      <c r="J7" s="8">
        <f>INDEX(关卡道具消耗!$T$24:$Y$26,MATCH(J$4,关卡道具消耗!$Q$24:$Q$26,0),MATCH($F7,关卡道具消耗!$T$5:$Y$5,0))</f>
        <v>1.1111111111111109</v>
      </c>
      <c r="K7" t="s">
        <v>105</v>
      </c>
      <c r="L7" t="s">
        <v>115</v>
      </c>
    </row>
    <row r="8" spans="2:13" x14ac:dyDescent="0.35">
      <c r="B8" s="7">
        <v>3</v>
      </c>
      <c r="C8" s="7">
        <v>2</v>
      </c>
      <c r="D8" s="7">
        <f t="shared" si="0"/>
        <v>2</v>
      </c>
      <c r="E8">
        <f t="shared" si="1"/>
        <v>202</v>
      </c>
      <c r="F8" t="s">
        <v>55</v>
      </c>
      <c r="G8" t="s">
        <v>100</v>
      </c>
      <c r="H8" s="8">
        <f>INDEX(关卡道具消耗!$T$24:$Y$26,MATCH(H$4,关卡道具消耗!$Q$24:$Q$26,0),MATCH($F8,关卡道具消耗!$T$5:$Y$5,0))</f>
        <v>2</v>
      </c>
      <c r="I8" s="8">
        <f>INDEX(关卡道具消耗!$T$24:$Y$26,MATCH(I$4,关卡道具消耗!$Q$24:$Q$26,0),MATCH($F8,关卡道具消耗!$T$5:$Y$5,0))</f>
        <v>1.75</v>
      </c>
      <c r="J8" s="8">
        <f>INDEX(关卡道具消耗!$T$24:$Y$26,MATCH(J$4,关卡道具消耗!$Q$24:$Q$26,0),MATCH($F8,关卡道具消耗!$T$5:$Y$5,0))</f>
        <v>1.3333333333333333</v>
      </c>
      <c r="K8" t="s">
        <v>105</v>
      </c>
      <c r="L8" t="s">
        <v>115</v>
      </c>
    </row>
    <row r="9" spans="2:13" x14ac:dyDescent="0.35">
      <c r="B9" s="7">
        <v>4</v>
      </c>
      <c r="C9" s="7">
        <v>2</v>
      </c>
      <c r="D9" s="7">
        <f t="shared" si="0"/>
        <v>3</v>
      </c>
      <c r="E9">
        <f t="shared" si="1"/>
        <v>203</v>
      </c>
      <c r="F9" t="s">
        <v>128</v>
      </c>
      <c r="G9" t="s">
        <v>101</v>
      </c>
      <c r="H9" s="8">
        <f>INDEX(关卡道具消耗!$T$24:$Y$26,MATCH(H$4,关卡道具消耗!$Q$24:$Q$26,0),MATCH($F9,关卡道具消耗!$T$5:$Y$5,0))</f>
        <v>2.6666666666666665</v>
      </c>
      <c r="I9" s="8">
        <f>INDEX(关卡道具消耗!$T$24:$Y$26,MATCH(I$4,关卡道具消耗!$Q$24:$Q$26,0),MATCH($F9,关卡道具消耗!$T$5:$Y$5,0))</f>
        <v>2.333333333333333</v>
      </c>
      <c r="J9" s="8">
        <f>INDEX(关卡道具消耗!$T$24:$Y$26,MATCH(J$4,关卡道具消耗!$Q$24:$Q$26,0),MATCH($F9,关卡道具消耗!$T$5:$Y$5,0))</f>
        <v>1.7777777777777777</v>
      </c>
      <c r="K9" t="s">
        <v>105</v>
      </c>
      <c r="L9" t="s">
        <v>115</v>
      </c>
    </row>
    <row r="10" spans="2:13" x14ac:dyDescent="0.35">
      <c r="B10" s="7">
        <v>5</v>
      </c>
      <c r="C10" s="7">
        <v>3</v>
      </c>
      <c r="D10" s="7">
        <f t="shared" si="0"/>
        <v>1</v>
      </c>
      <c r="E10">
        <f t="shared" si="1"/>
        <v>301</v>
      </c>
      <c r="F10" t="s">
        <v>49</v>
      </c>
      <c r="G10" t="s">
        <v>87</v>
      </c>
      <c r="H10" s="8">
        <f>INDEX(关卡道具消耗!$T$24:$Y$26,MATCH(H$4,关卡道具消耗!$Q$24:$Q$26,0),MATCH($F10,关卡道具消耗!$T$5:$Y$5,0))*关卡道具消耗!$E$5</f>
        <v>0.375</v>
      </c>
      <c r="I10" s="8">
        <f>INDEX(关卡道具消耗!$T$24:$Y$26,MATCH(I$4,关卡道具消耗!$Q$24:$Q$26,0),MATCH($F10,关卡道具消耗!$T$5:$Y$5,0))*关卡道具消耗!$E$5</f>
        <v>0.328125</v>
      </c>
      <c r="J10" s="8">
        <f>INDEX(关卡道具消耗!$T$24:$Y$26,MATCH(J$4,关卡道具消耗!$Q$24:$Q$26,0),MATCH($F10,关卡道具消耗!$T$5:$Y$5,0))*关卡道具消耗!$E$5</f>
        <v>0.25</v>
      </c>
      <c r="K10" t="s">
        <v>104</v>
      </c>
      <c r="L10" t="s">
        <v>115</v>
      </c>
      <c r="M10" t="s">
        <v>142</v>
      </c>
    </row>
    <row r="11" spans="2:13" x14ac:dyDescent="0.35">
      <c r="B11" s="7">
        <v>6</v>
      </c>
      <c r="C11" s="7">
        <v>3</v>
      </c>
      <c r="D11" s="7">
        <f t="shared" si="0"/>
        <v>2</v>
      </c>
      <c r="E11">
        <f t="shared" si="1"/>
        <v>302</v>
      </c>
      <c r="F11" t="s">
        <v>50</v>
      </c>
      <c r="G11" t="s">
        <v>88</v>
      </c>
      <c r="H11" s="8">
        <f>INDEX(关卡道具消耗!$T$24:$Y$26,MATCH(H$4,关卡道具消耗!$Q$24:$Q$26,0),MATCH($F11,关卡道具消耗!$T$5:$Y$5,0))*关卡道具消耗!$E$5</f>
        <v>3</v>
      </c>
      <c r="I11" s="8">
        <f>INDEX(关卡道具消耗!$T$24:$Y$26,MATCH(I$4,关卡道具消耗!$Q$24:$Q$26,0),MATCH($F11,关卡道具消耗!$T$5:$Y$5,0))*关卡道具消耗!$E$5</f>
        <v>2.625</v>
      </c>
      <c r="J11" s="8">
        <f>INDEX(关卡道具消耗!$T$24:$Y$26,MATCH(J$4,关卡道具消耗!$Q$24:$Q$26,0),MATCH($F11,关卡道具消耗!$T$5:$Y$5,0))*关卡道具消耗!$E$5</f>
        <v>2</v>
      </c>
      <c r="K11" t="s">
        <v>104</v>
      </c>
      <c r="L11" t="s">
        <v>115</v>
      </c>
      <c r="M11" t="s">
        <v>142</v>
      </c>
    </row>
    <row r="12" spans="2:13" x14ac:dyDescent="0.35">
      <c r="B12" s="7">
        <v>7</v>
      </c>
      <c r="C12" s="7">
        <v>3</v>
      </c>
      <c r="D12" s="7">
        <f t="shared" si="0"/>
        <v>3</v>
      </c>
      <c r="E12">
        <f t="shared" si="1"/>
        <v>303</v>
      </c>
      <c r="F12" t="s">
        <v>48</v>
      </c>
      <c r="G12" t="s">
        <v>89</v>
      </c>
      <c r="H12" s="8">
        <f>INDEX(关卡道具消耗!$T$24:$Y$26,MATCH(H$4,关卡道具消耗!$Q$24:$Q$26,0),MATCH($F12,关卡道具消耗!$T$5:$Y$5,0))</f>
        <v>3</v>
      </c>
      <c r="I12" s="8">
        <f>INDEX(关卡道具消耗!$T$24:$Y$26,MATCH(I$4,关卡道具消耗!$Q$24:$Q$26,0),MATCH($F12,关卡道具消耗!$T$5:$Y$5,0))</f>
        <v>2.625</v>
      </c>
      <c r="J12" s="8">
        <f>INDEX(关卡道具消耗!$T$24:$Y$26,MATCH(J$4,关卡道具消耗!$Q$24:$Q$26,0),MATCH($F12,关卡道具消耗!$T$5:$Y$5,0))</f>
        <v>2</v>
      </c>
      <c r="K12" t="s">
        <v>104</v>
      </c>
      <c r="L12" t="s">
        <v>115</v>
      </c>
    </row>
    <row r="13" spans="2:13" x14ac:dyDescent="0.35">
      <c r="B13" s="7">
        <v>8</v>
      </c>
      <c r="C13" s="7">
        <v>4</v>
      </c>
      <c r="D13" s="7">
        <f t="shared" si="0"/>
        <v>1</v>
      </c>
      <c r="E13">
        <f t="shared" si="1"/>
        <v>401</v>
      </c>
      <c r="F13" t="s">
        <v>141</v>
      </c>
      <c r="G13" t="s">
        <v>90</v>
      </c>
      <c r="H13" s="8">
        <v>1</v>
      </c>
      <c r="I13" s="8">
        <f>1/2</f>
        <v>0.5</v>
      </c>
      <c r="J13" s="8">
        <f>1/4</f>
        <v>0.25</v>
      </c>
      <c r="K13" t="s">
        <v>107</v>
      </c>
      <c r="L13" t="s">
        <v>115</v>
      </c>
    </row>
    <row r="14" spans="2:13" x14ac:dyDescent="0.35">
      <c r="B14" s="7">
        <v>9</v>
      </c>
      <c r="C14" s="7">
        <v>4</v>
      </c>
      <c r="D14" s="7">
        <f t="shared" si="0"/>
        <v>2</v>
      </c>
      <c r="E14">
        <f t="shared" si="1"/>
        <v>402</v>
      </c>
      <c r="F14" t="s">
        <v>82</v>
      </c>
      <c r="G14" t="s">
        <v>91</v>
      </c>
      <c r="H14" s="8">
        <v>2</v>
      </c>
      <c r="I14" s="8">
        <v>1</v>
      </c>
      <c r="J14" s="8">
        <f>1/2</f>
        <v>0.5</v>
      </c>
      <c r="K14" t="s">
        <v>107</v>
      </c>
      <c r="L14" t="s">
        <v>115</v>
      </c>
    </row>
    <row r="15" spans="2:13" x14ac:dyDescent="0.35">
      <c r="B15" s="7">
        <v>10</v>
      </c>
      <c r="C15" s="7">
        <v>4</v>
      </c>
      <c r="D15" s="7">
        <f t="shared" si="0"/>
        <v>3</v>
      </c>
      <c r="E15">
        <f t="shared" si="1"/>
        <v>403</v>
      </c>
      <c r="F15" t="s">
        <v>83</v>
      </c>
      <c r="G15" t="s">
        <v>92</v>
      </c>
      <c r="H15" s="8">
        <v>4</v>
      </c>
      <c r="I15" s="8">
        <v>2</v>
      </c>
      <c r="J15" s="8">
        <v>1</v>
      </c>
      <c r="K15" t="s">
        <v>107</v>
      </c>
      <c r="L15" t="s">
        <v>115</v>
      </c>
    </row>
    <row r="16" spans="2:13" x14ac:dyDescent="0.35">
      <c r="B16" s="7">
        <v>11</v>
      </c>
      <c r="C16" s="7">
        <v>5</v>
      </c>
      <c r="D16" s="7">
        <f t="shared" si="0"/>
        <v>1</v>
      </c>
      <c r="E16">
        <f t="shared" si="1"/>
        <v>501</v>
      </c>
      <c r="F16" t="s">
        <v>84</v>
      </c>
      <c r="G16" t="s">
        <v>93</v>
      </c>
      <c r="H16" s="10">
        <v>3.35</v>
      </c>
      <c r="I16" s="10">
        <f>H16/2</f>
        <v>1.675</v>
      </c>
      <c r="J16" s="10">
        <f>H16/4</f>
        <v>0.83750000000000002</v>
      </c>
      <c r="K16" t="s">
        <v>107</v>
      </c>
      <c r="L16" t="s">
        <v>114</v>
      </c>
      <c r="M16" t="s">
        <v>126</v>
      </c>
    </row>
    <row r="17" spans="2:13" x14ac:dyDescent="0.35">
      <c r="B17" s="7">
        <v>12</v>
      </c>
      <c r="C17" s="7">
        <v>5</v>
      </c>
      <c r="D17" s="7">
        <f t="shared" si="0"/>
        <v>2</v>
      </c>
      <c r="E17">
        <f t="shared" si="1"/>
        <v>502</v>
      </c>
      <c r="F17" t="s">
        <v>85</v>
      </c>
      <c r="G17" t="s">
        <v>93</v>
      </c>
      <c r="H17" s="10">
        <v>3.33</v>
      </c>
      <c r="I17" s="10">
        <f>H17/2</f>
        <v>1.665</v>
      </c>
      <c r="J17" s="10">
        <f>H17/4</f>
        <v>0.83250000000000002</v>
      </c>
      <c r="K17" t="s">
        <v>107</v>
      </c>
      <c r="L17" t="s">
        <v>114</v>
      </c>
      <c r="M17" t="s">
        <v>126</v>
      </c>
    </row>
    <row r="18" spans="2:13" x14ac:dyDescent="0.35">
      <c r="B18" s="7">
        <v>13</v>
      </c>
      <c r="C18" s="7">
        <v>5</v>
      </c>
      <c r="D18" s="7">
        <f t="shared" si="0"/>
        <v>3</v>
      </c>
      <c r="E18">
        <f t="shared" si="1"/>
        <v>503</v>
      </c>
      <c r="F18" t="s">
        <v>94</v>
      </c>
      <c r="G18" t="s">
        <v>93</v>
      </c>
      <c r="H18" s="10">
        <v>3.3</v>
      </c>
      <c r="I18" s="10">
        <f>H18/2</f>
        <v>1.65</v>
      </c>
      <c r="J18" s="10">
        <f>H18/4</f>
        <v>0.82499999999999996</v>
      </c>
      <c r="K18" t="s">
        <v>107</v>
      </c>
      <c r="L18" t="s">
        <v>114</v>
      </c>
      <c r="M18" t="s">
        <v>126</v>
      </c>
    </row>
    <row r="19" spans="2:13" x14ac:dyDescent="0.35">
      <c r="B19" s="7">
        <v>14</v>
      </c>
      <c r="C19" s="7">
        <v>5</v>
      </c>
      <c r="D19" s="7">
        <f t="shared" si="0"/>
        <v>4</v>
      </c>
      <c r="E19">
        <f t="shared" si="1"/>
        <v>504</v>
      </c>
      <c r="F19" t="s">
        <v>95</v>
      </c>
      <c r="G19" t="s">
        <v>93</v>
      </c>
      <c r="H19" s="10">
        <v>3</v>
      </c>
      <c r="I19" s="10">
        <f>H19/2</f>
        <v>1.5</v>
      </c>
      <c r="J19" s="10">
        <f>H19/4</f>
        <v>0.75</v>
      </c>
      <c r="K19" t="s">
        <v>107</v>
      </c>
      <c r="L19" t="s">
        <v>114</v>
      </c>
      <c r="M19" t="s">
        <v>126</v>
      </c>
    </row>
    <row r="20" spans="2:13" x14ac:dyDescent="0.35">
      <c r="B20" s="7">
        <v>15</v>
      </c>
      <c r="C20" s="7">
        <v>6</v>
      </c>
      <c r="D20" s="7">
        <f t="shared" si="0"/>
        <v>1</v>
      </c>
      <c r="E20">
        <f t="shared" si="1"/>
        <v>601</v>
      </c>
      <c r="F20" t="s">
        <v>125</v>
      </c>
      <c r="G20" t="s">
        <v>96</v>
      </c>
      <c r="H20" s="10">
        <f>关卡奖励!$AH$8*2-1</f>
        <v>1.3340000000000001</v>
      </c>
      <c r="I20" s="10">
        <f>关卡奖励!$AH$8*2-1</f>
        <v>1.3340000000000001</v>
      </c>
      <c r="J20" s="10">
        <f>关卡奖励!$AH$8*2-1</f>
        <v>1.3340000000000001</v>
      </c>
      <c r="K20" t="s">
        <v>107</v>
      </c>
      <c r="L20" t="s">
        <v>116</v>
      </c>
    </row>
    <row r="21" spans="2:13" x14ac:dyDescent="0.35">
      <c r="B21" s="7">
        <v>16</v>
      </c>
      <c r="C21" s="7">
        <v>7</v>
      </c>
      <c r="D21" s="7">
        <f t="shared" si="0"/>
        <v>1</v>
      </c>
      <c r="E21">
        <f t="shared" si="1"/>
        <v>701</v>
      </c>
      <c r="F21" t="s">
        <v>102</v>
      </c>
      <c r="G21" t="s">
        <v>277</v>
      </c>
      <c r="H21" s="10"/>
      <c r="I21" s="10"/>
      <c r="J21" s="10"/>
      <c r="K21" t="s">
        <v>107</v>
      </c>
      <c r="L21" t="s">
        <v>117</v>
      </c>
    </row>
    <row r="22" spans="2:13" x14ac:dyDescent="0.35">
      <c r="B22" s="7">
        <v>17</v>
      </c>
      <c r="C22" s="7">
        <v>7</v>
      </c>
      <c r="D22" s="7">
        <f t="shared" si="0"/>
        <v>2</v>
      </c>
      <c r="E22">
        <f t="shared" si="1"/>
        <v>702</v>
      </c>
      <c r="F22" t="s">
        <v>86</v>
      </c>
      <c r="G22" t="s">
        <v>97</v>
      </c>
      <c r="H22" s="10"/>
      <c r="I22" s="10"/>
      <c r="J22" s="10"/>
      <c r="K22" t="s">
        <v>107</v>
      </c>
      <c r="L22" t="s">
        <v>117</v>
      </c>
    </row>
    <row r="23" spans="2:13" x14ac:dyDescent="0.35">
      <c r="B23" s="7">
        <v>18</v>
      </c>
      <c r="C23" s="7">
        <v>7</v>
      </c>
      <c r="D23" s="7">
        <f t="shared" si="0"/>
        <v>3</v>
      </c>
      <c r="E23">
        <f t="shared" si="1"/>
        <v>703</v>
      </c>
      <c r="F23" t="s">
        <v>106</v>
      </c>
      <c r="G23" t="s">
        <v>98</v>
      </c>
      <c r="H23" s="10"/>
      <c r="I23" s="10"/>
      <c r="J23" s="10"/>
      <c r="K23" t="s">
        <v>107</v>
      </c>
      <c r="L23" t="s">
        <v>117</v>
      </c>
    </row>
    <row r="24" spans="2:13" x14ac:dyDescent="0.35">
      <c r="B24" s="5"/>
      <c r="C24" s="5"/>
      <c r="F24" s="5"/>
      <c r="G24" s="5"/>
      <c r="L24" s="5"/>
      <c r="M24" s="5"/>
    </row>
    <row r="25" spans="2:13" x14ac:dyDescent="0.35">
      <c r="B25" s="5"/>
      <c r="C25" s="5"/>
      <c r="F25" s="5"/>
      <c r="G25" s="5"/>
      <c r="L25" s="5"/>
      <c r="M25" s="5"/>
    </row>
    <row r="26" spans="2:13" x14ac:dyDescent="0.35">
      <c r="B26" s="5"/>
      <c r="C26" s="5"/>
      <c r="F26" s="5"/>
      <c r="G26" s="5"/>
      <c r="L26" s="5"/>
      <c r="M26" s="5"/>
    </row>
    <row r="27" spans="2:13" x14ac:dyDescent="0.35">
      <c r="B27" s="5"/>
      <c r="C27" s="5"/>
      <c r="F27" s="5"/>
      <c r="G27" s="5"/>
      <c r="L27" s="5"/>
      <c r="M27" s="5"/>
    </row>
    <row r="28" spans="2:13" x14ac:dyDescent="0.35">
      <c r="B28" s="5"/>
      <c r="C28" s="5"/>
      <c r="F28" s="5"/>
      <c r="G28" s="5"/>
      <c r="L28" s="5"/>
      <c r="M28" s="5"/>
    </row>
    <row r="29" spans="2:13" x14ac:dyDescent="0.35">
      <c r="B29" s="5"/>
      <c r="C29" s="5"/>
      <c r="F29" s="5"/>
      <c r="G29" s="5"/>
      <c r="L29" s="5"/>
      <c r="M29" s="5"/>
    </row>
    <row r="30" spans="2:13" x14ac:dyDescent="0.35">
      <c r="B30" s="5"/>
      <c r="C30" s="5"/>
      <c r="F30" s="5"/>
      <c r="G30" s="5"/>
      <c r="L30" s="5"/>
      <c r="M30" s="5"/>
    </row>
    <row r="31" spans="2:13" x14ac:dyDescent="0.35">
      <c r="B31" s="5"/>
      <c r="C31" s="5"/>
      <c r="F31" s="5"/>
      <c r="G31" s="5"/>
      <c r="L31" s="5"/>
      <c r="M31" s="5"/>
    </row>
    <row r="32" spans="2:13" x14ac:dyDescent="0.35">
      <c r="B32" s="5"/>
      <c r="C32" s="5"/>
      <c r="F32" s="5"/>
      <c r="G32" s="5"/>
      <c r="L32" s="5"/>
      <c r="M32" s="5"/>
    </row>
    <row r="33" spans="2:13" x14ac:dyDescent="0.35">
      <c r="B33" s="5"/>
      <c r="C33" s="5"/>
      <c r="F33" s="5"/>
      <c r="G33" s="5"/>
      <c r="L33" s="5"/>
      <c r="M33" s="5"/>
    </row>
    <row r="34" spans="2:13" x14ac:dyDescent="0.35">
      <c r="B34" s="5"/>
      <c r="C34" s="5"/>
      <c r="F34" s="5"/>
      <c r="G34" s="5"/>
      <c r="L34" s="5"/>
      <c r="M34" s="5"/>
    </row>
    <row r="35" spans="2:13" x14ac:dyDescent="0.35">
      <c r="B35" s="5"/>
      <c r="C35" s="5"/>
      <c r="F35" s="5"/>
      <c r="G35" s="5"/>
      <c r="L35" s="5"/>
      <c r="M35" s="5"/>
    </row>
    <row r="36" spans="2:13" x14ac:dyDescent="0.35">
      <c r="B36" s="5"/>
      <c r="C36" s="5"/>
      <c r="F36" s="5"/>
      <c r="G36" s="5"/>
      <c r="L36" s="5"/>
      <c r="M36" s="5"/>
    </row>
    <row r="37" spans="2:13" x14ac:dyDescent="0.35">
      <c r="B37" s="5"/>
      <c r="C37" s="5"/>
      <c r="F37" s="5"/>
      <c r="G37" s="5"/>
      <c r="L37" s="5"/>
      <c r="M37" s="5"/>
    </row>
    <row r="38" spans="2:13" x14ac:dyDescent="0.35">
      <c r="B38" s="5"/>
      <c r="C38" s="5"/>
      <c r="F38" s="5"/>
      <c r="G38" s="5"/>
      <c r="L38" s="5"/>
      <c r="M38" s="5"/>
    </row>
    <row r="39" spans="2:13" x14ac:dyDescent="0.35">
      <c r="B39" s="5"/>
      <c r="C39" s="5"/>
      <c r="F39" s="5"/>
      <c r="G39" s="5"/>
      <c r="L39" s="5"/>
      <c r="M39" s="5"/>
    </row>
    <row r="40" spans="2:13" x14ac:dyDescent="0.35">
      <c r="B40" s="5"/>
      <c r="C40" s="5"/>
      <c r="F40" s="5"/>
      <c r="G40" s="5"/>
      <c r="L40" s="5"/>
      <c r="M40" s="5"/>
    </row>
    <row r="41" spans="2:13" x14ac:dyDescent="0.35">
      <c r="B41" s="5"/>
      <c r="C41" s="5"/>
      <c r="F41" s="5"/>
      <c r="G41" s="5"/>
      <c r="L41" s="5"/>
      <c r="M41" s="5"/>
    </row>
    <row r="42" spans="2:13" x14ac:dyDescent="0.35">
      <c r="B42" s="5"/>
      <c r="C42" s="5"/>
      <c r="F42" s="5"/>
      <c r="G42" s="5"/>
      <c r="L42" s="5"/>
      <c r="M42" s="5"/>
    </row>
    <row r="43" spans="2:13" x14ac:dyDescent="0.35">
      <c r="B43" s="5"/>
      <c r="C43" s="5"/>
      <c r="F43" s="5"/>
      <c r="G43" s="5"/>
      <c r="L43" s="5"/>
      <c r="M43" s="5"/>
    </row>
    <row r="44" spans="2:13" x14ac:dyDescent="0.35">
      <c r="B44" s="5"/>
      <c r="C44" s="5"/>
      <c r="F44" s="5"/>
      <c r="G44" s="5"/>
      <c r="L44" s="5"/>
      <c r="M44" s="5"/>
    </row>
    <row r="45" spans="2:13" x14ac:dyDescent="0.35">
      <c r="B45" s="5"/>
      <c r="C45" s="5"/>
      <c r="F45" s="5"/>
      <c r="G45" s="5"/>
      <c r="L45" s="5"/>
      <c r="M45" s="5"/>
    </row>
    <row r="46" spans="2:13" x14ac:dyDescent="0.35">
      <c r="B46" s="5"/>
      <c r="C46" s="5"/>
      <c r="F46" s="5"/>
      <c r="G46" s="5"/>
      <c r="L46" s="5"/>
      <c r="M46" s="5"/>
    </row>
    <row r="47" spans="2:13" x14ac:dyDescent="0.35">
      <c r="B47" s="5"/>
      <c r="C47" s="5"/>
      <c r="F47" s="5"/>
      <c r="G47" s="5"/>
      <c r="L47" s="5"/>
      <c r="M47" s="5"/>
    </row>
    <row r="48" spans="2:13" x14ac:dyDescent="0.35">
      <c r="B48" s="5"/>
      <c r="C48" s="5"/>
      <c r="F48" s="5"/>
      <c r="G48" s="5"/>
      <c r="L48" s="5"/>
      <c r="M48" s="5"/>
    </row>
    <row r="49" spans="2:13" x14ac:dyDescent="0.35">
      <c r="B49" s="5"/>
      <c r="C49" s="5"/>
      <c r="F49" s="5"/>
      <c r="G49" s="5"/>
      <c r="L49" s="5"/>
      <c r="M49" s="5"/>
    </row>
    <row r="50" spans="2:13" x14ac:dyDescent="0.35">
      <c r="B50" s="5"/>
      <c r="C50" s="5"/>
      <c r="F50" s="5"/>
      <c r="G50" s="5"/>
      <c r="L50" s="5"/>
      <c r="M50" s="5"/>
    </row>
    <row r="51" spans="2:13" x14ac:dyDescent="0.35">
      <c r="B51" s="5"/>
      <c r="C51" s="5"/>
      <c r="F51" s="5"/>
      <c r="G51" s="5"/>
      <c r="L51" s="5"/>
      <c r="M51" s="5"/>
    </row>
    <row r="52" spans="2:13" x14ac:dyDescent="0.35">
      <c r="B52" s="5"/>
      <c r="C52" s="5"/>
      <c r="F52" s="5"/>
      <c r="G52" s="5"/>
      <c r="L52" s="5"/>
      <c r="M52" s="5"/>
    </row>
    <row r="53" spans="2:13" x14ac:dyDescent="0.35">
      <c r="B53" s="5"/>
      <c r="C53" s="5"/>
      <c r="F53" s="5"/>
      <c r="G53" s="5"/>
      <c r="L53" s="5"/>
      <c r="M53" s="5"/>
    </row>
    <row r="54" spans="2:13" x14ac:dyDescent="0.35">
      <c r="B54" s="5"/>
      <c r="C54" s="5"/>
      <c r="F54" s="5"/>
      <c r="G54" s="5"/>
      <c r="L54" s="5"/>
      <c r="M54" s="5"/>
    </row>
    <row r="55" spans="2:13" x14ac:dyDescent="0.35">
      <c r="B55" s="5"/>
      <c r="C55" s="5"/>
      <c r="F55" s="5"/>
      <c r="G55" s="5"/>
      <c r="L55" s="5"/>
      <c r="M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0DA6-EDFC-4FE7-A115-BCA21A556FFB}">
  <dimension ref="B1:N55"/>
  <sheetViews>
    <sheetView workbookViewId="0">
      <selection activeCell="G4" sqref="G4"/>
    </sheetView>
  </sheetViews>
  <sheetFormatPr defaultColWidth="13.25" defaultRowHeight="16.5" x14ac:dyDescent="0.35"/>
  <cols>
    <col min="5" max="5" width="13.25" style="1"/>
    <col min="7" max="7" width="13.25" style="1"/>
    <col min="9" max="10" width="13.25" style="1"/>
  </cols>
  <sheetData>
    <row r="1" spans="2:14" s="4" customFormat="1" ht="32.1" customHeight="1" x14ac:dyDescent="0.35">
      <c r="B1" s="4" t="s">
        <v>267</v>
      </c>
    </row>
    <row r="2" spans="2:14" x14ac:dyDescent="0.35">
      <c r="E2"/>
      <c r="G2"/>
      <c r="I2"/>
      <c r="J2"/>
    </row>
    <row r="3" spans="2:14" x14ac:dyDescent="0.35">
      <c r="I3" s="7">
        <v>1</v>
      </c>
      <c r="J3" s="7">
        <v>2</v>
      </c>
      <c r="K3" s="7">
        <v>3</v>
      </c>
      <c r="L3" s="7">
        <v>4</v>
      </c>
      <c r="M3" s="7">
        <v>5</v>
      </c>
    </row>
    <row r="4" spans="2:14" s="7" customFormat="1" x14ac:dyDescent="0.35">
      <c r="B4" s="7" t="s">
        <v>368</v>
      </c>
      <c r="C4" s="7" t="s">
        <v>368</v>
      </c>
      <c r="D4" s="7" t="s">
        <v>368</v>
      </c>
      <c r="E4" s="7" t="s">
        <v>368</v>
      </c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</row>
    <row r="5" spans="2:14" s="13" customFormat="1" x14ac:dyDescent="0.35">
      <c r="B5" s="13" t="s">
        <v>274</v>
      </c>
      <c r="C5" s="13" t="s">
        <v>273</v>
      </c>
      <c r="D5" s="13" t="s">
        <v>64</v>
      </c>
      <c r="E5" s="11"/>
      <c r="F5" s="13" t="str">
        <f>道具定价!E5</f>
        <v>道具id</v>
      </c>
      <c r="G5" s="13" t="str">
        <f>道具定价!F5</f>
        <v>道具名称</v>
      </c>
      <c r="H5" s="13" t="str">
        <f>道具定价!G5</f>
        <v>资源命名</v>
      </c>
      <c r="I5" s="13" t="str">
        <f>INDEX($C$6:$C$25,I3)</f>
        <v>Shop</v>
      </c>
      <c r="J5" s="13" t="str">
        <f>INDEX($C$6:$C$25,J3)</f>
        <v>Turntable</v>
      </c>
      <c r="K5" s="13" t="str">
        <f>INDEX($C$6:$C$25,K3)</f>
        <v>DailyGift</v>
      </c>
      <c r="L5" s="13" t="str">
        <f>INDEX($C$6:$C$25,L3)</f>
        <v>GiftBag2</v>
      </c>
      <c r="M5" s="13" t="str">
        <f>INDEX($C$6:$C$25,M3)</f>
        <v>GiftBag3</v>
      </c>
      <c r="N5" s="11"/>
    </row>
    <row r="6" spans="2:14" x14ac:dyDescent="0.35">
      <c r="B6">
        <v>1</v>
      </c>
      <c r="C6" t="s">
        <v>270</v>
      </c>
      <c r="F6" s="1">
        <f>道具定价!E6</f>
        <v>101</v>
      </c>
      <c r="G6" s="1" t="str">
        <f>道具定价!F6</f>
        <v>金币</v>
      </c>
      <c r="H6" s="1" t="str">
        <f>道具定价!G6</f>
        <v>coin</v>
      </c>
      <c r="I6" s="1">
        <f t="shared" ref="I6:M15" si="0">$F6*100+I$3</f>
        <v>10101</v>
      </c>
      <c r="J6" s="1">
        <f t="shared" si="0"/>
        <v>10102</v>
      </c>
      <c r="K6" s="1">
        <f t="shared" si="0"/>
        <v>10103</v>
      </c>
      <c r="L6" s="1">
        <f t="shared" si="0"/>
        <v>10104</v>
      </c>
      <c r="M6" s="1">
        <f t="shared" si="0"/>
        <v>10105</v>
      </c>
      <c r="N6" s="1"/>
    </row>
    <row r="7" spans="2:14" x14ac:dyDescent="0.35">
      <c r="B7">
        <v>2</v>
      </c>
      <c r="C7" t="s">
        <v>281</v>
      </c>
      <c r="F7" s="1">
        <f>道具定价!E7</f>
        <v>201</v>
      </c>
      <c r="G7" s="1" t="str">
        <f>道具定价!F7</f>
        <v>开局-消三张</v>
      </c>
      <c r="H7" s="1" t="str">
        <f>道具定价!G7</f>
        <v>startRemoveCard</v>
      </c>
      <c r="I7" s="1">
        <f t="shared" si="0"/>
        <v>20101</v>
      </c>
      <c r="J7" s="1">
        <f t="shared" si="0"/>
        <v>20102</v>
      </c>
      <c r="K7" s="1">
        <f t="shared" si="0"/>
        <v>20103</v>
      </c>
      <c r="L7" s="1">
        <f t="shared" si="0"/>
        <v>20104</v>
      </c>
      <c r="M7" s="1">
        <f t="shared" si="0"/>
        <v>20105</v>
      </c>
      <c r="N7" s="1"/>
    </row>
    <row r="8" spans="2:14" x14ac:dyDescent="0.35">
      <c r="B8">
        <v>3</v>
      </c>
      <c r="C8" t="s">
        <v>269</v>
      </c>
      <c r="F8" s="1">
        <f>道具定价!E8</f>
        <v>202</v>
      </c>
      <c r="G8" s="1" t="str">
        <f>道具定价!F8</f>
        <v>开局-全清</v>
      </c>
      <c r="H8" s="1" t="str">
        <f>道具定价!G8</f>
        <v>startClearCard</v>
      </c>
      <c r="I8" s="1">
        <f t="shared" si="0"/>
        <v>20201</v>
      </c>
      <c r="J8" s="1">
        <f t="shared" si="0"/>
        <v>20202</v>
      </c>
      <c r="K8" s="1">
        <f t="shared" si="0"/>
        <v>20203</v>
      </c>
      <c r="L8" s="1">
        <f t="shared" si="0"/>
        <v>20204</v>
      </c>
      <c r="M8" s="1">
        <f t="shared" si="0"/>
        <v>20205</v>
      </c>
      <c r="N8" s="1"/>
    </row>
    <row r="9" spans="2:14" x14ac:dyDescent="0.35">
      <c r="B9">
        <v>4</v>
      </c>
      <c r="C9" t="s">
        <v>271</v>
      </c>
      <c r="F9" s="1">
        <f>道具定价!E9</f>
        <v>203</v>
      </c>
      <c r="G9" s="1" t="str">
        <f>道具定价!F9</f>
        <v>开局-万能牌</v>
      </c>
      <c r="H9" s="1" t="str">
        <f>道具定价!G9</f>
        <v>cardDropWild</v>
      </c>
      <c r="I9" s="1">
        <f t="shared" si="0"/>
        <v>20301</v>
      </c>
      <c r="J9" s="1">
        <f t="shared" si="0"/>
        <v>20302</v>
      </c>
      <c r="K9" s="1">
        <f t="shared" si="0"/>
        <v>20303</v>
      </c>
      <c r="L9" s="1">
        <f t="shared" si="0"/>
        <v>20304</v>
      </c>
      <c r="M9" s="1">
        <f t="shared" si="0"/>
        <v>20305</v>
      </c>
      <c r="N9" s="1"/>
    </row>
    <row r="10" spans="2:14" x14ac:dyDescent="0.35">
      <c r="B10">
        <v>5</v>
      </c>
      <c r="C10" t="s">
        <v>272</v>
      </c>
      <c r="F10" s="1">
        <f>道具定价!E10</f>
        <v>301</v>
      </c>
      <c r="G10" s="1" t="str">
        <f>道具定价!F10</f>
        <v>回退</v>
      </c>
      <c r="H10" s="1" t="str">
        <f>道具定价!G10</f>
        <v>undo</v>
      </c>
      <c r="I10" s="1">
        <f t="shared" si="0"/>
        <v>30101</v>
      </c>
      <c r="J10" s="1">
        <f t="shared" si="0"/>
        <v>30102</v>
      </c>
      <c r="K10" s="1">
        <f t="shared" si="0"/>
        <v>30103</v>
      </c>
      <c r="L10" s="1">
        <f t="shared" si="0"/>
        <v>30104</v>
      </c>
      <c r="M10" s="1">
        <f t="shared" si="0"/>
        <v>30105</v>
      </c>
      <c r="N10" s="1"/>
    </row>
    <row r="11" spans="2:14" x14ac:dyDescent="0.35">
      <c r="B11" s="2"/>
      <c r="C11" s="2"/>
      <c r="D11" s="2"/>
      <c r="F11" s="1">
        <f>道具定价!E11</f>
        <v>302</v>
      </c>
      <c r="G11" s="1" t="str">
        <f>道具定价!F11</f>
        <v>加5张</v>
      </c>
      <c r="H11" s="1" t="str">
        <f>道具定价!G11</f>
        <v>plus5</v>
      </c>
      <c r="I11" s="1">
        <f t="shared" si="0"/>
        <v>30201</v>
      </c>
      <c r="J11" s="1">
        <f t="shared" si="0"/>
        <v>30202</v>
      </c>
      <c r="K11" s="1">
        <f t="shared" si="0"/>
        <v>30203</v>
      </c>
      <c r="L11" s="1">
        <f t="shared" si="0"/>
        <v>30204</v>
      </c>
      <c r="M11" s="1">
        <f t="shared" si="0"/>
        <v>30205</v>
      </c>
      <c r="N11" s="1"/>
    </row>
    <row r="12" spans="2:14" x14ac:dyDescent="0.35">
      <c r="B12" s="2"/>
      <c r="C12" s="2"/>
      <c r="D12" s="2"/>
      <c r="F12" s="1">
        <f>道具定价!E12</f>
        <v>303</v>
      </c>
      <c r="G12" s="1" t="str">
        <f>道具定价!F12</f>
        <v>万能牌</v>
      </c>
      <c r="H12" s="1" t="str">
        <f>道具定价!G12</f>
        <v>wild</v>
      </c>
      <c r="I12" s="1">
        <f t="shared" si="0"/>
        <v>30301</v>
      </c>
      <c r="J12" s="1">
        <f t="shared" si="0"/>
        <v>30302</v>
      </c>
      <c r="K12" s="1">
        <f t="shared" si="0"/>
        <v>30303</v>
      </c>
      <c r="L12" s="1">
        <f t="shared" si="0"/>
        <v>30304</v>
      </c>
      <c r="M12" s="1">
        <f t="shared" si="0"/>
        <v>30305</v>
      </c>
      <c r="N12" s="1"/>
    </row>
    <row r="13" spans="2:14" x14ac:dyDescent="0.35">
      <c r="B13" s="2"/>
      <c r="C13" s="2"/>
      <c r="D13" s="2"/>
      <c r="F13" s="1">
        <f>道具定价!E13</f>
        <v>401</v>
      </c>
      <c r="G13" s="1" t="str">
        <f>道具定价!F13</f>
        <v>免费挑战(1倍)</v>
      </c>
      <c r="H13" s="1" t="str">
        <f>道具定价!G13</f>
        <v>freeMode1</v>
      </c>
      <c r="I13" s="1">
        <f t="shared" si="0"/>
        <v>40101</v>
      </c>
      <c r="J13" s="1">
        <f t="shared" si="0"/>
        <v>40102</v>
      </c>
      <c r="K13" s="1">
        <f t="shared" si="0"/>
        <v>40103</v>
      </c>
      <c r="L13" s="1">
        <f t="shared" si="0"/>
        <v>40104</v>
      </c>
      <c r="M13" s="1">
        <f t="shared" si="0"/>
        <v>40105</v>
      </c>
      <c r="N13" s="1"/>
    </row>
    <row r="14" spans="2:14" x14ac:dyDescent="0.35">
      <c r="B14" s="2"/>
      <c r="C14" s="2"/>
      <c r="D14" s="2"/>
      <c r="F14" s="1">
        <f>道具定价!E14</f>
        <v>402</v>
      </c>
      <c r="G14" s="1" t="str">
        <f>道具定价!F14</f>
        <v>免费挑战(2倍)</v>
      </c>
      <c r="H14" s="1" t="str">
        <f>道具定价!G14</f>
        <v>freeMode2</v>
      </c>
      <c r="I14" s="1">
        <f t="shared" si="0"/>
        <v>40201</v>
      </c>
      <c r="J14" s="1">
        <f t="shared" si="0"/>
        <v>40202</v>
      </c>
      <c r="K14" s="1">
        <f t="shared" si="0"/>
        <v>40203</v>
      </c>
      <c r="L14" s="1">
        <f t="shared" si="0"/>
        <v>40204</v>
      </c>
      <c r="M14" s="1">
        <f t="shared" si="0"/>
        <v>40205</v>
      </c>
      <c r="N14" s="1"/>
    </row>
    <row r="15" spans="2:14" x14ac:dyDescent="0.35">
      <c r="B15" s="2"/>
      <c r="C15" s="2"/>
      <c r="D15" s="2"/>
      <c r="F15" s="1">
        <f>道具定价!E15</f>
        <v>403</v>
      </c>
      <c r="G15" s="1" t="str">
        <f>道具定价!F15</f>
        <v>免费挑战(4倍)</v>
      </c>
      <c r="H15" s="1" t="str">
        <f>道具定价!G15</f>
        <v>freeMode3</v>
      </c>
      <c r="I15" s="1">
        <f t="shared" si="0"/>
        <v>40301</v>
      </c>
      <c r="J15" s="1">
        <f t="shared" si="0"/>
        <v>40302</v>
      </c>
      <c r="K15" s="1">
        <f t="shared" si="0"/>
        <v>40303</v>
      </c>
      <c r="L15" s="1">
        <f t="shared" si="0"/>
        <v>40304</v>
      </c>
      <c r="M15" s="1">
        <f t="shared" si="0"/>
        <v>40305</v>
      </c>
      <c r="N15" s="1"/>
    </row>
    <row r="16" spans="2:14" x14ac:dyDescent="0.35">
      <c r="B16" s="2"/>
      <c r="C16" s="2"/>
      <c r="D16" s="2"/>
      <c r="F16" s="1">
        <f>道具定价!E16</f>
        <v>501</v>
      </c>
      <c r="G16" s="1" t="str">
        <f>道具定价!F16</f>
        <v>24小时离线加速</v>
      </c>
      <c r="H16" s="1" t="str">
        <f>道具定价!G16</f>
        <v>offlineSpeedUP</v>
      </c>
      <c r="I16" s="1">
        <f t="shared" ref="I16:M23" si="1">$F16*100+I$3</f>
        <v>50101</v>
      </c>
      <c r="J16" s="1">
        <f t="shared" si="1"/>
        <v>50102</v>
      </c>
      <c r="K16" s="1">
        <f t="shared" si="1"/>
        <v>50103</v>
      </c>
      <c r="L16" s="1">
        <f t="shared" si="1"/>
        <v>50104</v>
      </c>
      <c r="M16" s="1">
        <f t="shared" si="1"/>
        <v>50105</v>
      </c>
      <c r="N16" s="1"/>
    </row>
    <row r="17" spans="2:14" x14ac:dyDescent="0.35">
      <c r="B17" s="2"/>
      <c r="C17" s="2"/>
      <c r="D17" s="2"/>
      <c r="F17" s="1">
        <f>道具定价!E17</f>
        <v>502</v>
      </c>
      <c r="G17" s="1" t="str">
        <f>道具定价!F17</f>
        <v>12小时离线加速</v>
      </c>
      <c r="H17" s="1" t="str">
        <f>道具定价!G17</f>
        <v>offlineSpeedUP</v>
      </c>
      <c r="I17" s="1">
        <f t="shared" si="1"/>
        <v>50201</v>
      </c>
      <c r="J17" s="1">
        <f t="shared" si="1"/>
        <v>50202</v>
      </c>
      <c r="K17" s="1">
        <f t="shared" si="1"/>
        <v>50203</v>
      </c>
      <c r="L17" s="1">
        <f t="shared" si="1"/>
        <v>50204</v>
      </c>
      <c r="M17" s="1">
        <f t="shared" si="1"/>
        <v>50205</v>
      </c>
      <c r="N17" s="1"/>
    </row>
    <row r="18" spans="2:14" x14ac:dyDescent="0.35">
      <c r="B18" s="2"/>
      <c r="C18" s="2"/>
      <c r="D18" s="2"/>
      <c r="F18" s="1">
        <f>道具定价!E18</f>
        <v>503</v>
      </c>
      <c r="G18" s="1" t="str">
        <f>道具定价!F18</f>
        <v>6小时离线加速</v>
      </c>
      <c r="H18" s="1" t="str">
        <f>道具定价!G18</f>
        <v>offlineSpeedUP</v>
      </c>
      <c r="I18" s="1">
        <f t="shared" si="1"/>
        <v>50301</v>
      </c>
      <c r="J18" s="1">
        <f t="shared" si="1"/>
        <v>50302</v>
      </c>
      <c r="K18" s="1">
        <f t="shared" si="1"/>
        <v>50303</v>
      </c>
      <c r="L18" s="1">
        <f t="shared" si="1"/>
        <v>50304</v>
      </c>
      <c r="M18" s="1">
        <f t="shared" si="1"/>
        <v>50305</v>
      </c>
      <c r="N18" s="1"/>
    </row>
    <row r="19" spans="2:14" x14ac:dyDescent="0.35">
      <c r="B19" s="2"/>
      <c r="C19" s="2"/>
      <c r="D19" s="2"/>
      <c r="F19" s="1">
        <f>道具定价!E19</f>
        <v>504</v>
      </c>
      <c r="G19" s="1" t="str">
        <f>道具定价!F19</f>
        <v>3小时离线加速</v>
      </c>
      <c r="H19" s="1" t="str">
        <f>道具定价!G19</f>
        <v>offlineSpeedUP</v>
      </c>
      <c r="I19" s="1">
        <f t="shared" si="1"/>
        <v>50401</v>
      </c>
      <c r="J19" s="1">
        <f t="shared" si="1"/>
        <v>50402</v>
      </c>
      <c r="K19" s="1">
        <f t="shared" si="1"/>
        <v>50403</v>
      </c>
      <c r="L19" s="1">
        <f t="shared" si="1"/>
        <v>50404</v>
      </c>
      <c r="M19" s="1">
        <f t="shared" si="1"/>
        <v>50405</v>
      </c>
      <c r="N19" s="1"/>
    </row>
    <row r="20" spans="2:14" x14ac:dyDescent="0.35">
      <c r="B20" s="2"/>
      <c r="C20" s="2"/>
      <c r="D20" s="2"/>
      <c r="F20" s="1">
        <f>道具定价!E20</f>
        <v>601</v>
      </c>
      <c r="G20" s="1" t="str">
        <f>道具定价!F20</f>
        <v>双倍结算</v>
      </c>
      <c r="H20" s="1" t="str">
        <f>道具定价!G20</f>
        <v>coinsDouble</v>
      </c>
      <c r="I20" s="1">
        <f t="shared" si="1"/>
        <v>60101</v>
      </c>
      <c r="J20" s="1">
        <f t="shared" si="1"/>
        <v>60102</v>
      </c>
      <c r="K20" s="1">
        <f t="shared" si="1"/>
        <v>60103</v>
      </c>
      <c r="L20" s="1">
        <f t="shared" si="1"/>
        <v>60104</v>
      </c>
      <c r="M20" s="1">
        <f t="shared" si="1"/>
        <v>60105</v>
      </c>
      <c r="N20" s="1"/>
    </row>
    <row r="21" spans="2:14" x14ac:dyDescent="0.35">
      <c r="B21" s="2"/>
      <c r="C21" s="2"/>
      <c r="D21" s="2"/>
      <c r="F21" s="1">
        <f>道具定价!E21</f>
        <v>701</v>
      </c>
      <c r="G21" s="1" t="str">
        <f>道具定价!F21</f>
        <v>转盘进度点数</v>
      </c>
      <c r="H21" s="1" t="str">
        <f>道具定价!G21</f>
        <v>turntablePoints</v>
      </c>
      <c r="I21" s="1">
        <f t="shared" si="1"/>
        <v>70101</v>
      </c>
      <c r="J21" s="1">
        <f t="shared" si="1"/>
        <v>70102</v>
      </c>
      <c r="K21" s="1">
        <f t="shared" si="1"/>
        <v>70103</v>
      </c>
      <c r="L21" s="1">
        <f t="shared" si="1"/>
        <v>70104</v>
      </c>
      <c r="M21" s="1">
        <f t="shared" si="1"/>
        <v>70105</v>
      </c>
      <c r="N21" s="1"/>
    </row>
    <row r="22" spans="2:14" x14ac:dyDescent="0.35">
      <c r="B22" s="2"/>
      <c r="C22" s="2"/>
      <c r="D22" s="2"/>
      <c r="F22" s="1">
        <f>道具定价!E22</f>
        <v>702</v>
      </c>
      <c r="G22" s="1" t="str">
        <f>道具定价!F22</f>
        <v>连胜骨头牌</v>
      </c>
      <c r="H22" s="1" t="str">
        <f>道具定价!G22</f>
        <v>cardBones</v>
      </c>
      <c r="I22" s="1">
        <f t="shared" si="1"/>
        <v>70201</v>
      </c>
      <c r="J22" s="1">
        <f t="shared" si="1"/>
        <v>70202</v>
      </c>
      <c r="K22" s="1">
        <f t="shared" si="1"/>
        <v>70203</v>
      </c>
      <c r="L22" s="1">
        <f t="shared" si="1"/>
        <v>70204</v>
      </c>
      <c r="M22" s="1">
        <f t="shared" si="1"/>
        <v>70205</v>
      </c>
      <c r="N22" s="1"/>
    </row>
    <row r="23" spans="2:14" x14ac:dyDescent="0.35">
      <c r="B23" s="2"/>
      <c r="C23" s="2"/>
      <c r="D23" s="2"/>
      <c r="F23" s="1">
        <f>道具定价!E23</f>
        <v>703</v>
      </c>
      <c r="G23" s="1" t="str">
        <f>道具定价!F23</f>
        <v>连击任务点数+1</v>
      </c>
      <c r="H23" s="1" t="str">
        <f>道具定价!G23</f>
        <v>streaksPoints</v>
      </c>
      <c r="I23" s="1">
        <f t="shared" si="1"/>
        <v>70301</v>
      </c>
      <c r="J23" s="1">
        <f t="shared" si="1"/>
        <v>70302</v>
      </c>
      <c r="K23" s="1">
        <f t="shared" si="1"/>
        <v>70303</v>
      </c>
      <c r="L23" s="1">
        <f t="shared" si="1"/>
        <v>70304</v>
      </c>
      <c r="M23" s="1">
        <f t="shared" si="1"/>
        <v>70305</v>
      </c>
      <c r="N23" s="1"/>
    </row>
    <row r="24" spans="2:14" x14ac:dyDescent="0.35">
      <c r="B24" s="5"/>
      <c r="C24" s="5"/>
      <c r="D24" s="5"/>
      <c r="F24" s="5"/>
      <c r="H24" s="5"/>
      <c r="K24" s="5"/>
      <c r="L24" s="5"/>
    </row>
    <row r="25" spans="2:14" x14ac:dyDescent="0.35">
      <c r="B25" s="5"/>
      <c r="C25" s="5"/>
      <c r="D25" s="5"/>
      <c r="F25" s="5"/>
      <c r="H25" s="5"/>
      <c r="K25" s="5"/>
      <c r="L25" s="5"/>
    </row>
    <row r="26" spans="2:14" x14ac:dyDescent="0.35">
      <c r="B26" s="5"/>
      <c r="C26" s="5"/>
      <c r="D26" s="5"/>
      <c r="F26" s="5"/>
      <c r="H26" s="5"/>
      <c r="K26" s="5"/>
      <c r="L26" s="5"/>
    </row>
    <row r="27" spans="2:14" x14ac:dyDescent="0.35">
      <c r="B27" s="5"/>
      <c r="C27" s="5"/>
      <c r="D27" s="5"/>
      <c r="F27" s="5"/>
      <c r="H27" s="5"/>
      <c r="K27" s="5"/>
      <c r="L27" s="5"/>
    </row>
    <row r="28" spans="2:14" x14ac:dyDescent="0.35">
      <c r="B28" s="5"/>
      <c r="C28" s="5"/>
      <c r="D28" s="5"/>
      <c r="F28" s="5"/>
      <c r="H28" s="5"/>
      <c r="K28" s="5"/>
      <c r="L28" s="5"/>
    </row>
    <row r="29" spans="2:14" x14ac:dyDescent="0.35">
      <c r="B29" s="5"/>
      <c r="C29" s="5"/>
      <c r="D29" s="5"/>
      <c r="F29" s="5"/>
      <c r="H29" s="5"/>
      <c r="K29" s="5"/>
      <c r="L29" s="5"/>
    </row>
    <row r="30" spans="2:14" x14ac:dyDescent="0.35">
      <c r="B30" s="5"/>
      <c r="C30" s="5"/>
      <c r="D30" s="5"/>
      <c r="F30" s="5"/>
      <c r="H30" s="5"/>
      <c r="K30" s="5"/>
      <c r="L30" s="5"/>
    </row>
    <row r="31" spans="2:14" x14ac:dyDescent="0.35">
      <c r="B31" s="5"/>
      <c r="C31" s="5"/>
      <c r="D31" s="5"/>
      <c r="F31" s="5"/>
      <c r="H31" s="5"/>
      <c r="K31" s="5"/>
      <c r="L31" s="5"/>
    </row>
    <row r="32" spans="2:14" x14ac:dyDescent="0.35">
      <c r="B32" s="5"/>
      <c r="C32" s="5"/>
      <c r="D32" s="5"/>
      <c r="F32" s="5"/>
      <c r="H32" s="5"/>
      <c r="K32" s="5"/>
      <c r="L32" s="5"/>
    </row>
    <row r="33" spans="2:12" x14ac:dyDescent="0.35">
      <c r="B33" s="5"/>
      <c r="C33" s="5"/>
      <c r="D33" s="5"/>
      <c r="F33" s="5"/>
      <c r="H33" s="5"/>
      <c r="K33" s="5"/>
      <c r="L33" s="5"/>
    </row>
    <row r="34" spans="2:12" x14ac:dyDescent="0.35">
      <c r="B34" s="5"/>
      <c r="C34" s="5"/>
      <c r="D34" s="5"/>
      <c r="F34" s="5"/>
      <c r="H34" s="5"/>
      <c r="K34" s="5"/>
      <c r="L34" s="5"/>
    </row>
    <row r="35" spans="2:12" x14ac:dyDescent="0.35">
      <c r="B35" s="5"/>
      <c r="C35" s="5"/>
      <c r="D35" s="5"/>
      <c r="F35" s="5"/>
      <c r="H35" s="5"/>
      <c r="K35" s="5"/>
      <c r="L35" s="5"/>
    </row>
    <row r="36" spans="2:12" x14ac:dyDescent="0.35">
      <c r="B36" s="5"/>
      <c r="C36" s="5"/>
      <c r="D36" s="5"/>
      <c r="F36" s="5"/>
      <c r="H36" s="5"/>
      <c r="K36" s="5"/>
      <c r="L36" s="5"/>
    </row>
    <row r="37" spans="2:12" x14ac:dyDescent="0.35">
      <c r="B37" s="5"/>
      <c r="C37" s="5"/>
      <c r="D37" s="5"/>
      <c r="F37" s="5"/>
      <c r="H37" s="5"/>
      <c r="K37" s="5"/>
      <c r="L37" s="5"/>
    </row>
    <row r="38" spans="2:12" x14ac:dyDescent="0.35">
      <c r="B38" s="5"/>
      <c r="C38" s="5"/>
      <c r="D38" s="5"/>
      <c r="F38" s="5"/>
      <c r="H38" s="5"/>
      <c r="K38" s="5"/>
      <c r="L38" s="5"/>
    </row>
    <row r="39" spans="2:12" x14ac:dyDescent="0.35">
      <c r="B39" s="5"/>
      <c r="C39" s="5"/>
      <c r="D39" s="5"/>
      <c r="F39" s="5"/>
      <c r="H39" s="5"/>
      <c r="K39" s="5"/>
      <c r="L39" s="5"/>
    </row>
    <row r="40" spans="2:12" x14ac:dyDescent="0.35">
      <c r="B40" s="5"/>
      <c r="C40" s="5"/>
      <c r="D40" s="5"/>
      <c r="F40" s="5"/>
      <c r="H40" s="5"/>
      <c r="K40" s="5"/>
      <c r="L40" s="5"/>
    </row>
    <row r="41" spans="2:12" x14ac:dyDescent="0.35">
      <c r="B41" s="5"/>
      <c r="C41" s="5"/>
      <c r="D41" s="5"/>
      <c r="F41" s="5"/>
      <c r="H41" s="5"/>
      <c r="K41" s="5"/>
      <c r="L41" s="5"/>
    </row>
    <row r="42" spans="2:12" x14ac:dyDescent="0.35">
      <c r="B42" s="5"/>
      <c r="C42" s="5"/>
      <c r="D42" s="5"/>
      <c r="F42" s="5"/>
      <c r="H42" s="5"/>
      <c r="K42" s="5"/>
      <c r="L42" s="5"/>
    </row>
    <row r="43" spans="2:12" x14ac:dyDescent="0.35">
      <c r="B43" s="5"/>
      <c r="C43" s="5"/>
      <c r="D43" s="5"/>
      <c r="F43" s="5"/>
      <c r="H43" s="5"/>
      <c r="K43" s="5"/>
      <c r="L43" s="5"/>
    </row>
    <row r="44" spans="2:12" x14ac:dyDescent="0.35">
      <c r="B44" s="5"/>
      <c r="C44" s="5"/>
      <c r="D44" s="5"/>
      <c r="F44" s="5"/>
      <c r="H44" s="5"/>
      <c r="K44" s="5"/>
      <c r="L44" s="5"/>
    </row>
    <row r="45" spans="2:12" x14ac:dyDescent="0.35">
      <c r="B45" s="5"/>
      <c r="C45" s="5"/>
      <c r="D45" s="5"/>
      <c r="F45" s="5"/>
      <c r="H45" s="5"/>
      <c r="K45" s="5"/>
      <c r="L45" s="5"/>
    </row>
    <row r="46" spans="2:12" x14ac:dyDescent="0.35">
      <c r="B46" s="5"/>
      <c r="C46" s="5"/>
      <c r="D46" s="5"/>
      <c r="F46" s="5"/>
      <c r="H46" s="5"/>
      <c r="K46" s="5"/>
      <c r="L46" s="5"/>
    </row>
    <row r="47" spans="2:12" x14ac:dyDescent="0.35">
      <c r="B47" s="5"/>
      <c r="C47" s="5"/>
      <c r="D47" s="5"/>
      <c r="F47" s="5"/>
      <c r="H47" s="5"/>
      <c r="K47" s="5"/>
      <c r="L47" s="5"/>
    </row>
    <row r="48" spans="2:12" x14ac:dyDescent="0.35">
      <c r="B48" s="5"/>
      <c r="C48" s="5"/>
      <c r="D48" s="5"/>
      <c r="F48" s="5"/>
      <c r="H48" s="5"/>
      <c r="K48" s="5"/>
      <c r="L48" s="5"/>
    </row>
    <row r="49" spans="2:12" x14ac:dyDescent="0.35">
      <c r="B49" s="5"/>
      <c r="C49" s="5"/>
      <c r="D49" s="5"/>
      <c r="F49" s="5"/>
      <c r="H49" s="5"/>
      <c r="K49" s="5"/>
      <c r="L49" s="5"/>
    </row>
    <row r="50" spans="2:12" x14ac:dyDescent="0.35">
      <c r="B50" s="5"/>
      <c r="C50" s="5"/>
      <c r="D50" s="5"/>
      <c r="F50" s="5"/>
      <c r="H50" s="5"/>
      <c r="K50" s="5"/>
      <c r="L50" s="5"/>
    </row>
    <row r="51" spans="2:12" x14ac:dyDescent="0.35">
      <c r="B51" s="5"/>
      <c r="C51" s="5"/>
      <c r="D51" s="5"/>
      <c r="F51" s="5"/>
      <c r="H51" s="5"/>
      <c r="K51" s="5"/>
      <c r="L51" s="5"/>
    </row>
    <row r="52" spans="2:12" x14ac:dyDescent="0.35">
      <c r="B52" s="5"/>
      <c r="C52" s="5"/>
      <c r="D52" s="5"/>
      <c r="F52" s="5"/>
      <c r="H52" s="5"/>
      <c r="K52" s="5"/>
      <c r="L52" s="5"/>
    </row>
    <row r="53" spans="2:12" x14ac:dyDescent="0.35">
      <c r="B53" s="5"/>
      <c r="C53" s="5"/>
      <c r="D53" s="5"/>
      <c r="F53" s="5"/>
      <c r="H53" s="5"/>
      <c r="K53" s="5"/>
      <c r="L53" s="5"/>
    </row>
    <row r="54" spans="2:12" x14ac:dyDescent="0.35">
      <c r="B54" s="5"/>
      <c r="C54" s="5"/>
      <c r="D54" s="5"/>
      <c r="F54" s="5"/>
      <c r="H54" s="5"/>
      <c r="K54" s="5"/>
      <c r="L54" s="5"/>
    </row>
    <row r="55" spans="2:12" x14ac:dyDescent="0.35">
      <c r="B55" s="5"/>
      <c r="C55" s="5"/>
      <c r="D55" s="5"/>
      <c r="F55" s="5"/>
      <c r="H55" s="5"/>
      <c r="K55" s="5"/>
      <c r="L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EA01-C38B-4A0C-A299-8AA2EE4637C4}">
  <dimension ref="B1:M55"/>
  <sheetViews>
    <sheetView workbookViewId="0">
      <selection activeCell="H47" sqref="H47"/>
    </sheetView>
  </sheetViews>
  <sheetFormatPr defaultRowHeight="16.5" x14ac:dyDescent="0.35"/>
  <cols>
    <col min="2" max="2" width="11.375" bestFit="1" customWidth="1"/>
    <col min="3" max="3" width="13.875" bestFit="1" customWidth="1"/>
    <col min="4" max="4" width="13.875" customWidth="1"/>
    <col min="5" max="5" width="15.25" style="1" bestFit="1" customWidth="1"/>
    <col min="6" max="6" width="15.25" bestFit="1" customWidth="1"/>
    <col min="7" max="7" width="13.875" style="1" bestFit="1" customWidth="1"/>
    <col min="8" max="8" width="24.125" bestFit="1" customWidth="1"/>
    <col min="9" max="10" width="28.125" style="1" customWidth="1"/>
    <col min="11" max="13" width="28.125" customWidth="1"/>
  </cols>
  <sheetData>
    <row r="1" spans="2:13" s="4" customFormat="1" ht="32.1" customHeight="1" x14ac:dyDescent="0.35">
      <c r="B1" s="4" t="s">
        <v>267</v>
      </c>
    </row>
    <row r="2" spans="2:13" x14ac:dyDescent="0.35">
      <c r="E2"/>
      <c r="G2"/>
      <c r="I2"/>
      <c r="J2"/>
    </row>
    <row r="3" spans="2:13" x14ac:dyDescent="0.35">
      <c r="I3" s="9"/>
    </row>
    <row r="4" spans="2:13" s="7" customFormat="1" x14ac:dyDescent="0.35">
      <c r="I4" s="7">
        <v>1</v>
      </c>
      <c r="J4" s="7">
        <v>2</v>
      </c>
      <c r="K4" s="7">
        <v>3</v>
      </c>
      <c r="L4" s="7">
        <v>4</v>
      </c>
      <c r="M4" s="7">
        <v>5</v>
      </c>
    </row>
    <row r="5" spans="2:13" s="13" customFormat="1" ht="17.25" customHeight="1" x14ac:dyDescent="0.35">
      <c r="B5" s="13" t="s">
        <v>274</v>
      </c>
      <c r="C5" s="13" t="s">
        <v>273</v>
      </c>
      <c r="D5" s="13" t="s">
        <v>64</v>
      </c>
      <c r="E5" s="11"/>
      <c r="F5" s="13" t="str">
        <f>道具资源!F5</f>
        <v>道具id</v>
      </c>
      <c r="G5" s="13" t="str">
        <f>道具资源!G5</f>
        <v>道具名称</v>
      </c>
      <c r="H5" s="13" t="str">
        <f>道具资源!H5</f>
        <v>资源命名</v>
      </c>
      <c r="I5" s="13" t="str">
        <f>道具资源!I5</f>
        <v>Shop</v>
      </c>
      <c r="J5" s="13" t="str">
        <f>道具资源!J5</f>
        <v>Turntable</v>
      </c>
      <c r="K5" s="13" t="str">
        <f>道具资源!K5</f>
        <v>DailyGift</v>
      </c>
      <c r="L5" s="13" t="str">
        <f>道具资源!L5</f>
        <v>GiftBag2</v>
      </c>
      <c r="M5" s="13" t="str">
        <f>道具资源!M5</f>
        <v>GiftBag3</v>
      </c>
    </row>
    <row r="6" spans="2:13" x14ac:dyDescent="0.35">
      <c r="B6" s="2">
        <f>道具资源!B6</f>
        <v>1</v>
      </c>
      <c r="C6" s="2" t="str">
        <f>道具资源!C6</f>
        <v>Shop</v>
      </c>
      <c r="D6" s="2"/>
      <c r="F6" s="1">
        <f>道具资源!F6</f>
        <v>101</v>
      </c>
      <c r="G6" s="1" t="str">
        <f>道具资源!G6</f>
        <v>金币</v>
      </c>
      <c r="H6" s="1" t="str">
        <f>道具资源!H6</f>
        <v>coin</v>
      </c>
      <c r="I6" s="1" t="str">
        <f>K6</f>
        <v>icon_coin_Medium</v>
      </c>
      <c r="J6" s="1" t="str">
        <f>CONCATENATE("icon_",$H6,"_",J$5)</f>
        <v>icon_coin_Turntable</v>
      </c>
      <c r="K6" s="1" t="str">
        <f>CONCATENATE("icon_",$H6,"_Medium")</f>
        <v>icon_coin_Medium</v>
      </c>
      <c r="L6" s="1" t="str">
        <f>CONCATENATE("icon_",$H6,"_",L$5)</f>
        <v>icon_coin_GiftBag2</v>
      </c>
      <c r="M6" s="1" t="str">
        <f>K6</f>
        <v>icon_coin_Medium</v>
      </c>
    </row>
    <row r="7" spans="2:13" x14ac:dyDescent="0.35">
      <c r="B7" s="2">
        <f>道具资源!B7</f>
        <v>2</v>
      </c>
      <c r="C7" s="2" t="str">
        <f>道具资源!C7</f>
        <v>Turntable</v>
      </c>
      <c r="D7" s="2"/>
      <c r="F7" s="1">
        <f>道具资源!F7</f>
        <v>201</v>
      </c>
      <c r="G7" s="1" t="str">
        <f>道具资源!G7</f>
        <v>开局-消三张</v>
      </c>
      <c r="H7" s="1" t="str">
        <f>道具资源!H7</f>
        <v>startRemoveCard</v>
      </c>
      <c r="I7" s="1" t="str">
        <f>K7</f>
        <v>icon_startRemoveCard_Medium</v>
      </c>
      <c r="J7" s="1" t="str">
        <f>K7</f>
        <v>icon_startRemoveCard_Medium</v>
      </c>
      <c r="K7" s="1" t="str">
        <f t="shared" ref="K7:K23" si="0">CONCATENATE("icon_",$H7,"_Medium")</f>
        <v>icon_startRemoveCard_Medium</v>
      </c>
      <c r="L7" s="1" t="str">
        <f>K7</f>
        <v>icon_startRemoveCard_Medium</v>
      </c>
      <c r="M7" s="1" t="str">
        <f>K7</f>
        <v>icon_startRemoveCard_Medium</v>
      </c>
    </row>
    <row r="8" spans="2:13" x14ac:dyDescent="0.35">
      <c r="B8" s="2">
        <f>道具资源!B8</f>
        <v>3</v>
      </c>
      <c r="C8" s="2" t="str">
        <f>道具资源!C8</f>
        <v>DailyGift</v>
      </c>
      <c r="D8" s="2"/>
      <c r="F8" s="1">
        <f>道具资源!F8</f>
        <v>202</v>
      </c>
      <c r="G8" s="1" t="str">
        <f>道具资源!G8</f>
        <v>开局-全清</v>
      </c>
      <c r="H8" s="1" t="str">
        <f>道具资源!H8</f>
        <v>startClearCard</v>
      </c>
      <c r="I8" s="1" t="str">
        <f>K8</f>
        <v>icon_startClearCard_Medium</v>
      </c>
      <c r="J8" s="1" t="str">
        <f>K8</f>
        <v>icon_startClearCard_Medium</v>
      </c>
      <c r="K8" s="1" t="str">
        <f t="shared" si="0"/>
        <v>icon_startClearCard_Medium</v>
      </c>
      <c r="L8" s="1" t="str">
        <f>K8</f>
        <v>icon_startClearCard_Medium</v>
      </c>
      <c r="M8" s="1" t="str">
        <f>K8</f>
        <v>icon_startClearCard_Medium</v>
      </c>
    </row>
    <row r="9" spans="2:13" x14ac:dyDescent="0.35">
      <c r="B9" s="2">
        <f>道具资源!B9</f>
        <v>4</v>
      </c>
      <c r="C9" s="2" t="str">
        <f>道具资源!C9</f>
        <v>GiftBag2</v>
      </c>
      <c r="D9" s="5"/>
      <c r="F9" s="1">
        <f>道具资源!F9</f>
        <v>203</v>
      </c>
      <c r="G9" s="1" t="str">
        <f>道具资源!G9</f>
        <v>开局-万能牌</v>
      </c>
      <c r="H9" s="1" t="str">
        <f>道具资源!H9</f>
        <v>cardDropWild</v>
      </c>
      <c r="I9" s="1" t="str">
        <f>K9</f>
        <v>icon_cardDropWild_Medium</v>
      </c>
      <c r="J9" s="1" t="str">
        <f>K9</f>
        <v>icon_cardDropWild_Medium</v>
      </c>
      <c r="K9" s="1" t="str">
        <f t="shared" si="0"/>
        <v>icon_cardDropWild_Medium</v>
      </c>
      <c r="L9" s="1" t="str">
        <f>K9</f>
        <v>icon_cardDropWild_Medium</v>
      </c>
      <c r="M9" s="1" t="str">
        <f>K9</f>
        <v>icon_cardDropWild_Medium</v>
      </c>
    </row>
    <row r="10" spans="2:13" x14ac:dyDescent="0.35">
      <c r="B10" s="2">
        <f>道具资源!B10</f>
        <v>5</v>
      </c>
      <c r="C10" s="2" t="str">
        <f>道具资源!C10</f>
        <v>GiftBag3</v>
      </c>
      <c r="D10" s="5"/>
      <c r="F10" s="1">
        <f>道具资源!F10</f>
        <v>301</v>
      </c>
      <c r="G10" s="1" t="str">
        <f>道具资源!G10</f>
        <v>回退</v>
      </c>
      <c r="H10" s="1" t="str">
        <f>道具资源!H10</f>
        <v>undo</v>
      </c>
      <c r="I10" s="1" t="str">
        <f t="shared" ref="I10:J15" si="1">CONCATENATE("icon_",$H10,"_",I$5)</f>
        <v>icon_undo_Shop</v>
      </c>
      <c r="J10" s="1" t="str">
        <f t="shared" si="1"/>
        <v>icon_undo_Turntable</v>
      </c>
      <c r="K10" s="1" t="str">
        <f t="shared" si="0"/>
        <v>icon_undo_Medium</v>
      </c>
      <c r="L10" s="1" t="str">
        <f t="shared" ref="L10:M13" si="2">CONCATENATE("icon_",$H10,"_",L$5)</f>
        <v>icon_undo_GiftBag2</v>
      </c>
      <c r="M10" s="1" t="str">
        <f t="shared" si="2"/>
        <v>icon_undo_GiftBag3</v>
      </c>
    </row>
    <row r="11" spans="2:13" x14ac:dyDescent="0.35">
      <c r="B11" s="2">
        <f>道具资源!B11</f>
        <v>0</v>
      </c>
      <c r="C11" s="2">
        <f>道具资源!C11</f>
        <v>0</v>
      </c>
      <c r="D11" s="2"/>
      <c r="F11" s="1">
        <f>道具资源!F11</f>
        <v>302</v>
      </c>
      <c r="G11" s="1" t="str">
        <f>道具资源!G11</f>
        <v>加5张</v>
      </c>
      <c r="H11" s="1" t="str">
        <f>道具资源!H11</f>
        <v>plus5</v>
      </c>
      <c r="I11" s="1" t="str">
        <f t="shared" si="1"/>
        <v>icon_plus5_Shop</v>
      </c>
      <c r="J11" s="1" t="str">
        <f t="shared" si="1"/>
        <v>icon_plus5_Turntable</v>
      </c>
      <c r="K11" s="1" t="str">
        <f t="shared" si="0"/>
        <v>icon_plus5_Medium</v>
      </c>
      <c r="L11" s="1" t="str">
        <f t="shared" si="2"/>
        <v>icon_plus5_GiftBag2</v>
      </c>
      <c r="M11" s="1" t="str">
        <f t="shared" si="2"/>
        <v>icon_plus5_GiftBag3</v>
      </c>
    </row>
    <row r="12" spans="2:13" x14ac:dyDescent="0.35">
      <c r="B12" s="2"/>
      <c r="C12" s="2"/>
      <c r="D12" s="2"/>
      <c r="F12" s="1">
        <f>道具资源!F12</f>
        <v>303</v>
      </c>
      <c r="G12" s="1" t="str">
        <f>道具资源!G12</f>
        <v>万能牌</v>
      </c>
      <c r="H12" s="1" t="str">
        <f>道具资源!H12</f>
        <v>wild</v>
      </c>
      <c r="I12" s="1" t="str">
        <f t="shared" si="1"/>
        <v>icon_wild_Shop</v>
      </c>
      <c r="J12" s="1" t="str">
        <f t="shared" si="1"/>
        <v>icon_wild_Turntable</v>
      </c>
      <c r="K12" s="1" t="str">
        <f t="shared" si="0"/>
        <v>icon_wild_Medium</v>
      </c>
      <c r="L12" s="1" t="str">
        <f t="shared" si="2"/>
        <v>icon_wild_GiftBag2</v>
      </c>
      <c r="M12" s="1" t="str">
        <f t="shared" si="2"/>
        <v>icon_wild_GiftBag3</v>
      </c>
    </row>
    <row r="13" spans="2:13" x14ac:dyDescent="0.35">
      <c r="B13" s="2"/>
      <c r="C13" s="2"/>
      <c r="D13" s="2"/>
      <c r="F13" s="1">
        <f>道具资源!F13</f>
        <v>401</v>
      </c>
      <c r="G13" s="1" t="str">
        <f>道具资源!G13</f>
        <v>免费挑战(1倍)</v>
      </c>
      <c r="H13" s="1" t="str">
        <f>道具资源!H13</f>
        <v>freeMode1</v>
      </c>
      <c r="I13" s="1" t="str">
        <f t="shared" si="1"/>
        <v>icon_freeMode1_Shop</v>
      </c>
      <c r="J13" s="1" t="str">
        <f t="shared" si="1"/>
        <v>icon_freeMode1_Turntable</v>
      </c>
      <c r="K13" s="1" t="str">
        <f t="shared" si="0"/>
        <v>icon_freeMode1_Medium</v>
      </c>
      <c r="L13" s="1" t="str">
        <f t="shared" si="2"/>
        <v>icon_freeMode1_GiftBag2</v>
      </c>
      <c r="M13" s="1" t="str">
        <f t="shared" si="2"/>
        <v>icon_freeMode1_GiftBag3</v>
      </c>
    </row>
    <row r="14" spans="2:13" x14ac:dyDescent="0.35">
      <c r="B14" s="2"/>
      <c r="C14" s="2"/>
      <c r="D14" s="2"/>
      <c r="F14" s="1">
        <f>道具资源!F14</f>
        <v>402</v>
      </c>
      <c r="G14" s="1" t="str">
        <f>道具资源!G14</f>
        <v>免费挑战(2倍)</v>
      </c>
      <c r="H14" s="1" t="str">
        <f>道具资源!H14</f>
        <v>freeMode2</v>
      </c>
      <c r="I14" s="1" t="str">
        <f t="shared" si="1"/>
        <v>icon_freeMode2_Shop</v>
      </c>
      <c r="J14" s="1" t="str">
        <f t="shared" si="1"/>
        <v>icon_freeMode2_Turntable</v>
      </c>
      <c r="K14" s="1" t="str">
        <f t="shared" si="0"/>
        <v>icon_freeMode2_Medium</v>
      </c>
      <c r="L14" s="1" t="str">
        <f>CONCATENATE("icon_",$H14,"_",L$5)</f>
        <v>icon_freeMode2_GiftBag2</v>
      </c>
      <c r="M14" s="1" t="str">
        <f>K14</f>
        <v>icon_freeMode2_Medium</v>
      </c>
    </row>
    <row r="15" spans="2:13" x14ac:dyDescent="0.35">
      <c r="B15" s="2"/>
      <c r="C15" s="2"/>
      <c r="D15" s="2"/>
      <c r="F15" s="1">
        <f>道具资源!F15</f>
        <v>403</v>
      </c>
      <c r="G15" s="1" t="str">
        <f>道具资源!G15</f>
        <v>免费挑战(4倍)</v>
      </c>
      <c r="H15" s="1" t="str">
        <f>道具资源!H15</f>
        <v>freeMode3</v>
      </c>
      <c r="I15" s="1" t="str">
        <f t="shared" si="1"/>
        <v>icon_freeMode3_Shop</v>
      </c>
      <c r="J15" s="1" t="str">
        <f t="shared" si="1"/>
        <v>icon_freeMode3_Turntable</v>
      </c>
      <c r="K15" s="1" t="str">
        <f t="shared" si="0"/>
        <v>icon_freeMode3_Medium</v>
      </c>
      <c r="L15" s="1" t="str">
        <f>CONCATENATE("icon_",$H15,"_",L$5)</f>
        <v>icon_freeMode3_GiftBag2</v>
      </c>
      <c r="M15" s="1" t="str">
        <f t="shared" ref="M15:M23" si="3">K15</f>
        <v>icon_freeMode3_Medium</v>
      </c>
    </row>
    <row r="16" spans="2:13" x14ac:dyDescent="0.35">
      <c r="B16" s="2"/>
      <c r="C16" s="2"/>
      <c r="D16" s="2"/>
      <c r="F16" s="1">
        <f>道具资源!F16</f>
        <v>501</v>
      </c>
      <c r="G16" s="1" t="str">
        <f>道具资源!G16</f>
        <v>24小时离线加速</v>
      </c>
      <c r="H16" s="1" t="str">
        <f>道具资源!H16</f>
        <v>offlineSpeedUP</v>
      </c>
      <c r="I16" s="1" t="str">
        <f>K16</f>
        <v>icon_offlineSpeedUP_Medium</v>
      </c>
      <c r="J16" s="1" t="str">
        <f t="shared" ref="J16:J23" si="4">CONCATENATE("icon_",$H16,"_",J$5)</f>
        <v>icon_offlineSpeedUP_Turntable</v>
      </c>
      <c r="K16" s="1" t="str">
        <f t="shared" si="0"/>
        <v>icon_offlineSpeedUP_Medium</v>
      </c>
      <c r="L16" s="1" t="str">
        <f>K16</f>
        <v>icon_offlineSpeedUP_Medium</v>
      </c>
      <c r="M16" s="1" t="str">
        <f t="shared" si="3"/>
        <v>icon_offlineSpeedUP_Medium</v>
      </c>
    </row>
    <row r="17" spans="2:13" x14ac:dyDescent="0.35">
      <c r="B17" s="2"/>
      <c r="C17" s="2"/>
      <c r="D17" s="2"/>
      <c r="F17" s="1">
        <f>道具资源!F17</f>
        <v>502</v>
      </c>
      <c r="G17" s="1" t="str">
        <f>道具资源!G17</f>
        <v>12小时离线加速</v>
      </c>
      <c r="H17" s="1" t="str">
        <f>道具资源!H17</f>
        <v>offlineSpeedUP</v>
      </c>
      <c r="I17" s="1" t="str">
        <f t="shared" ref="I17:I23" si="5">K17</f>
        <v>icon_offlineSpeedUP_Medium</v>
      </c>
      <c r="J17" s="1" t="str">
        <f t="shared" si="4"/>
        <v>icon_offlineSpeedUP_Turntable</v>
      </c>
      <c r="K17" s="1" t="str">
        <f t="shared" si="0"/>
        <v>icon_offlineSpeedUP_Medium</v>
      </c>
      <c r="L17" s="1" t="str">
        <f t="shared" ref="L17:L23" si="6">K17</f>
        <v>icon_offlineSpeedUP_Medium</v>
      </c>
      <c r="M17" s="1" t="str">
        <f t="shared" si="3"/>
        <v>icon_offlineSpeedUP_Medium</v>
      </c>
    </row>
    <row r="18" spans="2:13" x14ac:dyDescent="0.35">
      <c r="B18" s="2"/>
      <c r="C18" s="2"/>
      <c r="D18" s="2"/>
      <c r="F18" s="1">
        <f>道具资源!F18</f>
        <v>503</v>
      </c>
      <c r="G18" s="1" t="str">
        <f>道具资源!G18</f>
        <v>6小时离线加速</v>
      </c>
      <c r="H18" s="1" t="str">
        <f>道具资源!H18</f>
        <v>offlineSpeedUP</v>
      </c>
      <c r="I18" s="1" t="str">
        <f t="shared" si="5"/>
        <v>icon_offlineSpeedUP_Medium</v>
      </c>
      <c r="J18" s="1" t="str">
        <f t="shared" si="4"/>
        <v>icon_offlineSpeedUP_Turntable</v>
      </c>
      <c r="K18" s="1" t="str">
        <f t="shared" si="0"/>
        <v>icon_offlineSpeedUP_Medium</v>
      </c>
      <c r="L18" s="1" t="str">
        <f t="shared" si="6"/>
        <v>icon_offlineSpeedUP_Medium</v>
      </c>
      <c r="M18" s="1" t="str">
        <f t="shared" si="3"/>
        <v>icon_offlineSpeedUP_Medium</v>
      </c>
    </row>
    <row r="19" spans="2:13" x14ac:dyDescent="0.35">
      <c r="B19" s="2"/>
      <c r="C19" s="2"/>
      <c r="D19" s="2"/>
      <c r="F19" s="1">
        <f>道具资源!F19</f>
        <v>504</v>
      </c>
      <c r="G19" s="1" t="str">
        <f>道具资源!G19</f>
        <v>3小时离线加速</v>
      </c>
      <c r="H19" s="1" t="str">
        <f>道具资源!H19</f>
        <v>offlineSpeedUP</v>
      </c>
      <c r="I19" s="1" t="str">
        <f t="shared" si="5"/>
        <v>icon_offlineSpeedUP_Medium</v>
      </c>
      <c r="J19" s="1" t="str">
        <f t="shared" si="4"/>
        <v>icon_offlineSpeedUP_Turntable</v>
      </c>
      <c r="K19" s="1" t="str">
        <f t="shared" si="0"/>
        <v>icon_offlineSpeedUP_Medium</v>
      </c>
      <c r="L19" s="1" t="str">
        <f t="shared" si="6"/>
        <v>icon_offlineSpeedUP_Medium</v>
      </c>
      <c r="M19" s="1" t="str">
        <f t="shared" si="3"/>
        <v>icon_offlineSpeedUP_Medium</v>
      </c>
    </row>
    <row r="20" spans="2:13" x14ac:dyDescent="0.35">
      <c r="B20" s="2"/>
      <c r="C20" s="2"/>
      <c r="D20" s="2"/>
      <c r="F20" s="1">
        <f>道具资源!F20</f>
        <v>601</v>
      </c>
      <c r="G20" s="1" t="str">
        <f>道具资源!G20</f>
        <v>双倍结算</v>
      </c>
      <c r="H20" s="1" t="str">
        <f>道具资源!H20</f>
        <v>coinsDouble</v>
      </c>
      <c r="I20" s="1" t="str">
        <f t="shared" si="5"/>
        <v>icon_coinsDouble_Medium</v>
      </c>
      <c r="J20" s="1" t="str">
        <f t="shared" si="4"/>
        <v>icon_coinsDouble_Turntable</v>
      </c>
      <c r="K20" s="1" t="str">
        <f t="shared" si="0"/>
        <v>icon_coinsDouble_Medium</v>
      </c>
      <c r="L20" s="1" t="str">
        <f t="shared" si="6"/>
        <v>icon_coinsDouble_Medium</v>
      </c>
      <c r="M20" s="1" t="str">
        <f t="shared" si="3"/>
        <v>icon_coinsDouble_Medium</v>
      </c>
    </row>
    <row r="21" spans="2:13" x14ac:dyDescent="0.35">
      <c r="B21" s="2"/>
      <c r="C21" s="2"/>
      <c r="D21" s="2"/>
      <c r="F21" s="1">
        <f>道具资源!F21</f>
        <v>701</v>
      </c>
      <c r="G21" s="1" t="str">
        <f>道具资源!G21</f>
        <v>转盘进度点数</v>
      </c>
      <c r="H21" s="1" t="str">
        <f>道具资源!H21</f>
        <v>turntablePoints</v>
      </c>
      <c r="I21" s="1" t="str">
        <f t="shared" si="5"/>
        <v>icon_turntablePoints_Medium</v>
      </c>
      <c r="J21" s="1" t="str">
        <f t="shared" si="4"/>
        <v>icon_turntablePoints_Turntable</v>
      </c>
      <c r="K21" s="1" t="str">
        <f t="shared" si="0"/>
        <v>icon_turntablePoints_Medium</v>
      </c>
      <c r="L21" s="1" t="str">
        <f t="shared" si="6"/>
        <v>icon_turntablePoints_Medium</v>
      </c>
      <c r="M21" s="1" t="str">
        <f t="shared" si="3"/>
        <v>icon_turntablePoints_Medium</v>
      </c>
    </row>
    <row r="22" spans="2:13" x14ac:dyDescent="0.35">
      <c r="B22" s="2"/>
      <c r="C22" s="2"/>
      <c r="D22" s="2"/>
      <c r="F22" s="1">
        <f>道具资源!F22</f>
        <v>702</v>
      </c>
      <c r="G22" s="1" t="str">
        <f>道具资源!G22</f>
        <v>连胜骨头牌</v>
      </c>
      <c r="H22" s="1" t="str">
        <f>道具资源!H22</f>
        <v>cardBones</v>
      </c>
      <c r="I22" s="1" t="str">
        <f t="shared" si="5"/>
        <v>icon_cardBones_Medium</v>
      </c>
      <c r="J22" s="1" t="str">
        <f t="shared" si="4"/>
        <v>icon_cardBones_Turntable</v>
      </c>
      <c r="K22" s="1" t="str">
        <f t="shared" si="0"/>
        <v>icon_cardBones_Medium</v>
      </c>
      <c r="L22" s="1" t="str">
        <f t="shared" si="6"/>
        <v>icon_cardBones_Medium</v>
      </c>
      <c r="M22" s="1" t="str">
        <f t="shared" si="3"/>
        <v>icon_cardBones_Medium</v>
      </c>
    </row>
    <row r="23" spans="2:13" x14ac:dyDescent="0.35">
      <c r="B23" s="2"/>
      <c r="C23" s="2"/>
      <c r="D23" s="2"/>
      <c r="F23" s="1">
        <f>道具资源!F23</f>
        <v>703</v>
      </c>
      <c r="G23" s="1" t="str">
        <f>道具资源!G23</f>
        <v>连击任务点数+1</v>
      </c>
      <c r="H23" s="1" t="str">
        <f>道具资源!H23</f>
        <v>streaksPoints</v>
      </c>
      <c r="I23" s="1" t="str">
        <f t="shared" si="5"/>
        <v>icon_streaksPoints_Medium</v>
      </c>
      <c r="J23" s="1" t="str">
        <f t="shared" si="4"/>
        <v>icon_streaksPoints_Turntable</v>
      </c>
      <c r="K23" s="1" t="str">
        <f t="shared" si="0"/>
        <v>icon_streaksPoints_Medium</v>
      </c>
      <c r="L23" s="1" t="str">
        <f t="shared" si="6"/>
        <v>icon_streaksPoints_Medium</v>
      </c>
      <c r="M23" s="1" t="str">
        <f t="shared" si="3"/>
        <v>icon_streaksPoints_Medium</v>
      </c>
    </row>
    <row r="24" spans="2:13" x14ac:dyDescent="0.35">
      <c r="B24" s="5"/>
      <c r="C24" s="5"/>
      <c r="D24" s="5"/>
      <c r="F24" s="5"/>
      <c r="H24" s="5"/>
      <c r="K24" s="5"/>
      <c r="L24" s="5"/>
    </row>
    <row r="25" spans="2:13" x14ac:dyDescent="0.35">
      <c r="B25" s="5"/>
      <c r="C25" s="5"/>
      <c r="D25" s="5"/>
      <c r="F25" s="5"/>
      <c r="H25" s="5"/>
      <c r="K25" s="5"/>
      <c r="L25" s="5"/>
    </row>
    <row r="26" spans="2:13" x14ac:dyDescent="0.35">
      <c r="B26" s="5"/>
      <c r="C26" s="5"/>
      <c r="D26" s="5"/>
      <c r="F26" s="5"/>
      <c r="H26" s="5"/>
      <c r="K26" s="5"/>
      <c r="L26" s="5"/>
    </row>
    <row r="27" spans="2:13" x14ac:dyDescent="0.35">
      <c r="B27" s="5"/>
      <c r="C27" s="5"/>
      <c r="D27" s="5"/>
      <c r="F27" s="5"/>
      <c r="H27" s="5"/>
      <c r="K27" s="5"/>
      <c r="L27" s="5"/>
    </row>
    <row r="28" spans="2:13" x14ac:dyDescent="0.35">
      <c r="B28" s="5"/>
      <c r="C28" s="5"/>
      <c r="D28" s="5"/>
      <c r="F28" s="5"/>
      <c r="H28" s="5"/>
      <c r="K28" s="5"/>
      <c r="L28" s="5"/>
    </row>
    <row r="29" spans="2:13" x14ac:dyDescent="0.35">
      <c r="B29" s="5"/>
      <c r="C29" s="5"/>
      <c r="D29" s="5"/>
      <c r="F29" s="5"/>
      <c r="H29" s="5"/>
      <c r="K29" s="5"/>
      <c r="L29" s="5"/>
    </row>
    <row r="30" spans="2:13" x14ac:dyDescent="0.35">
      <c r="B30" s="5"/>
      <c r="C30" s="5"/>
      <c r="D30" s="5"/>
      <c r="F30" s="5"/>
      <c r="H30" s="5"/>
      <c r="K30" s="5"/>
      <c r="L30" s="5"/>
    </row>
    <row r="31" spans="2:13" x14ac:dyDescent="0.35">
      <c r="B31" s="5"/>
      <c r="C31" s="5"/>
      <c r="D31" s="5"/>
      <c r="F31" s="5"/>
      <c r="H31" s="5"/>
      <c r="K31" s="5"/>
      <c r="L31" s="5"/>
    </row>
    <row r="32" spans="2:13" x14ac:dyDescent="0.35">
      <c r="B32" s="5"/>
      <c r="C32" s="5"/>
      <c r="D32" s="5"/>
      <c r="F32" s="5"/>
      <c r="H32" s="5"/>
      <c r="K32" s="5"/>
      <c r="L32" s="5"/>
    </row>
    <row r="33" spans="2:12" x14ac:dyDescent="0.35">
      <c r="B33" s="5"/>
      <c r="C33" s="5"/>
      <c r="D33" s="5"/>
      <c r="F33" s="5"/>
      <c r="H33" s="5"/>
      <c r="K33" s="5"/>
      <c r="L33" s="5"/>
    </row>
    <row r="34" spans="2:12" x14ac:dyDescent="0.35">
      <c r="B34" s="5"/>
      <c r="C34" s="5"/>
      <c r="D34" s="5"/>
      <c r="F34" s="5"/>
      <c r="H34" s="5"/>
      <c r="K34" s="5"/>
      <c r="L34" s="5"/>
    </row>
    <row r="35" spans="2:12" x14ac:dyDescent="0.35">
      <c r="B35" s="5"/>
      <c r="C35" s="5"/>
      <c r="D35" s="5"/>
      <c r="F35" s="5"/>
      <c r="H35" s="5"/>
      <c r="K35" s="5"/>
      <c r="L35" s="5"/>
    </row>
    <row r="36" spans="2:12" x14ac:dyDescent="0.35">
      <c r="B36" s="5"/>
      <c r="C36" s="5"/>
      <c r="D36" s="5"/>
      <c r="F36" s="5"/>
      <c r="H36" s="5"/>
      <c r="K36" s="5"/>
      <c r="L36" s="5"/>
    </row>
    <row r="37" spans="2:12" x14ac:dyDescent="0.35">
      <c r="B37" s="5"/>
      <c r="C37" s="5"/>
      <c r="D37" s="5"/>
      <c r="F37" s="5"/>
      <c r="H37" s="5"/>
      <c r="K37" s="5"/>
      <c r="L37" s="5"/>
    </row>
    <row r="38" spans="2:12" x14ac:dyDescent="0.35">
      <c r="B38" s="5"/>
      <c r="C38" s="5"/>
      <c r="D38" s="5"/>
      <c r="F38" s="5"/>
      <c r="H38" s="5"/>
      <c r="K38" s="5"/>
      <c r="L38" s="5"/>
    </row>
    <row r="39" spans="2:12" x14ac:dyDescent="0.35">
      <c r="B39" s="5"/>
      <c r="C39" s="5"/>
      <c r="D39" s="5"/>
      <c r="F39" s="5"/>
      <c r="H39" s="5"/>
      <c r="K39" s="5"/>
      <c r="L39" s="5"/>
    </row>
    <row r="40" spans="2:12" x14ac:dyDescent="0.35">
      <c r="B40" s="5"/>
      <c r="C40" s="5"/>
      <c r="D40" s="5"/>
      <c r="F40" s="5"/>
      <c r="H40" s="5"/>
      <c r="K40" s="5"/>
      <c r="L40" s="5"/>
    </row>
    <row r="41" spans="2:12" x14ac:dyDescent="0.35">
      <c r="B41" s="5"/>
      <c r="C41" s="5"/>
      <c r="D41" s="5"/>
      <c r="F41" s="5"/>
      <c r="H41" s="5"/>
      <c r="K41" s="5"/>
      <c r="L41" s="5"/>
    </row>
    <row r="42" spans="2:12" x14ac:dyDescent="0.35">
      <c r="B42" s="5"/>
      <c r="C42" s="5"/>
      <c r="D42" s="5"/>
      <c r="F42" s="5"/>
      <c r="H42" s="5"/>
      <c r="K42" s="5"/>
      <c r="L42" s="5"/>
    </row>
    <row r="43" spans="2:12" x14ac:dyDescent="0.35">
      <c r="B43" s="5"/>
      <c r="C43" s="5"/>
      <c r="D43" s="5"/>
      <c r="F43" s="5"/>
      <c r="H43" s="5"/>
      <c r="K43" s="5"/>
      <c r="L43" s="5"/>
    </row>
    <row r="44" spans="2:12" x14ac:dyDescent="0.35">
      <c r="B44" s="5"/>
      <c r="C44" s="5"/>
      <c r="D44" s="5"/>
      <c r="F44" s="5"/>
      <c r="H44" s="5"/>
      <c r="K44" s="5"/>
      <c r="L44" s="5"/>
    </row>
    <row r="45" spans="2:12" x14ac:dyDescent="0.35">
      <c r="B45" s="5"/>
      <c r="C45" s="5"/>
      <c r="D45" s="5"/>
      <c r="F45" s="5"/>
      <c r="H45" s="5"/>
      <c r="K45" s="5"/>
      <c r="L45" s="5"/>
    </row>
    <row r="46" spans="2:12" x14ac:dyDescent="0.35">
      <c r="B46" s="5"/>
      <c r="C46" s="5"/>
      <c r="D46" s="5"/>
      <c r="F46" s="5"/>
      <c r="H46" s="5"/>
      <c r="K46" s="5"/>
      <c r="L46" s="5"/>
    </row>
    <row r="47" spans="2:12" x14ac:dyDescent="0.35">
      <c r="B47" s="5"/>
      <c r="C47" s="5"/>
      <c r="D47" s="5"/>
      <c r="F47" s="5"/>
      <c r="H47" s="5"/>
      <c r="K47" s="5"/>
      <c r="L47" s="5"/>
    </row>
    <row r="48" spans="2:12" x14ac:dyDescent="0.35">
      <c r="B48" s="5"/>
      <c r="C48" s="5"/>
      <c r="D48" s="5"/>
      <c r="F48" s="5"/>
      <c r="H48" s="5"/>
      <c r="K48" s="5"/>
      <c r="L48" s="5"/>
    </row>
    <row r="49" spans="2:12" x14ac:dyDescent="0.35">
      <c r="B49" s="5"/>
      <c r="C49" s="5"/>
      <c r="D49" s="5"/>
      <c r="F49" s="5"/>
      <c r="H49" s="5"/>
      <c r="K49" s="5"/>
      <c r="L49" s="5"/>
    </row>
    <row r="50" spans="2:12" x14ac:dyDescent="0.35">
      <c r="B50" s="5"/>
      <c r="C50" s="5"/>
      <c r="D50" s="5"/>
      <c r="F50" s="5"/>
      <c r="H50" s="5"/>
      <c r="K50" s="5"/>
      <c r="L50" s="5"/>
    </row>
    <row r="51" spans="2:12" x14ac:dyDescent="0.35">
      <c r="B51" s="5"/>
      <c r="C51" s="5"/>
      <c r="D51" s="5"/>
      <c r="F51" s="5"/>
      <c r="H51" s="5"/>
      <c r="K51" s="5"/>
      <c r="L51" s="5"/>
    </row>
    <row r="52" spans="2:12" x14ac:dyDescent="0.35">
      <c r="B52" s="5"/>
      <c r="C52" s="5"/>
      <c r="D52" s="5"/>
      <c r="F52" s="5"/>
      <c r="H52" s="5"/>
      <c r="K52" s="5"/>
      <c r="L52" s="5"/>
    </row>
    <row r="53" spans="2:12" x14ac:dyDescent="0.35">
      <c r="B53" s="5"/>
      <c r="C53" s="5"/>
      <c r="D53" s="5"/>
      <c r="F53" s="5"/>
      <c r="H53" s="5"/>
      <c r="K53" s="5"/>
      <c r="L53" s="5"/>
    </row>
    <row r="54" spans="2:12" x14ac:dyDescent="0.35">
      <c r="B54" s="5"/>
      <c r="C54" s="5"/>
      <c r="D54" s="5"/>
      <c r="F54" s="5"/>
      <c r="H54" s="5"/>
      <c r="K54" s="5"/>
      <c r="L54" s="5"/>
    </row>
    <row r="55" spans="2:12" x14ac:dyDescent="0.35">
      <c r="B55" s="5"/>
      <c r="C55" s="5"/>
      <c r="D55" s="5"/>
      <c r="F55" s="5"/>
      <c r="H55" s="5"/>
      <c r="K55" s="5"/>
      <c r="L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F698-3270-4757-AB36-7A98E73E0591}">
  <dimension ref="B1:O7"/>
  <sheetViews>
    <sheetView workbookViewId="0">
      <selection activeCell="I15" sqref="I15"/>
    </sheetView>
  </sheetViews>
  <sheetFormatPr defaultColWidth="13.875" defaultRowHeight="16.5" x14ac:dyDescent="0.35"/>
  <sheetData>
    <row r="1" spans="2:15" s="4" customFormat="1" ht="32.1" customHeight="1" x14ac:dyDescent="0.35">
      <c r="B1" s="4" t="s">
        <v>306</v>
      </c>
    </row>
    <row r="2" spans="2:15" ht="18" customHeight="1" x14ac:dyDescent="0.35"/>
    <row r="3" spans="2:15" x14ac:dyDescent="0.35"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15</v>
      </c>
    </row>
    <row r="4" spans="2:15" s="7" customFormat="1" x14ac:dyDescent="0.35">
      <c r="C4" s="7" t="s">
        <v>368</v>
      </c>
      <c r="D4" s="7" t="s">
        <v>368</v>
      </c>
      <c r="E4" s="7" t="s">
        <v>368</v>
      </c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</row>
    <row r="5" spans="2:15" s="7" customFormat="1" x14ac:dyDescent="0.35">
      <c r="D5" s="7">
        <f t="shared" ref="D5:O5" si="0">INDEX(item_id,D3,)</f>
        <v>101</v>
      </c>
      <c r="E5" s="7">
        <f t="shared" si="0"/>
        <v>201</v>
      </c>
      <c r="F5" s="7">
        <f t="shared" si="0"/>
        <v>202</v>
      </c>
      <c r="G5" s="7">
        <f t="shared" si="0"/>
        <v>203</v>
      </c>
      <c r="H5" s="7">
        <f t="shared" si="0"/>
        <v>301</v>
      </c>
      <c r="I5" s="7">
        <f t="shared" si="0"/>
        <v>302</v>
      </c>
      <c r="J5" s="7">
        <f t="shared" si="0"/>
        <v>303</v>
      </c>
      <c r="K5" s="7">
        <f t="shared" si="0"/>
        <v>401</v>
      </c>
      <c r="L5" s="7">
        <f t="shared" si="0"/>
        <v>402</v>
      </c>
      <c r="M5" s="7">
        <f t="shared" si="0"/>
        <v>403</v>
      </c>
      <c r="N5" s="7">
        <f t="shared" si="0"/>
        <v>501</v>
      </c>
      <c r="O5" s="7">
        <f t="shared" si="0"/>
        <v>601</v>
      </c>
    </row>
    <row r="6" spans="2:15" s="13" customFormat="1" x14ac:dyDescent="0.35">
      <c r="C6" s="13" t="s">
        <v>305</v>
      </c>
      <c r="D6" s="13" t="str">
        <f t="shared" ref="D6:O6" si="1">INDEX(item_name,D3,)</f>
        <v>金币</v>
      </c>
      <c r="E6" s="13" t="str">
        <f t="shared" si="1"/>
        <v>开局-消三张</v>
      </c>
      <c r="F6" s="13" t="str">
        <f t="shared" si="1"/>
        <v>开局-全清</v>
      </c>
      <c r="G6" s="13" t="str">
        <f t="shared" si="1"/>
        <v>开局-万能牌</v>
      </c>
      <c r="H6" s="13" t="str">
        <f t="shared" si="1"/>
        <v>回退</v>
      </c>
      <c r="I6" s="13" t="str">
        <f t="shared" si="1"/>
        <v>加5张</v>
      </c>
      <c r="J6" s="13" t="str">
        <f t="shared" si="1"/>
        <v>万能牌</v>
      </c>
      <c r="K6" s="13" t="str">
        <f t="shared" si="1"/>
        <v>免费挑战(1倍)</v>
      </c>
      <c r="L6" s="13" t="str">
        <f t="shared" si="1"/>
        <v>免费挑战(2倍)</v>
      </c>
      <c r="M6" s="13" t="str">
        <f t="shared" si="1"/>
        <v>免费挑战(4倍)</v>
      </c>
      <c r="N6" s="13" t="str">
        <f t="shared" si="1"/>
        <v>24小时离线加速</v>
      </c>
      <c r="O6" s="13" t="str">
        <f t="shared" si="1"/>
        <v>双倍结算</v>
      </c>
    </row>
    <row r="7" spans="2:15" x14ac:dyDescent="0.35">
      <c r="C7">
        <f>COUNT(D7:O7)</f>
        <v>3</v>
      </c>
      <c r="D7">
        <v>11000</v>
      </c>
      <c r="H7">
        <v>3</v>
      </c>
      <c r="I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69C3-8069-4A0B-BC5B-C76DC73345E8}">
  <dimension ref="B1:R23"/>
  <sheetViews>
    <sheetView workbookViewId="0">
      <selection activeCell="L23" sqref="L23"/>
    </sheetView>
  </sheetViews>
  <sheetFormatPr defaultColWidth="12.125" defaultRowHeight="16.5" x14ac:dyDescent="0.35"/>
  <cols>
    <col min="1" max="1" width="16.625" bestFit="1" customWidth="1"/>
    <col min="2" max="2" width="11.5" customWidth="1"/>
    <col min="3" max="3" width="17.25" customWidth="1"/>
    <col min="4" max="4" width="19.875" bestFit="1" customWidth="1"/>
    <col min="6" max="6" width="19.875" bestFit="1" customWidth="1"/>
    <col min="7" max="7" width="9.875" customWidth="1"/>
    <col min="8" max="8" width="11.375" bestFit="1" customWidth="1"/>
  </cols>
  <sheetData>
    <row r="1" spans="2:18" s="4" customFormat="1" ht="32.1" customHeight="1" x14ac:dyDescent="0.35">
      <c r="B1" s="4" t="s">
        <v>66</v>
      </c>
    </row>
    <row r="3" spans="2:18" x14ac:dyDescent="0.35">
      <c r="I3" s="7" t="str">
        <f t="shared" ref="I3:R3" si="0">IFERROR(INDEX(item_name,MATCH(I5,item_id,0)),"")</f>
        <v>金币</v>
      </c>
      <c r="J3" s="7" t="str">
        <f t="shared" si="0"/>
        <v>开局-消三张</v>
      </c>
      <c r="K3" s="7" t="str">
        <f t="shared" si="0"/>
        <v>开局-全清</v>
      </c>
      <c r="L3" s="7" t="str">
        <f t="shared" si="0"/>
        <v>开局-万能牌</v>
      </c>
      <c r="M3" s="7" t="str">
        <f t="shared" si="0"/>
        <v>回退</v>
      </c>
      <c r="N3" s="7" t="str">
        <f t="shared" si="0"/>
        <v>加5张</v>
      </c>
      <c r="O3" s="7" t="str">
        <f t="shared" si="0"/>
        <v>万能牌</v>
      </c>
      <c r="P3" s="7" t="str">
        <f t="shared" si="0"/>
        <v>免费挑战(1倍)</v>
      </c>
      <c r="Q3" s="7" t="str">
        <f t="shared" si="0"/>
        <v>免费挑战(2倍)</v>
      </c>
      <c r="R3" s="7" t="str">
        <f t="shared" si="0"/>
        <v>免费挑战(4倍)</v>
      </c>
    </row>
    <row r="4" spans="2:18" x14ac:dyDescent="0.35">
      <c r="C4" s="7"/>
      <c r="D4" s="7"/>
      <c r="E4" s="7"/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</row>
    <row r="5" spans="2:18" s="13" customFormat="1" x14ac:dyDescent="0.35">
      <c r="C5" s="13" t="s">
        <v>304</v>
      </c>
      <c r="D5" s="13" t="s">
        <v>67</v>
      </c>
      <c r="E5" s="13" t="s">
        <v>64</v>
      </c>
      <c r="F5" s="13" t="s">
        <v>299</v>
      </c>
      <c r="G5" s="13" t="s">
        <v>4</v>
      </c>
      <c r="H5" s="13" t="s">
        <v>300</v>
      </c>
      <c r="I5" s="13">
        <v>101</v>
      </c>
      <c r="J5" s="13">
        <v>201</v>
      </c>
      <c r="K5" s="13">
        <v>202</v>
      </c>
      <c r="L5" s="13">
        <v>203</v>
      </c>
      <c r="M5" s="13">
        <v>301</v>
      </c>
      <c r="N5" s="13">
        <v>302</v>
      </c>
      <c r="O5" s="13">
        <v>303</v>
      </c>
      <c r="P5" s="13">
        <v>401</v>
      </c>
      <c r="Q5" s="13">
        <v>402</v>
      </c>
      <c r="R5" s="13">
        <v>403</v>
      </c>
    </row>
    <row r="6" spans="2:18" x14ac:dyDescent="0.35">
      <c r="C6">
        <v>1</v>
      </c>
      <c r="D6" t="s">
        <v>68</v>
      </c>
      <c r="E6" t="s">
        <v>63</v>
      </c>
      <c r="F6" t="s">
        <v>285</v>
      </c>
      <c r="G6" s="1">
        <v>2</v>
      </c>
      <c r="H6">
        <v>1</v>
      </c>
    </row>
    <row r="7" spans="2:18" x14ac:dyDescent="0.35">
      <c r="C7">
        <v>2</v>
      </c>
      <c r="D7" t="s">
        <v>286</v>
      </c>
      <c r="E7" t="s">
        <v>287</v>
      </c>
      <c r="F7" t="s">
        <v>288</v>
      </c>
      <c r="G7" s="2">
        <v>3</v>
      </c>
      <c r="H7">
        <v>1</v>
      </c>
      <c r="I7">
        <v>10000</v>
      </c>
    </row>
    <row r="8" spans="2:18" x14ac:dyDescent="0.35">
      <c r="C8">
        <v>3</v>
      </c>
      <c r="D8" t="s">
        <v>65</v>
      </c>
      <c r="E8" t="s">
        <v>77</v>
      </c>
      <c r="F8" t="s">
        <v>290</v>
      </c>
      <c r="G8" s="1">
        <f>离线奖励!C6</f>
        <v>4</v>
      </c>
      <c r="H8">
        <v>1</v>
      </c>
    </row>
    <row r="9" spans="2:18" x14ac:dyDescent="0.35">
      <c r="C9">
        <v>4</v>
      </c>
      <c r="D9" t="s">
        <v>68</v>
      </c>
      <c r="E9" t="s">
        <v>48</v>
      </c>
      <c r="F9" t="s">
        <v>296</v>
      </c>
      <c r="G9" s="2">
        <v>5</v>
      </c>
      <c r="H9">
        <v>1</v>
      </c>
      <c r="O9">
        <v>1</v>
      </c>
    </row>
    <row r="10" spans="2:18" x14ac:dyDescent="0.35">
      <c r="C10">
        <v>5</v>
      </c>
      <c r="D10" t="s">
        <v>65</v>
      </c>
      <c r="E10" t="s">
        <v>301</v>
      </c>
      <c r="F10" t="s">
        <v>363</v>
      </c>
      <c r="G10" s="2">
        <v>2</v>
      </c>
      <c r="H10">
        <v>2</v>
      </c>
    </row>
    <row r="11" spans="2:18" x14ac:dyDescent="0.35">
      <c r="C11">
        <v>6</v>
      </c>
      <c r="D11" t="s">
        <v>65</v>
      </c>
      <c r="E11" t="s">
        <v>78</v>
      </c>
      <c r="F11" t="s">
        <v>268</v>
      </c>
      <c r="G11" s="1">
        <f>转盘!C6</f>
        <v>18</v>
      </c>
      <c r="H11">
        <v>1</v>
      </c>
    </row>
    <row r="12" spans="2:18" x14ac:dyDescent="0.35">
      <c r="C12">
        <v>7</v>
      </c>
      <c r="D12" t="s">
        <v>65</v>
      </c>
      <c r="E12" t="s">
        <v>76</v>
      </c>
      <c r="F12" t="s">
        <v>289</v>
      </c>
      <c r="G12" s="2">
        <v>43</v>
      </c>
      <c r="H12">
        <v>1</v>
      </c>
    </row>
    <row r="13" spans="2:18" x14ac:dyDescent="0.35">
      <c r="C13">
        <v>8</v>
      </c>
      <c r="D13" t="s">
        <v>69</v>
      </c>
      <c r="E13" t="s">
        <v>72</v>
      </c>
      <c r="F13" t="s">
        <v>292</v>
      </c>
      <c r="G13" s="2">
        <v>20</v>
      </c>
      <c r="H13">
        <v>1</v>
      </c>
      <c r="J13">
        <v>1</v>
      </c>
    </row>
    <row r="14" spans="2:18" x14ac:dyDescent="0.35">
      <c r="C14">
        <v>9</v>
      </c>
      <c r="D14" t="s">
        <v>69</v>
      </c>
      <c r="E14" t="s">
        <v>73</v>
      </c>
      <c r="F14" t="s">
        <v>364</v>
      </c>
      <c r="G14" s="2">
        <v>29</v>
      </c>
      <c r="H14">
        <v>1</v>
      </c>
      <c r="K14">
        <v>1</v>
      </c>
    </row>
    <row r="15" spans="2:18" x14ac:dyDescent="0.35">
      <c r="C15">
        <v>10</v>
      </c>
      <c r="D15" t="s">
        <v>69</v>
      </c>
      <c r="E15" t="s">
        <v>74</v>
      </c>
      <c r="F15" t="s">
        <v>291</v>
      </c>
      <c r="G15" s="2">
        <v>40</v>
      </c>
      <c r="H15">
        <v>1</v>
      </c>
      <c r="L15">
        <v>1</v>
      </c>
    </row>
    <row r="16" spans="2:18" x14ac:dyDescent="0.35">
      <c r="C16">
        <v>11</v>
      </c>
      <c r="D16" t="s">
        <v>69</v>
      </c>
      <c r="E16" t="s">
        <v>70</v>
      </c>
      <c r="F16" t="s">
        <v>293</v>
      </c>
      <c r="G16" s="2">
        <v>23</v>
      </c>
      <c r="H16">
        <v>1</v>
      </c>
      <c r="Q16">
        <v>1</v>
      </c>
    </row>
    <row r="17" spans="3:18" x14ac:dyDescent="0.35">
      <c r="C17">
        <v>12</v>
      </c>
      <c r="D17" t="s">
        <v>69</v>
      </c>
      <c r="E17" t="s">
        <v>71</v>
      </c>
      <c r="F17" t="s">
        <v>294</v>
      </c>
      <c r="G17" s="2">
        <v>31</v>
      </c>
      <c r="H17">
        <v>1</v>
      </c>
      <c r="R17">
        <v>1</v>
      </c>
    </row>
    <row r="18" spans="3:18" x14ac:dyDescent="0.35">
      <c r="C18" s="7">
        <v>13</v>
      </c>
      <c r="D18" s="7" t="s">
        <v>69</v>
      </c>
      <c r="E18" s="7" t="s">
        <v>284</v>
      </c>
      <c r="F18" s="7" t="s">
        <v>295</v>
      </c>
      <c r="G18" s="7">
        <v>47</v>
      </c>
      <c r="H18" s="7">
        <v>1</v>
      </c>
    </row>
    <row r="19" spans="3:18" x14ac:dyDescent="0.35">
      <c r="C19">
        <v>14</v>
      </c>
      <c r="D19" t="s">
        <v>65</v>
      </c>
      <c r="E19" t="s">
        <v>203</v>
      </c>
      <c r="F19" t="s">
        <v>298</v>
      </c>
      <c r="G19" s="2">
        <f>进度礼包!C5</f>
        <v>67</v>
      </c>
      <c r="H19">
        <v>1</v>
      </c>
    </row>
    <row r="20" spans="3:18" x14ac:dyDescent="0.35">
      <c r="C20">
        <v>15</v>
      </c>
      <c r="D20" t="s">
        <v>65</v>
      </c>
      <c r="E20" t="s">
        <v>75</v>
      </c>
      <c r="F20" t="s">
        <v>297</v>
      </c>
      <c r="G20" s="1">
        <f>限时礼包!K8</f>
        <v>22</v>
      </c>
      <c r="H20">
        <v>1</v>
      </c>
    </row>
    <row r="21" spans="3:18" x14ac:dyDescent="0.35">
      <c r="C21">
        <v>16</v>
      </c>
      <c r="D21" t="s">
        <v>68</v>
      </c>
      <c r="E21" t="s">
        <v>49</v>
      </c>
      <c r="F21" t="s">
        <v>393</v>
      </c>
      <c r="G21">
        <v>2</v>
      </c>
      <c r="H21">
        <v>1</v>
      </c>
    </row>
    <row r="22" spans="3:18" x14ac:dyDescent="0.35">
      <c r="C22">
        <v>17</v>
      </c>
      <c r="D22" t="s">
        <v>68</v>
      </c>
      <c r="E22" t="s">
        <v>345</v>
      </c>
      <c r="F22" t="s">
        <v>394</v>
      </c>
      <c r="G22">
        <v>3</v>
      </c>
      <c r="H22">
        <v>1</v>
      </c>
    </row>
    <row r="23" spans="3:18" x14ac:dyDescent="0.35">
      <c r="C23">
        <v>18</v>
      </c>
      <c r="D23" t="s">
        <v>68</v>
      </c>
      <c r="E23" t="s">
        <v>396</v>
      </c>
      <c r="F23" t="s">
        <v>395</v>
      </c>
      <c r="G23">
        <v>1</v>
      </c>
      <c r="H23">
        <v>1</v>
      </c>
    </row>
  </sheetData>
  <phoneticPr fontId="1" type="noConversion"/>
  <conditionalFormatting sqref="E21:E1048576 E1:E4 G5:G20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B51-D3F6-42BA-96AA-87E310F9DC85}">
  <dimension ref="B1:Q20"/>
  <sheetViews>
    <sheetView workbookViewId="0">
      <selection activeCell="G4" sqref="G4:Q23"/>
    </sheetView>
  </sheetViews>
  <sheetFormatPr defaultColWidth="12.125" defaultRowHeight="16.5" x14ac:dyDescent="0.35"/>
  <cols>
    <col min="1" max="1" width="16.625" bestFit="1" customWidth="1"/>
    <col min="2" max="2" width="11.5" customWidth="1"/>
    <col min="3" max="3" width="17.25" customWidth="1"/>
    <col min="4" max="4" width="19.875" bestFit="1" customWidth="1"/>
    <col min="6" max="6" width="19.875" bestFit="1" customWidth="1"/>
    <col min="7" max="7" width="9.875" customWidth="1"/>
  </cols>
  <sheetData>
    <row r="1" spans="2:17" s="4" customFormat="1" ht="32.1" customHeight="1" x14ac:dyDescent="0.35">
      <c r="B1" s="4" t="s">
        <v>66</v>
      </c>
    </row>
    <row r="4" spans="2:17" x14ac:dyDescent="0.35">
      <c r="C4" s="7"/>
      <c r="D4" s="7"/>
      <c r="E4" s="7"/>
      <c r="F4" s="7"/>
      <c r="G4" s="7" t="s">
        <v>368</v>
      </c>
      <c r="H4" t="str">
        <f t="shared" ref="H4:Q4" si="0">IFERROR(INDEX(item_name,MATCH(H5,item_id,0)),"")</f>
        <v>金币</v>
      </c>
      <c r="I4" t="str">
        <f t="shared" si="0"/>
        <v>开局-消三张</v>
      </c>
      <c r="J4" t="str">
        <f t="shared" si="0"/>
        <v>开局-全清</v>
      </c>
      <c r="K4" t="str">
        <f t="shared" si="0"/>
        <v>开局-万能牌</v>
      </c>
      <c r="L4" t="str">
        <f t="shared" si="0"/>
        <v>回退</v>
      </c>
      <c r="M4" t="str">
        <f t="shared" si="0"/>
        <v>加5张</v>
      </c>
      <c r="N4" t="str">
        <f t="shared" si="0"/>
        <v>万能牌</v>
      </c>
      <c r="O4" t="str">
        <f t="shared" si="0"/>
        <v>免费挑战(1倍)</v>
      </c>
      <c r="P4" t="str">
        <f t="shared" si="0"/>
        <v>免费挑战(2倍)</v>
      </c>
      <c r="Q4" t="str">
        <f t="shared" si="0"/>
        <v>免费挑战(4倍)</v>
      </c>
    </row>
    <row r="5" spans="2:17" s="13" customFormat="1" x14ac:dyDescent="0.35">
      <c r="C5" s="13" t="s">
        <v>304</v>
      </c>
      <c r="D5" s="13" t="s">
        <v>67</v>
      </c>
      <c r="E5" s="13" t="s">
        <v>64</v>
      </c>
      <c r="F5" s="13" t="s">
        <v>299</v>
      </c>
      <c r="G5" s="13" t="s">
        <v>389</v>
      </c>
      <c r="H5">
        <v>101</v>
      </c>
      <c r="I5">
        <v>201</v>
      </c>
      <c r="J5">
        <v>202</v>
      </c>
      <c r="K5">
        <v>203</v>
      </c>
      <c r="L5">
        <v>301</v>
      </c>
      <c r="M5">
        <v>302</v>
      </c>
      <c r="N5">
        <v>303</v>
      </c>
      <c r="O5">
        <v>401</v>
      </c>
      <c r="P5">
        <v>402</v>
      </c>
      <c r="Q5">
        <v>403</v>
      </c>
    </row>
    <row r="6" spans="2:17" x14ac:dyDescent="0.35">
      <c r="C6">
        <v>1</v>
      </c>
      <c r="D6" t="s">
        <v>68</v>
      </c>
      <c r="E6" t="s">
        <v>63</v>
      </c>
      <c r="F6" t="s">
        <v>285</v>
      </c>
      <c r="G6" s="1">
        <v>2</v>
      </c>
    </row>
    <row r="7" spans="2:17" x14ac:dyDescent="0.35">
      <c r="C7">
        <v>2</v>
      </c>
      <c r="D7" t="s">
        <v>286</v>
      </c>
      <c r="E7" t="s">
        <v>287</v>
      </c>
      <c r="F7" t="s">
        <v>288</v>
      </c>
      <c r="G7" s="2">
        <v>3</v>
      </c>
    </row>
    <row r="8" spans="2:17" x14ac:dyDescent="0.35">
      <c r="C8">
        <v>3</v>
      </c>
      <c r="D8" t="s">
        <v>65</v>
      </c>
      <c r="E8" t="s">
        <v>77</v>
      </c>
      <c r="F8" t="s">
        <v>290</v>
      </c>
      <c r="G8" s="1">
        <f>离线奖励!C6</f>
        <v>4</v>
      </c>
    </row>
    <row r="9" spans="2:17" x14ac:dyDescent="0.35">
      <c r="C9">
        <v>4</v>
      </c>
      <c r="D9" t="s">
        <v>68</v>
      </c>
      <c r="E9" t="s">
        <v>48</v>
      </c>
      <c r="F9" t="s">
        <v>296</v>
      </c>
      <c r="G9" s="2">
        <v>5</v>
      </c>
      <c r="N9">
        <v>1</v>
      </c>
    </row>
    <row r="10" spans="2:17" x14ac:dyDescent="0.35">
      <c r="C10">
        <v>5</v>
      </c>
      <c r="D10" t="s">
        <v>65</v>
      </c>
      <c r="E10" t="s">
        <v>123</v>
      </c>
      <c r="F10" t="s">
        <v>269</v>
      </c>
      <c r="G10" s="2">
        <v>5</v>
      </c>
    </row>
    <row r="11" spans="2:17" x14ac:dyDescent="0.35">
      <c r="C11">
        <v>6</v>
      </c>
      <c r="D11" t="s">
        <v>65</v>
      </c>
      <c r="E11" t="s">
        <v>78</v>
      </c>
      <c r="F11" t="s">
        <v>268</v>
      </c>
      <c r="G11" s="1">
        <f>转盘!C6</f>
        <v>18</v>
      </c>
    </row>
    <row r="12" spans="2:17" x14ac:dyDescent="0.35">
      <c r="C12">
        <v>7</v>
      </c>
      <c r="D12" t="s">
        <v>65</v>
      </c>
      <c r="E12" t="s">
        <v>76</v>
      </c>
      <c r="F12" t="s">
        <v>289</v>
      </c>
      <c r="G12" s="2">
        <v>43</v>
      </c>
    </row>
    <row r="13" spans="2:17" x14ac:dyDescent="0.35">
      <c r="C13">
        <v>8</v>
      </c>
      <c r="D13" t="s">
        <v>69</v>
      </c>
      <c r="E13" t="s">
        <v>54</v>
      </c>
      <c r="F13" t="s">
        <v>292</v>
      </c>
      <c r="G13" s="2">
        <v>20</v>
      </c>
      <c r="I13">
        <v>1</v>
      </c>
    </row>
    <row r="14" spans="2:17" x14ac:dyDescent="0.35">
      <c r="C14">
        <v>9</v>
      </c>
      <c r="D14" t="s">
        <v>69</v>
      </c>
      <c r="E14" t="s">
        <v>55</v>
      </c>
      <c r="F14" t="s">
        <v>364</v>
      </c>
      <c r="G14" s="2">
        <v>29</v>
      </c>
      <c r="J14">
        <v>1</v>
      </c>
    </row>
    <row r="15" spans="2:17" x14ac:dyDescent="0.35">
      <c r="C15">
        <v>10</v>
      </c>
      <c r="D15" t="s">
        <v>69</v>
      </c>
      <c r="E15" t="s">
        <v>74</v>
      </c>
      <c r="F15" t="s">
        <v>291</v>
      </c>
      <c r="G15" s="2">
        <v>40</v>
      </c>
      <c r="K15">
        <v>1</v>
      </c>
    </row>
    <row r="16" spans="2:17" x14ac:dyDescent="0.35">
      <c r="C16">
        <v>11</v>
      </c>
      <c r="D16" t="s">
        <v>69</v>
      </c>
      <c r="E16" t="s">
        <v>70</v>
      </c>
      <c r="F16" t="s">
        <v>293</v>
      </c>
      <c r="G16" s="2">
        <v>23</v>
      </c>
      <c r="P16">
        <v>1</v>
      </c>
    </row>
    <row r="17" spans="3:17" x14ac:dyDescent="0.35">
      <c r="C17">
        <v>12</v>
      </c>
      <c r="D17" t="s">
        <v>69</v>
      </c>
      <c r="E17" t="s">
        <v>71</v>
      </c>
      <c r="F17" t="s">
        <v>294</v>
      </c>
      <c r="G17" s="2">
        <v>31</v>
      </c>
      <c r="Q17">
        <v>1</v>
      </c>
    </row>
    <row r="18" spans="3:17" x14ac:dyDescent="0.35">
      <c r="C18">
        <v>13</v>
      </c>
      <c r="D18" t="s">
        <v>69</v>
      </c>
      <c r="E18" t="s">
        <v>284</v>
      </c>
      <c r="F18" t="s">
        <v>295</v>
      </c>
      <c r="G18" s="2">
        <v>47</v>
      </c>
    </row>
    <row r="19" spans="3:17" x14ac:dyDescent="0.35">
      <c r="C19">
        <v>14</v>
      </c>
      <c r="D19" t="s">
        <v>65</v>
      </c>
      <c r="E19" t="s">
        <v>197</v>
      </c>
      <c r="F19" t="s">
        <v>298</v>
      </c>
      <c r="G19" s="2">
        <f>进度礼包!C5</f>
        <v>67</v>
      </c>
    </row>
    <row r="20" spans="3:17" x14ac:dyDescent="0.35">
      <c r="C20">
        <v>15</v>
      </c>
      <c r="D20" t="s">
        <v>65</v>
      </c>
      <c r="E20" t="s">
        <v>75</v>
      </c>
      <c r="F20" t="s">
        <v>297</v>
      </c>
      <c r="G20" s="1">
        <f>限时礼包!K8</f>
        <v>22</v>
      </c>
    </row>
  </sheetData>
  <phoneticPr fontId="1" type="noConversion"/>
  <conditionalFormatting sqref="E21:E1048576 E1:E4 G5:G2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BBAE-CBE2-4A6E-AFC1-2BEA98812849}">
  <dimension ref="B1:T48"/>
  <sheetViews>
    <sheetView workbookViewId="0">
      <selection activeCell="H45" sqref="H45"/>
    </sheetView>
  </sheetViews>
  <sheetFormatPr defaultColWidth="13.875" defaultRowHeight="16.5" x14ac:dyDescent="0.35"/>
  <cols>
    <col min="3" max="3" width="13.875" style="2"/>
    <col min="4" max="4" width="8" style="1" bestFit="1" customWidth="1"/>
    <col min="5" max="5" width="6.375" style="1" bestFit="1" customWidth="1"/>
    <col min="6" max="6" width="10.25" style="1" bestFit="1" customWidth="1"/>
    <col min="7" max="7" width="11.375" style="7" customWidth="1"/>
    <col min="8" max="8" width="11.375" style="7" bestFit="1" customWidth="1"/>
    <col min="9" max="9" width="5.5" style="1" bestFit="1" customWidth="1"/>
  </cols>
  <sheetData>
    <row r="1" spans="2:20" s="4" customFormat="1" ht="32.1" customHeight="1" x14ac:dyDescent="0.35">
      <c r="B1" s="4" t="s">
        <v>303</v>
      </c>
    </row>
    <row r="2" spans="2:20" s="7" customFormat="1" x14ac:dyDescent="0.35">
      <c r="I2" s="7">
        <v>1</v>
      </c>
      <c r="J2" s="7">
        <v>2</v>
      </c>
      <c r="K2" s="7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7">
        <v>9</v>
      </c>
      <c r="R2" s="7">
        <v>10</v>
      </c>
      <c r="S2" s="7">
        <v>11</v>
      </c>
      <c r="T2" s="7">
        <v>15</v>
      </c>
    </row>
    <row r="3" spans="2:20" s="7" customFormat="1" x14ac:dyDescent="0.35">
      <c r="H3" s="7" t="s">
        <v>311</v>
      </c>
      <c r="I3" s="7">
        <f t="shared" ref="I3:T3" si="0">INDEX(item_cost_mf,MATCH(I5,item_id,0),1)</f>
        <v>1</v>
      </c>
      <c r="J3" s="7">
        <f t="shared" si="0"/>
        <v>1.6666666666666665</v>
      </c>
      <c r="K3" s="7">
        <f t="shared" si="0"/>
        <v>2</v>
      </c>
      <c r="L3" s="7">
        <f t="shared" si="0"/>
        <v>2.6666666666666665</v>
      </c>
      <c r="M3" s="7">
        <f t="shared" si="0"/>
        <v>0.375</v>
      </c>
      <c r="N3" s="7">
        <f t="shared" si="0"/>
        <v>3</v>
      </c>
      <c r="O3" s="7">
        <f t="shared" si="0"/>
        <v>3</v>
      </c>
      <c r="P3" s="7">
        <f t="shared" si="0"/>
        <v>1</v>
      </c>
      <c r="Q3" s="7">
        <f t="shared" si="0"/>
        <v>2</v>
      </c>
      <c r="R3" s="7">
        <f t="shared" si="0"/>
        <v>4</v>
      </c>
      <c r="S3" s="7">
        <f t="shared" si="0"/>
        <v>3.35</v>
      </c>
      <c r="T3" s="7">
        <f t="shared" si="0"/>
        <v>1.3340000000000001</v>
      </c>
    </row>
    <row r="4" spans="2:20" s="7" customFormat="1" x14ac:dyDescent="0.35">
      <c r="D4" s="7" t="s">
        <v>368</v>
      </c>
      <c r="E4" s="7" t="s">
        <v>368</v>
      </c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  <c r="T4" s="7" t="s">
        <v>368</v>
      </c>
    </row>
    <row r="5" spans="2:20" s="7" customFormat="1" x14ac:dyDescent="0.35">
      <c r="D5" s="7" t="s">
        <v>235</v>
      </c>
      <c r="I5" s="7">
        <f t="shared" ref="I5:T5" si="1">INDEX(item_id,I2,)</f>
        <v>101</v>
      </c>
      <c r="J5" s="7">
        <f t="shared" si="1"/>
        <v>201</v>
      </c>
      <c r="K5" s="7">
        <f t="shared" si="1"/>
        <v>202</v>
      </c>
      <c r="L5" s="7">
        <f t="shared" si="1"/>
        <v>203</v>
      </c>
      <c r="M5" s="7">
        <f t="shared" si="1"/>
        <v>301</v>
      </c>
      <c r="N5" s="7">
        <f t="shared" si="1"/>
        <v>302</v>
      </c>
      <c r="O5" s="7">
        <f t="shared" si="1"/>
        <v>303</v>
      </c>
      <c r="P5" s="7">
        <f t="shared" si="1"/>
        <v>401</v>
      </c>
      <c r="Q5" s="7">
        <f t="shared" si="1"/>
        <v>402</v>
      </c>
      <c r="R5" s="7">
        <f t="shared" si="1"/>
        <v>403</v>
      </c>
      <c r="S5" s="7">
        <f t="shared" si="1"/>
        <v>501</v>
      </c>
      <c r="T5" s="7">
        <f t="shared" si="1"/>
        <v>601</v>
      </c>
    </row>
    <row r="6" spans="2:20" s="13" customFormat="1" x14ac:dyDescent="0.35">
      <c r="D6" s="13" t="s">
        <v>307</v>
      </c>
      <c r="E6" s="13" t="s">
        <v>309</v>
      </c>
      <c r="F6" s="13" t="s">
        <v>310</v>
      </c>
      <c r="G6" s="13" t="s">
        <v>308</v>
      </c>
      <c r="H6" s="13" t="s">
        <v>305</v>
      </c>
      <c r="I6" s="13" t="str">
        <f t="shared" ref="I6:T6" si="2">INDEX(item_name,I2,)</f>
        <v>金币</v>
      </c>
      <c r="J6" s="13" t="str">
        <f t="shared" si="2"/>
        <v>开局-消三张</v>
      </c>
      <c r="K6" s="13" t="str">
        <f t="shared" si="2"/>
        <v>开局-全清</v>
      </c>
      <c r="L6" s="13" t="str">
        <f t="shared" si="2"/>
        <v>开局-万能牌</v>
      </c>
      <c r="M6" s="13" t="str">
        <f t="shared" si="2"/>
        <v>回退</v>
      </c>
      <c r="N6" s="13" t="str">
        <f t="shared" si="2"/>
        <v>加5张</v>
      </c>
      <c r="O6" s="13" t="str">
        <f t="shared" si="2"/>
        <v>万能牌</v>
      </c>
      <c r="P6" s="13" t="str">
        <f t="shared" si="2"/>
        <v>免费挑战(1倍)</v>
      </c>
      <c r="Q6" s="13" t="str">
        <f t="shared" si="2"/>
        <v>免费挑战(2倍)</v>
      </c>
      <c r="R6" s="13" t="str">
        <f t="shared" si="2"/>
        <v>免费挑战(4倍)</v>
      </c>
      <c r="S6" s="13" t="str">
        <f t="shared" si="2"/>
        <v>24小时离线加速</v>
      </c>
      <c r="T6" s="13" t="str">
        <f t="shared" si="2"/>
        <v>双倍结算</v>
      </c>
    </row>
    <row r="7" spans="2:20" x14ac:dyDescent="0.35">
      <c r="C7"/>
      <c r="D7" s="1">
        <v>9</v>
      </c>
      <c r="E7" s="1">
        <f t="shared" ref="E7:E15" si="3">SUM(G7,SUMPRODUCT(J7:T7,$J$3:$T$3))</f>
        <v>3.125</v>
      </c>
      <c r="F7" s="1">
        <f t="shared" ref="F7:F15" si="4">INDEX(leve_cost_v,MATCH(D7,leve_cost_k,1))</f>
        <v>1000</v>
      </c>
      <c r="G7" s="2">
        <v>1</v>
      </c>
      <c r="H7" s="1">
        <f>COUNT(I7:T7)</f>
        <v>3</v>
      </c>
      <c r="I7" s="1">
        <f>_xlfn.CEILING.MATH(F7*G7,500)</f>
        <v>1000</v>
      </c>
      <c r="J7" s="2"/>
      <c r="K7" s="2"/>
      <c r="L7" s="2"/>
      <c r="M7" s="2">
        <v>3</v>
      </c>
      <c r="N7" s="2"/>
      <c r="O7" s="2"/>
      <c r="P7" s="2">
        <v>1</v>
      </c>
      <c r="Q7" s="2"/>
      <c r="R7" s="2"/>
      <c r="S7" s="2"/>
      <c r="T7" s="2"/>
    </row>
    <row r="8" spans="2:20" x14ac:dyDescent="0.35">
      <c r="C8"/>
      <c r="D8" s="1">
        <v>24</v>
      </c>
      <c r="E8" s="1">
        <f t="shared" si="3"/>
        <v>4.6680000000000001</v>
      </c>
      <c r="F8" s="1">
        <f t="shared" si="4"/>
        <v>1500</v>
      </c>
      <c r="G8" s="2">
        <v>1</v>
      </c>
      <c r="H8" s="1">
        <f t="shared" ref="H8:H15" si="5">COUNT(I8:T8)</f>
        <v>3</v>
      </c>
      <c r="I8" s="1">
        <f t="shared" ref="I8:I15" si="6">_xlfn.CEILING.MATH(F8*G8,500)</f>
        <v>1500</v>
      </c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>
        <v>2</v>
      </c>
    </row>
    <row r="9" spans="2:20" x14ac:dyDescent="0.35">
      <c r="C9"/>
      <c r="D9" s="1">
        <v>49</v>
      </c>
      <c r="E9" s="1">
        <f t="shared" si="3"/>
        <v>4.7916666666666661</v>
      </c>
      <c r="F9" s="1">
        <f t="shared" si="4"/>
        <v>1800</v>
      </c>
      <c r="G9" s="2">
        <v>1</v>
      </c>
      <c r="H9" s="1">
        <f t="shared" si="5"/>
        <v>3</v>
      </c>
      <c r="I9" s="1">
        <f t="shared" si="6"/>
        <v>2000</v>
      </c>
      <c r="J9" s="2"/>
      <c r="K9" s="2"/>
      <c r="L9" s="2">
        <v>1</v>
      </c>
      <c r="M9" s="2">
        <v>3</v>
      </c>
      <c r="N9" s="2"/>
      <c r="O9" s="2"/>
      <c r="P9" s="2"/>
      <c r="Q9" s="2"/>
      <c r="R9" s="2"/>
      <c r="S9" s="2"/>
      <c r="T9" s="2"/>
    </row>
    <row r="10" spans="2:20" x14ac:dyDescent="0.35">
      <c r="C10"/>
      <c r="D10" s="1">
        <v>99</v>
      </c>
      <c r="E10" s="1">
        <f t="shared" si="3"/>
        <v>6</v>
      </c>
      <c r="F10" s="1">
        <f t="shared" si="4"/>
        <v>2000</v>
      </c>
      <c r="G10" s="2">
        <v>1</v>
      </c>
      <c r="H10" s="1">
        <f t="shared" si="5"/>
        <v>3</v>
      </c>
      <c r="I10" s="1">
        <f t="shared" si="6"/>
        <v>2000</v>
      </c>
      <c r="J10" s="2"/>
      <c r="K10" s="2">
        <v>1</v>
      </c>
      <c r="L10" s="2"/>
      <c r="M10" s="2"/>
      <c r="N10" s="2">
        <v>1</v>
      </c>
      <c r="O10" s="2"/>
      <c r="P10" s="2"/>
      <c r="Q10" s="2"/>
      <c r="R10" s="2"/>
      <c r="S10" s="2"/>
      <c r="T10" s="2"/>
    </row>
    <row r="11" spans="2:20" x14ac:dyDescent="0.35">
      <c r="C11"/>
      <c r="D11" s="1">
        <v>149</v>
      </c>
      <c r="E11" s="1">
        <f t="shared" si="3"/>
        <v>5.2</v>
      </c>
      <c r="F11" s="1">
        <f t="shared" si="4"/>
        <v>2200</v>
      </c>
      <c r="G11" s="2">
        <v>1.2</v>
      </c>
      <c r="H11" s="1">
        <f t="shared" si="5"/>
        <v>3</v>
      </c>
      <c r="I11" s="1">
        <f t="shared" si="6"/>
        <v>3000</v>
      </c>
      <c r="J11" s="2"/>
      <c r="K11" s="2"/>
      <c r="L11" s="2"/>
      <c r="M11" s="2"/>
      <c r="N11" s="2"/>
      <c r="O11" s="2">
        <v>1</v>
      </c>
      <c r="P11" s="2">
        <v>1</v>
      </c>
      <c r="Q11" s="2"/>
      <c r="R11" s="2"/>
      <c r="S11" s="2"/>
      <c r="T11" s="2"/>
    </row>
    <row r="12" spans="2:20" x14ac:dyDescent="0.35">
      <c r="C12"/>
      <c r="D12" s="1">
        <v>199</v>
      </c>
      <c r="E12" s="1">
        <f t="shared" si="3"/>
        <v>5.0416666666666661</v>
      </c>
      <c r="F12" s="1">
        <f t="shared" si="4"/>
        <v>2500</v>
      </c>
      <c r="G12" s="2">
        <v>1.25</v>
      </c>
      <c r="H12" s="1">
        <f t="shared" si="5"/>
        <v>3</v>
      </c>
      <c r="I12" s="1">
        <f t="shared" si="6"/>
        <v>3500</v>
      </c>
      <c r="J12" s="2"/>
      <c r="K12" s="2"/>
      <c r="L12" s="2">
        <v>1</v>
      </c>
      <c r="M12" s="2">
        <v>3</v>
      </c>
      <c r="N12" s="2"/>
      <c r="O12" s="2"/>
      <c r="P12" s="2"/>
      <c r="Q12" s="2"/>
      <c r="R12" s="2"/>
      <c r="S12" s="2"/>
      <c r="T12" s="2"/>
    </row>
    <row r="13" spans="2:20" x14ac:dyDescent="0.35">
      <c r="C13"/>
      <c r="D13" s="1">
        <v>299</v>
      </c>
      <c r="E13" s="1">
        <f t="shared" si="3"/>
        <v>5.968</v>
      </c>
      <c r="F13" s="1">
        <f t="shared" si="4"/>
        <v>2800</v>
      </c>
      <c r="G13" s="2">
        <v>1.3</v>
      </c>
      <c r="H13" s="1">
        <f t="shared" si="5"/>
        <v>3</v>
      </c>
      <c r="I13" s="1">
        <f t="shared" si="6"/>
        <v>4000</v>
      </c>
      <c r="J13" s="2"/>
      <c r="K13" s="2"/>
      <c r="L13" s="2"/>
      <c r="M13" s="2"/>
      <c r="N13" s="2"/>
      <c r="O13" s="2"/>
      <c r="P13" s="2">
        <v>2</v>
      </c>
      <c r="Q13" s="2"/>
      <c r="R13" s="2"/>
      <c r="S13" s="2"/>
      <c r="T13" s="2">
        <v>2</v>
      </c>
    </row>
    <row r="14" spans="2:20" x14ac:dyDescent="0.35">
      <c r="C14"/>
      <c r="D14" s="1">
        <v>499</v>
      </c>
      <c r="E14" s="1">
        <f t="shared" si="3"/>
        <v>6.35</v>
      </c>
      <c r="F14" s="1">
        <f t="shared" si="4"/>
        <v>3200</v>
      </c>
      <c r="G14" s="2">
        <v>1.35</v>
      </c>
      <c r="H14" s="1">
        <f t="shared" si="5"/>
        <v>3</v>
      </c>
      <c r="I14" s="1">
        <f t="shared" si="6"/>
        <v>4500</v>
      </c>
      <c r="J14" s="2"/>
      <c r="K14" s="2">
        <v>1</v>
      </c>
      <c r="L14" s="2"/>
      <c r="M14" s="2"/>
      <c r="N14" s="2">
        <v>1</v>
      </c>
      <c r="O14" s="2"/>
      <c r="P14" s="2"/>
      <c r="Q14" s="2"/>
      <c r="R14" s="2"/>
      <c r="S14" s="2"/>
      <c r="T14" s="2"/>
    </row>
    <row r="15" spans="2:20" x14ac:dyDescent="0.35">
      <c r="C15"/>
      <c r="D15" s="1">
        <v>999</v>
      </c>
      <c r="E15" s="1">
        <f t="shared" si="3"/>
        <v>6.7666666666666657</v>
      </c>
      <c r="F15" s="1">
        <f t="shared" si="4"/>
        <v>4200</v>
      </c>
      <c r="G15" s="2">
        <v>1.1000000000000001</v>
      </c>
      <c r="H15" s="1">
        <f t="shared" si="5"/>
        <v>3</v>
      </c>
      <c r="I15" s="1">
        <f t="shared" si="6"/>
        <v>5000</v>
      </c>
      <c r="J15" s="2"/>
      <c r="K15" s="2"/>
      <c r="L15" s="2">
        <v>1</v>
      </c>
      <c r="M15" s="2"/>
      <c r="N15" s="2"/>
      <c r="O15" s="2">
        <v>1</v>
      </c>
      <c r="P15" s="2"/>
      <c r="Q15" s="2"/>
      <c r="R15" s="2"/>
      <c r="S15" s="2"/>
      <c r="T15" s="2"/>
    </row>
    <row r="16" spans="2:20" x14ac:dyDescent="0.35">
      <c r="C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3:20" x14ac:dyDescent="0.35">
      <c r="C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35">
      <c r="C1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3:20" x14ac:dyDescent="0.35">
      <c r="C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3:20" x14ac:dyDescent="0.3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3:20" x14ac:dyDescent="0.3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3:20" x14ac:dyDescent="0.35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0" x14ac:dyDescent="0.3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3:20" x14ac:dyDescent="0.35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3:20" x14ac:dyDescent="0.35"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3:20" x14ac:dyDescent="0.35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3:20" x14ac:dyDescent="0.35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3:20" x14ac:dyDescent="0.35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3:20" x14ac:dyDescent="0.35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3:20" x14ac:dyDescent="0.35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3:20" x14ac:dyDescent="0.35"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0" x14ac:dyDescent="0.35"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0:20" x14ac:dyDescent="0.35"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0:20" x14ac:dyDescent="0.35"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0:20" x14ac:dyDescent="0.35"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0:20" x14ac:dyDescent="0.35"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0:20" x14ac:dyDescent="0.35"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0:20" x14ac:dyDescent="0.35"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0:20" x14ac:dyDescent="0.35"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0:20" x14ac:dyDescent="0.35"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0:20" x14ac:dyDescent="0.35"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0:20" x14ac:dyDescent="0.35"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0:20" x14ac:dyDescent="0.35"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0:20" x14ac:dyDescent="0.35"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0:20" x14ac:dyDescent="0.35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0:20" x14ac:dyDescent="0.35"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0:20" x14ac:dyDescent="0.35"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0:20" x14ac:dyDescent="0.35"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5B86-B407-4673-9243-332FE2C4C2A8}">
  <dimension ref="B1:AG40"/>
  <sheetViews>
    <sheetView zoomScaleNormal="100" workbookViewId="0">
      <selection activeCell="I31" sqref="I31"/>
    </sheetView>
  </sheetViews>
  <sheetFormatPr defaultColWidth="13" defaultRowHeight="16.5" x14ac:dyDescent="0.35"/>
  <cols>
    <col min="2" max="2" width="11.375" bestFit="1" customWidth="1"/>
    <col min="3" max="4" width="7.75" customWidth="1"/>
    <col min="5" max="5" width="6.375" style="1" bestFit="1" customWidth="1"/>
    <col min="6" max="6" width="8" bestFit="1" customWidth="1"/>
    <col min="7" max="7" width="10.625" customWidth="1"/>
    <col min="8" max="8" width="10.625" style="1" customWidth="1"/>
    <col min="9" max="14" width="10.625" customWidth="1"/>
    <col min="15" max="15" width="12" customWidth="1"/>
    <col min="16" max="16" width="13" customWidth="1"/>
    <col min="17" max="17" width="13.625" bestFit="1" customWidth="1"/>
    <col min="20" max="20" width="13" style="7"/>
  </cols>
  <sheetData>
    <row r="1" spans="2:33" s="4" customFormat="1" ht="32.1" customHeight="1" x14ac:dyDescent="0.35">
      <c r="B1" s="4" t="s">
        <v>123</v>
      </c>
    </row>
    <row r="2" spans="2:33" x14ac:dyDescent="0.35">
      <c r="E2"/>
      <c r="H2"/>
      <c r="T2"/>
    </row>
    <row r="3" spans="2:33" x14ac:dyDescent="0.35">
      <c r="H3" s="7" t="s">
        <v>246</v>
      </c>
      <c r="I3" s="7">
        <f t="shared" ref="I3:R3" si="0">INDEX(item_cost_mf,MATCH(I5,item_id,0),$C$6)</f>
        <v>1</v>
      </c>
      <c r="J3" s="7">
        <f t="shared" si="0"/>
        <v>1.6666666666666665</v>
      </c>
      <c r="K3" s="7">
        <f t="shared" si="0"/>
        <v>2</v>
      </c>
      <c r="L3" s="7">
        <f t="shared" si="0"/>
        <v>2.6666666666666665</v>
      </c>
      <c r="M3" s="7">
        <f t="shared" si="0"/>
        <v>0.375</v>
      </c>
      <c r="N3" s="7">
        <f t="shared" si="0"/>
        <v>3</v>
      </c>
      <c r="O3" s="7">
        <f t="shared" si="0"/>
        <v>3</v>
      </c>
      <c r="P3" s="7">
        <f t="shared" si="0"/>
        <v>1</v>
      </c>
      <c r="Q3" s="7">
        <f t="shared" si="0"/>
        <v>3.35</v>
      </c>
      <c r="R3" s="7">
        <f t="shared" si="0"/>
        <v>1.3340000000000001</v>
      </c>
    </row>
    <row r="4" spans="2:33" s="7" customFormat="1" x14ac:dyDescent="0.35"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U4" s="7" t="s">
        <v>368</v>
      </c>
      <c r="V4" s="7" t="s">
        <v>368</v>
      </c>
      <c r="W4" s="7" t="s">
        <v>368</v>
      </c>
      <c r="X4" s="7" t="s">
        <v>368</v>
      </c>
      <c r="Y4" s="7" t="s">
        <v>368</v>
      </c>
      <c r="Z4" s="7" t="s">
        <v>368</v>
      </c>
      <c r="AA4" s="7" t="s">
        <v>368</v>
      </c>
      <c r="AB4" s="7" t="s">
        <v>368</v>
      </c>
      <c r="AC4" s="7" t="s">
        <v>368</v>
      </c>
      <c r="AD4" s="7" t="s">
        <v>368</v>
      </c>
      <c r="AE4" s="7" t="s">
        <v>368</v>
      </c>
      <c r="AF4" s="7" t="s">
        <v>368</v>
      </c>
      <c r="AG4" s="7" t="s">
        <v>368</v>
      </c>
    </row>
    <row r="5" spans="2:33" s="7" customFormat="1" x14ac:dyDescent="0.35">
      <c r="B5" s="13" t="s">
        <v>374</v>
      </c>
      <c r="F5" s="7" t="s">
        <v>248</v>
      </c>
      <c r="G5" s="7" t="s">
        <v>249</v>
      </c>
      <c r="H5" s="7" t="s">
        <v>247</v>
      </c>
      <c r="I5" s="9">
        <v>101</v>
      </c>
      <c r="J5" s="9">
        <v>201</v>
      </c>
      <c r="K5" s="9">
        <v>202</v>
      </c>
      <c r="L5" s="9">
        <v>203</v>
      </c>
      <c r="M5" s="9">
        <v>301</v>
      </c>
      <c r="N5" s="9">
        <v>302</v>
      </c>
      <c r="O5" s="9">
        <v>303</v>
      </c>
      <c r="P5" s="9">
        <v>401</v>
      </c>
      <c r="Q5" s="9">
        <v>501</v>
      </c>
      <c r="R5" s="9">
        <v>601</v>
      </c>
      <c r="U5" s="9" t="s">
        <v>250</v>
      </c>
      <c r="X5" s="7">
        <f>I5</f>
        <v>101</v>
      </c>
      <c r="Y5" s="7">
        <f t="shared" ref="Y5:AG5" si="1">J5</f>
        <v>201</v>
      </c>
      <c r="Z5" s="7">
        <f t="shared" si="1"/>
        <v>202</v>
      </c>
      <c r="AA5" s="7">
        <f t="shared" si="1"/>
        <v>203</v>
      </c>
      <c r="AB5" s="7">
        <f t="shared" si="1"/>
        <v>301</v>
      </c>
      <c r="AC5" s="7">
        <f t="shared" si="1"/>
        <v>302</v>
      </c>
      <c r="AD5" s="7">
        <f t="shared" si="1"/>
        <v>303</v>
      </c>
      <c r="AE5" s="7">
        <f t="shared" si="1"/>
        <v>401</v>
      </c>
      <c r="AF5" s="7">
        <f t="shared" si="1"/>
        <v>501</v>
      </c>
      <c r="AG5" s="7">
        <f t="shared" si="1"/>
        <v>601</v>
      </c>
    </row>
    <row r="6" spans="2:33" s="13" customFormat="1" x14ac:dyDescent="0.35">
      <c r="B6" s="13" t="s">
        <v>147</v>
      </c>
      <c r="C6" s="13">
        <v>1</v>
      </c>
      <c r="E6" s="13" t="s">
        <v>146</v>
      </c>
      <c r="F6" s="13" t="s">
        <v>121</v>
      </c>
      <c r="G6" s="13" t="s">
        <v>245</v>
      </c>
      <c r="H6" s="13" t="s">
        <v>127</v>
      </c>
      <c r="I6" s="13" t="str">
        <f t="shared" ref="I6:R6" si="2">INDEX(item_name,MATCH(I5,item_id,0))</f>
        <v>金币</v>
      </c>
      <c r="J6" s="13" t="str">
        <f t="shared" si="2"/>
        <v>开局-消三张</v>
      </c>
      <c r="K6" s="13" t="str">
        <f t="shared" si="2"/>
        <v>开局-全清</v>
      </c>
      <c r="L6" s="13" t="str">
        <f t="shared" si="2"/>
        <v>开局-万能牌</v>
      </c>
      <c r="M6" s="13" t="str">
        <f t="shared" si="2"/>
        <v>回退</v>
      </c>
      <c r="N6" s="13" t="str">
        <f t="shared" si="2"/>
        <v>加5张</v>
      </c>
      <c r="O6" s="13" t="str">
        <f t="shared" si="2"/>
        <v>万能牌</v>
      </c>
      <c r="P6" s="13" t="str">
        <f t="shared" si="2"/>
        <v>免费挑战(1倍)</v>
      </c>
      <c r="Q6" s="13" t="str">
        <f t="shared" si="2"/>
        <v>24小时离线加速</v>
      </c>
      <c r="R6" s="13" t="str">
        <f t="shared" si="2"/>
        <v>双倍结算</v>
      </c>
      <c r="T6" s="13" t="s">
        <v>251</v>
      </c>
      <c r="U6" s="13" t="s">
        <v>250</v>
      </c>
      <c r="V6" s="13" t="s">
        <v>252</v>
      </c>
      <c r="W6" s="13" t="s">
        <v>253</v>
      </c>
      <c r="X6" s="13" t="str">
        <f>I6</f>
        <v>金币</v>
      </c>
      <c r="Y6" s="13" t="str">
        <f t="shared" ref="Y6:AG6" si="3">J6</f>
        <v>开局-消三张</v>
      </c>
      <c r="Z6" s="13" t="str">
        <f t="shared" si="3"/>
        <v>开局-全清</v>
      </c>
      <c r="AA6" s="13" t="str">
        <f t="shared" si="3"/>
        <v>开局-万能牌</v>
      </c>
      <c r="AB6" s="13" t="str">
        <f t="shared" si="3"/>
        <v>回退</v>
      </c>
      <c r="AC6" s="13" t="str">
        <f t="shared" si="3"/>
        <v>加5张</v>
      </c>
      <c r="AD6" s="13" t="str">
        <f t="shared" si="3"/>
        <v>万能牌</v>
      </c>
      <c r="AE6" s="13" t="str">
        <f t="shared" si="3"/>
        <v>免费挑战(1倍)</v>
      </c>
      <c r="AF6" s="13" t="str">
        <f t="shared" si="3"/>
        <v>24小时离线加速</v>
      </c>
      <c r="AG6" s="13" t="str">
        <f t="shared" si="3"/>
        <v>双倍结算</v>
      </c>
    </row>
    <row r="7" spans="2:33" x14ac:dyDescent="0.35">
      <c r="E7" s="1">
        <f t="shared" ref="E7:E34" si="4">SUMPRODUCT(I7:R7,$I$3:$R$3)</f>
        <v>1.5</v>
      </c>
      <c r="F7">
        <v>1</v>
      </c>
      <c r="G7" s="1">
        <v>1</v>
      </c>
      <c r="H7" s="1">
        <f>COUNTIF(I7:R7,"&gt;0")</f>
        <v>1</v>
      </c>
      <c r="I7" s="5">
        <v>1.5</v>
      </c>
      <c r="J7" s="5"/>
      <c r="K7" s="5"/>
      <c r="L7" s="5"/>
      <c r="M7" s="5"/>
      <c r="N7" s="5"/>
      <c r="O7" s="5"/>
      <c r="P7" s="5"/>
      <c r="Q7" s="5"/>
      <c r="R7" s="5"/>
      <c r="T7" s="7">
        <v>1</v>
      </c>
      <c r="U7" s="1">
        <f t="shared" ref="U7:U29" si="5">INDEX(leve_cost_k,T7)</f>
        <v>1</v>
      </c>
      <c r="V7" s="1">
        <f t="shared" ref="V7:V29" si="6">INDEX(leve_cost_v,T7)</f>
        <v>1000</v>
      </c>
      <c r="W7" s="1">
        <f>V8/$V$7</f>
        <v>1.5</v>
      </c>
      <c r="X7" s="1">
        <f>W7</f>
        <v>1.5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</row>
    <row r="8" spans="2:33" x14ac:dyDescent="0.35">
      <c r="E8" s="1">
        <f t="shared" si="4"/>
        <v>2.6666666666666665</v>
      </c>
      <c r="F8">
        <v>2</v>
      </c>
      <c r="G8" s="1">
        <v>1</v>
      </c>
      <c r="H8" s="1">
        <f t="shared" ref="H8:H13" si="7">COUNTIF(I8:R8,"&gt;0")</f>
        <v>2</v>
      </c>
      <c r="I8" s="5">
        <v>1</v>
      </c>
      <c r="J8" s="5">
        <v>1</v>
      </c>
      <c r="K8" s="5"/>
      <c r="L8" s="5"/>
      <c r="M8" s="5"/>
      <c r="N8" s="5"/>
      <c r="O8" s="5"/>
      <c r="P8" s="5"/>
      <c r="Q8" s="5"/>
      <c r="R8" s="5"/>
      <c r="T8" s="7">
        <v>2</v>
      </c>
      <c r="U8" s="1">
        <f t="shared" si="5"/>
        <v>20</v>
      </c>
      <c r="V8" s="1">
        <f t="shared" si="6"/>
        <v>1500</v>
      </c>
      <c r="W8" s="1">
        <f>V8/$V$7</f>
        <v>1.5</v>
      </c>
      <c r="X8" s="1">
        <f t="shared" ref="X8:X29" si="8">W8</f>
        <v>1.5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</row>
    <row r="9" spans="2:33" x14ac:dyDescent="0.35">
      <c r="E9" s="1">
        <f t="shared" si="4"/>
        <v>4.25</v>
      </c>
      <c r="F9">
        <v>3</v>
      </c>
      <c r="G9" s="1">
        <v>2</v>
      </c>
      <c r="H9" s="1">
        <f>COUNTIF(I9:R9,"&gt;0")</f>
        <v>3</v>
      </c>
      <c r="I9" s="5">
        <v>1.5</v>
      </c>
      <c r="J9" s="5"/>
      <c r="K9" s="5">
        <v>1</v>
      </c>
      <c r="L9" s="5"/>
      <c r="M9" s="5">
        <v>2</v>
      </c>
      <c r="N9" s="5"/>
      <c r="O9" s="5"/>
      <c r="P9" s="5"/>
      <c r="Q9" s="5"/>
      <c r="R9" s="5"/>
      <c r="T9" s="7">
        <v>3</v>
      </c>
      <c r="U9" s="1">
        <f t="shared" si="5"/>
        <v>35</v>
      </c>
      <c r="V9" s="1">
        <f t="shared" si="6"/>
        <v>1800</v>
      </c>
      <c r="W9" s="1">
        <f t="shared" ref="W9:W29" si="9">V9/$V$7</f>
        <v>1.8</v>
      </c>
      <c r="X9" s="1">
        <f t="shared" si="8"/>
        <v>1.8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</row>
    <row r="10" spans="2:33" x14ac:dyDescent="0.35">
      <c r="E10" s="1">
        <f t="shared" si="4"/>
        <v>3.6666666666666665</v>
      </c>
      <c r="F10">
        <v>4</v>
      </c>
      <c r="G10" s="1">
        <v>1</v>
      </c>
      <c r="H10" s="1">
        <f t="shared" si="7"/>
        <v>2</v>
      </c>
      <c r="I10" s="5">
        <v>1</v>
      </c>
      <c r="J10" s="5"/>
      <c r="K10" s="5"/>
      <c r="L10" s="5">
        <v>1</v>
      </c>
      <c r="M10" s="5"/>
      <c r="N10" s="5"/>
      <c r="O10" s="5"/>
      <c r="P10" s="5"/>
      <c r="Q10" s="5"/>
      <c r="R10" s="5"/>
      <c r="T10" s="7">
        <v>4</v>
      </c>
      <c r="U10" s="1">
        <f t="shared" si="5"/>
        <v>58</v>
      </c>
      <c r="V10" s="1">
        <f t="shared" si="6"/>
        <v>2000</v>
      </c>
      <c r="W10" s="1">
        <f t="shared" si="9"/>
        <v>2</v>
      </c>
      <c r="X10" s="1">
        <f t="shared" si="8"/>
        <v>2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</row>
    <row r="11" spans="2:33" x14ac:dyDescent="0.35">
      <c r="E11" s="1">
        <f t="shared" si="4"/>
        <v>5.3339999999999996</v>
      </c>
      <c r="F11">
        <v>5</v>
      </c>
      <c r="G11" s="1">
        <v>2</v>
      </c>
      <c r="H11" s="1">
        <f t="shared" si="7"/>
        <v>3</v>
      </c>
      <c r="I11" s="5">
        <v>1</v>
      </c>
      <c r="J11" s="5"/>
      <c r="K11" s="5"/>
      <c r="L11" s="5"/>
      <c r="M11" s="5"/>
      <c r="N11" s="5">
        <v>1</v>
      </c>
      <c r="O11" s="5"/>
      <c r="P11" s="5"/>
      <c r="Q11" s="5"/>
      <c r="R11" s="5">
        <v>1</v>
      </c>
      <c r="T11" s="7">
        <v>5</v>
      </c>
      <c r="U11" s="1">
        <f t="shared" si="5"/>
        <v>100</v>
      </c>
      <c r="V11" s="1">
        <f t="shared" si="6"/>
        <v>2200</v>
      </c>
      <c r="W11" s="1">
        <f t="shared" si="9"/>
        <v>2.2000000000000002</v>
      </c>
      <c r="X11" s="1">
        <f t="shared" si="8"/>
        <v>2.2000000000000002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</row>
    <row r="12" spans="2:33" x14ac:dyDescent="0.35">
      <c r="E12" s="1">
        <f t="shared" si="4"/>
        <v>3.5</v>
      </c>
      <c r="F12">
        <v>6</v>
      </c>
      <c r="G12" s="1">
        <v>1</v>
      </c>
      <c r="H12" s="1">
        <f t="shared" si="7"/>
        <v>2</v>
      </c>
      <c r="I12" s="5">
        <v>2.5</v>
      </c>
      <c r="J12" s="5"/>
      <c r="K12" s="5"/>
      <c r="L12" s="5"/>
      <c r="M12" s="5"/>
      <c r="N12" s="5"/>
      <c r="O12" s="5"/>
      <c r="P12" s="5">
        <v>1</v>
      </c>
      <c r="Q12" s="5"/>
      <c r="R12" s="5"/>
      <c r="T12" s="7">
        <v>6</v>
      </c>
      <c r="U12" s="1">
        <f t="shared" si="5"/>
        <v>168</v>
      </c>
      <c r="V12" s="1">
        <f t="shared" si="6"/>
        <v>2500</v>
      </c>
      <c r="W12" s="1">
        <f t="shared" si="9"/>
        <v>2.5</v>
      </c>
      <c r="X12" s="1">
        <f t="shared" si="8"/>
        <v>2.5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</row>
    <row r="13" spans="2:33" x14ac:dyDescent="0.35">
      <c r="E13" s="1">
        <f t="shared" si="4"/>
        <v>8</v>
      </c>
      <c r="F13">
        <v>7</v>
      </c>
      <c r="G13" s="1">
        <v>3</v>
      </c>
      <c r="H13" s="1">
        <f t="shared" si="7"/>
        <v>3</v>
      </c>
      <c r="I13" s="5">
        <v>2</v>
      </c>
      <c r="J13" s="5"/>
      <c r="K13" s="5"/>
      <c r="L13" s="5"/>
      <c r="M13" s="5"/>
      <c r="N13" s="5">
        <v>1</v>
      </c>
      <c r="O13" s="5">
        <v>1</v>
      </c>
      <c r="P13" s="5"/>
      <c r="Q13" s="5"/>
      <c r="R13" s="5"/>
      <c r="T13" s="7">
        <v>7</v>
      </c>
      <c r="U13" s="1">
        <f t="shared" si="5"/>
        <v>208</v>
      </c>
      <c r="V13" s="1">
        <f t="shared" si="6"/>
        <v>2600</v>
      </c>
      <c r="W13" s="1">
        <f t="shared" si="9"/>
        <v>2.6</v>
      </c>
      <c r="X13" s="1">
        <f t="shared" si="8"/>
        <v>2.6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</row>
    <row r="14" spans="2:33" x14ac:dyDescent="0.35">
      <c r="E14" s="1">
        <f t="shared" si="4"/>
        <v>0</v>
      </c>
      <c r="F14">
        <v>8</v>
      </c>
      <c r="G14" s="1"/>
      <c r="I14" s="5"/>
      <c r="J14" s="5"/>
      <c r="K14" s="5"/>
      <c r="L14" s="5"/>
      <c r="M14" s="5"/>
      <c r="N14" s="5"/>
      <c r="O14" s="5"/>
      <c r="P14" s="5"/>
      <c r="Q14" s="5"/>
      <c r="R14" s="5"/>
      <c r="T14" s="7">
        <v>8</v>
      </c>
      <c r="U14" s="1">
        <f t="shared" si="5"/>
        <v>248</v>
      </c>
      <c r="V14" s="1">
        <f t="shared" si="6"/>
        <v>2700</v>
      </c>
      <c r="W14" s="1">
        <f t="shared" si="9"/>
        <v>2.7</v>
      </c>
      <c r="X14" s="1">
        <f t="shared" si="8"/>
        <v>2.7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</row>
    <row r="15" spans="2:33" x14ac:dyDescent="0.35">
      <c r="E15" s="1">
        <f t="shared" si="4"/>
        <v>0</v>
      </c>
      <c r="F15">
        <v>9</v>
      </c>
      <c r="G15" s="1"/>
      <c r="I15" s="5"/>
      <c r="J15" s="5"/>
      <c r="K15" s="5"/>
      <c r="L15" s="5"/>
      <c r="M15" s="5"/>
      <c r="N15" s="5"/>
      <c r="O15" s="5"/>
      <c r="P15" s="5"/>
      <c r="Q15" s="5"/>
      <c r="R15" s="5"/>
      <c r="T15" s="7">
        <v>9</v>
      </c>
      <c r="U15" s="1">
        <f t="shared" si="5"/>
        <v>298</v>
      </c>
      <c r="V15" s="1">
        <f t="shared" si="6"/>
        <v>2800</v>
      </c>
      <c r="W15" s="1">
        <f t="shared" si="9"/>
        <v>2.8</v>
      </c>
      <c r="X15" s="1">
        <f t="shared" si="8"/>
        <v>2.8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</row>
    <row r="16" spans="2:33" x14ac:dyDescent="0.35">
      <c r="E16" s="1">
        <f t="shared" si="4"/>
        <v>0</v>
      </c>
      <c r="F16">
        <v>10</v>
      </c>
      <c r="G16" s="1"/>
      <c r="I16" s="5"/>
      <c r="J16" s="5"/>
      <c r="K16" s="5"/>
      <c r="L16" s="5"/>
      <c r="M16" s="5"/>
      <c r="N16" s="5"/>
      <c r="O16" s="5"/>
      <c r="P16" s="5"/>
      <c r="Q16" s="5"/>
      <c r="R16" s="5"/>
      <c r="T16" s="7">
        <v>10</v>
      </c>
      <c r="U16" s="1">
        <f t="shared" si="5"/>
        <v>348</v>
      </c>
      <c r="V16" s="1">
        <f t="shared" si="6"/>
        <v>2900</v>
      </c>
      <c r="W16" s="1">
        <f t="shared" si="9"/>
        <v>2.9</v>
      </c>
      <c r="X16" s="1">
        <f t="shared" si="8"/>
        <v>2.9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</row>
    <row r="17" spans="5:33" x14ac:dyDescent="0.35">
      <c r="E17" s="1">
        <f t="shared" si="4"/>
        <v>0</v>
      </c>
      <c r="F17">
        <v>11</v>
      </c>
      <c r="G17" s="1"/>
      <c r="I17" s="5"/>
      <c r="J17" s="5"/>
      <c r="K17" s="5"/>
      <c r="L17" s="5"/>
      <c r="M17" s="5"/>
      <c r="N17" s="5"/>
      <c r="O17" s="5"/>
      <c r="P17" s="5"/>
      <c r="Q17" s="5"/>
      <c r="R17" s="5"/>
      <c r="T17" s="7">
        <v>11</v>
      </c>
      <c r="U17" s="1">
        <f t="shared" si="5"/>
        <v>398</v>
      </c>
      <c r="V17" s="1">
        <f t="shared" si="6"/>
        <v>3000</v>
      </c>
      <c r="W17" s="1">
        <f t="shared" si="9"/>
        <v>3</v>
      </c>
      <c r="X17" s="1">
        <f t="shared" si="8"/>
        <v>3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</row>
    <row r="18" spans="5:33" x14ac:dyDescent="0.35">
      <c r="E18" s="1">
        <f t="shared" si="4"/>
        <v>0</v>
      </c>
      <c r="F18">
        <v>12</v>
      </c>
      <c r="G18" s="1"/>
      <c r="I18" s="5"/>
      <c r="J18" s="5"/>
      <c r="K18" s="5"/>
      <c r="L18" s="5"/>
      <c r="M18" s="5"/>
      <c r="N18" s="5"/>
      <c r="O18" s="5"/>
      <c r="P18" s="5"/>
      <c r="Q18" s="5"/>
      <c r="R18" s="5"/>
      <c r="T18" s="7">
        <v>12</v>
      </c>
      <c r="U18" s="1">
        <f t="shared" si="5"/>
        <v>448</v>
      </c>
      <c r="V18" s="1">
        <f t="shared" si="6"/>
        <v>3100</v>
      </c>
      <c r="W18" s="1">
        <f t="shared" si="9"/>
        <v>3.1</v>
      </c>
      <c r="X18" s="1">
        <f t="shared" si="8"/>
        <v>3.1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</row>
    <row r="19" spans="5:33" x14ac:dyDescent="0.35">
      <c r="E19" s="1">
        <f t="shared" si="4"/>
        <v>0</v>
      </c>
      <c r="F19">
        <v>13</v>
      </c>
      <c r="G19" s="1"/>
      <c r="I19" s="5"/>
      <c r="J19" s="5"/>
      <c r="K19" s="5"/>
      <c r="L19" s="5"/>
      <c r="M19" s="5"/>
      <c r="N19" s="5"/>
      <c r="O19" s="5"/>
      <c r="P19" s="5"/>
      <c r="Q19" s="5"/>
      <c r="R19" s="5"/>
      <c r="T19" s="7">
        <v>13</v>
      </c>
      <c r="U19" s="1">
        <f t="shared" si="5"/>
        <v>498</v>
      </c>
      <c r="V19" s="1">
        <f t="shared" si="6"/>
        <v>3200</v>
      </c>
      <c r="W19" s="1">
        <f t="shared" si="9"/>
        <v>3.2</v>
      </c>
      <c r="X19" s="1">
        <f t="shared" si="8"/>
        <v>3.2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</row>
    <row r="20" spans="5:33" x14ac:dyDescent="0.35">
      <c r="E20" s="1">
        <f t="shared" si="4"/>
        <v>0</v>
      </c>
      <c r="F20">
        <v>14</v>
      </c>
      <c r="G20" s="1"/>
      <c r="I20" s="5"/>
      <c r="J20" s="5"/>
      <c r="K20" s="5"/>
      <c r="L20" s="5"/>
      <c r="M20" s="5"/>
      <c r="N20" s="5"/>
      <c r="O20" s="5"/>
      <c r="P20" s="5"/>
      <c r="Q20" s="5"/>
      <c r="R20" s="5"/>
      <c r="T20" s="7">
        <v>14</v>
      </c>
      <c r="U20" s="1">
        <f t="shared" si="5"/>
        <v>548</v>
      </c>
      <c r="V20" s="1">
        <f t="shared" si="6"/>
        <v>3300</v>
      </c>
      <c r="W20" s="1">
        <f t="shared" si="9"/>
        <v>3.3</v>
      </c>
      <c r="X20" s="1">
        <f t="shared" si="8"/>
        <v>3.3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</row>
    <row r="21" spans="5:33" x14ac:dyDescent="0.35">
      <c r="E21" s="1">
        <f t="shared" si="4"/>
        <v>0</v>
      </c>
      <c r="F21">
        <v>15</v>
      </c>
      <c r="G21" s="1"/>
      <c r="I21" s="5"/>
      <c r="J21" s="5"/>
      <c r="K21" s="5"/>
      <c r="L21" s="5"/>
      <c r="M21" s="5"/>
      <c r="N21" s="5"/>
      <c r="O21" s="5"/>
      <c r="P21" s="5"/>
      <c r="Q21" s="5"/>
      <c r="R21" s="5"/>
      <c r="T21" s="7">
        <v>15</v>
      </c>
      <c r="U21" s="1">
        <f t="shared" si="5"/>
        <v>598</v>
      </c>
      <c r="V21" s="1">
        <f t="shared" si="6"/>
        <v>3400</v>
      </c>
      <c r="W21" s="1">
        <f t="shared" si="9"/>
        <v>3.4</v>
      </c>
      <c r="X21" s="1">
        <f t="shared" si="8"/>
        <v>3.4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</row>
    <row r="22" spans="5:33" x14ac:dyDescent="0.35">
      <c r="E22" s="1">
        <f t="shared" si="4"/>
        <v>0</v>
      </c>
      <c r="F22">
        <v>16</v>
      </c>
      <c r="G22" s="1"/>
      <c r="I22" s="5"/>
      <c r="J22" s="5"/>
      <c r="K22" s="5"/>
      <c r="L22" s="5"/>
      <c r="M22" s="5"/>
      <c r="N22" s="5"/>
      <c r="O22" s="5"/>
      <c r="P22" s="5"/>
      <c r="Q22" s="5"/>
      <c r="R22" s="5"/>
      <c r="T22" s="7">
        <v>16</v>
      </c>
      <c r="U22" s="1">
        <f t="shared" si="5"/>
        <v>648</v>
      </c>
      <c r="V22" s="1">
        <f t="shared" si="6"/>
        <v>3500</v>
      </c>
      <c r="W22" s="1">
        <f t="shared" si="9"/>
        <v>3.5</v>
      </c>
      <c r="X22" s="1">
        <f t="shared" si="8"/>
        <v>3.5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</row>
    <row r="23" spans="5:33" x14ac:dyDescent="0.35">
      <c r="E23" s="1">
        <f t="shared" si="4"/>
        <v>0</v>
      </c>
      <c r="F23">
        <v>17</v>
      </c>
      <c r="G23" s="1"/>
      <c r="I23" s="5"/>
      <c r="J23" s="5"/>
      <c r="K23" s="5"/>
      <c r="L23" s="5"/>
      <c r="M23" s="5"/>
      <c r="N23" s="5"/>
      <c r="O23" s="5"/>
      <c r="P23" s="5"/>
      <c r="Q23" s="5"/>
      <c r="R23" s="5"/>
      <c r="T23" s="7">
        <v>17</v>
      </c>
      <c r="U23" s="1">
        <f t="shared" si="5"/>
        <v>698</v>
      </c>
      <c r="V23" s="1">
        <f t="shared" si="6"/>
        <v>3600</v>
      </c>
      <c r="W23" s="1">
        <f t="shared" si="9"/>
        <v>3.6</v>
      </c>
      <c r="X23" s="1">
        <f t="shared" si="8"/>
        <v>3.6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</row>
    <row r="24" spans="5:33" x14ac:dyDescent="0.35">
      <c r="E24" s="1">
        <f t="shared" si="4"/>
        <v>0</v>
      </c>
      <c r="F24">
        <v>18</v>
      </c>
      <c r="G24" s="1"/>
      <c r="I24" s="5"/>
      <c r="J24" s="5"/>
      <c r="K24" s="5"/>
      <c r="L24" s="5"/>
      <c r="M24" s="5"/>
      <c r="N24" s="5"/>
      <c r="O24" s="5"/>
      <c r="P24" s="5"/>
      <c r="Q24" s="5"/>
      <c r="R24" s="5"/>
      <c r="T24" s="7">
        <v>18</v>
      </c>
      <c r="U24" s="1">
        <f t="shared" si="5"/>
        <v>748</v>
      </c>
      <c r="V24" s="1">
        <f t="shared" si="6"/>
        <v>3700</v>
      </c>
      <c r="W24" s="1">
        <f t="shared" si="9"/>
        <v>3.7</v>
      </c>
      <c r="X24" s="1">
        <f t="shared" si="8"/>
        <v>3.7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</row>
    <row r="25" spans="5:33" x14ac:dyDescent="0.35">
      <c r="E25" s="1">
        <f t="shared" si="4"/>
        <v>0</v>
      </c>
      <c r="F25">
        <v>19</v>
      </c>
      <c r="G25" s="1"/>
      <c r="I25" s="5"/>
      <c r="J25" s="5"/>
      <c r="K25" s="5"/>
      <c r="L25" s="5"/>
      <c r="M25" s="5"/>
      <c r="N25" s="5"/>
      <c r="O25" s="5"/>
      <c r="P25" s="5"/>
      <c r="Q25" s="5"/>
      <c r="R25" s="5"/>
      <c r="T25" s="7">
        <v>19</v>
      </c>
      <c r="U25" s="1">
        <f t="shared" si="5"/>
        <v>798</v>
      </c>
      <c r="V25" s="1">
        <f t="shared" si="6"/>
        <v>3800</v>
      </c>
      <c r="W25" s="1">
        <f t="shared" si="9"/>
        <v>3.8</v>
      </c>
      <c r="X25" s="1">
        <f t="shared" si="8"/>
        <v>3.8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</row>
    <row r="26" spans="5:33" x14ac:dyDescent="0.35">
      <c r="E26" s="1">
        <f t="shared" si="4"/>
        <v>0</v>
      </c>
      <c r="F26">
        <v>20</v>
      </c>
      <c r="G26" s="1"/>
      <c r="I26" s="5"/>
      <c r="J26" s="5"/>
      <c r="K26" s="5"/>
      <c r="L26" s="5"/>
      <c r="M26" s="5"/>
      <c r="N26" s="5"/>
      <c r="O26" s="5"/>
      <c r="P26" s="5"/>
      <c r="Q26" s="5"/>
      <c r="R26" s="5"/>
      <c r="T26" s="7">
        <v>20</v>
      </c>
      <c r="U26" s="1">
        <f t="shared" si="5"/>
        <v>848</v>
      </c>
      <c r="V26" s="1">
        <f t="shared" si="6"/>
        <v>3900</v>
      </c>
      <c r="W26" s="1">
        <f t="shared" si="9"/>
        <v>3.9</v>
      </c>
      <c r="X26" s="1">
        <f t="shared" si="8"/>
        <v>3.9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</row>
    <row r="27" spans="5:33" x14ac:dyDescent="0.35">
      <c r="E27" s="1">
        <f t="shared" si="4"/>
        <v>0</v>
      </c>
      <c r="F27">
        <v>21</v>
      </c>
      <c r="G27" s="1"/>
      <c r="I27" s="5"/>
      <c r="J27" s="5"/>
      <c r="K27" s="5"/>
      <c r="L27" s="5"/>
      <c r="M27" s="5"/>
      <c r="N27" s="5"/>
      <c r="O27" s="5"/>
      <c r="P27" s="5"/>
      <c r="Q27" s="5"/>
      <c r="R27" s="5"/>
      <c r="T27" s="7">
        <v>21</v>
      </c>
      <c r="U27" s="1">
        <f t="shared" si="5"/>
        <v>898</v>
      </c>
      <c r="V27" s="1">
        <f t="shared" si="6"/>
        <v>4000</v>
      </c>
      <c r="W27" s="1">
        <f t="shared" si="9"/>
        <v>4</v>
      </c>
      <c r="X27" s="1">
        <f t="shared" si="8"/>
        <v>4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</row>
    <row r="28" spans="5:33" x14ac:dyDescent="0.35">
      <c r="E28" s="1">
        <f t="shared" si="4"/>
        <v>0</v>
      </c>
      <c r="F28">
        <v>22</v>
      </c>
      <c r="G28" s="1"/>
      <c r="I28" s="5"/>
      <c r="J28" s="5"/>
      <c r="K28" s="5"/>
      <c r="L28" s="5"/>
      <c r="M28" s="5"/>
      <c r="N28" s="5"/>
      <c r="O28" s="5"/>
      <c r="P28" s="5"/>
      <c r="Q28" s="5"/>
      <c r="R28" s="5"/>
      <c r="T28" s="7">
        <v>22</v>
      </c>
      <c r="U28" s="1">
        <f t="shared" si="5"/>
        <v>948</v>
      </c>
      <c r="V28" s="1">
        <f t="shared" si="6"/>
        <v>4100</v>
      </c>
      <c r="W28" s="1">
        <f t="shared" si="9"/>
        <v>4.0999999999999996</v>
      </c>
      <c r="X28" s="1">
        <f t="shared" si="8"/>
        <v>4.0999999999999996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</row>
    <row r="29" spans="5:33" x14ac:dyDescent="0.35">
      <c r="E29" s="1">
        <f t="shared" si="4"/>
        <v>0</v>
      </c>
      <c r="F29">
        <v>23</v>
      </c>
      <c r="G29" s="1"/>
      <c r="I29" s="5"/>
      <c r="J29" s="5"/>
      <c r="K29" s="5"/>
      <c r="L29" s="5"/>
      <c r="M29" s="5"/>
      <c r="N29" s="5"/>
      <c r="O29" s="5"/>
      <c r="P29" s="5"/>
      <c r="Q29" s="5"/>
      <c r="R29" s="5"/>
      <c r="T29" s="7">
        <v>23</v>
      </c>
      <c r="U29" s="1">
        <f t="shared" si="5"/>
        <v>998</v>
      </c>
      <c r="V29" s="1">
        <f t="shared" si="6"/>
        <v>4200</v>
      </c>
      <c r="W29" s="1">
        <f t="shared" si="9"/>
        <v>4.2</v>
      </c>
      <c r="X29" s="1">
        <f t="shared" si="8"/>
        <v>4.2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</row>
    <row r="30" spans="5:33" x14ac:dyDescent="0.35">
      <c r="E30" s="1">
        <f t="shared" si="4"/>
        <v>0</v>
      </c>
      <c r="F30">
        <v>24</v>
      </c>
      <c r="G30" s="1"/>
      <c r="I30" s="5"/>
      <c r="J30" s="5"/>
      <c r="K30" s="5"/>
      <c r="L30" s="5"/>
      <c r="M30" s="5"/>
      <c r="N30" s="5"/>
      <c r="O30" s="5"/>
      <c r="P30" s="5"/>
      <c r="Q30" s="5"/>
      <c r="R30" s="5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5:33" x14ac:dyDescent="0.35">
      <c r="E31" s="1">
        <f t="shared" si="4"/>
        <v>0</v>
      </c>
      <c r="F31">
        <v>25</v>
      </c>
      <c r="G31" s="1"/>
      <c r="I31" s="5"/>
      <c r="J31" s="5"/>
      <c r="K31" s="5"/>
      <c r="L31" s="5"/>
      <c r="M31" s="5"/>
      <c r="N31" s="5"/>
      <c r="O31" s="5"/>
      <c r="P31" s="5"/>
      <c r="Q31" s="5"/>
      <c r="R31" s="5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5:33" x14ac:dyDescent="0.35">
      <c r="E32" s="1">
        <f t="shared" si="4"/>
        <v>0</v>
      </c>
      <c r="F32">
        <v>26</v>
      </c>
      <c r="G32" s="1"/>
      <c r="I32" s="5"/>
      <c r="J32" s="5"/>
      <c r="K32" s="5"/>
      <c r="L32" s="5"/>
      <c r="M32" s="5"/>
      <c r="N32" s="5"/>
      <c r="O32" s="5"/>
      <c r="P32" s="5"/>
      <c r="Q32" s="5"/>
      <c r="R32" s="5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5:33" x14ac:dyDescent="0.35">
      <c r="E33" s="1">
        <f t="shared" si="4"/>
        <v>0</v>
      </c>
      <c r="F33">
        <v>27</v>
      </c>
      <c r="G33" s="1"/>
      <c r="I33" s="5"/>
      <c r="J33" s="5"/>
      <c r="K33" s="5"/>
      <c r="L33" s="5"/>
      <c r="M33" s="5"/>
      <c r="N33" s="5"/>
      <c r="O33" s="5"/>
      <c r="P33" s="5"/>
      <c r="Q33" s="5"/>
      <c r="R33" s="5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5:33" x14ac:dyDescent="0.35">
      <c r="E34" s="1">
        <f t="shared" si="4"/>
        <v>0</v>
      </c>
      <c r="F34">
        <v>28</v>
      </c>
      <c r="G34" s="1"/>
      <c r="I34" s="5"/>
      <c r="J34" s="5"/>
      <c r="K34" s="5"/>
      <c r="L34" s="5"/>
      <c r="M34" s="5"/>
      <c r="N34" s="5"/>
      <c r="O34" s="5"/>
      <c r="P34" s="5"/>
      <c r="Q34" s="5"/>
      <c r="R34" s="5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5:33" x14ac:dyDescent="0.35">
      <c r="U35" s="1"/>
    </row>
    <row r="36" spans="5:33" x14ac:dyDescent="0.35">
      <c r="U36" s="1"/>
    </row>
    <row r="37" spans="5:33" x14ac:dyDescent="0.35">
      <c r="U37" s="1"/>
    </row>
    <row r="38" spans="5:33" x14ac:dyDescent="0.35">
      <c r="U38" s="1"/>
    </row>
    <row r="39" spans="5:33" x14ac:dyDescent="0.35">
      <c r="U39" s="1"/>
    </row>
    <row r="40" spans="5:33" x14ac:dyDescent="0.35">
      <c r="U4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5047-4CA2-4187-8FF2-0E273382A637}">
  <dimension ref="B1:AX49"/>
  <sheetViews>
    <sheetView workbookViewId="0">
      <selection activeCell="P45" sqref="P45"/>
    </sheetView>
  </sheetViews>
  <sheetFormatPr defaultRowHeight="16.5" x14ac:dyDescent="0.35"/>
  <cols>
    <col min="2" max="2" width="18.625" bestFit="1" customWidth="1"/>
    <col min="3" max="3" width="11.375" style="5" bestFit="1" customWidth="1"/>
    <col min="4" max="4" width="13.625" style="5" bestFit="1" customWidth="1"/>
    <col min="5" max="8" width="8" style="9" bestFit="1" customWidth="1"/>
    <col min="9" max="9" width="11.375" style="9" bestFit="1" customWidth="1"/>
    <col min="10" max="13" width="11.375" style="9" customWidth="1"/>
    <col min="14" max="23" width="11.375" style="5" customWidth="1"/>
    <col min="24" max="24" width="11.375" style="1" customWidth="1"/>
    <col min="25" max="26" width="11.375" style="1" bestFit="1" customWidth="1"/>
    <col min="27" max="27" width="11.375" style="5" customWidth="1"/>
    <col min="28" max="28" width="11.375" style="1" customWidth="1"/>
    <col min="29" max="29" width="9" style="1"/>
    <col min="30" max="30" width="11.375" style="5" customWidth="1"/>
    <col min="31" max="31" width="11.375" style="1" customWidth="1"/>
    <col min="32" max="32" width="11.375" style="5" customWidth="1"/>
  </cols>
  <sheetData>
    <row r="1" spans="2:50" s="4" customFormat="1" ht="32.1" customHeight="1" x14ac:dyDescent="0.35">
      <c r="B1" s="4" t="s">
        <v>178</v>
      </c>
    </row>
    <row r="2" spans="2:50" x14ac:dyDescent="0.35"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2:50" s="7" customFormat="1" x14ac:dyDescent="0.35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>
        <f>INDEX(item_cost_mf,MATCH(Q5,item_id,0),$C$5)</f>
        <v>1</v>
      </c>
      <c r="R3" s="9">
        <f>INDEX(item_cost_mf,MATCH(R5,item_id,0),$C$5)</f>
        <v>3</v>
      </c>
      <c r="S3" s="9">
        <f>INDEX(item_cost_mf,MATCH(S5,item_id,0),$C$5)</f>
        <v>1</v>
      </c>
      <c r="T3" s="9">
        <f>INDEX(item_cost_mf,MATCH(T5,item_id,0),$C$5)</f>
        <v>0.375</v>
      </c>
      <c r="U3" s="9">
        <f>INDEX(item_cost_mf,MATCH(U5,item_id,0),$C$5)</f>
        <v>3</v>
      </c>
      <c r="V3" s="9"/>
      <c r="W3" s="9"/>
      <c r="AA3" s="9"/>
      <c r="AB3" s="13" t="s">
        <v>385</v>
      </c>
      <c r="AC3" s="7" t="s">
        <v>384</v>
      </c>
      <c r="AD3" s="7">
        <f t="shared" ref="AD3:AM3" si="0">INDEX($N$7:$N$16,AD5)</f>
        <v>1.99</v>
      </c>
      <c r="AE3" s="7">
        <f t="shared" si="0"/>
        <v>4.99</v>
      </c>
      <c r="AF3" s="7">
        <f t="shared" si="0"/>
        <v>7.99</v>
      </c>
      <c r="AG3" s="7">
        <f t="shared" si="0"/>
        <v>14.99</v>
      </c>
      <c r="AH3" s="7">
        <f t="shared" si="0"/>
        <v>25.99</v>
      </c>
      <c r="AI3" s="7">
        <f t="shared" si="0"/>
        <v>35.99</v>
      </c>
      <c r="AJ3" s="7">
        <f t="shared" si="0"/>
        <v>1.99</v>
      </c>
      <c r="AK3" s="7">
        <f t="shared" si="0"/>
        <v>5.99</v>
      </c>
      <c r="AL3" s="7">
        <f t="shared" si="0"/>
        <v>19.989999999999998</v>
      </c>
      <c r="AM3" s="7">
        <f t="shared" si="0"/>
        <v>49.99</v>
      </c>
    </row>
    <row r="4" spans="2:50" x14ac:dyDescent="0.35">
      <c r="B4" s="13" t="s">
        <v>184</v>
      </c>
      <c r="E4" s="7"/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  <c r="T4" s="7" t="s">
        <v>368</v>
      </c>
      <c r="U4" s="7" t="s">
        <v>368</v>
      </c>
      <c r="AC4" s="7" t="s">
        <v>368</v>
      </c>
      <c r="AD4" s="7" t="s">
        <v>368</v>
      </c>
      <c r="AE4" s="7" t="s">
        <v>368</v>
      </c>
      <c r="AF4" s="7" t="s">
        <v>368</v>
      </c>
      <c r="AG4" s="7" t="s">
        <v>368</v>
      </c>
      <c r="AH4" s="7" t="s">
        <v>368</v>
      </c>
      <c r="AI4" s="7" t="s">
        <v>368</v>
      </c>
      <c r="AJ4" s="7" t="s">
        <v>368</v>
      </c>
      <c r="AK4" s="7" t="s">
        <v>368</v>
      </c>
      <c r="AL4" s="7" t="s">
        <v>368</v>
      </c>
      <c r="AM4" s="7" t="s">
        <v>368</v>
      </c>
      <c r="AO4" s="7" t="s">
        <v>157</v>
      </c>
      <c r="AP4" s="7">
        <f>MAX(AO6:AX31)</f>
        <v>1</v>
      </c>
      <c r="AQ4" s="7"/>
      <c r="AR4" s="7"/>
      <c r="AS4" s="7"/>
      <c r="AT4" s="7"/>
      <c r="AU4" s="7"/>
      <c r="AV4" s="7"/>
      <c r="AW4" s="7"/>
      <c r="AX4" s="7"/>
    </row>
    <row r="5" spans="2:50" s="13" customFormat="1" x14ac:dyDescent="0.35">
      <c r="B5" s="13" t="s">
        <v>172</v>
      </c>
      <c r="C5" s="13">
        <v>1</v>
      </c>
      <c r="E5" s="13" t="s">
        <v>254</v>
      </c>
      <c r="F5" s="13" t="s">
        <v>258</v>
      </c>
      <c r="G5" s="13" t="s">
        <v>259</v>
      </c>
      <c r="H5" s="13" t="s">
        <v>260</v>
      </c>
      <c r="I5" s="13" t="s">
        <v>261</v>
      </c>
      <c r="J5" s="13" t="s">
        <v>265</v>
      </c>
      <c r="K5" s="13" t="s">
        <v>263</v>
      </c>
      <c r="L5" s="13" t="s">
        <v>264</v>
      </c>
      <c r="M5" s="13" t="s">
        <v>266</v>
      </c>
      <c r="Q5" s="13">
        <v>101</v>
      </c>
      <c r="R5" s="13">
        <v>302</v>
      </c>
      <c r="S5" s="13">
        <v>401</v>
      </c>
      <c r="T5" s="13">
        <v>301</v>
      </c>
      <c r="U5" s="13">
        <v>303</v>
      </c>
      <c r="W5" s="13" t="s">
        <v>17</v>
      </c>
      <c r="X5" s="13" t="s">
        <v>187</v>
      </c>
      <c r="Y5" s="13" t="s">
        <v>186</v>
      </c>
      <c r="Z5" s="13" t="s">
        <v>109</v>
      </c>
      <c r="AB5" s="13" t="s">
        <v>188</v>
      </c>
      <c r="AC5" s="13" t="s">
        <v>189</v>
      </c>
      <c r="AD5" s="13">
        <v>1</v>
      </c>
      <c r="AE5" s="13">
        <v>2</v>
      </c>
      <c r="AF5" s="13">
        <v>3</v>
      </c>
      <c r="AG5" s="13">
        <v>4</v>
      </c>
      <c r="AH5" s="13">
        <v>5</v>
      </c>
      <c r="AI5" s="13">
        <v>6</v>
      </c>
      <c r="AJ5" s="13">
        <v>7</v>
      </c>
      <c r="AK5" s="13">
        <v>8</v>
      </c>
      <c r="AL5" s="13">
        <v>9</v>
      </c>
      <c r="AM5" s="13">
        <v>10</v>
      </c>
      <c r="AO5" s="7">
        <v>1</v>
      </c>
      <c r="AP5" s="7">
        <v>2</v>
      </c>
      <c r="AQ5" s="7">
        <v>3</v>
      </c>
      <c r="AR5" s="7">
        <v>4</v>
      </c>
      <c r="AS5" s="7">
        <v>5</v>
      </c>
      <c r="AT5" s="7">
        <v>6</v>
      </c>
      <c r="AU5" s="7">
        <v>7</v>
      </c>
      <c r="AV5" s="7">
        <v>8</v>
      </c>
      <c r="AW5" s="7">
        <v>9</v>
      </c>
      <c r="AX5" s="7">
        <v>10</v>
      </c>
    </row>
    <row r="6" spans="2:50" s="13" customFormat="1" x14ac:dyDescent="0.35">
      <c r="B6" s="13" t="s">
        <v>185</v>
      </c>
      <c r="C6" s="2">
        <v>1000</v>
      </c>
      <c r="E6" s="13" t="s">
        <v>180</v>
      </c>
      <c r="F6" s="13" t="s">
        <v>179</v>
      </c>
      <c r="G6" s="13" t="s">
        <v>255</v>
      </c>
      <c r="H6" s="13" t="s">
        <v>257</v>
      </c>
      <c r="I6" s="13" t="s">
        <v>262</v>
      </c>
      <c r="N6" s="13" t="s">
        <v>183</v>
      </c>
      <c r="O6" s="13" t="s">
        <v>365</v>
      </c>
      <c r="P6" s="13" t="s">
        <v>366</v>
      </c>
      <c r="Q6" s="13" t="str">
        <f>INDEX(item_name,MATCH(Q5,item_id,0))</f>
        <v>金币</v>
      </c>
      <c r="R6" s="13" t="str">
        <f>INDEX(item_name,MATCH(R5,item_id,0))</f>
        <v>加5张</v>
      </c>
      <c r="S6" s="13" t="str">
        <f>INDEX(item_name,MATCH(S5,item_id,0))</f>
        <v>免费挑战(1倍)</v>
      </c>
      <c r="T6" s="13" t="str">
        <f>INDEX(item_name,MATCH(T5,item_id,0))</f>
        <v>回退</v>
      </c>
      <c r="U6" s="13" t="str">
        <f>INDEX(item_name,MATCH(U5,item_id,0))</f>
        <v>万能牌</v>
      </c>
      <c r="W6" s="7">
        <v>1</v>
      </c>
      <c r="X6">
        <v>1</v>
      </c>
      <c r="Y6">
        <f>离线奖励!S6</f>
        <v>6</v>
      </c>
      <c r="Z6" s="2">
        <v>7.5</v>
      </c>
      <c r="AB6" s="1" t="str">
        <f t="array" ref="AB6">INDEX($Z$6:$Z$49,MATCH(,COUNTIF($AB$5:AB5,$Z$6:$Z$49),))&amp;""</f>
        <v>7.5</v>
      </c>
      <c r="AC6" s="1">
        <f>INDEX($X$6:$X$49,MATCH(_xlfn.NUMBERVALUE(AB6),$Z$6:$Z$49,0))</f>
        <v>1</v>
      </c>
      <c r="AD6" s="1">
        <f>_xlfn.CEILING.MATH($C$6*$AB6*INDEX($N$7:$N$16,AD$5)*INDEX($P$7:$P$16,AD$5),1000)</f>
        <v>15000</v>
      </c>
      <c r="AE6" s="1">
        <f>_xlfn.CEILING.MATH($C$6*$AB6*INDEX($N$7:$N$16,AE$5)*INDEX($P$7:$P$16,AE$5),5000)</f>
        <v>30000</v>
      </c>
      <c r="AF6" s="1">
        <f>_xlfn.CEILING.MATH($C$6*$AB6*INDEX($N$7:$N$16,AF$5)*INDEX($P$7:$P$16,AF$5),5000)</f>
        <v>55000</v>
      </c>
      <c r="AG6" s="1">
        <f>_xlfn.CEILING.MATH($C$6*$AB6*INDEX($N$7:$N$16,AG$5)*INDEX($P$7:$P$16,AG$5),5000)</f>
        <v>105000</v>
      </c>
      <c r="AH6" s="1">
        <f t="shared" ref="AH6:AM21" si="1">_xlfn.CEILING.MATH($C$6*$AB6*INDEX($N$7:$N$16,AH$5)*INDEX($P$7:$P$16,AH$5),5000)</f>
        <v>190000</v>
      </c>
      <c r="AI6" s="1">
        <f t="shared" si="1"/>
        <v>270000</v>
      </c>
      <c r="AJ6" s="1">
        <f>_xlfn.CEILING.MATH($C$6*$AB6*INDEX($N$7:$N$16,AJ$5)*INDEX($P$7:$P$16,AJ$5),1000)</f>
        <v>15000</v>
      </c>
      <c r="AK6" s="1">
        <f>_xlfn.CEILING.MATH($C$6*$AB6*INDEX($N$7:$N$16,AK$5)*INDEX($P$7:$P$16,AK$5),10000)</f>
        <v>50000</v>
      </c>
      <c r="AL6" s="1">
        <f t="shared" si="1"/>
        <v>150000</v>
      </c>
      <c r="AM6" s="1">
        <f t="shared" si="1"/>
        <v>375000</v>
      </c>
      <c r="AO6" s="7">
        <f t="shared" ref="AO6:AO31" si="2">COUNTIF($AD6:$AI6,AD6)</f>
        <v>1</v>
      </c>
      <c r="AP6" s="7">
        <f t="shared" ref="AP6:AP31" si="3">COUNTIF($AD6:$AI6,AE6)</f>
        <v>1</v>
      </c>
      <c r="AQ6" s="7">
        <f t="shared" ref="AQ6:AQ31" si="4">COUNTIF($AD6:$AI6,AF6)</f>
        <v>1</v>
      </c>
      <c r="AR6" s="7">
        <f t="shared" ref="AR6:AR31" si="5">COUNTIF($AD6:$AI6,AG6)</f>
        <v>1</v>
      </c>
      <c r="AS6" s="7">
        <f t="shared" ref="AS6:AS31" si="6">COUNTIF($AD6:$AI6,AH6)</f>
        <v>1</v>
      </c>
      <c r="AT6" s="7">
        <f t="shared" ref="AT6:AT31" si="7">COUNTIF($AD6:$AI6,AI6)</f>
        <v>1</v>
      </c>
      <c r="AU6" s="7">
        <f t="shared" ref="AU6:AU31" si="8">COUNTIF($AJ6:$AM6,AJ6)</f>
        <v>1</v>
      </c>
      <c r="AV6" s="7">
        <f t="shared" ref="AV6:AV31" si="9">COUNTIF($AJ6:$AM6,AK6)</f>
        <v>1</v>
      </c>
      <c r="AW6" s="7">
        <f t="shared" ref="AW6:AW31" si="10">COUNTIF($AJ6:$AM6,AL6)</f>
        <v>1</v>
      </c>
      <c r="AX6" s="7">
        <f t="shared" ref="AX6:AX31" si="11">COUNTIF($AJ6:$AM6,AM6)</f>
        <v>1</v>
      </c>
    </row>
    <row r="7" spans="2:50" x14ac:dyDescent="0.35">
      <c r="E7" t="s">
        <v>181</v>
      </c>
      <c r="F7">
        <v>1</v>
      </c>
      <c r="G7">
        <v>1</v>
      </c>
      <c r="H7"/>
      <c r="I7"/>
      <c r="J7">
        <v>1</v>
      </c>
      <c r="K7">
        <v>1</v>
      </c>
      <c r="L7">
        <v>1</v>
      </c>
      <c r="M7">
        <f>内购!C6</f>
        <v>1</v>
      </c>
      <c r="N7" s="5">
        <v>1.99</v>
      </c>
      <c r="O7" s="8">
        <f t="shared" ref="O7:O16" si="12">(Q7/$C$6/$Z$6)+SUMPRODUCT(R7:U7,$R$3:$U$3)/$Z$6</f>
        <v>2.9833333333333334</v>
      </c>
      <c r="P7" s="8">
        <v>1</v>
      </c>
      <c r="Q7" s="1">
        <f t="shared" ref="Q7:Q16" si="13">INDEX($AD$6:$AM$6,1,F7)</f>
        <v>15000</v>
      </c>
      <c r="R7" s="5">
        <v>1</v>
      </c>
      <c r="S7" s="5">
        <v>1</v>
      </c>
      <c r="T7" s="5">
        <v>1</v>
      </c>
      <c r="U7" s="5">
        <v>1</v>
      </c>
      <c r="V7" s="1"/>
      <c r="W7" s="9">
        <v>2</v>
      </c>
      <c r="X7" s="1">
        <f>离线奖励!P7</f>
        <v>12</v>
      </c>
      <c r="Y7" s="1">
        <f>离线奖励!S7</f>
        <v>6.15</v>
      </c>
      <c r="Z7" s="5">
        <v>7.5</v>
      </c>
      <c r="AB7" s="1" t="str">
        <f t="array" ref="AB7">INDEX($Z$6:$Z$49,MATCH(,COUNTIF($AB$5:AB6,$Z$6:$Z$49),))&amp;""</f>
        <v>8.5</v>
      </c>
      <c r="AC7" s="1">
        <f t="shared" ref="AC7:AC31" si="14">INDEX($X$6:$X$49,MATCH(_xlfn.NUMBERVALUE(AB7),$Z$6:$Z$49,0))</f>
        <v>187</v>
      </c>
      <c r="AD7" s="1">
        <f t="shared" ref="AD7:AD31" si="15">_xlfn.CEILING.MATH($C$6*$AB7*INDEX($N$7:$N$16,AD$5)*INDEX($P$7:$P$16,AD$5),1000)</f>
        <v>17000</v>
      </c>
      <c r="AE7" s="1">
        <f t="shared" ref="AE7:AM31" si="16">_xlfn.CEILING.MATH($C$6*$AB7*INDEX($N$7:$N$16,AE$5)*INDEX($P$7:$P$16,AE$5),5000)</f>
        <v>35000</v>
      </c>
      <c r="AF7" s="1">
        <f t="shared" si="16"/>
        <v>65000</v>
      </c>
      <c r="AG7" s="1">
        <f t="shared" si="16"/>
        <v>115000</v>
      </c>
      <c r="AH7" s="1">
        <f t="shared" si="1"/>
        <v>215000</v>
      </c>
      <c r="AI7" s="1">
        <f t="shared" si="1"/>
        <v>310000</v>
      </c>
      <c r="AJ7" s="1">
        <f t="shared" ref="AJ7:AJ31" si="17">_xlfn.CEILING.MATH($C$6*$AB7*INDEX($N$7:$N$16,AJ$5)*INDEX($P$7:$P$16,AJ$5),1000)</f>
        <v>17000</v>
      </c>
      <c r="AK7" s="1">
        <f t="shared" ref="AK7:AK31" si="18">_xlfn.CEILING.MATH($C$6*$AB7*INDEX($N$7:$N$16,AK$5)*INDEX($P$7:$P$16,AK$5),10000)</f>
        <v>60000</v>
      </c>
      <c r="AL7" s="1">
        <f t="shared" si="1"/>
        <v>170000</v>
      </c>
      <c r="AM7" s="1">
        <f t="shared" si="1"/>
        <v>425000</v>
      </c>
      <c r="AO7" s="7">
        <f t="shared" si="2"/>
        <v>1</v>
      </c>
      <c r="AP7" s="7">
        <f t="shared" si="3"/>
        <v>1</v>
      </c>
      <c r="AQ7" s="7">
        <f t="shared" si="4"/>
        <v>1</v>
      </c>
      <c r="AR7" s="7">
        <f t="shared" si="5"/>
        <v>1</v>
      </c>
      <c r="AS7" s="7">
        <f t="shared" si="6"/>
        <v>1</v>
      </c>
      <c r="AT7" s="7">
        <f t="shared" si="7"/>
        <v>1</v>
      </c>
      <c r="AU7" s="7">
        <f t="shared" si="8"/>
        <v>1</v>
      </c>
      <c r="AV7" s="7">
        <f t="shared" si="9"/>
        <v>1</v>
      </c>
      <c r="AW7" s="7">
        <f t="shared" si="10"/>
        <v>1</v>
      </c>
      <c r="AX7" s="7">
        <f t="shared" si="11"/>
        <v>1</v>
      </c>
    </row>
    <row r="8" spans="2:50" x14ac:dyDescent="0.35">
      <c r="E8" t="s">
        <v>181</v>
      </c>
      <c r="F8">
        <v>2</v>
      </c>
      <c r="G8">
        <v>1</v>
      </c>
      <c r="H8"/>
      <c r="I8"/>
      <c r="J8">
        <v>2</v>
      </c>
      <c r="K8">
        <v>2</v>
      </c>
      <c r="L8">
        <v>2</v>
      </c>
      <c r="M8">
        <f>内购!C7</f>
        <v>2</v>
      </c>
      <c r="N8" s="5">
        <v>4.99</v>
      </c>
      <c r="O8" s="8">
        <f t="shared" si="12"/>
        <v>4.9833333333333334</v>
      </c>
      <c r="P8" s="8">
        <v>0.8</v>
      </c>
      <c r="Q8" s="1">
        <f t="shared" si="13"/>
        <v>30000</v>
      </c>
      <c r="R8" s="5">
        <v>1</v>
      </c>
      <c r="S8" s="5">
        <v>1</v>
      </c>
      <c r="T8" s="5">
        <v>1</v>
      </c>
      <c r="U8" s="5">
        <v>1</v>
      </c>
      <c r="W8" s="9">
        <v>3</v>
      </c>
      <c r="X8" s="1">
        <f>离线奖励!P8</f>
        <v>27</v>
      </c>
      <c r="Y8" s="1">
        <f>离线奖励!S8</f>
        <v>6.3</v>
      </c>
      <c r="Z8" s="5">
        <v>7.5</v>
      </c>
      <c r="AB8" s="1" t="str">
        <f t="array" ref="AB8">INDEX($Z$6:$Z$49,MATCH(,COUNTIF($AB$5:AB7,$Z$6:$Z$49),))&amp;""</f>
        <v>9</v>
      </c>
      <c r="AC8" s="1">
        <f t="shared" si="14"/>
        <v>347</v>
      </c>
      <c r="AD8" s="1">
        <f t="shared" si="15"/>
        <v>18000</v>
      </c>
      <c r="AE8" s="1">
        <f t="shared" si="16"/>
        <v>40000</v>
      </c>
      <c r="AF8" s="1">
        <f t="shared" si="16"/>
        <v>65000</v>
      </c>
      <c r="AG8" s="1">
        <f t="shared" si="16"/>
        <v>125000</v>
      </c>
      <c r="AH8" s="1">
        <f t="shared" si="1"/>
        <v>225000</v>
      </c>
      <c r="AI8" s="1">
        <f t="shared" si="1"/>
        <v>325000</v>
      </c>
      <c r="AJ8" s="1">
        <f t="shared" si="17"/>
        <v>18000</v>
      </c>
      <c r="AK8" s="1">
        <f t="shared" si="18"/>
        <v>60000</v>
      </c>
      <c r="AL8" s="1">
        <f t="shared" si="1"/>
        <v>180000</v>
      </c>
      <c r="AM8" s="1">
        <f t="shared" si="1"/>
        <v>450000</v>
      </c>
      <c r="AO8" s="7">
        <f t="shared" si="2"/>
        <v>1</v>
      </c>
      <c r="AP8" s="7">
        <f t="shared" si="3"/>
        <v>1</v>
      </c>
      <c r="AQ8" s="7">
        <f t="shared" si="4"/>
        <v>1</v>
      </c>
      <c r="AR8" s="7">
        <f t="shared" si="5"/>
        <v>1</v>
      </c>
      <c r="AS8" s="7">
        <f t="shared" si="6"/>
        <v>1</v>
      </c>
      <c r="AT8" s="7">
        <f t="shared" si="7"/>
        <v>1</v>
      </c>
      <c r="AU8" s="7">
        <f t="shared" si="8"/>
        <v>1</v>
      </c>
      <c r="AV8" s="7">
        <f t="shared" si="9"/>
        <v>1</v>
      </c>
      <c r="AW8" s="7">
        <f t="shared" si="10"/>
        <v>1</v>
      </c>
      <c r="AX8" s="7">
        <f t="shared" si="11"/>
        <v>1</v>
      </c>
    </row>
    <row r="9" spans="2:50" x14ac:dyDescent="0.35">
      <c r="E9" t="s">
        <v>181</v>
      </c>
      <c r="F9">
        <v>3</v>
      </c>
      <c r="G9">
        <v>1</v>
      </c>
      <c r="H9"/>
      <c r="I9"/>
      <c r="J9">
        <v>3</v>
      </c>
      <c r="K9">
        <v>3</v>
      </c>
      <c r="L9">
        <v>3</v>
      </c>
      <c r="M9">
        <f>内购!C8</f>
        <v>3</v>
      </c>
      <c r="N9" s="5">
        <v>7.99</v>
      </c>
      <c r="O9" s="8">
        <f t="shared" si="12"/>
        <v>9.2999999999999989</v>
      </c>
      <c r="P9" s="8">
        <v>0.9</v>
      </c>
      <c r="Q9" s="1">
        <f t="shared" si="13"/>
        <v>55000</v>
      </c>
      <c r="R9" s="5">
        <v>2</v>
      </c>
      <c r="S9" s="5">
        <v>2</v>
      </c>
      <c r="T9" s="5">
        <v>2</v>
      </c>
      <c r="U9" s="5">
        <v>2</v>
      </c>
      <c r="W9" s="9">
        <v>4</v>
      </c>
      <c r="X9" s="1">
        <f>离线奖励!P9</f>
        <v>47</v>
      </c>
      <c r="Y9" s="1">
        <f>离线奖励!S9</f>
        <v>6.45</v>
      </c>
      <c r="Z9" s="5">
        <v>7.5</v>
      </c>
      <c r="AB9" s="1" t="str">
        <f t="array" ref="AB9">INDEX($Z$6:$Z$49,MATCH(,COUNTIF($AB$5:AB8,$Z$6:$Z$49),))&amp;""</f>
        <v>9.15</v>
      </c>
      <c r="AC9" s="1">
        <f t="shared" si="14"/>
        <v>447</v>
      </c>
      <c r="AD9" s="1">
        <f t="shared" si="15"/>
        <v>19000</v>
      </c>
      <c r="AE9" s="1">
        <f t="shared" si="16"/>
        <v>40000</v>
      </c>
      <c r="AF9" s="1">
        <f t="shared" si="16"/>
        <v>70000</v>
      </c>
      <c r="AG9" s="1">
        <f t="shared" si="16"/>
        <v>125000</v>
      </c>
      <c r="AH9" s="1">
        <f t="shared" si="1"/>
        <v>230000</v>
      </c>
      <c r="AI9" s="1">
        <f t="shared" si="1"/>
        <v>330000</v>
      </c>
      <c r="AJ9" s="1">
        <f t="shared" si="17"/>
        <v>19000</v>
      </c>
      <c r="AK9" s="1">
        <f t="shared" si="18"/>
        <v>60000</v>
      </c>
      <c r="AL9" s="1">
        <f t="shared" si="1"/>
        <v>185000</v>
      </c>
      <c r="AM9" s="1">
        <f t="shared" si="1"/>
        <v>460000</v>
      </c>
      <c r="AO9" s="7">
        <f t="shared" si="2"/>
        <v>1</v>
      </c>
      <c r="AP9" s="7">
        <f t="shared" si="3"/>
        <v>1</v>
      </c>
      <c r="AQ9" s="7">
        <f t="shared" si="4"/>
        <v>1</v>
      </c>
      <c r="AR9" s="7">
        <f t="shared" si="5"/>
        <v>1</v>
      </c>
      <c r="AS9" s="7">
        <f t="shared" si="6"/>
        <v>1</v>
      </c>
      <c r="AT9" s="7">
        <f t="shared" si="7"/>
        <v>1</v>
      </c>
      <c r="AU9" s="7">
        <f t="shared" si="8"/>
        <v>1</v>
      </c>
      <c r="AV9" s="7">
        <f t="shared" si="9"/>
        <v>1</v>
      </c>
      <c r="AW9" s="7">
        <f t="shared" si="10"/>
        <v>1</v>
      </c>
      <c r="AX9" s="7">
        <f t="shared" si="11"/>
        <v>1</v>
      </c>
    </row>
    <row r="10" spans="2:50" x14ac:dyDescent="0.35">
      <c r="E10" t="s">
        <v>181</v>
      </c>
      <c r="F10">
        <v>4</v>
      </c>
      <c r="G10">
        <v>1</v>
      </c>
      <c r="H10">
        <v>1</v>
      </c>
      <c r="I10"/>
      <c r="J10">
        <v>4</v>
      </c>
      <c r="K10">
        <v>4</v>
      </c>
      <c r="L10">
        <v>4</v>
      </c>
      <c r="M10">
        <f>内购!C9</f>
        <v>4</v>
      </c>
      <c r="N10" s="5">
        <v>14.99</v>
      </c>
      <c r="O10" s="8">
        <f t="shared" si="12"/>
        <v>17.933333333333334</v>
      </c>
      <c r="P10" s="8">
        <v>0.9</v>
      </c>
      <c r="Q10" s="1">
        <f t="shared" si="13"/>
        <v>105000</v>
      </c>
      <c r="R10" s="5">
        <v>4</v>
      </c>
      <c r="S10" s="5">
        <v>4</v>
      </c>
      <c r="T10" s="5">
        <v>4</v>
      </c>
      <c r="U10" s="5">
        <v>4</v>
      </c>
      <c r="W10" s="9">
        <v>5</v>
      </c>
      <c r="X10" s="1">
        <f>离线奖励!P10</f>
        <v>67</v>
      </c>
      <c r="Y10" s="1">
        <f>离线奖励!S10</f>
        <v>6.6</v>
      </c>
      <c r="Z10" s="5">
        <v>7.5</v>
      </c>
      <c r="AB10" s="1" t="str">
        <f t="array" ref="AB10">INDEX($Z$6:$Z$49,MATCH(,COUNTIF($AB$5:AB9,$Z$6:$Z$49),))&amp;""</f>
        <v>9.3</v>
      </c>
      <c r="AC10" s="1">
        <f t="shared" si="14"/>
        <v>472</v>
      </c>
      <c r="AD10" s="1">
        <f t="shared" si="15"/>
        <v>19000</v>
      </c>
      <c r="AE10" s="1">
        <f t="shared" si="16"/>
        <v>40000</v>
      </c>
      <c r="AF10" s="1">
        <f t="shared" si="16"/>
        <v>70000</v>
      </c>
      <c r="AG10" s="1">
        <f t="shared" si="16"/>
        <v>130000</v>
      </c>
      <c r="AH10" s="1">
        <f t="shared" si="1"/>
        <v>235000</v>
      </c>
      <c r="AI10" s="1">
        <f t="shared" si="1"/>
        <v>335000</v>
      </c>
      <c r="AJ10" s="1">
        <f t="shared" si="17"/>
        <v>19000</v>
      </c>
      <c r="AK10" s="1">
        <f t="shared" si="18"/>
        <v>60000</v>
      </c>
      <c r="AL10" s="1">
        <f t="shared" si="1"/>
        <v>190000</v>
      </c>
      <c r="AM10" s="1">
        <f t="shared" si="1"/>
        <v>465000</v>
      </c>
      <c r="AO10" s="7">
        <f t="shared" si="2"/>
        <v>1</v>
      </c>
      <c r="AP10" s="7">
        <f t="shared" si="3"/>
        <v>1</v>
      </c>
      <c r="AQ10" s="7">
        <f t="shared" si="4"/>
        <v>1</v>
      </c>
      <c r="AR10" s="7">
        <f t="shared" si="5"/>
        <v>1</v>
      </c>
      <c r="AS10" s="7">
        <f t="shared" si="6"/>
        <v>1</v>
      </c>
      <c r="AT10" s="7">
        <f t="shared" si="7"/>
        <v>1</v>
      </c>
      <c r="AU10" s="7">
        <f t="shared" si="8"/>
        <v>1</v>
      </c>
      <c r="AV10" s="7">
        <f t="shared" si="9"/>
        <v>1</v>
      </c>
      <c r="AW10" s="7">
        <f t="shared" si="10"/>
        <v>1</v>
      </c>
      <c r="AX10" s="7">
        <f t="shared" si="11"/>
        <v>1</v>
      </c>
    </row>
    <row r="11" spans="2:50" x14ac:dyDescent="0.35">
      <c r="E11" t="s">
        <v>181</v>
      </c>
      <c r="F11">
        <v>5</v>
      </c>
      <c r="G11">
        <v>1</v>
      </c>
      <c r="H11"/>
      <c r="I11"/>
      <c r="J11">
        <v>5</v>
      </c>
      <c r="K11">
        <v>5</v>
      </c>
      <c r="L11">
        <v>5</v>
      </c>
      <c r="M11">
        <f>内购!C10</f>
        <v>5</v>
      </c>
      <c r="N11" s="5">
        <v>25.99</v>
      </c>
      <c r="O11" s="8">
        <f t="shared" si="12"/>
        <v>32.216666666666669</v>
      </c>
      <c r="P11" s="8">
        <v>0.96</v>
      </c>
      <c r="Q11" s="1">
        <f t="shared" si="13"/>
        <v>190000</v>
      </c>
      <c r="R11" s="5">
        <v>7</v>
      </c>
      <c r="S11" s="5">
        <v>7</v>
      </c>
      <c r="T11" s="5">
        <v>7</v>
      </c>
      <c r="U11" s="5">
        <v>7</v>
      </c>
      <c r="W11" s="9">
        <v>6</v>
      </c>
      <c r="X11" s="1">
        <f>离线奖励!P11</f>
        <v>87</v>
      </c>
      <c r="Y11" s="1">
        <f>离线奖励!S11</f>
        <v>6.75</v>
      </c>
      <c r="Z11" s="5">
        <v>7.5</v>
      </c>
      <c r="AB11" s="1" t="str">
        <f t="array" ref="AB11">INDEX($Z$6:$Z$49,MATCH(,COUNTIF($AB$5:AB10,$Z$6:$Z$49),))&amp;""</f>
        <v>9.45</v>
      </c>
      <c r="AC11" s="1">
        <f t="shared" si="14"/>
        <v>497</v>
      </c>
      <c r="AD11" s="1">
        <f t="shared" si="15"/>
        <v>19000</v>
      </c>
      <c r="AE11" s="1">
        <f t="shared" si="16"/>
        <v>40000</v>
      </c>
      <c r="AF11" s="1">
        <f t="shared" si="16"/>
        <v>70000</v>
      </c>
      <c r="AG11" s="1">
        <f t="shared" si="16"/>
        <v>130000</v>
      </c>
      <c r="AH11" s="1">
        <f t="shared" si="1"/>
        <v>240000</v>
      </c>
      <c r="AI11" s="1">
        <f t="shared" si="1"/>
        <v>345000</v>
      </c>
      <c r="AJ11" s="1">
        <f t="shared" si="17"/>
        <v>19000</v>
      </c>
      <c r="AK11" s="1">
        <f t="shared" si="18"/>
        <v>60000</v>
      </c>
      <c r="AL11" s="1">
        <f t="shared" si="1"/>
        <v>190000</v>
      </c>
      <c r="AM11" s="1">
        <f t="shared" si="1"/>
        <v>475000</v>
      </c>
      <c r="AO11" s="7">
        <f t="shared" si="2"/>
        <v>1</v>
      </c>
      <c r="AP11" s="7">
        <f t="shared" si="3"/>
        <v>1</v>
      </c>
      <c r="AQ11" s="7">
        <f t="shared" si="4"/>
        <v>1</v>
      </c>
      <c r="AR11" s="7">
        <f t="shared" si="5"/>
        <v>1</v>
      </c>
      <c r="AS11" s="7">
        <f t="shared" si="6"/>
        <v>1</v>
      </c>
      <c r="AT11" s="7">
        <f t="shared" si="7"/>
        <v>1</v>
      </c>
      <c r="AU11" s="7">
        <f t="shared" si="8"/>
        <v>1</v>
      </c>
      <c r="AV11" s="7">
        <f t="shared" si="9"/>
        <v>1</v>
      </c>
      <c r="AW11" s="7">
        <f t="shared" si="10"/>
        <v>1</v>
      </c>
      <c r="AX11" s="7">
        <f t="shared" si="11"/>
        <v>1</v>
      </c>
    </row>
    <row r="12" spans="2:50" x14ac:dyDescent="0.35">
      <c r="E12" t="s">
        <v>181</v>
      </c>
      <c r="F12">
        <v>6</v>
      </c>
      <c r="G12">
        <v>1</v>
      </c>
      <c r="H12">
        <v>2</v>
      </c>
      <c r="I12"/>
      <c r="J12">
        <v>6</v>
      </c>
      <c r="K12">
        <v>6</v>
      </c>
      <c r="L12">
        <v>6</v>
      </c>
      <c r="M12">
        <f>内购!C11</f>
        <v>6</v>
      </c>
      <c r="N12" s="5">
        <v>35.99</v>
      </c>
      <c r="O12" s="8">
        <f t="shared" si="12"/>
        <v>45.833333333333336</v>
      </c>
      <c r="P12" s="8">
        <v>1</v>
      </c>
      <c r="Q12" s="1">
        <f t="shared" si="13"/>
        <v>270000</v>
      </c>
      <c r="R12" s="5">
        <v>10</v>
      </c>
      <c r="S12" s="5">
        <v>10</v>
      </c>
      <c r="T12" s="5">
        <v>10</v>
      </c>
      <c r="U12" s="5">
        <v>10</v>
      </c>
      <c r="W12" s="9">
        <v>7</v>
      </c>
      <c r="X12" s="1">
        <f>离线奖励!P12</f>
        <v>107</v>
      </c>
      <c r="Y12" s="1">
        <f>离线奖励!S12</f>
        <v>6.9</v>
      </c>
      <c r="Z12" s="5">
        <v>7.5</v>
      </c>
      <c r="AB12" s="1" t="str">
        <f t="array" ref="AB12">INDEX($Z$6:$Z$49,MATCH(,COUNTIF($AB$5:AB11,$Z$6:$Z$49),))&amp;""</f>
        <v>9.6</v>
      </c>
      <c r="AC12" s="1">
        <f t="shared" si="14"/>
        <v>522</v>
      </c>
      <c r="AD12" s="1">
        <f t="shared" si="15"/>
        <v>20000</v>
      </c>
      <c r="AE12" s="1">
        <f t="shared" si="16"/>
        <v>40000</v>
      </c>
      <c r="AF12" s="1">
        <f t="shared" si="16"/>
        <v>70000</v>
      </c>
      <c r="AG12" s="1">
        <f t="shared" si="16"/>
        <v>130000</v>
      </c>
      <c r="AH12" s="1">
        <f t="shared" si="1"/>
        <v>240000</v>
      </c>
      <c r="AI12" s="1">
        <f t="shared" si="1"/>
        <v>350000</v>
      </c>
      <c r="AJ12" s="1">
        <f t="shared" si="17"/>
        <v>20000</v>
      </c>
      <c r="AK12" s="1">
        <f t="shared" si="18"/>
        <v>60000</v>
      </c>
      <c r="AL12" s="1">
        <f t="shared" si="1"/>
        <v>195000</v>
      </c>
      <c r="AM12" s="1">
        <f t="shared" si="1"/>
        <v>480000</v>
      </c>
      <c r="AO12" s="7">
        <f t="shared" si="2"/>
        <v>1</v>
      </c>
      <c r="AP12" s="7">
        <f t="shared" si="3"/>
        <v>1</v>
      </c>
      <c r="AQ12" s="7">
        <f t="shared" si="4"/>
        <v>1</v>
      </c>
      <c r="AR12" s="7">
        <f t="shared" si="5"/>
        <v>1</v>
      </c>
      <c r="AS12" s="7">
        <f t="shared" si="6"/>
        <v>1</v>
      </c>
      <c r="AT12" s="7">
        <f t="shared" si="7"/>
        <v>1</v>
      </c>
      <c r="AU12" s="7">
        <f t="shared" si="8"/>
        <v>1</v>
      </c>
      <c r="AV12" s="7">
        <f t="shared" si="9"/>
        <v>1</v>
      </c>
      <c r="AW12" s="7">
        <f t="shared" si="10"/>
        <v>1</v>
      </c>
      <c r="AX12" s="7">
        <f t="shared" si="11"/>
        <v>1</v>
      </c>
    </row>
    <row r="13" spans="2:50" x14ac:dyDescent="0.35">
      <c r="E13" t="s">
        <v>182</v>
      </c>
      <c r="F13">
        <v>7</v>
      </c>
      <c r="G13">
        <v>2</v>
      </c>
      <c r="H13"/>
      <c r="I13"/>
      <c r="J13">
        <v>0</v>
      </c>
      <c r="K13">
        <v>7</v>
      </c>
      <c r="L13">
        <v>7</v>
      </c>
      <c r="M13">
        <f>内购!C12</f>
        <v>7</v>
      </c>
      <c r="N13" s="5">
        <v>1.99</v>
      </c>
      <c r="O13" s="8">
        <f t="shared" si="12"/>
        <v>2</v>
      </c>
      <c r="P13" s="8">
        <v>1</v>
      </c>
      <c r="Q13" s="1">
        <f t="shared" si="13"/>
        <v>15000</v>
      </c>
      <c r="W13" s="9">
        <v>8</v>
      </c>
      <c r="X13" s="1">
        <f>离线奖励!P13</f>
        <v>127</v>
      </c>
      <c r="Y13" s="1">
        <f>离线奖励!S13</f>
        <v>7.05</v>
      </c>
      <c r="Z13" s="5">
        <v>7.5</v>
      </c>
      <c r="AB13" s="1" t="str">
        <f t="array" ref="AB13">INDEX($Z$6:$Z$49,MATCH(,COUNTIF($AB$5:AB12,$Z$6:$Z$49),))&amp;""</f>
        <v>9.75</v>
      </c>
      <c r="AC13" s="1">
        <f t="shared" si="14"/>
        <v>547</v>
      </c>
      <c r="AD13" s="1">
        <f t="shared" si="15"/>
        <v>20000</v>
      </c>
      <c r="AE13" s="1">
        <f t="shared" si="16"/>
        <v>40000</v>
      </c>
      <c r="AF13" s="1">
        <f t="shared" si="16"/>
        <v>75000</v>
      </c>
      <c r="AG13" s="1">
        <f t="shared" si="16"/>
        <v>135000</v>
      </c>
      <c r="AH13" s="1">
        <f t="shared" si="1"/>
        <v>245000</v>
      </c>
      <c r="AI13" s="1">
        <f t="shared" si="1"/>
        <v>355000</v>
      </c>
      <c r="AJ13" s="1">
        <f t="shared" si="17"/>
        <v>20000</v>
      </c>
      <c r="AK13" s="1">
        <f t="shared" si="18"/>
        <v>60000</v>
      </c>
      <c r="AL13" s="1">
        <f t="shared" si="1"/>
        <v>195000</v>
      </c>
      <c r="AM13" s="1">
        <f t="shared" si="1"/>
        <v>490000</v>
      </c>
      <c r="AO13" s="7">
        <f t="shared" si="2"/>
        <v>1</v>
      </c>
      <c r="AP13" s="7">
        <f t="shared" si="3"/>
        <v>1</v>
      </c>
      <c r="AQ13" s="7">
        <f t="shared" si="4"/>
        <v>1</v>
      </c>
      <c r="AR13" s="7">
        <f t="shared" si="5"/>
        <v>1</v>
      </c>
      <c r="AS13" s="7">
        <f t="shared" si="6"/>
        <v>1</v>
      </c>
      <c r="AT13" s="7">
        <f t="shared" si="7"/>
        <v>1</v>
      </c>
      <c r="AU13" s="7">
        <f t="shared" si="8"/>
        <v>1</v>
      </c>
      <c r="AV13" s="7">
        <f t="shared" si="9"/>
        <v>1</v>
      </c>
      <c r="AW13" s="7">
        <f t="shared" si="10"/>
        <v>1</v>
      </c>
      <c r="AX13" s="7">
        <f t="shared" si="11"/>
        <v>1</v>
      </c>
    </row>
    <row r="14" spans="2:50" x14ac:dyDescent="0.35">
      <c r="E14" t="s">
        <v>182</v>
      </c>
      <c r="F14">
        <v>8</v>
      </c>
      <c r="G14">
        <v>2</v>
      </c>
      <c r="H14"/>
      <c r="I14"/>
      <c r="J14">
        <v>0</v>
      </c>
      <c r="K14">
        <v>7</v>
      </c>
      <c r="L14">
        <v>7</v>
      </c>
      <c r="M14">
        <f>内购!C13</f>
        <v>8</v>
      </c>
      <c r="N14" s="5">
        <v>5.99</v>
      </c>
      <c r="O14" s="8">
        <f t="shared" si="12"/>
        <v>6.666666666666667</v>
      </c>
      <c r="P14" s="8">
        <v>1</v>
      </c>
      <c r="Q14" s="1">
        <f t="shared" si="13"/>
        <v>50000</v>
      </c>
      <c r="W14" s="9">
        <v>9</v>
      </c>
      <c r="X14" s="1">
        <f>离线奖励!P14</f>
        <v>147</v>
      </c>
      <c r="Y14" s="1">
        <f>离线奖励!S14</f>
        <v>7.2</v>
      </c>
      <c r="Z14" s="5">
        <v>7.5</v>
      </c>
      <c r="AB14" s="1" t="str">
        <f t="array" ref="AB14">INDEX($Z$6:$Z$49,MATCH(,COUNTIF($AB$5:AB13,$Z$6:$Z$49),))&amp;""</f>
        <v>9.9</v>
      </c>
      <c r="AC14" s="1">
        <f t="shared" si="14"/>
        <v>572</v>
      </c>
      <c r="AD14" s="1">
        <f t="shared" si="15"/>
        <v>20000</v>
      </c>
      <c r="AE14" s="1">
        <f t="shared" si="16"/>
        <v>40000</v>
      </c>
      <c r="AF14" s="1">
        <f t="shared" si="16"/>
        <v>75000</v>
      </c>
      <c r="AG14" s="1">
        <f t="shared" si="16"/>
        <v>135000</v>
      </c>
      <c r="AH14" s="1">
        <f t="shared" si="1"/>
        <v>250000</v>
      </c>
      <c r="AI14" s="1">
        <f t="shared" si="1"/>
        <v>360000</v>
      </c>
      <c r="AJ14" s="1">
        <f t="shared" si="17"/>
        <v>20000</v>
      </c>
      <c r="AK14" s="1">
        <f t="shared" si="18"/>
        <v>60000</v>
      </c>
      <c r="AL14" s="1">
        <f t="shared" si="1"/>
        <v>200000</v>
      </c>
      <c r="AM14" s="1">
        <f t="shared" si="1"/>
        <v>495000</v>
      </c>
      <c r="AO14" s="7">
        <f t="shared" si="2"/>
        <v>1</v>
      </c>
      <c r="AP14" s="7">
        <f t="shared" si="3"/>
        <v>1</v>
      </c>
      <c r="AQ14" s="7">
        <f t="shared" si="4"/>
        <v>1</v>
      </c>
      <c r="AR14" s="7">
        <f t="shared" si="5"/>
        <v>1</v>
      </c>
      <c r="AS14" s="7">
        <f t="shared" si="6"/>
        <v>1</v>
      </c>
      <c r="AT14" s="7">
        <f t="shared" si="7"/>
        <v>1</v>
      </c>
      <c r="AU14" s="7">
        <f t="shared" si="8"/>
        <v>1</v>
      </c>
      <c r="AV14" s="7">
        <f t="shared" si="9"/>
        <v>1</v>
      </c>
      <c r="AW14" s="7">
        <f t="shared" si="10"/>
        <v>1</v>
      </c>
      <c r="AX14" s="7">
        <f t="shared" si="11"/>
        <v>1</v>
      </c>
    </row>
    <row r="15" spans="2:50" x14ac:dyDescent="0.35">
      <c r="E15" t="s">
        <v>182</v>
      </c>
      <c r="F15">
        <v>9</v>
      </c>
      <c r="G15">
        <v>2</v>
      </c>
      <c r="H15"/>
      <c r="I15" t="s">
        <v>256</v>
      </c>
      <c r="J15">
        <v>0</v>
      </c>
      <c r="K15">
        <v>8</v>
      </c>
      <c r="L15">
        <v>8</v>
      </c>
      <c r="M15">
        <f>内购!C14</f>
        <v>9</v>
      </c>
      <c r="N15" s="5">
        <v>19.989999999999998</v>
      </c>
      <c r="O15" s="8">
        <f t="shared" si="12"/>
        <v>20</v>
      </c>
      <c r="P15" s="8">
        <v>1</v>
      </c>
      <c r="Q15" s="1">
        <f t="shared" si="13"/>
        <v>150000</v>
      </c>
      <c r="W15" s="9">
        <v>10</v>
      </c>
      <c r="X15" s="1">
        <f>离线奖励!P15</f>
        <v>167</v>
      </c>
      <c r="Y15" s="1">
        <f>离线奖励!S15</f>
        <v>7.35</v>
      </c>
      <c r="Z15" s="5">
        <v>7.5</v>
      </c>
      <c r="AB15" s="1" t="str">
        <f t="array" ref="AB15">INDEX($Z$6:$Z$49,MATCH(,COUNTIF($AB$5:AB14,$Z$6:$Z$49),))&amp;""</f>
        <v>10.05</v>
      </c>
      <c r="AC15" s="1">
        <f t="shared" si="14"/>
        <v>597</v>
      </c>
      <c r="AD15" s="1">
        <f t="shared" si="15"/>
        <v>20000</v>
      </c>
      <c r="AE15" s="1">
        <f t="shared" si="16"/>
        <v>45000</v>
      </c>
      <c r="AF15" s="1">
        <f t="shared" si="16"/>
        <v>75000</v>
      </c>
      <c r="AG15" s="1">
        <f t="shared" si="16"/>
        <v>140000</v>
      </c>
      <c r="AH15" s="1">
        <f t="shared" si="1"/>
        <v>255000</v>
      </c>
      <c r="AI15" s="1">
        <f t="shared" si="1"/>
        <v>365000</v>
      </c>
      <c r="AJ15" s="1">
        <f t="shared" si="17"/>
        <v>20000</v>
      </c>
      <c r="AK15" s="1">
        <f t="shared" si="18"/>
        <v>70000</v>
      </c>
      <c r="AL15" s="1">
        <f t="shared" si="1"/>
        <v>205000</v>
      </c>
      <c r="AM15" s="1">
        <f t="shared" si="1"/>
        <v>505000</v>
      </c>
      <c r="AO15" s="7">
        <f t="shared" si="2"/>
        <v>1</v>
      </c>
      <c r="AP15" s="7">
        <f t="shared" si="3"/>
        <v>1</v>
      </c>
      <c r="AQ15" s="7">
        <f t="shared" si="4"/>
        <v>1</v>
      </c>
      <c r="AR15" s="7">
        <f t="shared" si="5"/>
        <v>1</v>
      </c>
      <c r="AS15" s="7">
        <f t="shared" si="6"/>
        <v>1</v>
      </c>
      <c r="AT15" s="7">
        <f t="shared" si="7"/>
        <v>1</v>
      </c>
      <c r="AU15" s="7">
        <f t="shared" si="8"/>
        <v>1</v>
      </c>
      <c r="AV15" s="7">
        <f t="shared" si="9"/>
        <v>1</v>
      </c>
      <c r="AW15" s="7">
        <f t="shared" si="10"/>
        <v>1</v>
      </c>
      <c r="AX15" s="7">
        <f t="shared" si="11"/>
        <v>1</v>
      </c>
    </row>
    <row r="16" spans="2:50" x14ac:dyDescent="0.35">
      <c r="E16" t="s">
        <v>182</v>
      </c>
      <c r="F16">
        <v>10</v>
      </c>
      <c r="G16">
        <v>2</v>
      </c>
      <c r="H16"/>
      <c r="I16" t="s">
        <v>256</v>
      </c>
      <c r="J16">
        <v>0</v>
      </c>
      <c r="K16">
        <v>8</v>
      </c>
      <c r="L16">
        <v>8</v>
      </c>
      <c r="M16">
        <f>内购!C15</f>
        <v>10</v>
      </c>
      <c r="N16" s="5">
        <v>49.99</v>
      </c>
      <c r="O16" s="8">
        <f t="shared" si="12"/>
        <v>50</v>
      </c>
      <c r="P16" s="8">
        <v>1</v>
      </c>
      <c r="Q16" s="1">
        <f t="shared" si="13"/>
        <v>375000</v>
      </c>
      <c r="W16" s="9">
        <v>11</v>
      </c>
      <c r="X16" s="1">
        <f>离线奖励!P16</f>
        <v>187</v>
      </c>
      <c r="Y16" s="1">
        <f>离线奖励!S16</f>
        <v>7.5</v>
      </c>
      <c r="Z16" s="5">
        <v>8.5</v>
      </c>
      <c r="AB16" s="1" t="str">
        <f t="array" ref="AB16">INDEX($Z$6:$Z$49,MATCH(,COUNTIF($AB$5:AB15,$Z$6:$Z$49),))&amp;""</f>
        <v>10.2</v>
      </c>
      <c r="AC16" s="1">
        <f t="shared" si="14"/>
        <v>622</v>
      </c>
      <c r="AD16" s="1">
        <f t="shared" si="15"/>
        <v>21000</v>
      </c>
      <c r="AE16" s="1">
        <f t="shared" si="16"/>
        <v>45000</v>
      </c>
      <c r="AF16" s="1">
        <f t="shared" si="16"/>
        <v>75000</v>
      </c>
      <c r="AG16" s="1">
        <f t="shared" si="16"/>
        <v>140000</v>
      </c>
      <c r="AH16" s="1">
        <f t="shared" si="1"/>
        <v>255000</v>
      </c>
      <c r="AI16" s="1">
        <f t="shared" si="1"/>
        <v>370000</v>
      </c>
      <c r="AJ16" s="1">
        <f t="shared" si="17"/>
        <v>21000</v>
      </c>
      <c r="AK16" s="1">
        <f t="shared" si="18"/>
        <v>70000</v>
      </c>
      <c r="AL16" s="1">
        <f t="shared" si="1"/>
        <v>205000</v>
      </c>
      <c r="AM16" s="1">
        <f t="shared" si="1"/>
        <v>510000</v>
      </c>
      <c r="AO16" s="7">
        <f t="shared" si="2"/>
        <v>1</v>
      </c>
      <c r="AP16" s="7">
        <f t="shared" si="3"/>
        <v>1</v>
      </c>
      <c r="AQ16" s="7">
        <f t="shared" si="4"/>
        <v>1</v>
      </c>
      <c r="AR16" s="7">
        <f t="shared" si="5"/>
        <v>1</v>
      </c>
      <c r="AS16" s="7">
        <f t="shared" si="6"/>
        <v>1</v>
      </c>
      <c r="AT16" s="7">
        <f t="shared" si="7"/>
        <v>1</v>
      </c>
      <c r="AU16" s="7">
        <f t="shared" si="8"/>
        <v>1</v>
      </c>
      <c r="AV16" s="7">
        <f t="shared" si="9"/>
        <v>1</v>
      </c>
      <c r="AW16" s="7">
        <f t="shared" si="10"/>
        <v>1</v>
      </c>
      <c r="AX16" s="7">
        <f t="shared" si="11"/>
        <v>1</v>
      </c>
    </row>
    <row r="17" spans="2:50" x14ac:dyDescent="0.35">
      <c r="E17" s="7"/>
      <c r="W17" s="9">
        <v>12</v>
      </c>
      <c r="X17" s="1">
        <f>离线奖励!P17</f>
        <v>207</v>
      </c>
      <c r="Y17" s="1">
        <f>离线奖励!S17</f>
        <v>7.65</v>
      </c>
      <c r="Z17" s="5">
        <v>8.5</v>
      </c>
      <c r="AB17" s="1" t="str">
        <f t="array" ref="AB17">INDEX($Z$6:$Z$49,MATCH(,COUNTIF($AB$5:AB16,$Z$6:$Z$49),))&amp;""</f>
        <v>10.35</v>
      </c>
      <c r="AC17" s="1">
        <f t="shared" si="14"/>
        <v>647</v>
      </c>
      <c r="AD17" s="1">
        <f t="shared" si="15"/>
        <v>21000</v>
      </c>
      <c r="AE17" s="1">
        <f t="shared" si="16"/>
        <v>45000</v>
      </c>
      <c r="AF17" s="1">
        <f t="shared" si="16"/>
        <v>75000</v>
      </c>
      <c r="AG17" s="1">
        <f t="shared" si="16"/>
        <v>140000</v>
      </c>
      <c r="AH17" s="1">
        <f t="shared" si="1"/>
        <v>260000</v>
      </c>
      <c r="AI17" s="1">
        <f t="shared" si="1"/>
        <v>375000</v>
      </c>
      <c r="AJ17" s="1">
        <f t="shared" si="17"/>
        <v>21000</v>
      </c>
      <c r="AK17" s="1">
        <f t="shared" si="18"/>
        <v>70000</v>
      </c>
      <c r="AL17" s="1">
        <f t="shared" si="1"/>
        <v>210000</v>
      </c>
      <c r="AM17" s="1">
        <f t="shared" si="1"/>
        <v>520000</v>
      </c>
      <c r="AO17" s="7">
        <f t="shared" si="2"/>
        <v>1</v>
      </c>
      <c r="AP17" s="7">
        <f t="shared" si="3"/>
        <v>1</v>
      </c>
      <c r="AQ17" s="7">
        <f t="shared" si="4"/>
        <v>1</v>
      </c>
      <c r="AR17" s="7">
        <f t="shared" si="5"/>
        <v>1</v>
      </c>
      <c r="AS17" s="7">
        <f t="shared" si="6"/>
        <v>1</v>
      </c>
      <c r="AT17" s="7">
        <f t="shared" si="7"/>
        <v>1</v>
      </c>
      <c r="AU17" s="7">
        <f t="shared" si="8"/>
        <v>1</v>
      </c>
      <c r="AV17" s="7">
        <f t="shared" si="9"/>
        <v>1</v>
      </c>
      <c r="AW17" s="7">
        <f t="shared" si="10"/>
        <v>1</v>
      </c>
      <c r="AX17" s="7">
        <f t="shared" si="11"/>
        <v>1</v>
      </c>
    </row>
    <row r="18" spans="2:50" x14ac:dyDescent="0.35">
      <c r="E18" s="7"/>
      <c r="W18" s="9">
        <v>13</v>
      </c>
      <c r="X18" s="1">
        <f>离线奖励!P18</f>
        <v>227</v>
      </c>
      <c r="Y18" s="1">
        <f>离线奖励!S18</f>
        <v>7.8</v>
      </c>
      <c r="Z18" s="5">
        <v>8.5</v>
      </c>
      <c r="AB18" s="1" t="str">
        <f t="array" ref="AB18">INDEX($Z$6:$Z$49,MATCH(,COUNTIF($AB$5:AB17,$Z$6:$Z$49),))&amp;""</f>
        <v>10.5</v>
      </c>
      <c r="AC18" s="1">
        <f t="shared" si="14"/>
        <v>672</v>
      </c>
      <c r="AD18" s="1">
        <f t="shared" si="15"/>
        <v>21000</v>
      </c>
      <c r="AE18" s="1">
        <f t="shared" si="16"/>
        <v>45000</v>
      </c>
      <c r="AF18" s="1">
        <f t="shared" si="16"/>
        <v>80000</v>
      </c>
      <c r="AG18" s="1">
        <f t="shared" si="16"/>
        <v>145000</v>
      </c>
      <c r="AH18" s="1">
        <f t="shared" si="1"/>
        <v>265000</v>
      </c>
      <c r="AI18" s="1">
        <f t="shared" si="1"/>
        <v>380000</v>
      </c>
      <c r="AJ18" s="1">
        <f t="shared" si="17"/>
        <v>21000</v>
      </c>
      <c r="AK18" s="1">
        <f t="shared" si="18"/>
        <v>70000</v>
      </c>
      <c r="AL18" s="1">
        <f t="shared" si="1"/>
        <v>210000</v>
      </c>
      <c r="AM18" s="1">
        <f t="shared" si="1"/>
        <v>525000</v>
      </c>
      <c r="AO18" s="7">
        <f t="shared" si="2"/>
        <v>1</v>
      </c>
      <c r="AP18" s="7">
        <f t="shared" si="3"/>
        <v>1</v>
      </c>
      <c r="AQ18" s="7">
        <f t="shared" si="4"/>
        <v>1</v>
      </c>
      <c r="AR18" s="7">
        <f t="shared" si="5"/>
        <v>1</v>
      </c>
      <c r="AS18" s="7">
        <f t="shared" si="6"/>
        <v>1</v>
      </c>
      <c r="AT18" s="7">
        <f t="shared" si="7"/>
        <v>1</v>
      </c>
      <c r="AU18" s="7">
        <f t="shared" si="8"/>
        <v>1</v>
      </c>
      <c r="AV18" s="7">
        <f t="shared" si="9"/>
        <v>1</v>
      </c>
      <c r="AW18" s="7">
        <f t="shared" si="10"/>
        <v>1</v>
      </c>
      <c r="AX18" s="7">
        <f t="shared" si="11"/>
        <v>1</v>
      </c>
    </row>
    <row r="19" spans="2:50" x14ac:dyDescent="0.35">
      <c r="W19" s="9">
        <v>14</v>
      </c>
      <c r="X19" s="1">
        <f>离线奖励!P19</f>
        <v>247</v>
      </c>
      <c r="Y19" s="1">
        <f>离线奖励!S19</f>
        <v>7.95</v>
      </c>
      <c r="Z19" s="5">
        <v>8.5</v>
      </c>
      <c r="AB19" s="1" t="str">
        <f t="array" ref="AB19">INDEX($Z$6:$Z$49,MATCH(,COUNTIF($AB$5:AB18,$Z$6:$Z$49),))&amp;""</f>
        <v>10.65</v>
      </c>
      <c r="AC19" s="1">
        <f t="shared" si="14"/>
        <v>697</v>
      </c>
      <c r="AD19" s="1">
        <f t="shared" si="15"/>
        <v>22000</v>
      </c>
      <c r="AE19" s="1">
        <f t="shared" si="16"/>
        <v>45000</v>
      </c>
      <c r="AF19" s="1">
        <f t="shared" si="16"/>
        <v>80000</v>
      </c>
      <c r="AG19" s="1">
        <f t="shared" si="16"/>
        <v>145000</v>
      </c>
      <c r="AH19" s="1">
        <f t="shared" si="1"/>
        <v>270000</v>
      </c>
      <c r="AI19" s="1">
        <f t="shared" si="1"/>
        <v>385000</v>
      </c>
      <c r="AJ19" s="1">
        <f t="shared" si="17"/>
        <v>22000</v>
      </c>
      <c r="AK19" s="1">
        <f t="shared" si="18"/>
        <v>70000</v>
      </c>
      <c r="AL19" s="1">
        <f t="shared" si="1"/>
        <v>215000</v>
      </c>
      <c r="AM19" s="1">
        <f t="shared" si="1"/>
        <v>535000</v>
      </c>
      <c r="AO19" s="7">
        <f t="shared" si="2"/>
        <v>1</v>
      </c>
      <c r="AP19" s="7">
        <f t="shared" si="3"/>
        <v>1</v>
      </c>
      <c r="AQ19" s="7">
        <f t="shared" si="4"/>
        <v>1</v>
      </c>
      <c r="AR19" s="7">
        <f t="shared" si="5"/>
        <v>1</v>
      </c>
      <c r="AS19" s="7">
        <f t="shared" si="6"/>
        <v>1</v>
      </c>
      <c r="AT19" s="7">
        <f t="shared" si="7"/>
        <v>1</v>
      </c>
      <c r="AU19" s="7">
        <f t="shared" si="8"/>
        <v>1</v>
      </c>
      <c r="AV19" s="7">
        <f t="shared" si="9"/>
        <v>1</v>
      </c>
      <c r="AW19" s="7">
        <f t="shared" si="10"/>
        <v>1</v>
      </c>
      <c r="AX19" s="7">
        <f t="shared" si="11"/>
        <v>1</v>
      </c>
    </row>
    <row r="20" spans="2:50" x14ac:dyDescent="0.35">
      <c r="W20" s="9">
        <v>15</v>
      </c>
      <c r="X20" s="1">
        <f>离线奖励!P20</f>
        <v>272</v>
      </c>
      <c r="Y20" s="1">
        <f>离线奖励!S20</f>
        <v>8.1</v>
      </c>
      <c r="Z20" s="5">
        <v>8.5</v>
      </c>
      <c r="AB20" s="1" t="str">
        <f t="array" ref="AB20">INDEX($Z$6:$Z$49,MATCH(,COUNTIF($AB$5:AB19,$Z$6:$Z$49),))&amp;""</f>
        <v>10.8</v>
      </c>
      <c r="AC20" s="1">
        <f t="shared" si="14"/>
        <v>722</v>
      </c>
      <c r="AD20" s="1">
        <f t="shared" si="15"/>
        <v>22000</v>
      </c>
      <c r="AE20" s="1">
        <f t="shared" si="16"/>
        <v>45000</v>
      </c>
      <c r="AF20" s="1">
        <f t="shared" si="16"/>
        <v>80000</v>
      </c>
      <c r="AG20" s="1">
        <f t="shared" si="16"/>
        <v>150000</v>
      </c>
      <c r="AH20" s="1">
        <f t="shared" si="1"/>
        <v>270000</v>
      </c>
      <c r="AI20" s="1">
        <f t="shared" si="1"/>
        <v>390000</v>
      </c>
      <c r="AJ20" s="1">
        <f t="shared" si="17"/>
        <v>22000</v>
      </c>
      <c r="AK20" s="1">
        <f t="shared" si="18"/>
        <v>70000</v>
      </c>
      <c r="AL20" s="1">
        <f t="shared" si="1"/>
        <v>220000</v>
      </c>
      <c r="AM20" s="1">
        <f t="shared" si="1"/>
        <v>540000</v>
      </c>
      <c r="AO20" s="7">
        <f t="shared" si="2"/>
        <v>1</v>
      </c>
      <c r="AP20" s="7">
        <f t="shared" si="3"/>
        <v>1</v>
      </c>
      <c r="AQ20" s="7">
        <f t="shared" si="4"/>
        <v>1</v>
      </c>
      <c r="AR20" s="7">
        <f t="shared" si="5"/>
        <v>1</v>
      </c>
      <c r="AS20" s="7">
        <f t="shared" si="6"/>
        <v>1</v>
      </c>
      <c r="AT20" s="7">
        <f t="shared" si="7"/>
        <v>1</v>
      </c>
      <c r="AU20" s="7">
        <f t="shared" si="8"/>
        <v>1</v>
      </c>
      <c r="AV20" s="7">
        <f t="shared" si="9"/>
        <v>1</v>
      </c>
      <c r="AW20" s="7">
        <f t="shared" si="10"/>
        <v>1</v>
      </c>
      <c r="AX20" s="7">
        <f t="shared" si="11"/>
        <v>1</v>
      </c>
    </row>
    <row r="21" spans="2:50" x14ac:dyDescent="0.35">
      <c r="W21" s="9">
        <v>16</v>
      </c>
      <c r="X21" s="1">
        <f>离线奖励!P21</f>
        <v>297</v>
      </c>
      <c r="Y21" s="1">
        <f>离线奖励!S21</f>
        <v>8.25</v>
      </c>
      <c r="Z21" s="5">
        <v>8.5</v>
      </c>
      <c r="AB21" s="1" t="str">
        <f t="array" ref="AB21">INDEX($Z$6:$Z$49,MATCH(,COUNTIF($AB$5:AB20,$Z$6:$Z$49),))&amp;""</f>
        <v>10.95</v>
      </c>
      <c r="AC21" s="1">
        <f t="shared" si="14"/>
        <v>747</v>
      </c>
      <c r="AD21" s="1">
        <f t="shared" si="15"/>
        <v>22000</v>
      </c>
      <c r="AE21" s="1">
        <f t="shared" si="16"/>
        <v>45000</v>
      </c>
      <c r="AF21" s="1">
        <f t="shared" si="16"/>
        <v>80000</v>
      </c>
      <c r="AG21" s="1">
        <f t="shared" si="16"/>
        <v>150000</v>
      </c>
      <c r="AH21" s="1">
        <f t="shared" si="1"/>
        <v>275000</v>
      </c>
      <c r="AI21" s="1">
        <f t="shared" si="1"/>
        <v>395000</v>
      </c>
      <c r="AJ21" s="1">
        <f t="shared" si="17"/>
        <v>22000</v>
      </c>
      <c r="AK21" s="1">
        <f t="shared" si="18"/>
        <v>70000</v>
      </c>
      <c r="AL21" s="1">
        <f t="shared" si="1"/>
        <v>220000</v>
      </c>
      <c r="AM21" s="1">
        <f t="shared" si="1"/>
        <v>550000</v>
      </c>
      <c r="AO21" s="7">
        <f t="shared" si="2"/>
        <v>1</v>
      </c>
      <c r="AP21" s="7">
        <f t="shared" si="3"/>
        <v>1</v>
      </c>
      <c r="AQ21" s="7">
        <f t="shared" si="4"/>
        <v>1</v>
      </c>
      <c r="AR21" s="7">
        <f t="shared" si="5"/>
        <v>1</v>
      </c>
      <c r="AS21" s="7">
        <f t="shared" si="6"/>
        <v>1</v>
      </c>
      <c r="AT21" s="7">
        <f t="shared" si="7"/>
        <v>1</v>
      </c>
      <c r="AU21" s="7">
        <f t="shared" si="8"/>
        <v>1</v>
      </c>
      <c r="AV21" s="7">
        <f t="shared" si="9"/>
        <v>1</v>
      </c>
      <c r="AW21" s="7">
        <f t="shared" si="10"/>
        <v>1</v>
      </c>
      <c r="AX21" s="7">
        <f t="shared" si="11"/>
        <v>1</v>
      </c>
    </row>
    <row r="22" spans="2:50" x14ac:dyDescent="0.35">
      <c r="W22" s="9">
        <v>17</v>
      </c>
      <c r="X22" s="1">
        <f>离线奖励!P22</f>
        <v>322</v>
      </c>
      <c r="Y22" s="1">
        <f>离线奖励!S22</f>
        <v>8.4</v>
      </c>
      <c r="Z22" s="5">
        <v>8.5</v>
      </c>
      <c r="AB22" s="1" t="str">
        <f t="array" ref="AB22">INDEX($Z$6:$Z$49,MATCH(,COUNTIF($AB$5:AB21,$Z$6:$Z$49),))&amp;""</f>
        <v>11.1</v>
      </c>
      <c r="AC22" s="1">
        <f t="shared" si="14"/>
        <v>772</v>
      </c>
      <c r="AD22" s="1">
        <f t="shared" si="15"/>
        <v>23000</v>
      </c>
      <c r="AE22" s="1">
        <f t="shared" si="16"/>
        <v>45000</v>
      </c>
      <c r="AF22" s="1">
        <f t="shared" si="16"/>
        <v>80000</v>
      </c>
      <c r="AG22" s="1">
        <f t="shared" si="16"/>
        <v>150000</v>
      </c>
      <c r="AH22" s="1">
        <f t="shared" si="16"/>
        <v>280000</v>
      </c>
      <c r="AI22" s="1">
        <f t="shared" si="16"/>
        <v>400000</v>
      </c>
      <c r="AJ22" s="1">
        <f t="shared" si="17"/>
        <v>23000</v>
      </c>
      <c r="AK22" s="1">
        <f t="shared" si="18"/>
        <v>70000</v>
      </c>
      <c r="AL22" s="1">
        <f t="shared" si="16"/>
        <v>225000</v>
      </c>
      <c r="AM22" s="1">
        <f t="shared" si="16"/>
        <v>555000</v>
      </c>
      <c r="AO22" s="7">
        <f t="shared" si="2"/>
        <v>1</v>
      </c>
      <c r="AP22" s="7">
        <f t="shared" si="3"/>
        <v>1</v>
      </c>
      <c r="AQ22" s="7">
        <f t="shared" si="4"/>
        <v>1</v>
      </c>
      <c r="AR22" s="7">
        <f t="shared" si="5"/>
        <v>1</v>
      </c>
      <c r="AS22" s="7">
        <f t="shared" si="6"/>
        <v>1</v>
      </c>
      <c r="AT22" s="7">
        <f t="shared" si="7"/>
        <v>1</v>
      </c>
      <c r="AU22" s="7">
        <f t="shared" si="8"/>
        <v>1</v>
      </c>
      <c r="AV22" s="7">
        <f t="shared" si="9"/>
        <v>1</v>
      </c>
      <c r="AW22" s="7">
        <f t="shared" si="10"/>
        <v>1</v>
      </c>
      <c r="AX22" s="7">
        <f t="shared" si="11"/>
        <v>1</v>
      </c>
    </row>
    <row r="23" spans="2:50" x14ac:dyDescent="0.35">
      <c r="W23" s="9">
        <v>18</v>
      </c>
      <c r="X23" s="1">
        <f>离线奖励!P23</f>
        <v>347</v>
      </c>
      <c r="Y23" s="1">
        <f>离线奖励!S23</f>
        <v>8.5500000000000007</v>
      </c>
      <c r="Z23" s="5">
        <v>9</v>
      </c>
      <c r="AB23" s="1" t="str">
        <f t="array" ref="AB23">INDEX($Z$6:$Z$49,MATCH(,COUNTIF($AB$5:AB22,$Z$6:$Z$49),))&amp;""</f>
        <v>11.25</v>
      </c>
      <c r="AC23" s="1">
        <f t="shared" si="14"/>
        <v>797</v>
      </c>
      <c r="AD23" s="1">
        <f t="shared" si="15"/>
        <v>23000</v>
      </c>
      <c r="AE23" s="1">
        <f t="shared" si="16"/>
        <v>45000</v>
      </c>
      <c r="AF23" s="1">
        <f t="shared" si="16"/>
        <v>85000</v>
      </c>
      <c r="AG23" s="1">
        <f t="shared" si="16"/>
        <v>155000</v>
      </c>
      <c r="AH23" s="1">
        <f t="shared" si="16"/>
        <v>285000</v>
      </c>
      <c r="AI23" s="1">
        <f t="shared" si="16"/>
        <v>405000</v>
      </c>
      <c r="AJ23" s="1">
        <f t="shared" si="17"/>
        <v>23000</v>
      </c>
      <c r="AK23" s="1">
        <f t="shared" si="18"/>
        <v>70000</v>
      </c>
      <c r="AL23" s="1">
        <f t="shared" si="16"/>
        <v>225000</v>
      </c>
      <c r="AM23" s="1">
        <f t="shared" si="16"/>
        <v>565000</v>
      </c>
      <c r="AO23" s="7">
        <f t="shared" si="2"/>
        <v>1</v>
      </c>
      <c r="AP23" s="7">
        <f t="shared" si="3"/>
        <v>1</v>
      </c>
      <c r="AQ23" s="7">
        <f t="shared" si="4"/>
        <v>1</v>
      </c>
      <c r="AR23" s="7">
        <f t="shared" si="5"/>
        <v>1</v>
      </c>
      <c r="AS23" s="7">
        <f t="shared" si="6"/>
        <v>1</v>
      </c>
      <c r="AT23" s="7">
        <f t="shared" si="7"/>
        <v>1</v>
      </c>
      <c r="AU23" s="7">
        <f t="shared" si="8"/>
        <v>1</v>
      </c>
      <c r="AV23" s="7">
        <f t="shared" si="9"/>
        <v>1</v>
      </c>
      <c r="AW23" s="7">
        <f t="shared" si="10"/>
        <v>1</v>
      </c>
      <c r="AX23" s="7">
        <f t="shared" si="11"/>
        <v>1</v>
      </c>
    </row>
    <row r="24" spans="2:50" x14ac:dyDescent="0.35">
      <c r="W24" s="9">
        <v>19</v>
      </c>
      <c r="X24" s="1">
        <f>离线奖励!P24</f>
        <v>372</v>
      </c>
      <c r="Y24" s="1">
        <f>离线奖励!S24</f>
        <v>8.6999999999999993</v>
      </c>
      <c r="Z24" s="5">
        <v>9</v>
      </c>
      <c r="AB24" s="1" t="str">
        <f t="array" ref="AB24">INDEX($Z$6:$Z$49,MATCH(,COUNTIF($AB$5:AB23,$Z$6:$Z$49),))&amp;""</f>
        <v>11.4</v>
      </c>
      <c r="AC24" s="1">
        <f t="shared" si="14"/>
        <v>822</v>
      </c>
      <c r="AD24" s="1">
        <f t="shared" si="15"/>
        <v>23000</v>
      </c>
      <c r="AE24" s="1">
        <f t="shared" si="16"/>
        <v>50000</v>
      </c>
      <c r="AF24" s="1">
        <f t="shared" si="16"/>
        <v>85000</v>
      </c>
      <c r="AG24" s="1">
        <f t="shared" si="16"/>
        <v>155000</v>
      </c>
      <c r="AH24" s="1">
        <f t="shared" si="16"/>
        <v>285000</v>
      </c>
      <c r="AI24" s="1">
        <f t="shared" si="16"/>
        <v>415000</v>
      </c>
      <c r="AJ24" s="1">
        <f t="shared" si="17"/>
        <v>23000</v>
      </c>
      <c r="AK24" s="1">
        <f t="shared" si="18"/>
        <v>70000</v>
      </c>
      <c r="AL24" s="1">
        <f t="shared" si="16"/>
        <v>230000</v>
      </c>
      <c r="AM24" s="1">
        <f t="shared" si="16"/>
        <v>570000</v>
      </c>
      <c r="AO24" s="7">
        <f t="shared" si="2"/>
        <v>1</v>
      </c>
      <c r="AP24" s="7">
        <f t="shared" si="3"/>
        <v>1</v>
      </c>
      <c r="AQ24" s="7">
        <f t="shared" si="4"/>
        <v>1</v>
      </c>
      <c r="AR24" s="7">
        <f t="shared" si="5"/>
        <v>1</v>
      </c>
      <c r="AS24" s="7">
        <f t="shared" si="6"/>
        <v>1</v>
      </c>
      <c r="AT24" s="7">
        <f t="shared" si="7"/>
        <v>1</v>
      </c>
      <c r="AU24" s="7">
        <f t="shared" si="8"/>
        <v>1</v>
      </c>
      <c r="AV24" s="7">
        <f t="shared" si="9"/>
        <v>1</v>
      </c>
      <c r="AW24" s="7">
        <f t="shared" si="10"/>
        <v>1</v>
      </c>
      <c r="AX24" s="7">
        <f t="shared" si="11"/>
        <v>1</v>
      </c>
    </row>
    <row r="25" spans="2:50" x14ac:dyDescent="0.35">
      <c r="W25" s="9">
        <v>20</v>
      </c>
      <c r="X25" s="1">
        <f>离线奖励!P25</f>
        <v>397</v>
      </c>
      <c r="Y25" s="1">
        <f>离线奖励!S25</f>
        <v>8.85</v>
      </c>
      <c r="Z25" s="5">
        <v>9</v>
      </c>
      <c r="AB25" s="1" t="str">
        <f t="array" ref="AB25">INDEX($Z$6:$Z$49,MATCH(,COUNTIF($AB$5:AB24,$Z$6:$Z$49),))&amp;""</f>
        <v>11.55</v>
      </c>
      <c r="AC25" s="1">
        <f t="shared" si="14"/>
        <v>847</v>
      </c>
      <c r="AD25" s="1">
        <f t="shared" si="15"/>
        <v>23000</v>
      </c>
      <c r="AE25" s="1">
        <f t="shared" si="16"/>
        <v>50000</v>
      </c>
      <c r="AF25" s="1">
        <f t="shared" si="16"/>
        <v>85000</v>
      </c>
      <c r="AG25" s="1">
        <f t="shared" si="16"/>
        <v>160000</v>
      </c>
      <c r="AH25" s="1">
        <f t="shared" si="16"/>
        <v>290000</v>
      </c>
      <c r="AI25" s="1">
        <f t="shared" si="16"/>
        <v>420000</v>
      </c>
      <c r="AJ25" s="1">
        <f t="shared" si="17"/>
        <v>23000</v>
      </c>
      <c r="AK25" s="1">
        <f t="shared" si="18"/>
        <v>70000</v>
      </c>
      <c r="AL25" s="1">
        <f t="shared" si="16"/>
        <v>235000</v>
      </c>
      <c r="AM25" s="1">
        <f t="shared" si="16"/>
        <v>580000</v>
      </c>
      <c r="AO25" s="7">
        <f t="shared" si="2"/>
        <v>1</v>
      </c>
      <c r="AP25" s="7">
        <f t="shared" si="3"/>
        <v>1</v>
      </c>
      <c r="AQ25" s="7">
        <f t="shared" si="4"/>
        <v>1</v>
      </c>
      <c r="AR25" s="7">
        <f t="shared" si="5"/>
        <v>1</v>
      </c>
      <c r="AS25" s="7">
        <f t="shared" si="6"/>
        <v>1</v>
      </c>
      <c r="AT25" s="7">
        <f t="shared" si="7"/>
        <v>1</v>
      </c>
      <c r="AU25" s="7">
        <f t="shared" si="8"/>
        <v>1</v>
      </c>
      <c r="AV25" s="7">
        <f t="shared" si="9"/>
        <v>1</v>
      </c>
      <c r="AW25" s="7">
        <f t="shared" si="10"/>
        <v>1</v>
      </c>
      <c r="AX25" s="7">
        <f t="shared" si="11"/>
        <v>1</v>
      </c>
    </row>
    <row r="26" spans="2:50" x14ac:dyDescent="0.35">
      <c r="B26" s="5"/>
      <c r="W26" s="9">
        <v>21</v>
      </c>
      <c r="X26" s="1">
        <f>离线奖励!P26</f>
        <v>422</v>
      </c>
      <c r="Y26" s="1">
        <f>离线奖励!S26</f>
        <v>9</v>
      </c>
      <c r="Z26" s="1">
        <f>Y26</f>
        <v>9</v>
      </c>
      <c r="AB26" s="1" t="str">
        <f t="array" ref="AB26">INDEX($Z$6:$Z$49,MATCH(,COUNTIF($AB$5:AB25,$Z$6:$Z$49),))&amp;""</f>
        <v>11.7</v>
      </c>
      <c r="AC26" s="1">
        <f t="shared" si="14"/>
        <v>872</v>
      </c>
      <c r="AD26" s="1">
        <f t="shared" si="15"/>
        <v>24000</v>
      </c>
      <c r="AE26" s="1">
        <f t="shared" si="16"/>
        <v>50000</v>
      </c>
      <c r="AF26" s="1">
        <f t="shared" si="16"/>
        <v>85000</v>
      </c>
      <c r="AG26" s="1">
        <f t="shared" si="16"/>
        <v>160000</v>
      </c>
      <c r="AH26" s="1">
        <f t="shared" si="16"/>
        <v>295000</v>
      </c>
      <c r="AI26" s="1">
        <f t="shared" si="16"/>
        <v>425000</v>
      </c>
      <c r="AJ26" s="1">
        <f t="shared" si="17"/>
        <v>24000</v>
      </c>
      <c r="AK26" s="1">
        <f t="shared" si="18"/>
        <v>80000</v>
      </c>
      <c r="AL26" s="1">
        <f t="shared" si="16"/>
        <v>235000</v>
      </c>
      <c r="AM26" s="1">
        <f t="shared" si="16"/>
        <v>585000</v>
      </c>
      <c r="AO26" s="7">
        <f t="shared" si="2"/>
        <v>1</v>
      </c>
      <c r="AP26" s="7">
        <f t="shared" si="3"/>
        <v>1</v>
      </c>
      <c r="AQ26" s="7">
        <f t="shared" si="4"/>
        <v>1</v>
      </c>
      <c r="AR26" s="7">
        <f t="shared" si="5"/>
        <v>1</v>
      </c>
      <c r="AS26" s="7">
        <f t="shared" si="6"/>
        <v>1</v>
      </c>
      <c r="AT26" s="7">
        <f t="shared" si="7"/>
        <v>1</v>
      </c>
      <c r="AU26" s="7">
        <f t="shared" si="8"/>
        <v>1</v>
      </c>
      <c r="AV26" s="7">
        <f t="shared" si="9"/>
        <v>1</v>
      </c>
      <c r="AW26" s="7">
        <f t="shared" si="10"/>
        <v>1</v>
      </c>
      <c r="AX26" s="7">
        <f t="shared" si="11"/>
        <v>1</v>
      </c>
    </row>
    <row r="27" spans="2:50" x14ac:dyDescent="0.35">
      <c r="W27" s="9">
        <v>22</v>
      </c>
      <c r="X27" s="1">
        <f>离线奖励!P27</f>
        <v>447</v>
      </c>
      <c r="Y27" s="1">
        <f>离线奖励!S27</f>
        <v>9.15</v>
      </c>
      <c r="Z27" s="1">
        <f t="shared" ref="Z27:Z49" si="19">Y27</f>
        <v>9.15</v>
      </c>
      <c r="AB27" s="1" t="str">
        <f t="array" ref="AB27">INDEX($Z$6:$Z$49,MATCH(,COUNTIF($AB$5:AB26,$Z$6:$Z$49),))&amp;""</f>
        <v>11.85</v>
      </c>
      <c r="AC27" s="1">
        <f t="shared" si="14"/>
        <v>897</v>
      </c>
      <c r="AD27" s="1">
        <f t="shared" si="15"/>
        <v>24000</v>
      </c>
      <c r="AE27" s="1">
        <f t="shared" si="16"/>
        <v>50000</v>
      </c>
      <c r="AF27" s="1">
        <f t="shared" si="16"/>
        <v>90000</v>
      </c>
      <c r="AG27" s="1">
        <f t="shared" si="16"/>
        <v>160000</v>
      </c>
      <c r="AH27" s="1">
        <f t="shared" si="16"/>
        <v>300000</v>
      </c>
      <c r="AI27" s="1">
        <f t="shared" si="16"/>
        <v>430000</v>
      </c>
      <c r="AJ27" s="1">
        <f t="shared" si="17"/>
        <v>24000</v>
      </c>
      <c r="AK27" s="1">
        <f t="shared" si="18"/>
        <v>80000</v>
      </c>
      <c r="AL27" s="1">
        <f t="shared" si="16"/>
        <v>240000</v>
      </c>
      <c r="AM27" s="1">
        <f t="shared" si="16"/>
        <v>595000</v>
      </c>
      <c r="AO27" s="7">
        <f t="shared" si="2"/>
        <v>1</v>
      </c>
      <c r="AP27" s="7">
        <f t="shared" si="3"/>
        <v>1</v>
      </c>
      <c r="AQ27" s="7">
        <f t="shared" si="4"/>
        <v>1</v>
      </c>
      <c r="AR27" s="7">
        <f t="shared" si="5"/>
        <v>1</v>
      </c>
      <c r="AS27" s="7">
        <f t="shared" si="6"/>
        <v>1</v>
      </c>
      <c r="AT27" s="7">
        <f t="shared" si="7"/>
        <v>1</v>
      </c>
      <c r="AU27" s="7">
        <f t="shared" si="8"/>
        <v>1</v>
      </c>
      <c r="AV27" s="7">
        <f t="shared" si="9"/>
        <v>1</v>
      </c>
      <c r="AW27" s="7">
        <f t="shared" si="10"/>
        <v>1</v>
      </c>
      <c r="AX27" s="7">
        <f t="shared" si="11"/>
        <v>1</v>
      </c>
    </row>
    <row r="28" spans="2:50" x14ac:dyDescent="0.35">
      <c r="B28" s="5"/>
      <c r="W28" s="9">
        <v>23</v>
      </c>
      <c r="X28" s="1">
        <f>离线奖励!P28</f>
        <v>472</v>
      </c>
      <c r="Y28" s="1">
        <f>离线奖励!S28</f>
        <v>9.3000000000000007</v>
      </c>
      <c r="Z28" s="1">
        <f t="shared" si="19"/>
        <v>9.3000000000000007</v>
      </c>
      <c r="AB28" s="1" t="str">
        <f t="array" ref="AB28">INDEX($Z$6:$Z$49,MATCH(,COUNTIF($AB$5:AB27,$Z$6:$Z$49),))&amp;""</f>
        <v>12</v>
      </c>
      <c r="AC28" s="1">
        <f t="shared" si="14"/>
        <v>922</v>
      </c>
      <c r="AD28" s="1">
        <f t="shared" si="15"/>
        <v>24000</v>
      </c>
      <c r="AE28" s="1">
        <f t="shared" si="16"/>
        <v>50000</v>
      </c>
      <c r="AF28" s="1">
        <f t="shared" si="16"/>
        <v>90000</v>
      </c>
      <c r="AG28" s="1">
        <f t="shared" si="16"/>
        <v>165000</v>
      </c>
      <c r="AH28" s="1">
        <f t="shared" si="16"/>
        <v>300000</v>
      </c>
      <c r="AI28" s="1">
        <f t="shared" si="16"/>
        <v>435000</v>
      </c>
      <c r="AJ28" s="1">
        <f t="shared" si="17"/>
        <v>24000</v>
      </c>
      <c r="AK28" s="1">
        <f t="shared" si="18"/>
        <v>80000</v>
      </c>
      <c r="AL28" s="1">
        <f t="shared" si="16"/>
        <v>240000</v>
      </c>
      <c r="AM28" s="1">
        <f t="shared" si="16"/>
        <v>600000</v>
      </c>
      <c r="AO28" s="7">
        <f t="shared" si="2"/>
        <v>1</v>
      </c>
      <c r="AP28" s="7">
        <f t="shared" si="3"/>
        <v>1</v>
      </c>
      <c r="AQ28" s="7">
        <f t="shared" si="4"/>
        <v>1</v>
      </c>
      <c r="AR28" s="7">
        <f t="shared" si="5"/>
        <v>1</v>
      </c>
      <c r="AS28" s="7">
        <f t="shared" si="6"/>
        <v>1</v>
      </c>
      <c r="AT28" s="7">
        <f t="shared" si="7"/>
        <v>1</v>
      </c>
      <c r="AU28" s="7">
        <f t="shared" si="8"/>
        <v>1</v>
      </c>
      <c r="AV28" s="7">
        <f t="shared" si="9"/>
        <v>1</v>
      </c>
      <c r="AW28" s="7">
        <f t="shared" si="10"/>
        <v>1</v>
      </c>
      <c r="AX28" s="7">
        <f t="shared" si="11"/>
        <v>1</v>
      </c>
    </row>
    <row r="29" spans="2:50" x14ac:dyDescent="0.35">
      <c r="B29" s="5"/>
      <c r="D29" s="1"/>
      <c r="F29" s="7"/>
      <c r="G29" s="7"/>
      <c r="H29" s="7"/>
      <c r="I29" s="7"/>
      <c r="J29" s="7"/>
      <c r="K29" s="7"/>
      <c r="L29" s="7"/>
      <c r="M29" s="7"/>
      <c r="W29" s="9">
        <v>24</v>
      </c>
      <c r="X29" s="1">
        <f>离线奖励!P29</f>
        <v>497</v>
      </c>
      <c r="Y29" s="1">
        <f>离线奖励!S29</f>
        <v>9.4499999999999993</v>
      </c>
      <c r="Z29" s="1">
        <f t="shared" si="19"/>
        <v>9.4499999999999993</v>
      </c>
      <c r="AB29" s="1" t="str">
        <f t="array" ref="AB29">INDEX($Z$6:$Z$49,MATCH(,COUNTIF($AB$5:AB28,$Z$6:$Z$49),))&amp;""</f>
        <v>12.15</v>
      </c>
      <c r="AC29" s="1">
        <f t="shared" si="14"/>
        <v>947</v>
      </c>
      <c r="AD29" s="1">
        <f t="shared" si="15"/>
        <v>25000</v>
      </c>
      <c r="AE29" s="1">
        <f t="shared" si="16"/>
        <v>50000</v>
      </c>
      <c r="AF29" s="1">
        <f t="shared" si="16"/>
        <v>90000</v>
      </c>
      <c r="AG29" s="1">
        <f t="shared" si="16"/>
        <v>165000</v>
      </c>
      <c r="AH29" s="1">
        <f t="shared" si="16"/>
        <v>305000</v>
      </c>
      <c r="AI29" s="1">
        <f t="shared" si="16"/>
        <v>440000</v>
      </c>
      <c r="AJ29" s="1">
        <f t="shared" si="17"/>
        <v>25000</v>
      </c>
      <c r="AK29" s="1">
        <f t="shared" si="18"/>
        <v>80000</v>
      </c>
      <c r="AL29" s="1">
        <f t="shared" si="16"/>
        <v>245000</v>
      </c>
      <c r="AM29" s="1">
        <f t="shared" si="16"/>
        <v>610000</v>
      </c>
      <c r="AO29" s="7">
        <f t="shared" si="2"/>
        <v>1</v>
      </c>
      <c r="AP29" s="7">
        <f t="shared" si="3"/>
        <v>1</v>
      </c>
      <c r="AQ29" s="7">
        <f t="shared" si="4"/>
        <v>1</v>
      </c>
      <c r="AR29" s="7">
        <f t="shared" si="5"/>
        <v>1</v>
      </c>
      <c r="AS29" s="7">
        <f t="shared" si="6"/>
        <v>1</v>
      </c>
      <c r="AT29" s="7">
        <f t="shared" si="7"/>
        <v>1</v>
      </c>
      <c r="AU29" s="7">
        <f t="shared" si="8"/>
        <v>1</v>
      </c>
      <c r="AV29" s="7">
        <f t="shared" si="9"/>
        <v>1</v>
      </c>
      <c r="AW29" s="7">
        <f t="shared" si="10"/>
        <v>1</v>
      </c>
      <c r="AX29" s="7">
        <f t="shared" si="11"/>
        <v>1</v>
      </c>
    </row>
    <row r="30" spans="2:50" x14ac:dyDescent="0.35">
      <c r="B30" s="5"/>
      <c r="D30" s="1"/>
      <c r="F30" s="7"/>
      <c r="G30" s="7"/>
      <c r="H30" s="7"/>
      <c r="I30" s="7"/>
      <c r="J30" s="7"/>
      <c r="K30" s="7"/>
      <c r="L30" s="7"/>
      <c r="M30" s="7"/>
      <c r="W30" s="9">
        <v>25</v>
      </c>
      <c r="X30" s="1">
        <f>离线奖励!P30</f>
        <v>522</v>
      </c>
      <c r="Y30" s="1">
        <f>离线奖励!S30</f>
        <v>9.6</v>
      </c>
      <c r="Z30" s="1">
        <f t="shared" si="19"/>
        <v>9.6</v>
      </c>
      <c r="AB30" s="1" t="str">
        <f t="array" ref="AB30">INDEX($Z$6:$Z$49,MATCH(,COUNTIF($AB$5:AB29,$Z$6:$Z$49),))&amp;""</f>
        <v>12.3</v>
      </c>
      <c r="AC30" s="1">
        <f t="shared" si="14"/>
        <v>972</v>
      </c>
      <c r="AD30" s="1">
        <f t="shared" si="15"/>
        <v>25000</v>
      </c>
      <c r="AE30" s="1">
        <f t="shared" si="16"/>
        <v>50000</v>
      </c>
      <c r="AF30" s="1">
        <f t="shared" si="16"/>
        <v>90000</v>
      </c>
      <c r="AG30" s="1">
        <f t="shared" si="16"/>
        <v>170000</v>
      </c>
      <c r="AH30" s="1">
        <f t="shared" si="16"/>
        <v>310000</v>
      </c>
      <c r="AI30" s="1">
        <f t="shared" si="16"/>
        <v>445000</v>
      </c>
      <c r="AJ30" s="1">
        <f t="shared" si="17"/>
        <v>25000</v>
      </c>
      <c r="AK30" s="1">
        <f t="shared" si="18"/>
        <v>80000</v>
      </c>
      <c r="AL30" s="1">
        <f t="shared" si="16"/>
        <v>250000</v>
      </c>
      <c r="AM30" s="1">
        <f t="shared" si="16"/>
        <v>615000</v>
      </c>
      <c r="AO30" s="7">
        <f t="shared" si="2"/>
        <v>1</v>
      </c>
      <c r="AP30" s="7">
        <f t="shared" si="3"/>
        <v>1</v>
      </c>
      <c r="AQ30" s="7">
        <f t="shared" si="4"/>
        <v>1</v>
      </c>
      <c r="AR30" s="7">
        <f t="shared" si="5"/>
        <v>1</v>
      </c>
      <c r="AS30" s="7">
        <f t="shared" si="6"/>
        <v>1</v>
      </c>
      <c r="AT30" s="7">
        <f t="shared" si="7"/>
        <v>1</v>
      </c>
      <c r="AU30" s="7">
        <f t="shared" si="8"/>
        <v>1</v>
      </c>
      <c r="AV30" s="7">
        <f t="shared" si="9"/>
        <v>1</v>
      </c>
      <c r="AW30" s="7">
        <f t="shared" si="10"/>
        <v>1</v>
      </c>
      <c r="AX30" s="7">
        <f t="shared" si="11"/>
        <v>1</v>
      </c>
    </row>
    <row r="31" spans="2:50" x14ac:dyDescent="0.35">
      <c r="W31" s="9">
        <v>26</v>
      </c>
      <c r="X31" s="1">
        <f>离线奖励!P31</f>
        <v>547</v>
      </c>
      <c r="Y31" s="1">
        <f>离线奖励!S31</f>
        <v>9.75</v>
      </c>
      <c r="Z31" s="1">
        <f t="shared" si="19"/>
        <v>9.75</v>
      </c>
      <c r="AB31" s="1" t="str">
        <f t="array" ref="AB31">INDEX($Z$6:$Z$49,MATCH(,COUNTIF($AB$5:AB30,$Z$6:$Z$49),))&amp;""</f>
        <v>12.45</v>
      </c>
      <c r="AC31" s="1">
        <f t="shared" si="14"/>
        <v>997</v>
      </c>
      <c r="AD31" s="1">
        <f t="shared" si="15"/>
        <v>25000</v>
      </c>
      <c r="AE31" s="1">
        <f t="shared" si="16"/>
        <v>50000</v>
      </c>
      <c r="AF31" s="1">
        <f t="shared" si="16"/>
        <v>90000</v>
      </c>
      <c r="AG31" s="1">
        <f t="shared" si="16"/>
        <v>170000</v>
      </c>
      <c r="AH31" s="1">
        <f t="shared" si="16"/>
        <v>315000</v>
      </c>
      <c r="AI31" s="1">
        <f t="shared" si="16"/>
        <v>450000</v>
      </c>
      <c r="AJ31" s="1">
        <f t="shared" si="17"/>
        <v>25000</v>
      </c>
      <c r="AK31" s="1">
        <f t="shared" si="18"/>
        <v>80000</v>
      </c>
      <c r="AL31" s="1">
        <f t="shared" si="16"/>
        <v>250000</v>
      </c>
      <c r="AM31" s="1">
        <f t="shared" si="16"/>
        <v>625000</v>
      </c>
      <c r="AO31" s="7">
        <f t="shared" si="2"/>
        <v>1</v>
      </c>
      <c r="AP31" s="7">
        <f t="shared" si="3"/>
        <v>1</v>
      </c>
      <c r="AQ31" s="7">
        <f t="shared" si="4"/>
        <v>1</v>
      </c>
      <c r="AR31" s="7">
        <f t="shared" si="5"/>
        <v>1</v>
      </c>
      <c r="AS31" s="7">
        <f t="shared" si="6"/>
        <v>1</v>
      </c>
      <c r="AT31" s="7">
        <f t="shared" si="7"/>
        <v>1</v>
      </c>
      <c r="AU31" s="7">
        <f t="shared" si="8"/>
        <v>1</v>
      </c>
      <c r="AV31" s="7">
        <f t="shared" si="9"/>
        <v>1</v>
      </c>
      <c r="AW31" s="7">
        <f t="shared" si="10"/>
        <v>1</v>
      </c>
      <c r="AX31" s="7">
        <f t="shared" si="11"/>
        <v>1</v>
      </c>
    </row>
    <row r="32" spans="2:50" x14ac:dyDescent="0.35">
      <c r="W32" s="9">
        <v>27</v>
      </c>
      <c r="X32" s="1">
        <f>离线奖励!P32</f>
        <v>572</v>
      </c>
      <c r="Y32" s="1">
        <f>离线奖励!S32</f>
        <v>9.9</v>
      </c>
      <c r="Z32" s="1">
        <f t="shared" si="19"/>
        <v>9.9</v>
      </c>
      <c r="AD32" s="1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23:50" x14ac:dyDescent="0.35">
      <c r="W33" s="9">
        <v>28</v>
      </c>
      <c r="X33" s="1">
        <f>离线奖励!P33</f>
        <v>597</v>
      </c>
      <c r="Y33" s="1">
        <f>离线奖励!S33</f>
        <v>10.050000000000001</v>
      </c>
      <c r="Z33" s="1">
        <f t="shared" si="19"/>
        <v>10.050000000000001</v>
      </c>
      <c r="AD33" s="1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23:50" x14ac:dyDescent="0.35">
      <c r="W34" s="9">
        <v>29</v>
      </c>
      <c r="X34" s="1">
        <f>离线奖励!P34</f>
        <v>622</v>
      </c>
      <c r="Y34" s="1">
        <f>离线奖励!S34</f>
        <v>10.199999999999999</v>
      </c>
      <c r="Z34" s="1">
        <f t="shared" si="19"/>
        <v>10.199999999999999</v>
      </c>
      <c r="AD34" s="1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23:50" x14ac:dyDescent="0.35">
      <c r="W35" s="9">
        <v>30</v>
      </c>
      <c r="X35" s="1">
        <f>离线奖励!P35</f>
        <v>647</v>
      </c>
      <c r="Y35" s="1">
        <f>离线奖励!S35</f>
        <v>10.35</v>
      </c>
      <c r="Z35" s="1">
        <f t="shared" si="19"/>
        <v>10.35</v>
      </c>
      <c r="AD35" s="1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spans="23:50" x14ac:dyDescent="0.35">
      <c r="W36" s="9">
        <v>31</v>
      </c>
      <c r="X36" s="1">
        <f>离线奖励!P36</f>
        <v>672</v>
      </c>
      <c r="Y36" s="1">
        <f>离线奖励!S36</f>
        <v>10.5</v>
      </c>
      <c r="Z36" s="1">
        <f t="shared" si="19"/>
        <v>10.5</v>
      </c>
      <c r="AD36" s="1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23:50" x14ac:dyDescent="0.35">
      <c r="W37" s="9">
        <v>32</v>
      </c>
      <c r="X37" s="1">
        <f>离线奖励!P37</f>
        <v>697</v>
      </c>
      <c r="Y37" s="1">
        <f>离线奖励!S37</f>
        <v>10.65</v>
      </c>
      <c r="Z37" s="1">
        <f t="shared" si="19"/>
        <v>10.65</v>
      </c>
      <c r="AD37" s="1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23:50" x14ac:dyDescent="0.35">
      <c r="W38" s="9">
        <v>33</v>
      </c>
      <c r="X38" s="1">
        <f>离线奖励!P38</f>
        <v>722</v>
      </c>
      <c r="Y38" s="1">
        <f>离线奖励!S38</f>
        <v>10.8</v>
      </c>
      <c r="Z38" s="1">
        <f t="shared" si="19"/>
        <v>10.8</v>
      </c>
      <c r="AD38" s="1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23:50" x14ac:dyDescent="0.35">
      <c r="W39" s="9">
        <v>34</v>
      </c>
      <c r="X39" s="1">
        <f>离线奖励!P39</f>
        <v>747</v>
      </c>
      <c r="Y39" s="1">
        <f>离线奖励!S39</f>
        <v>10.95</v>
      </c>
      <c r="Z39" s="1">
        <f t="shared" si="19"/>
        <v>10.95</v>
      </c>
      <c r="AD39" s="1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23:50" x14ac:dyDescent="0.35">
      <c r="W40" s="9">
        <v>35</v>
      </c>
      <c r="X40" s="1">
        <f>离线奖励!P40</f>
        <v>772</v>
      </c>
      <c r="Y40" s="1">
        <f>离线奖励!S40</f>
        <v>11.1</v>
      </c>
      <c r="Z40" s="1">
        <f t="shared" si="19"/>
        <v>11.1</v>
      </c>
      <c r="AD40" s="1"/>
    </row>
    <row r="41" spans="23:50" x14ac:dyDescent="0.35">
      <c r="W41" s="9">
        <v>36</v>
      </c>
      <c r="X41" s="1">
        <f>离线奖励!P41</f>
        <v>797</v>
      </c>
      <c r="Y41" s="1">
        <f>离线奖励!S41</f>
        <v>11.25</v>
      </c>
      <c r="Z41" s="1">
        <f t="shared" si="19"/>
        <v>11.25</v>
      </c>
      <c r="AD41" s="1"/>
    </row>
    <row r="42" spans="23:50" x14ac:dyDescent="0.35">
      <c r="W42" s="9">
        <v>37</v>
      </c>
      <c r="X42" s="1">
        <f>离线奖励!P42</f>
        <v>822</v>
      </c>
      <c r="Y42" s="1">
        <f>离线奖励!S42</f>
        <v>11.4</v>
      </c>
      <c r="Z42" s="1">
        <f t="shared" si="19"/>
        <v>11.4</v>
      </c>
      <c r="AD42" s="1"/>
    </row>
    <row r="43" spans="23:50" x14ac:dyDescent="0.35">
      <c r="W43" s="9">
        <v>38</v>
      </c>
      <c r="X43" s="1">
        <f>离线奖励!P43</f>
        <v>847</v>
      </c>
      <c r="Y43" s="1">
        <f>离线奖励!S43</f>
        <v>11.55</v>
      </c>
      <c r="Z43" s="1">
        <f t="shared" si="19"/>
        <v>11.55</v>
      </c>
    </row>
    <row r="44" spans="23:50" x14ac:dyDescent="0.35">
      <c r="W44" s="9">
        <v>39</v>
      </c>
      <c r="X44" s="1">
        <f>离线奖励!P44</f>
        <v>872</v>
      </c>
      <c r="Y44" s="1">
        <f>离线奖励!S44</f>
        <v>11.7</v>
      </c>
      <c r="Z44" s="1">
        <f t="shared" si="19"/>
        <v>11.7</v>
      </c>
    </row>
    <row r="45" spans="23:50" x14ac:dyDescent="0.35">
      <c r="W45" s="9">
        <v>40</v>
      </c>
      <c r="X45" s="1">
        <f>离线奖励!P45</f>
        <v>897</v>
      </c>
      <c r="Y45" s="1">
        <f>离线奖励!S45</f>
        <v>11.85</v>
      </c>
      <c r="Z45" s="1">
        <f t="shared" si="19"/>
        <v>11.85</v>
      </c>
    </row>
    <row r="46" spans="23:50" x14ac:dyDescent="0.35">
      <c r="W46" s="9">
        <v>41</v>
      </c>
      <c r="X46" s="1">
        <f>离线奖励!P46</f>
        <v>922</v>
      </c>
      <c r="Y46" s="1">
        <f>离线奖励!S46</f>
        <v>12</v>
      </c>
      <c r="Z46" s="1">
        <f t="shared" si="19"/>
        <v>12</v>
      </c>
    </row>
    <row r="47" spans="23:50" x14ac:dyDescent="0.35">
      <c r="W47" s="9">
        <v>42</v>
      </c>
      <c r="X47" s="1">
        <f>离线奖励!P47</f>
        <v>947</v>
      </c>
      <c r="Y47" s="1">
        <f>离线奖励!S47</f>
        <v>12.15</v>
      </c>
      <c r="Z47" s="1">
        <f t="shared" si="19"/>
        <v>12.15</v>
      </c>
    </row>
    <row r="48" spans="23:50" x14ac:dyDescent="0.35">
      <c r="W48" s="9">
        <v>43</v>
      </c>
      <c r="X48" s="1">
        <f>离线奖励!P48</f>
        <v>972</v>
      </c>
      <c r="Y48" s="1">
        <f>离线奖励!S48</f>
        <v>12.3</v>
      </c>
      <c r="Z48" s="1">
        <f t="shared" si="19"/>
        <v>12.3</v>
      </c>
    </row>
    <row r="49" spans="23:26" x14ac:dyDescent="0.35">
      <c r="W49" s="9">
        <v>44</v>
      </c>
      <c r="X49" s="1">
        <f>离线奖励!P49</f>
        <v>997</v>
      </c>
      <c r="Y49" s="1">
        <f>离线奖励!S49</f>
        <v>12.45</v>
      </c>
      <c r="Z49" s="1">
        <f t="shared" si="19"/>
        <v>12.45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9DED-7269-4EA3-A8E3-FDD49593B2B6}">
  <dimension ref="B1:BH107"/>
  <sheetViews>
    <sheetView topLeftCell="G1" workbookViewId="0">
      <selection activeCell="AB33" sqref="G20:AB33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8" width="11.375" style="2" customWidth="1"/>
    <col min="9" max="9" width="6.75" style="7" customWidth="1"/>
    <col min="10" max="10" width="8" style="1" bestFit="1" customWidth="1"/>
    <col min="11" max="11" width="10.25" style="1" bestFit="1" customWidth="1"/>
    <col min="12" max="12" width="11.375" style="1" bestFit="1" customWidth="1"/>
    <col min="13" max="13" width="11.375" style="1" customWidth="1"/>
    <col min="14" max="20" width="13.125" style="1" customWidth="1"/>
    <col min="21" max="21" width="11.375" style="12" bestFit="1" customWidth="1"/>
    <col min="23" max="23" width="8" style="1" customWidth="1"/>
    <col min="24" max="24" width="7.5" style="1" bestFit="1" customWidth="1"/>
    <col min="25" max="25" width="8" style="1" customWidth="1"/>
    <col min="26" max="26" width="6.5" style="1" bestFit="1" customWidth="1"/>
    <col min="27" max="27" width="11.75" style="1" bestFit="1" customWidth="1"/>
    <col min="28" max="28" width="13.625" style="1" bestFit="1" customWidth="1"/>
    <col min="29" max="29" width="8" style="1" customWidth="1"/>
    <col min="30" max="30" width="12.75" style="1" bestFit="1" customWidth="1"/>
    <col min="31" max="31" width="11.75" style="1" bestFit="1" customWidth="1"/>
    <col min="32" max="33" width="11.75" style="1" customWidth="1"/>
    <col min="34" max="34" width="8" style="1" customWidth="1"/>
    <col min="35" max="35" width="8" customWidth="1"/>
    <col min="36" max="37" width="8" style="1" customWidth="1"/>
    <col min="38" max="38" width="8" customWidth="1"/>
    <col min="39" max="42" width="12.25" style="1" customWidth="1"/>
    <col min="43" max="43" width="12.25" style="2" customWidth="1"/>
    <col min="44" max="44" width="12.25" style="1" customWidth="1"/>
    <col min="46" max="46" width="11.75" style="1" customWidth="1"/>
    <col min="47" max="47" width="13.375" style="1" customWidth="1"/>
    <col min="48" max="48" width="13.375" customWidth="1"/>
    <col min="49" max="50" width="13.375" style="1" customWidth="1"/>
    <col min="51" max="51" width="13.375" customWidth="1"/>
    <col min="52" max="55" width="13.375" style="1" customWidth="1"/>
    <col min="56" max="56" width="13.375" style="2" customWidth="1"/>
    <col min="57" max="57" width="13.375" style="1" customWidth="1"/>
    <col min="58" max="58" width="13.625" bestFit="1" customWidth="1"/>
  </cols>
  <sheetData>
    <row r="1" spans="2:60" s="4" customFormat="1" ht="32.1" customHeight="1" x14ac:dyDescent="0.35">
      <c r="B1" s="4" t="s">
        <v>78</v>
      </c>
    </row>
    <row r="2" spans="2:60" x14ac:dyDescent="0.35">
      <c r="C2"/>
      <c r="D2"/>
      <c r="E2"/>
      <c r="F2"/>
      <c r="G2"/>
      <c r="H2"/>
      <c r="L2"/>
      <c r="M2"/>
      <c r="N2"/>
      <c r="O2"/>
      <c r="P2"/>
      <c r="Q2"/>
      <c r="R2"/>
      <c r="S2"/>
      <c r="T2"/>
      <c r="U2"/>
      <c r="W2" s="17" t="s">
        <v>165</v>
      </c>
      <c r="X2" s="17"/>
      <c r="Y2" s="17"/>
      <c r="Z2" s="17"/>
      <c r="AA2" s="17"/>
      <c r="AB2" s="17"/>
      <c r="AC2" s="17"/>
      <c r="AD2" s="17"/>
      <c r="AE2" s="17"/>
      <c r="AF2"/>
      <c r="AG2"/>
      <c r="AH2" s="17" t="s">
        <v>169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T2"/>
      <c r="AU2" s="17" t="s">
        <v>169</v>
      </c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2:60" s="7" customFormat="1" x14ac:dyDescent="0.35">
      <c r="J3" s="1"/>
      <c r="K3" s="1"/>
      <c r="X3" s="7">
        <v>1</v>
      </c>
      <c r="Y3" s="7">
        <v>2</v>
      </c>
      <c r="Z3" s="7">
        <v>3</v>
      </c>
      <c r="AA3" s="7">
        <v>4</v>
      </c>
      <c r="AB3" s="7">
        <v>5</v>
      </c>
      <c r="AC3" s="7">
        <v>6</v>
      </c>
      <c r="AD3" s="7">
        <v>7</v>
      </c>
      <c r="AE3" s="7">
        <v>8</v>
      </c>
      <c r="AH3" s="7">
        <v>1</v>
      </c>
      <c r="AI3" s="7">
        <v>2</v>
      </c>
      <c r="AJ3" s="7">
        <v>3</v>
      </c>
      <c r="AK3" s="7">
        <v>4</v>
      </c>
      <c r="AL3" s="7">
        <v>5</v>
      </c>
      <c r="AM3" s="7">
        <v>6</v>
      </c>
      <c r="AN3" s="7">
        <v>7</v>
      </c>
      <c r="AO3" s="7">
        <v>8</v>
      </c>
      <c r="AP3" s="7">
        <v>9</v>
      </c>
      <c r="AQ3" s="7">
        <v>10</v>
      </c>
      <c r="AR3" s="7">
        <v>11</v>
      </c>
      <c r="AU3" s="7">
        <v>1</v>
      </c>
      <c r="AV3" s="7">
        <v>2</v>
      </c>
      <c r="AW3" s="7">
        <v>3</v>
      </c>
      <c r="AX3" s="7">
        <v>4</v>
      </c>
      <c r="AY3" s="7">
        <v>5</v>
      </c>
      <c r="AZ3" s="7">
        <v>6</v>
      </c>
      <c r="BA3" s="7">
        <v>7</v>
      </c>
      <c r="BB3" s="7">
        <v>8</v>
      </c>
      <c r="BC3" s="7">
        <v>9</v>
      </c>
      <c r="BD3" s="7">
        <v>10</v>
      </c>
      <c r="BE3" s="7">
        <v>11</v>
      </c>
      <c r="BF3" s="7">
        <v>12</v>
      </c>
    </row>
    <row r="4" spans="2:60" x14ac:dyDescent="0.35"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  <c r="T4" s="7" t="s">
        <v>368</v>
      </c>
      <c r="U4" s="7" t="s">
        <v>368</v>
      </c>
      <c r="V4" s="7" t="s">
        <v>368</v>
      </c>
      <c r="W4" s="7" t="s">
        <v>368</v>
      </c>
      <c r="X4" s="7" t="s">
        <v>368</v>
      </c>
      <c r="Y4" s="7" t="s">
        <v>368</v>
      </c>
      <c r="Z4" s="7" t="s">
        <v>368</v>
      </c>
      <c r="AA4" s="7" t="s">
        <v>368</v>
      </c>
      <c r="AB4" s="7" t="s">
        <v>368</v>
      </c>
      <c r="AC4" s="7" t="s">
        <v>368</v>
      </c>
      <c r="AD4" s="7" t="s">
        <v>368</v>
      </c>
      <c r="AE4" s="7" t="s">
        <v>368</v>
      </c>
      <c r="AF4" s="7" t="s">
        <v>368</v>
      </c>
      <c r="AG4" s="7" t="s">
        <v>368</v>
      </c>
      <c r="AH4" s="7" t="s">
        <v>368</v>
      </c>
      <c r="AI4" s="7" t="s">
        <v>368</v>
      </c>
      <c r="AJ4" s="7" t="s">
        <v>368</v>
      </c>
      <c r="AK4" s="7" t="s">
        <v>368</v>
      </c>
      <c r="AL4" s="7" t="s">
        <v>368</v>
      </c>
      <c r="AM4" s="7" t="s">
        <v>368</v>
      </c>
      <c r="AN4" s="7" t="s">
        <v>368</v>
      </c>
      <c r="AO4" s="7" t="s">
        <v>368</v>
      </c>
      <c r="AP4" s="7" t="s">
        <v>368</v>
      </c>
      <c r="AQ4" s="7" t="s">
        <v>368</v>
      </c>
      <c r="AR4" s="7" t="s">
        <v>368</v>
      </c>
      <c r="AS4" s="7" t="s">
        <v>368</v>
      </c>
      <c r="AT4" s="7" t="s">
        <v>368</v>
      </c>
      <c r="AU4" s="7" t="s">
        <v>368</v>
      </c>
      <c r="AV4" s="7" t="s">
        <v>368</v>
      </c>
      <c r="AW4" s="7" t="s">
        <v>368</v>
      </c>
      <c r="AX4" s="7" t="s">
        <v>368</v>
      </c>
      <c r="AY4" s="7" t="s">
        <v>368</v>
      </c>
      <c r="AZ4" s="7" t="s">
        <v>368</v>
      </c>
      <c r="BA4" s="7" t="s">
        <v>368</v>
      </c>
      <c r="BB4" s="7" t="s">
        <v>368</v>
      </c>
      <c r="BC4" s="7" t="s">
        <v>368</v>
      </c>
      <c r="BD4" s="7" t="s">
        <v>368</v>
      </c>
      <c r="BE4" s="7" t="s">
        <v>368</v>
      </c>
      <c r="BF4" s="7" t="s">
        <v>368</v>
      </c>
      <c r="BG4" s="7"/>
      <c r="BH4" s="7"/>
    </row>
    <row r="5" spans="2:60" x14ac:dyDescent="0.35">
      <c r="B5" s="13" t="s">
        <v>382</v>
      </c>
      <c r="M5" s="1" t="s">
        <v>240</v>
      </c>
      <c r="R5" s="1" t="s">
        <v>239</v>
      </c>
      <c r="T5"/>
      <c r="U5" s="1"/>
      <c r="W5" s="1" t="s">
        <v>242</v>
      </c>
      <c r="X5" s="7">
        <f>X3</f>
        <v>1</v>
      </c>
      <c r="Y5" s="7">
        <f t="shared" ref="Y5:AE5" si="0">Y3</f>
        <v>2</v>
      </c>
      <c r="Z5" s="7">
        <f t="shared" si="0"/>
        <v>3</v>
      </c>
      <c r="AA5" s="7">
        <f t="shared" si="0"/>
        <v>4</v>
      </c>
      <c r="AB5" s="7">
        <f t="shared" si="0"/>
        <v>5</v>
      </c>
      <c r="AC5" s="7">
        <f t="shared" si="0"/>
        <v>6</v>
      </c>
      <c r="AD5" s="7">
        <f t="shared" si="0"/>
        <v>7</v>
      </c>
      <c r="AE5" s="7">
        <f t="shared" si="0"/>
        <v>8</v>
      </c>
      <c r="AF5" s="2"/>
      <c r="AG5" s="1" t="s">
        <v>242</v>
      </c>
      <c r="AH5" s="7">
        <f t="shared" ref="AH5:AR5" si="1">INDEX($B$45:$B$55,AH3)</f>
        <v>1</v>
      </c>
      <c r="AI5" s="7">
        <f t="shared" si="1"/>
        <v>2</v>
      </c>
      <c r="AJ5" s="7">
        <f t="shared" si="1"/>
        <v>3</v>
      </c>
      <c r="AK5" s="7">
        <f t="shared" si="1"/>
        <v>4</v>
      </c>
      <c r="AL5" s="7">
        <f t="shared" si="1"/>
        <v>4</v>
      </c>
      <c r="AM5" s="7">
        <f t="shared" si="1"/>
        <v>5</v>
      </c>
      <c r="AN5" s="7">
        <f t="shared" si="1"/>
        <v>6</v>
      </c>
      <c r="AO5" s="7">
        <f t="shared" si="1"/>
        <v>6</v>
      </c>
      <c r="AP5" s="7">
        <f t="shared" si="1"/>
        <v>7</v>
      </c>
      <c r="AQ5" s="7">
        <f t="shared" si="1"/>
        <v>8</v>
      </c>
      <c r="AR5" s="7">
        <f t="shared" si="1"/>
        <v>8</v>
      </c>
      <c r="AT5" s="1" t="s">
        <v>242</v>
      </c>
      <c r="AU5" s="7">
        <f t="shared" ref="AU5:BF5" si="2">INDEX($B$72:$B$83,AU3)</f>
        <v>1</v>
      </c>
      <c r="AV5" s="7">
        <f t="shared" si="2"/>
        <v>2</v>
      </c>
      <c r="AW5" s="7">
        <f t="shared" si="2"/>
        <v>2</v>
      </c>
      <c r="AX5" s="7">
        <f t="shared" si="2"/>
        <v>3</v>
      </c>
      <c r="AY5" s="7">
        <f t="shared" si="2"/>
        <v>4</v>
      </c>
      <c r="AZ5" s="7">
        <f t="shared" si="2"/>
        <v>4</v>
      </c>
      <c r="BA5" s="7">
        <f t="shared" si="2"/>
        <v>5</v>
      </c>
      <c r="BB5" s="7">
        <f t="shared" si="2"/>
        <v>6</v>
      </c>
      <c r="BC5" s="7">
        <f t="shared" si="2"/>
        <v>6</v>
      </c>
      <c r="BD5" s="7">
        <f t="shared" si="2"/>
        <v>7</v>
      </c>
      <c r="BE5" s="7">
        <f t="shared" si="2"/>
        <v>8</v>
      </c>
      <c r="BF5" s="7">
        <f t="shared" si="2"/>
        <v>8</v>
      </c>
    </row>
    <row r="6" spans="2:60" x14ac:dyDescent="0.35">
      <c r="B6" t="s">
        <v>4</v>
      </c>
      <c r="C6" s="2">
        <v>18</v>
      </c>
      <c r="T6"/>
      <c r="U6" s="1"/>
      <c r="W6" s="1" t="s">
        <v>243</v>
      </c>
      <c r="X6" s="1">
        <f t="shared" ref="X6:AE6" si="3">INDEX($C$29:$C$36,X3)</f>
        <v>101</v>
      </c>
      <c r="Y6" s="1">
        <f t="shared" si="3"/>
        <v>601</v>
      </c>
      <c r="Z6" s="1">
        <f t="shared" si="3"/>
        <v>101</v>
      </c>
      <c r="AA6" s="1">
        <f t="shared" si="3"/>
        <v>401</v>
      </c>
      <c r="AB6" s="1">
        <f t="shared" si="3"/>
        <v>501</v>
      </c>
      <c r="AC6" s="1">
        <f t="shared" si="3"/>
        <v>601</v>
      </c>
      <c r="AD6" s="1">
        <f t="shared" si="3"/>
        <v>101</v>
      </c>
      <c r="AE6" s="1">
        <f t="shared" si="3"/>
        <v>401</v>
      </c>
      <c r="AG6" s="1" t="str">
        <f>"&lt;="&amp;C43</f>
        <v>&lt;=168</v>
      </c>
      <c r="AH6" s="1">
        <f t="shared" ref="AH6:AR6" si="4">INDEX($C$45:$C$55,AH3)</f>
        <v>101</v>
      </c>
      <c r="AI6" s="1">
        <f t="shared" si="4"/>
        <v>601</v>
      </c>
      <c r="AJ6" s="1">
        <f t="shared" si="4"/>
        <v>101</v>
      </c>
      <c r="AK6" s="1">
        <f t="shared" si="4"/>
        <v>302</v>
      </c>
      <c r="AL6" s="1">
        <f t="shared" si="4"/>
        <v>401</v>
      </c>
      <c r="AM6" s="1">
        <f t="shared" si="4"/>
        <v>101</v>
      </c>
      <c r="AN6" s="1">
        <f t="shared" si="4"/>
        <v>302</v>
      </c>
      <c r="AO6" s="1">
        <f t="shared" si="4"/>
        <v>303</v>
      </c>
      <c r="AP6" s="1">
        <f t="shared" si="4"/>
        <v>101</v>
      </c>
      <c r="AQ6" s="1">
        <f t="shared" si="4"/>
        <v>303</v>
      </c>
      <c r="AR6" s="1">
        <f t="shared" si="4"/>
        <v>501</v>
      </c>
      <c r="AT6" s="1" t="str">
        <f>"&gt;"&amp;$C$43</f>
        <v>&gt;168</v>
      </c>
      <c r="AU6" s="1">
        <f t="shared" ref="AU6:BF6" si="5">INDEX($C$72:$C$83,AU3)</f>
        <v>101</v>
      </c>
      <c r="AV6" s="1">
        <f t="shared" si="5"/>
        <v>401</v>
      </c>
      <c r="AW6" s="1">
        <f t="shared" si="5"/>
        <v>202</v>
      </c>
      <c r="AX6" s="1">
        <f t="shared" si="5"/>
        <v>101</v>
      </c>
      <c r="AY6" s="1">
        <f t="shared" si="5"/>
        <v>401</v>
      </c>
      <c r="AZ6" s="1">
        <f t="shared" si="5"/>
        <v>203</v>
      </c>
      <c r="BA6" s="1">
        <f t="shared" si="5"/>
        <v>101</v>
      </c>
      <c r="BB6" s="1">
        <f t="shared" si="5"/>
        <v>302</v>
      </c>
      <c r="BC6" s="1">
        <f t="shared" si="5"/>
        <v>303</v>
      </c>
      <c r="BD6" s="1">
        <f t="shared" si="5"/>
        <v>101</v>
      </c>
      <c r="BE6" s="1">
        <f t="shared" si="5"/>
        <v>303</v>
      </c>
      <c r="BF6" s="1">
        <f t="shared" si="5"/>
        <v>501</v>
      </c>
    </row>
    <row r="7" spans="2:60" x14ac:dyDescent="0.35">
      <c r="B7" t="s">
        <v>352</v>
      </c>
      <c r="C7" s="2">
        <f>MATCH(C6,base_k,1)</f>
        <v>2</v>
      </c>
      <c r="T7"/>
      <c r="U7" s="1"/>
      <c r="W7" s="1" t="s">
        <v>244</v>
      </c>
      <c r="X7" s="1">
        <f>INDEX($G$29:$G$38,X3)</f>
        <v>10</v>
      </c>
      <c r="Y7" s="1">
        <f t="shared" ref="Y7:AE7" si="6">INDEX($G$29:$G$38,Y3)</f>
        <v>150</v>
      </c>
      <c r="Z7" s="1">
        <f t="shared" si="6"/>
        <v>150</v>
      </c>
      <c r="AA7" s="1">
        <f t="shared" si="6"/>
        <v>150</v>
      </c>
      <c r="AB7" s="1">
        <f t="shared" si="6"/>
        <v>150</v>
      </c>
      <c r="AC7" s="1">
        <f t="shared" si="6"/>
        <v>150</v>
      </c>
      <c r="AD7" s="1">
        <f t="shared" si="6"/>
        <v>150</v>
      </c>
      <c r="AE7" s="1">
        <f t="shared" si="6"/>
        <v>150</v>
      </c>
      <c r="AG7" s="1" t="s">
        <v>244</v>
      </c>
      <c r="AH7" s="1">
        <f t="shared" ref="AH7:AR7" si="7">INDEX($G$45:$G$63,AH3)</f>
        <v>3</v>
      </c>
      <c r="AI7" s="1">
        <f t="shared" si="7"/>
        <v>5</v>
      </c>
      <c r="AJ7" s="1">
        <f t="shared" si="7"/>
        <v>20</v>
      </c>
      <c r="AK7" s="1">
        <f t="shared" si="7"/>
        <v>19</v>
      </c>
      <c r="AL7" s="1">
        <f t="shared" si="7"/>
        <v>19</v>
      </c>
      <c r="AM7" s="1">
        <f t="shared" si="7"/>
        <v>3</v>
      </c>
      <c r="AN7" s="1">
        <f t="shared" si="7"/>
        <v>10</v>
      </c>
      <c r="AO7" s="1">
        <f t="shared" si="7"/>
        <v>10</v>
      </c>
      <c r="AP7" s="1">
        <f t="shared" si="7"/>
        <v>20</v>
      </c>
      <c r="AQ7" s="1">
        <f t="shared" si="7"/>
        <v>20</v>
      </c>
      <c r="AR7" s="1">
        <f t="shared" si="7"/>
        <v>20</v>
      </c>
      <c r="AT7" s="1" t="s">
        <v>244</v>
      </c>
      <c r="AU7" s="1">
        <f>INDEX($G$72:$G$88,AU5)</f>
        <v>11</v>
      </c>
      <c r="AV7" s="1">
        <f t="shared" ref="AV7:BF7" si="8">INDEX($G$72:$G$88,AV5)</f>
        <v>12</v>
      </c>
      <c r="AW7" s="1">
        <f t="shared" si="8"/>
        <v>12</v>
      </c>
      <c r="AX7" s="1">
        <f t="shared" si="8"/>
        <v>12</v>
      </c>
      <c r="AY7" s="1">
        <f t="shared" si="8"/>
        <v>16</v>
      </c>
      <c r="AZ7" s="1">
        <f t="shared" si="8"/>
        <v>16</v>
      </c>
      <c r="BA7" s="1">
        <f t="shared" si="8"/>
        <v>12</v>
      </c>
      <c r="BB7" s="1">
        <f t="shared" si="8"/>
        <v>12</v>
      </c>
      <c r="BC7" s="1">
        <f t="shared" si="8"/>
        <v>12</v>
      </c>
      <c r="BD7" s="1">
        <f t="shared" si="8"/>
        <v>10</v>
      </c>
      <c r="BE7" s="1">
        <f t="shared" si="8"/>
        <v>10</v>
      </c>
      <c r="BF7" s="1">
        <f t="shared" si="8"/>
        <v>10</v>
      </c>
    </row>
    <row r="8" spans="2:60" s="13" customFormat="1" x14ac:dyDescent="0.35">
      <c r="B8" t="s">
        <v>351</v>
      </c>
      <c r="C8" s="2">
        <v>2</v>
      </c>
      <c r="I8" s="13" t="s">
        <v>17</v>
      </c>
      <c r="J8" s="13" t="s">
        <v>350</v>
      </c>
      <c r="K8" s="13" t="s">
        <v>360</v>
      </c>
      <c r="L8" s="13" t="s">
        <v>155</v>
      </c>
      <c r="M8" s="13" t="s">
        <v>241</v>
      </c>
      <c r="N8" s="13" t="s">
        <v>353</v>
      </c>
      <c r="O8" s="13" t="s">
        <v>356</v>
      </c>
      <c r="P8" s="13" t="s">
        <v>354</v>
      </c>
      <c r="Q8" s="13" t="s">
        <v>357</v>
      </c>
      <c r="R8" s="13" t="s">
        <v>355</v>
      </c>
      <c r="S8" s="13" t="s">
        <v>358</v>
      </c>
      <c r="T8" s="13" t="s">
        <v>156</v>
      </c>
      <c r="U8" s="13" t="s">
        <v>148</v>
      </c>
      <c r="W8" s="13" t="s">
        <v>164</v>
      </c>
      <c r="X8" s="13" t="str">
        <f t="shared" ref="X8:AE8" si="9">INDEX($D$29:$D$36,X3)</f>
        <v>金币</v>
      </c>
      <c r="Y8" s="13" t="str">
        <f t="shared" si="9"/>
        <v>双倍结算</v>
      </c>
      <c r="Z8" s="13" t="str">
        <f t="shared" si="9"/>
        <v>金币</v>
      </c>
      <c r="AA8" s="13" t="str">
        <f t="shared" si="9"/>
        <v>免费挑战(1倍)</v>
      </c>
      <c r="AB8" s="13" t="str">
        <f t="shared" si="9"/>
        <v>24小时离线加速</v>
      </c>
      <c r="AC8" s="13" t="str">
        <f t="shared" si="9"/>
        <v>双倍结算</v>
      </c>
      <c r="AD8" s="13" t="str">
        <f t="shared" si="9"/>
        <v>金币</v>
      </c>
      <c r="AE8" s="13" t="str">
        <f t="shared" si="9"/>
        <v>免费挑战(1倍)</v>
      </c>
      <c r="AG8" s="13" t="s">
        <v>164</v>
      </c>
      <c r="AH8" s="13" t="str">
        <f t="shared" ref="AH8:AR8" si="10">INDEX($D$45:$D$55,AH3)</f>
        <v>金币</v>
      </c>
      <c r="AI8" s="13" t="str">
        <f t="shared" si="10"/>
        <v>双倍结算</v>
      </c>
      <c r="AJ8" s="13" t="str">
        <f t="shared" si="10"/>
        <v>金币</v>
      </c>
      <c r="AK8" s="13" t="str">
        <f t="shared" si="10"/>
        <v>加5张</v>
      </c>
      <c r="AL8" s="13" t="str">
        <f t="shared" si="10"/>
        <v>免费挑战(1倍)</v>
      </c>
      <c r="AM8" s="13" t="str">
        <f t="shared" si="10"/>
        <v>金币</v>
      </c>
      <c r="AN8" s="13" t="str">
        <f t="shared" si="10"/>
        <v>加5张</v>
      </c>
      <c r="AO8" s="13" t="str">
        <f t="shared" si="10"/>
        <v>万能牌</v>
      </c>
      <c r="AP8" s="13" t="str">
        <f t="shared" si="10"/>
        <v>金币</v>
      </c>
      <c r="AQ8" s="13" t="str">
        <f t="shared" si="10"/>
        <v>万能牌</v>
      </c>
      <c r="AR8" s="13" t="str">
        <f t="shared" si="10"/>
        <v>24小时离线加速</v>
      </c>
      <c r="AT8" s="13" t="s">
        <v>164</v>
      </c>
      <c r="AU8" s="13" t="str">
        <f t="shared" ref="AU8:BF8" si="11">INDEX($D$72:$D$83,AU3)</f>
        <v>金币</v>
      </c>
      <c r="AV8" s="13" t="str">
        <f t="shared" si="11"/>
        <v>免费挑战(1倍)</v>
      </c>
      <c r="AW8" s="13" t="str">
        <f t="shared" si="11"/>
        <v>开局-全清</v>
      </c>
      <c r="AX8" s="13" t="str">
        <f t="shared" si="11"/>
        <v>金币</v>
      </c>
      <c r="AY8" s="13" t="str">
        <f t="shared" si="11"/>
        <v>免费挑战(1倍)</v>
      </c>
      <c r="AZ8" s="13" t="str">
        <f t="shared" si="11"/>
        <v>开局-万能牌</v>
      </c>
      <c r="BA8" s="13" t="str">
        <f t="shared" si="11"/>
        <v>金币</v>
      </c>
      <c r="BB8" s="13" t="str">
        <f t="shared" si="11"/>
        <v>加5张</v>
      </c>
      <c r="BC8" s="13" t="str">
        <f t="shared" si="11"/>
        <v>万能牌</v>
      </c>
      <c r="BD8" s="13" t="str">
        <f t="shared" si="11"/>
        <v>金币</v>
      </c>
      <c r="BE8" s="13" t="str">
        <f t="shared" si="11"/>
        <v>万能牌</v>
      </c>
      <c r="BF8" s="13" t="str">
        <f t="shared" si="11"/>
        <v>24小时离线加速</v>
      </c>
    </row>
    <row r="9" spans="2:60" x14ac:dyDescent="0.35">
      <c r="B9" t="s">
        <v>362</v>
      </c>
      <c r="C9" s="2">
        <v>1</v>
      </c>
      <c r="I9" s="7">
        <v>1</v>
      </c>
      <c r="J9" s="1">
        <f t="shared" ref="J9:J51" si="12">INDEX(base_k,I9+$C$7-1)</f>
        <v>12</v>
      </c>
      <c r="K9" s="1">
        <f t="shared" ref="K9:K51" si="13">ROUNDDOWN((J10-J9)/$C$8-$C$9,0)+J9</f>
        <v>18</v>
      </c>
      <c r="L9" s="1">
        <f>$C$17</f>
        <v>5</v>
      </c>
      <c r="M9" s="1">
        <f>$C$17</f>
        <v>5</v>
      </c>
      <c r="N9" s="1">
        <f t="shared" ref="N9:N51" si="14">MAX(ROUNDUP($L9/C$17,0),1)+$C$6-1</f>
        <v>18</v>
      </c>
      <c r="P9" s="1">
        <f t="shared" ref="P9:P51" si="15">MAX(ROUNDUP($L9/D$17,0),1)+$C$6-1</f>
        <v>18</v>
      </c>
      <c r="R9" s="1">
        <f t="shared" ref="R9:R51" si="16">MAX(ROUNDUP($L9/E$17,0),1)+$C$6-1</f>
        <v>18</v>
      </c>
      <c r="T9" s="1">
        <f>INDEX(leve_cost_v,MATCH(N9,leve_cost_k,1))</f>
        <v>1000</v>
      </c>
      <c r="U9" s="12">
        <f>T9</f>
        <v>1000</v>
      </c>
      <c r="W9" s="8">
        <f>$C$25*$U9/$T9</f>
        <v>3.8471698113207546</v>
      </c>
      <c r="X9" s="1">
        <f t="shared" ref="X9:AE18" si="17">IF(X$6=$C$29,_xlfn.CEILING.MATH($U9*INDEX($E$29:$E$36,X$3),500),INDEX($E$29:$E$36,X$3))</f>
        <v>25000</v>
      </c>
      <c r="Y9" s="1">
        <f t="shared" si="17"/>
        <v>2</v>
      </c>
      <c r="Z9" s="1">
        <f t="shared" si="17"/>
        <v>5000</v>
      </c>
      <c r="AA9" s="1">
        <f t="shared" si="17"/>
        <v>3</v>
      </c>
      <c r="AB9" s="1">
        <f t="shared" si="17"/>
        <v>1</v>
      </c>
      <c r="AC9" s="1">
        <f t="shared" si="17"/>
        <v>3</v>
      </c>
      <c r="AD9" s="1">
        <f t="shared" si="17"/>
        <v>2500</v>
      </c>
      <c r="AE9" s="1">
        <f t="shared" si="17"/>
        <v>5</v>
      </c>
      <c r="AG9" s="8">
        <f t="shared" ref="AG9:AG51" si="18">$C$41*$U9/$T9</f>
        <v>33.317</v>
      </c>
      <c r="AH9" s="1">
        <f t="shared" ref="AH9:AR18" si="19">IF(AH$6=$C$29,_xlfn.CEILING.MATH($U9*INDEX($E$45:$E$55,AH$3),500),INDEX($E$45:$E$55,AH$3))</f>
        <v>85000</v>
      </c>
      <c r="AI9" s="1">
        <f t="shared" si="19"/>
        <v>10</v>
      </c>
      <c r="AJ9" s="1">
        <f t="shared" si="19"/>
        <v>30000</v>
      </c>
      <c r="AK9" s="1">
        <f t="shared" si="19"/>
        <v>10</v>
      </c>
      <c r="AL9" s="1">
        <f t="shared" si="19"/>
        <v>10</v>
      </c>
      <c r="AM9" s="1">
        <f t="shared" si="19"/>
        <v>21000</v>
      </c>
      <c r="AN9" s="1">
        <f t="shared" si="19"/>
        <v>10</v>
      </c>
      <c r="AO9" s="1">
        <f t="shared" si="19"/>
        <v>10</v>
      </c>
      <c r="AP9" s="1">
        <f t="shared" si="19"/>
        <v>16000</v>
      </c>
      <c r="AQ9" s="1">
        <f t="shared" si="19"/>
        <v>10</v>
      </c>
      <c r="AR9" s="1">
        <f t="shared" si="19"/>
        <v>1</v>
      </c>
      <c r="AS9" s="1"/>
      <c r="AT9" s="8">
        <f t="shared" ref="AT9:AT51" si="20">$C$68*$U9/$T9</f>
        <v>36.668316831683171</v>
      </c>
      <c r="AU9" s="1">
        <f t="shared" ref="AU9:BF18" si="21">IF(AU$6=$C$29,_xlfn.CEILING.MATH($U9*INDEX($E$72:$E$83,AU$3),500),INDEX($E$72:$E$83,AU$3))</f>
        <v>120000</v>
      </c>
      <c r="AV9" s="1">
        <f t="shared" si="21"/>
        <v>5</v>
      </c>
      <c r="AW9" s="1">
        <f t="shared" si="21"/>
        <v>5</v>
      </c>
      <c r="AX9" s="1">
        <f t="shared" si="21"/>
        <v>25000</v>
      </c>
      <c r="AY9" s="1">
        <f t="shared" si="21"/>
        <v>5</v>
      </c>
      <c r="AZ9" s="1">
        <f t="shared" si="21"/>
        <v>5</v>
      </c>
      <c r="BA9" s="1">
        <f t="shared" si="21"/>
        <v>40000</v>
      </c>
      <c r="BB9" s="1">
        <f t="shared" si="21"/>
        <v>5</v>
      </c>
      <c r="BC9" s="1">
        <f t="shared" si="21"/>
        <v>5</v>
      </c>
      <c r="BD9" s="1">
        <f t="shared" si="21"/>
        <v>35000</v>
      </c>
      <c r="BE9" s="1">
        <f t="shared" si="21"/>
        <v>5</v>
      </c>
      <c r="BF9" s="1">
        <f t="shared" si="21"/>
        <v>1</v>
      </c>
    </row>
    <row r="10" spans="2:60" x14ac:dyDescent="0.35">
      <c r="I10" s="7">
        <v>2</v>
      </c>
      <c r="J10" s="1">
        <f t="shared" si="12"/>
        <v>27</v>
      </c>
      <c r="K10" s="1">
        <f t="shared" si="13"/>
        <v>36</v>
      </c>
      <c r="L10" s="1">
        <f>M10+L9</f>
        <v>95</v>
      </c>
      <c r="M10" s="1">
        <f>(K10-K9)*$C$17</f>
        <v>90</v>
      </c>
      <c r="N10" s="1">
        <f t="shared" si="14"/>
        <v>36</v>
      </c>
      <c r="O10" s="1">
        <f>N10-N9</f>
        <v>18</v>
      </c>
      <c r="P10" s="1">
        <f t="shared" si="15"/>
        <v>29</v>
      </c>
      <c r="Q10" s="1">
        <f>P10-P9</f>
        <v>11</v>
      </c>
      <c r="R10" s="1">
        <f t="shared" si="16"/>
        <v>25</v>
      </c>
      <c r="S10" s="1">
        <f>R10-R9</f>
        <v>7</v>
      </c>
      <c r="T10" s="1">
        <f t="shared" ref="T10:T51" si="22">INDEX(leve_cost_v,MATCH(N10,leve_cost_k,1)-1)</f>
        <v>1500</v>
      </c>
      <c r="U10" s="12">
        <f t="shared" ref="U10:U51" si="23">T10</f>
        <v>1500</v>
      </c>
      <c r="W10" s="8">
        <f t="shared" ref="W10:W51" si="24">$C$25*$U10/$T10</f>
        <v>3.8471698113207551</v>
      </c>
      <c r="X10" s="1">
        <f t="shared" si="17"/>
        <v>37500</v>
      </c>
      <c r="Y10" s="1">
        <f t="shared" si="17"/>
        <v>2</v>
      </c>
      <c r="Z10" s="1">
        <f t="shared" si="17"/>
        <v>7500</v>
      </c>
      <c r="AA10" s="1">
        <f t="shared" si="17"/>
        <v>3</v>
      </c>
      <c r="AB10" s="1">
        <f t="shared" si="17"/>
        <v>1</v>
      </c>
      <c r="AC10" s="1">
        <f t="shared" si="17"/>
        <v>3</v>
      </c>
      <c r="AD10" s="1">
        <f t="shared" si="17"/>
        <v>4000</v>
      </c>
      <c r="AE10" s="1">
        <f t="shared" si="17"/>
        <v>5</v>
      </c>
      <c r="AG10" s="8">
        <f t="shared" si="18"/>
        <v>33.317</v>
      </c>
      <c r="AH10" s="1">
        <f t="shared" si="19"/>
        <v>127500</v>
      </c>
      <c r="AI10" s="1">
        <f t="shared" si="19"/>
        <v>10</v>
      </c>
      <c r="AJ10" s="1">
        <f t="shared" si="19"/>
        <v>45000</v>
      </c>
      <c r="AK10" s="1">
        <f t="shared" si="19"/>
        <v>10</v>
      </c>
      <c r="AL10" s="1">
        <f t="shared" si="19"/>
        <v>10</v>
      </c>
      <c r="AM10" s="1">
        <f t="shared" si="19"/>
        <v>31500</v>
      </c>
      <c r="AN10" s="1">
        <f t="shared" si="19"/>
        <v>10</v>
      </c>
      <c r="AO10" s="1">
        <f t="shared" si="19"/>
        <v>10</v>
      </c>
      <c r="AP10" s="1">
        <f t="shared" si="19"/>
        <v>24000</v>
      </c>
      <c r="AQ10" s="1">
        <f t="shared" si="19"/>
        <v>10</v>
      </c>
      <c r="AR10" s="1">
        <f t="shared" si="19"/>
        <v>1</v>
      </c>
      <c r="AS10" s="1"/>
      <c r="AT10" s="8">
        <f t="shared" si="20"/>
        <v>36.668316831683171</v>
      </c>
      <c r="AU10" s="1">
        <f t="shared" si="21"/>
        <v>180000</v>
      </c>
      <c r="AV10" s="1">
        <f t="shared" si="21"/>
        <v>5</v>
      </c>
      <c r="AW10" s="1">
        <f t="shared" si="21"/>
        <v>5</v>
      </c>
      <c r="AX10" s="1">
        <f t="shared" si="21"/>
        <v>37500</v>
      </c>
      <c r="AY10" s="1">
        <f t="shared" si="21"/>
        <v>5</v>
      </c>
      <c r="AZ10" s="1">
        <f t="shared" si="21"/>
        <v>5</v>
      </c>
      <c r="BA10" s="1">
        <f t="shared" si="21"/>
        <v>60000</v>
      </c>
      <c r="BB10" s="1">
        <f t="shared" si="21"/>
        <v>5</v>
      </c>
      <c r="BC10" s="1">
        <f t="shared" si="21"/>
        <v>5</v>
      </c>
      <c r="BD10" s="1">
        <f t="shared" si="21"/>
        <v>52500</v>
      </c>
      <c r="BE10" s="1">
        <f t="shared" si="21"/>
        <v>5</v>
      </c>
      <c r="BF10" s="1">
        <f t="shared" si="21"/>
        <v>1</v>
      </c>
    </row>
    <row r="11" spans="2:60" x14ac:dyDescent="0.35">
      <c r="B11" t="s">
        <v>150</v>
      </c>
      <c r="C11" s="2">
        <v>200</v>
      </c>
      <c r="I11" s="7">
        <v>3</v>
      </c>
      <c r="J11" s="1">
        <f t="shared" si="12"/>
        <v>47</v>
      </c>
      <c r="K11" s="1">
        <f t="shared" si="13"/>
        <v>56</v>
      </c>
      <c r="L11" s="1">
        <f t="shared" ref="L11:L51" si="25">M11+L10</f>
        <v>195</v>
      </c>
      <c r="M11" s="1">
        <f t="shared" ref="M11:M51" si="26">(K11-K10)*$C$17</f>
        <v>100</v>
      </c>
      <c r="N11" s="1">
        <f t="shared" si="14"/>
        <v>56</v>
      </c>
      <c r="O11" s="1">
        <f t="shared" ref="O11:O51" si="27">N11-N10</f>
        <v>20</v>
      </c>
      <c r="P11" s="1">
        <f t="shared" si="15"/>
        <v>42</v>
      </c>
      <c r="Q11" s="1">
        <f t="shared" ref="Q11:Q51" si="28">P11-P10</f>
        <v>13</v>
      </c>
      <c r="R11" s="1">
        <f t="shared" si="16"/>
        <v>34</v>
      </c>
      <c r="S11" s="1">
        <f t="shared" ref="S11:S51" si="29">R11-R10</f>
        <v>9</v>
      </c>
      <c r="T11" s="1">
        <f t="shared" si="22"/>
        <v>1500</v>
      </c>
      <c r="U11" s="12">
        <f t="shared" si="23"/>
        <v>1500</v>
      </c>
      <c r="W11" s="8">
        <f t="shared" si="24"/>
        <v>3.8471698113207551</v>
      </c>
      <c r="X11" s="1">
        <f t="shared" si="17"/>
        <v>37500</v>
      </c>
      <c r="Y11" s="1">
        <f t="shared" si="17"/>
        <v>2</v>
      </c>
      <c r="Z11" s="1">
        <f t="shared" si="17"/>
        <v>7500</v>
      </c>
      <c r="AA11" s="1">
        <f t="shared" si="17"/>
        <v>3</v>
      </c>
      <c r="AB11" s="1">
        <f t="shared" si="17"/>
        <v>1</v>
      </c>
      <c r="AC11" s="1">
        <f t="shared" si="17"/>
        <v>3</v>
      </c>
      <c r="AD11" s="1">
        <f t="shared" si="17"/>
        <v>4000</v>
      </c>
      <c r="AE11" s="1">
        <f t="shared" si="17"/>
        <v>5</v>
      </c>
      <c r="AG11" s="8">
        <f t="shared" si="18"/>
        <v>33.317</v>
      </c>
      <c r="AH11" s="1">
        <f t="shared" si="19"/>
        <v>127500</v>
      </c>
      <c r="AI11" s="1">
        <f t="shared" si="19"/>
        <v>10</v>
      </c>
      <c r="AJ11" s="1">
        <f t="shared" si="19"/>
        <v>45000</v>
      </c>
      <c r="AK11" s="1">
        <f t="shared" si="19"/>
        <v>10</v>
      </c>
      <c r="AL11" s="1">
        <f t="shared" si="19"/>
        <v>10</v>
      </c>
      <c r="AM11" s="1">
        <f t="shared" si="19"/>
        <v>31500</v>
      </c>
      <c r="AN11" s="1">
        <f t="shared" si="19"/>
        <v>10</v>
      </c>
      <c r="AO11" s="1">
        <f t="shared" si="19"/>
        <v>10</v>
      </c>
      <c r="AP11" s="1">
        <f t="shared" si="19"/>
        <v>24000</v>
      </c>
      <c r="AQ11" s="1">
        <f t="shared" si="19"/>
        <v>10</v>
      </c>
      <c r="AR11" s="1">
        <f t="shared" si="19"/>
        <v>1</v>
      </c>
      <c r="AS11" s="1"/>
      <c r="AT11" s="8">
        <f t="shared" si="20"/>
        <v>36.668316831683171</v>
      </c>
      <c r="AU11" s="1">
        <f t="shared" si="21"/>
        <v>180000</v>
      </c>
      <c r="AV11" s="1">
        <f t="shared" si="21"/>
        <v>5</v>
      </c>
      <c r="AW11" s="1">
        <f t="shared" si="21"/>
        <v>5</v>
      </c>
      <c r="AX11" s="1">
        <f t="shared" si="21"/>
        <v>37500</v>
      </c>
      <c r="AY11" s="1">
        <f t="shared" si="21"/>
        <v>5</v>
      </c>
      <c r="AZ11" s="1">
        <f t="shared" si="21"/>
        <v>5</v>
      </c>
      <c r="BA11" s="1">
        <f t="shared" si="21"/>
        <v>60000</v>
      </c>
      <c r="BB11" s="1">
        <f t="shared" si="21"/>
        <v>5</v>
      </c>
      <c r="BC11" s="1">
        <f t="shared" si="21"/>
        <v>5</v>
      </c>
      <c r="BD11" s="1">
        <f t="shared" si="21"/>
        <v>52500</v>
      </c>
      <c r="BE11" s="1">
        <f t="shared" si="21"/>
        <v>5</v>
      </c>
      <c r="BF11" s="1">
        <f t="shared" si="21"/>
        <v>1</v>
      </c>
    </row>
    <row r="12" spans="2:60" x14ac:dyDescent="0.35">
      <c r="B12" t="s">
        <v>151</v>
      </c>
      <c r="C12" s="1">
        <f>(C11-C6)*E17</f>
        <v>2184</v>
      </c>
      <c r="I12" s="7">
        <v>4</v>
      </c>
      <c r="J12" s="1">
        <f t="shared" si="12"/>
        <v>67</v>
      </c>
      <c r="K12" s="1">
        <f t="shared" si="13"/>
        <v>76</v>
      </c>
      <c r="L12" s="1">
        <f t="shared" si="25"/>
        <v>295</v>
      </c>
      <c r="M12" s="1">
        <f t="shared" si="26"/>
        <v>100</v>
      </c>
      <c r="N12" s="1">
        <f t="shared" si="14"/>
        <v>76</v>
      </c>
      <c r="O12" s="1">
        <f t="shared" si="27"/>
        <v>20</v>
      </c>
      <c r="P12" s="1">
        <f t="shared" si="15"/>
        <v>54</v>
      </c>
      <c r="Q12" s="1">
        <f t="shared" si="28"/>
        <v>12</v>
      </c>
      <c r="R12" s="1">
        <f t="shared" si="16"/>
        <v>42</v>
      </c>
      <c r="S12" s="1">
        <f t="shared" si="29"/>
        <v>8</v>
      </c>
      <c r="T12" s="1">
        <f t="shared" si="22"/>
        <v>1800</v>
      </c>
      <c r="U12" s="12">
        <f t="shared" si="23"/>
        <v>1800</v>
      </c>
      <c r="W12" s="8">
        <f t="shared" si="24"/>
        <v>3.8471698113207551</v>
      </c>
      <c r="X12" s="1">
        <f t="shared" si="17"/>
        <v>45000</v>
      </c>
      <c r="Y12" s="1">
        <f t="shared" si="17"/>
        <v>2</v>
      </c>
      <c r="Z12" s="1">
        <f t="shared" si="17"/>
        <v>9000</v>
      </c>
      <c r="AA12" s="1">
        <f t="shared" si="17"/>
        <v>3</v>
      </c>
      <c r="AB12" s="1">
        <f t="shared" si="17"/>
        <v>1</v>
      </c>
      <c r="AC12" s="1">
        <f t="shared" si="17"/>
        <v>3</v>
      </c>
      <c r="AD12" s="1">
        <f t="shared" si="17"/>
        <v>4500</v>
      </c>
      <c r="AE12" s="1">
        <f t="shared" si="17"/>
        <v>5</v>
      </c>
      <c r="AG12" s="8">
        <f t="shared" si="18"/>
        <v>33.317</v>
      </c>
      <c r="AH12" s="1">
        <f t="shared" si="19"/>
        <v>153000</v>
      </c>
      <c r="AI12" s="1">
        <f t="shared" si="19"/>
        <v>10</v>
      </c>
      <c r="AJ12" s="1">
        <f t="shared" si="19"/>
        <v>54000</v>
      </c>
      <c r="AK12" s="1">
        <f t="shared" si="19"/>
        <v>10</v>
      </c>
      <c r="AL12" s="1">
        <f t="shared" si="19"/>
        <v>10</v>
      </c>
      <c r="AM12" s="1">
        <f t="shared" si="19"/>
        <v>38000</v>
      </c>
      <c r="AN12" s="1">
        <f t="shared" si="19"/>
        <v>10</v>
      </c>
      <c r="AO12" s="1">
        <f t="shared" si="19"/>
        <v>10</v>
      </c>
      <c r="AP12" s="1">
        <f t="shared" si="19"/>
        <v>29000</v>
      </c>
      <c r="AQ12" s="1">
        <f t="shared" si="19"/>
        <v>10</v>
      </c>
      <c r="AR12" s="1">
        <f t="shared" si="19"/>
        <v>1</v>
      </c>
      <c r="AS12" s="1"/>
      <c r="AT12" s="8">
        <f t="shared" si="20"/>
        <v>36.668316831683171</v>
      </c>
      <c r="AU12" s="1">
        <f t="shared" si="21"/>
        <v>216000</v>
      </c>
      <c r="AV12" s="1">
        <f t="shared" si="21"/>
        <v>5</v>
      </c>
      <c r="AW12" s="1">
        <f t="shared" si="21"/>
        <v>5</v>
      </c>
      <c r="AX12" s="1">
        <f t="shared" si="21"/>
        <v>45000</v>
      </c>
      <c r="AY12" s="1">
        <f t="shared" si="21"/>
        <v>5</v>
      </c>
      <c r="AZ12" s="1">
        <f t="shared" si="21"/>
        <v>5</v>
      </c>
      <c r="BA12" s="1">
        <f t="shared" si="21"/>
        <v>72000</v>
      </c>
      <c r="BB12" s="1">
        <f t="shared" si="21"/>
        <v>5</v>
      </c>
      <c r="BC12" s="1">
        <f t="shared" si="21"/>
        <v>5</v>
      </c>
      <c r="BD12" s="1">
        <f t="shared" si="21"/>
        <v>63000</v>
      </c>
      <c r="BE12" s="1">
        <f t="shared" si="21"/>
        <v>5</v>
      </c>
      <c r="BF12" s="1">
        <f t="shared" si="21"/>
        <v>1</v>
      </c>
    </row>
    <row r="13" spans="2:60" x14ac:dyDescent="0.35">
      <c r="I13" s="7">
        <v>5</v>
      </c>
      <c r="J13" s="1">
        <f t="shared" si="12"/>
        <v>87</v>
      </c>
      <c r="K13" s="1">
        <f t="shared" si="13"/>
        <v>96</v>
      </c>
      <c r="L13" s="1">
        <f t="shared" si="25"/>
        <v>395</v>
      </c>
      <c r="M13" s="1">
        <f t="shared" si="26"/>
        <v>100</v>
      </c>
      <c r="N13" s="1">
        <f t="shared" si="14"/>
        <v>96</v>
      </c>
      <c r="O13" s="1">
        <f t="shared" si="27"/>
        <v>20</v>
      </c>
      <c r="P13" s="1">
        <f t="shared" si="15"/>
        <v>67</v>
      </c>
      <c r="Q13" s="1">
        <f t="shared" si="28"/>
        <v>13</v>
      </c>
      <c r="R13" s="1">
        <f t="shared" si="16"/>
        <v>50</v>
      </c>
      <c r="S13" s="1">
        <f t="shared" si="29"/>
        <v>8</v>
      </c>
      <c r="T13" s="1">
        <f t="shared" si="22"/>
        <v>1800</v>
      </c>
      <c r="U13" s="12">
        <f t="shared" si="23"/>
        <v>1800</v>
      </c>
      <c r="W13" s="8">
        <f t="shared" si="24"/>
        <v>3.8471698113207551</v>
      </c>
      <c r="X13" s="1">
        <f t="shared" si="17"/>
        <v>45000</v>
      </c>
      <c r="Y13" s="1">
        <f t="shared" si="17"/>
        <v>2</v>
      </c>
      <c r="Z13" s="1">
        <f t="shared" si="17"/>
        <v>9000</v>
      </c>
      <c r="AA13" s="1">
        <f t="shared" si="17"/>
        <v>3</v>
      </c>
      <c r="AB13" s="1">
        <f t="shared" si="17"/>
        <v>1</v>
      </c>
      <c r="AC13" s="1">
        <f t="shared" si="17"/>
        <v>3</v>
      </c>
      <c r="AD13" s="1">
        <f t="shared" si="17"/>
        <v>4500</v>
      </c>
      <c r="AE13" s="1">
        <f t="shared" si="17"/>
        <v>5</v>
      </c>
      <c r="AG13" s="8">
        <f t="shared" si="18"/>
        <v>33.317</v>
      </c>
      <c r="AH13" s="1">
        <f t="shared" si="19"/>
        <v>153000</v>
      </c>
      <c r="AI13" s="1">
        <f t="shared" si="19"/>
        <v>10</v>
      </c>
      <c r="AJ13" s="1">
        <f t="shared" si="19"/>
        <v>54000</v>
      </c>
      <c r="AK13" s="1">
        <f t="shared" si="19"/>
        <v>10</v>
      </c>
      <c r="AL13" s="1">
        <f t="shared" si="19"/>
        <v>10</v>
      </c>
      <c r="AM13" s="1">
        <f t="shared" si="19"/>
        <v>38000</v>
      </c>
      <c r="AN13" s="1">
        <f t="shared" si="19"/>
        <v>10</v>
      </c>
      <c r="AO13" s="1">
        <f t="shared" si="19"/>
        <v>10</v>
      </c>
      <c r="AP13" s="1">
        <f t="shared" si="19"/>
        <v>29000</v>
      </c>
      <c r="AQ13" s="1">
        <f t="shared" si="19"/>
        <v>10</v>
      </c>
      <c r="AR13" s="1">
        <f t="shared" si="19"/>
        <v>1</v>
      </c>
      <c r="AS13" s="1"/>
      <c r="AT13" s="8">
        <f t="shared" si="20"/>
        <v>36.668316831683171</v>
      </c>
      <c r="AU13" s="1">
        <f t="shared" si="21"/>
        <v>216000</v>
      </c>
      <c r="AV13" s="1">
        <f t="shared" si="21"/>
        <v>5</v>
      </c>
      <c r="AW13" s="1">
        <f t="shared" si="21"/>
        <v>5</v>
      </c>
      <c r="AX13" s="1">
        <f t="shared" si="21"/>
        <v>45000</v>
      </c>
      <c r="AY13" s="1">
        <f t="shared" si="21"/>
        <v>5</v>
      </c>
      <c r="AZ13" s="1">
        <f t="shared" si="21"/>
        <v>5</v>
      </c>
      <c r="BA13" s="1">
        <f t="shared" si="21"/>
        <v>72000</v>
      </c>
      <c r="BB13" s="1">
        <f t="shared" si="21"/>
        <v>5</v>
      </c>
      <c r="BC13" s="1">
        <f t="shared" si="21"/>
        <v>5</v>
      </c>
      <c r="BD13" s="1">
        <f t="shared" si="21"/>
        <v>63000</v>
      </c>
      <c r="BE13" s="1">
        <f t="shared" si="21"/>
        <v>5</v>
      </c>
      <c r="BF13" s="1">
        <f t="shared" si="21"/>
        <v>1</v>
      </c>
    </row>
    <row r="14" spans="2:60" x14ac:dyDescent="0.35">
      <c r="B14" s="13" t="s">
        <v>383</v>
      </c>
      <c r="C14" s="13">
        <v>5</v>
      </c>
      <c r="D14"/>
      <c r="E14"/>
      <c r="F14"/>
      <c r="G14"/>
      <c r="I14" s="7">
        <v>6</v>
      </c>
      <c r="J14" s="1">
        <f t="shared" si="12"/>
        <v>107</v>
      </c>
      <c r="K14" s="1">
        <f t="shared" si="13"/>
        <v>116</v>
      </c>
      <c r="L14" s="1">
        <f t="shared" si="25"/>
        <v>495</v>
      </c>
      <c r="M14" s="1">
        <f t="shared" si="26"/>
        <v>100</v>
      </c>
      <c r="N14" s="1">
        <f t="shared" si="14"/>
        <v>116</v>
      </c>
      <c r="O14" s="1">
        <f t="shared" si="27"/>
        <v>20</v>
      </c>
      <c r="P14" s="1">
        <f t="shared" si="15"/>
        <v>79</v>
      </c>
      <c r="Q14" s="1">
        <f t="shared" si="28"/>
        <v>12</v>
      </c>
      <c r="R14" s="1">
        <f t="shared" si="16"/>
        <v>59</v>
      </c>
      <c r="S14" s="1">
        <f t="shared" si="29"/>
        <v>9</v>
      </c>
      <c r="T14" s="1">
        <f t="shared" si="22"/>
        <v>2000</v>
      </c>
      <c r="U14" s="12">
        <f t="shared" si="23"/>
        <v>2000</v>
      </c>
      <c r="W14" s="8">
        <f t="shared" si="24"/>
        <v>3.8471698113207546</v>
      </c>
      <c r="X14" s="1">
        <f t="shared" si="17"/>
        <v>50000</v>
      </c>
      <c r="Y14" s="1">
        <f t="shared" si="17"/>
        <v>2</v>
      </c>
      <c r="Z14" s="1">
        <f t="shared" si="17"/>
        <v>10000</v>
      </c>
      <c r="AA14" s="1">
        <f t="shared" si="17"/>
        <v>3</v>
      </c>
      <c r="AB14" s="1">
        <f t="shared" si="17"/>
        <v>1</v>
      </c>
      <c r="AC14" s="1">
        <f t="shared" si="17"/>
        <v>3</v>
      </c>
      <c r="AD14" s="1">
        <f t="shared" si="17"/>
        <v>5000</v>
      </c>
      <c r="AE14" s="1">
        <f t="shared" si="17"/>
        <v>5</v>
      </c>
      <c r="AG14" s="8">
        <f t="shared" si="18"/>
        <v>33.317</v>
      </c>
      <c r="AH14" s="1">
        <f t="shared" si="19"/>
        <v>170000</v>
      </c>
      <c r="AI14" s="1">
        <f t="shared" si="19"/>
        <v>10</v>
      </c>
      <c r="AJ14" s="1">
        <f t="shared" si="19"/>
        <v>60000</v>
      </c>
      <c r="AK14" s="1">
        <f t="shared" si="19"/>
        <v>10</v>
      </c>
      <c r="AL14" s="1">
        <f t="shared" si="19"/>
        <v>10</v>
      </c>
      <c r="AM14" s="1">
        <f t="shared" si="19"/>
        <v>42000</v>
      </c>
      <c r="AN14" s="1">
        <f t="shared" si="19"/>
        <v>10</v>
      </c>
      <c r="AO14" s="1">
        <f t="shared" si="19"/>
        <v>10</v>
      </c>
      <c r="AP14" s="1">
        <f t="shared" si="19"/>
        <v>32000</v>
      </c>
      <c r="AQ14" s="1">
        <f t="shared" si="19"/>
        <v>10</v>
      </c>
      <c r="AR14" s="1">
        <f t="shared" si="19"/>
        <v>1</v>
      </c>
      <c r="AS14" s="1"/>
      <c r="AT14" s="8">
        <f t="shared" si="20"/>
        <v>36.668316831683171</v>
      </c>
      <c r="AU14" s="1">
        <f t="shared" si="21"/>
        <v>240000</v>
      </c>
      <c r="AV14" s="1">
        <f t="shared" si="21"/>
        <v>5</v>
      </c>
      <c r="AW14" s="1">
        <f t="shared" si="21"/>
        <v>5</v>
      </c>
      <c r="AX14" s="1">
        <f t="shared" si="21"/>
        <v>50000</v>
      </c>
      <c r="AY14" s="1">
        <f t="shared" si="21"/>
        <v>5</v>
      </c>
      <c r="AZ14" s="1">
        <f t="shared" si="21"/>
        <v>5</v>
      </c>
      <c r="BA14" s="1">
        <f t="shared" si="21"/>
        <v>80000</v>
      </c>
      <c r="BB14" s="1">
        <f t="shared" si="21"/>
        <v>5</v>
      </c>
      <c r="BC14" s="1">
        <f t="shared" si="21"/>
        <v>5</v>
      </c>
      <c r="BD14" s="1">
        <f t="shared" si="21"/>
        <v>70000</v>
      </c>
      <c r="BE14" s="1">
        <f t="shared" si="21"/>
        <v>5</v>
      </c>
      <c r="BF14" s="1">
        <f t="shared" si="21"/>
        <v>1</v>
      </c>
    </row>
    <row r="15" spans="2:60" x14ac:dyDescent="0.35">
      <c r="B15" s="13" t="s">
        <v>133</v>
      </c>
      <c r="C15" s="13">
        <v>1</v>
      </c>
      <c r="D15" s="13">
        <v>2</v>
      </c>
      <c r="E15" s="13">
        <v>3</v>
      </c>
      <c r="F15" s="13">
        <v>4</v>
      </c>
      <c r="G15"/>
      <c r="I15" s="7">
        <v>7</v>
      </c>
      <c r="J15" s="1">
        <f t="shared" si="12"/>
        <v>127</v>
      </c>
      <c r="K15" s="1">
        <f t="shared" si="13"/>
        <v>136</v>
      </c>
      <c r="L15" s="1">
        <f t="shared" si="25"/>
        <v>595</v>
      </c>
      <c r="M15" s="1">
        <f t="shared" si="26"/>
        <v>100</v>
      </c>
      <c r="N15" s="1">
        <f t="shared" si="14"/>
        <v>136</v>
      </c>
      <c r="O15" s="1">
        <f t="shared" si="27"/>
        <v>20</v>
      </c>
      <c r="P15" s="1">
        <f t="shared" si="15"/>
        <v>92</v>
      </c>
      <c r="Q15" s="1">
        <f t="shared" si="28"/>
        <v>13</v>
      </c>
      <c r="R15" s="1">
        <f t="shared" si="16"/>
        <v>67</v>
      </c>
      <c r="S15" s="1">
        <f t="shared" si="29"/>
        <v>8</v>
      </c>
      <c r="T15" s="1">
        <f t="shared" si="22"/>
        <v>2000</v>
      </c>
      <c r="U15" s="12">
        <f t="shared" si="23"/>
        <v>2000</v>
      </c>
      <c r="W15" s="8">
        <f t="shared" si="24"/>
        <v>3.8471698113207546</v>
      </c>
      <c r="X15" s="1">
        <f t="shared" si="17"/>
        <v>50000</v>
      </c>
      <c r="Y15" s="1">
        <f t="shared" si="17"/>
        <v>2</v>
      </c>
      <c r="Z15" s="1">
        <f t="shared" si="17"/>
        <v>10000</v>
      </c>
      <c r="AA15" s="1">
        <f t="shared" si="17"/>
        <v>3</v>
      </c>
      <c r="AB15" s="1">
        <f t="shared" si="17"/>
        <v>1</v>
      </c>
      <c r="AC15" s="1">
        <f t="shared" si="17"/>
        <v>3</v>
      </c>
      <c r="AD15" s="1">
        <f t="shared" si="17"/>
        <v>5000</v>
      </c>
      <c r="AE15" s="1">
        <f t="shared" si="17"/>
        <v>5</v>
      </c>
      <c r="AG15" s="8">
        <f t="shared" si="18"/>
        <v>33.317</v>
      </c>
      <c r="AH15" s="1">
        <f t="shared" si="19"/>
        <v>170000</v>
      </c>
      <c r="AI15" s="1">
        <f t="shared" si="19"/>
        <v>10</v>
      </c>
      <c r="AJ15" s="1">
        <f t="shared" si="19"/>
        <v>60000</v>
      </c>
      <c r="AK15" s="1">
        <f t="shared" si="19"/>
        <v>10</v>
      </c>
      <c r="AL15" s="1">
        <f t="shared" si="19"/>
        <v>10</v>
      </c>
      <c r="AM15" s="1">
        <f t="shared" si="19"/>
        <v>42000</v>
      </c>
      <c r="AN15" s="1">
        <f t="shared" si="19"/>
        <v>10</v>
      </c>
      <c r="AO15" s="1">
        <f t="shared" si="19"/>
        <v>10</v>
      </c>
      <c r="AP15" s="1">
        <f t="shared" si="19"/>
        <v>32000</v>
      </c>
      <c r="AQ15" s="1">
        <f t="shared" si="19"/>
        <v>10</v>
      </c>
      <c r="AR15" s="1">
        <f t="shared" si="19"/>
        <v>1</v>
      </c>
      <c r="AS15" s="1"/>
      <c r="AT15" s="8">
        <f t="shared" si="20"/>
        <v>36.668316831683171</v>
      </c>
      <c r="AU15" s="1">
        <f t="shared" si="21"/>
        <v>240000</v>
      </c>
      <c r="AV15" s="1">
        <f t="shared" si="21"/>
        <v>5</v>
      </c>
      <c r="AW15" s="1">
        <f t="shared" si="21"/>
        <v>5</v>
      </c>
      <c r="AX15" s="1">
        <f t="shared" si="21"/>
        <v>50000</v>
      </c>
      <c r="AY15" s="1">
        <f t="shared" si="21"/>
        <v>5</v>
      </c>
      <c r="AZ15" s="1">
        <f t="shared" si="21"/>
        <v>5</v>
      </c>
      <c r="BA15" s="1">
        <f t="shared" si="21"/>
        <v>80000</v>
      </c>
      <c r="BB15" s="1">
        <f t="shared" si="21"/>
        <v>5</v>
      </c>
      <c r="BC15" s="1">
        <f t="shared" si="21"/>
        <v>5</v>
      </c>
      <c r="BD15" s="1">
        <f t="shared" si="21"/>
        <v>70000</v>
      </c>
      <c r="BE15" s="1">
        <f t="shared" si="21"/>
        <v>5</v>
      </c>
      <c r="BF15" s="1">
        <f t="shared" si="21"/>
        <v>1</v>
      </c>
    </row>
    <row r="16" spans="2:60" x14ac:dyDescent="0.35">
      <c r="B16" s="13" t="s">
        <v>46</v>
      </c>
      <c r="C16">
        <v>1</v>
      </c>
      <c r="D16">
        <v>2</v>
      </c>
      <c r="E16">
        <v>4</v>
      </c>
      <c r="F16">
        <v>8</v>
      </c>
      <c r="G16" s="5"/>
      <c r="I16" s="7">
        <v>8</v>
      </c>
      <c r="J16" s="1">
        <f t="shared" si="12"/>
        <v>147</v>
      </c>
      <c r="K16" s="1">
        <f t="shared" si="13"/>
        <v>156</v>
      </c>
      <c r="L16" s="1">
        <f t="shared" si="25"/>
        <v>695</v>
      </c>
      <c r="M16" s="1">
        <f t="shared" si="26"/>
        <v>100</v>
      </c>
      <c r="N16" s="1">
        <f t="shared" si="14"/>
        <v>156</v>
      </c>
      <c r="O16" s="1">
        <f t="shared" si="27"/>
        <v>20</v>
      </c>
      <c r="P16" s="1">
        <f t="shared" si="15"/>
        <v>104</v>
      </c>
      <c r="Q16" s="1">
        <f t="shared" si="28"/>
        <v>12</v>
      </c>
      <c r="R16" s="1">
        <f t="shared" si="16"/>
        <v>75</v>
      </c>
      <c r="S16" s="1">
        <f t="shared" si="29"/>
        <v>8</v>
      </c>
      <c r="T16" s="1">
        <f t="shared" si="22"/>
        <v>2000</v>
      </c>
      <c r="U16" s="12">
        <f t="shared" si="23"/>
        <v>2000</v>
      </c>
      <c r="W16" s="8">
        <f t="shared" si="24"/>
        <v>3.8471698113207546</v>
      </c>
      <c r="X16" s="1">
        <f t="shared" si="17"/>
        <v>50000</v>
      </c>
      <c r="Y16" s="1">
        <f t="shared" si="17"/>
        <v>2</v>
      </c>
      <c r="Z16" s="1">
        <f t="shared" si="17"/>
        <v>10000</v>
      </c>
      <c r="AA16" s="1">
        <f t="shared" si="17"/>
        <v>3</v>
      </c>
      <c r="AB16" s="1">
        <f t="shared" si="17"/>
        <v>1</v>
      </c>
      <c r="AC16" s="1">
        <f t="shared" si="17"/>
        <v>3</v>
      </c>
      <c r="AD16" s="1">
        <f t="shared" si="17"/>
        <v>5000</v>
      </c>
      <c r="AE16" s="1">
        <f t="shared" si="17"/>
        <v>5</v>
      </c>
      <c r="AG16" s="8">
        <f t="shared" si="18"/>
        <v>33.317</v>
      </c>
      <c r="AH16" s="1">
        <f t="shared" si="19"/>
        <v>170000</v>
      </c>
      <c r="AI16" s="1">
        <f t="shared" si="19"/>
        <v>10</v>
      </c>
      <c r="AJ16" s="1">
        <f t="shared" si="19"/>
        <v>60000</v>
      </c>
      <c r="AK16" s="1">
        <f t="shared" si="19"/>
        <v>10</v>
      </c>
      <c r="AL16" s="1">
        <f t="shared" si="19"/>
        <v>10</v>
      </c>
      <c r="AM16" s="1">
        <f t="shared" si="19"/>
        <v>42000</v>
      </c>
      <c r="AN16" s="1">
        <f t="shared" si="19"/>
        <v>10</v>
      </c>
      <c r="AO16" s="1">
        <f t="shared" si="19"/>
        <v>10</v>
      </c>
      <c r="AP16" s="1">
        <f t="shared" si="19"/>
        <v>32000</v>
      </c>
      <c r="AQ16" s="1">
        <f t="shared" si="19"/>
        <v>10</v>
      </c>
      <c r="AR16" s="1">
        <f t="shared" si="19"/>
        <v>1</v>
      </c>
      <c r="AS16" s="1"/>
      <c r="AT16" s="8">
        <f t="shared" si="20"/>
        <v>36.668316831683171</v>
      </c>
      <c r="AU16" s="1">
        <f t="shared" si="21"/>
        <v>240000</v>
      </c>
      <c r="AV16" s="1">
        <f t="shared" si="21"/>
        <v>5</v>
      </c>
      <c r="AW16" s="1">
        <f t="shared" si="21"/>
        <v>5</v>
      </c>
      <c r="AX16" s="1">
        <f t="shared" si="21"/>
        <v>50000</v>
      </c>
      <c r="AY16" s="1">
        <f t="shared" si="21"/>
        <v>5</v>
      </c>
      <c r="AZ16" s="1">
        <f t="shared" si="21"/>
        <v>5</v>
      </c>
      <c r="BA16" s="1">
        <f t="shared" si="21"/>
        <v>80000</v>
      </c>
      <c r="BB16" s="1">
        <f t="shared" si="21"/>
        <v>5</v>
      </c>
      <c r="BC16" s="1">
        <f t="shared" si="21"/>
        <v>5</v>
      </c>
      <c r="BD16" s="1">
        <f t="shared" si="21"/>
        <v>70000</v>
      </c>
      <c r="BE16" s="1">
        <f t="shared" si="21"/>
        <v>5</v>
      </c>
      <c r="BF16" s="1">
        <f t="shared" si="21"/>
        <v>1</v>
      </c>
    </row>
    <row r="17" spans="2:58" x14ac:dyDescent="0.35">
      <c r="B17" s="13" t="s">
        <v>153</v>
      </c>
      <c r="C17" s="5">
        <v>5</v>
      </c>
      <c r="D17" s="5">
        <v>8</v>
      </c>
      <c r="E17" s="5">
        <v>12</v>
      </c>
      <c r="F17" s="5">
        <v>32</v>
      </c>
      <c r="G17" s="5"/>
      <c r="I17" s="7">
        <v>9</v>
      </c>
      <c r="J17" s="1">
        <f t="shared" si="12"/>
        <v>167</v>
      </c>
      <c r="K17" s="1">
        <f t="shared" si="13"/>
        <v>176</v>
      </c>
      <c r="L17" s="1">
        <f t="shared" si="25"/>
        <v>795</v>
      </c>
      <c r="M17" s="1">
        <f t="shared" si="26"/>
        <v>100</v>
      </c>
      <c r="N17" s="1">
        <f t="shared" si="14"/>
        <v>176</v>
      </c>
      <c r="O17" s="1">
        <f t="shared" si="27"/>
        <v>20</v>
      </c>
      <c r="P17" s="1">
        <f t="shared" si="15"/>
        <v>117</v>
      </c>
      <c r="Q17" s="1">
        <f t="shared" si="28"/>
        <v>13</v>
      </c>
      <c r="R17" s="1">
        <f t="shared" si="16"/>
        <v>84</v>
      </c>
      <c r="S17" s="1">
        <f t="shared" si="29"/>
        <v>9</v>
      </c>
      <c r="T17" s="1">
        <f t="shared" si="22"/>
        <v>2200</v>
      </c>
      <c r="U17" s="12">
        <f t="shared" si="23"/>
        <v>2200</v>
      </c>
      <c r="W17" s="8">
        <f t="shared" si="24"/>
        <v>3.8471698113207551</v>
      </c>
      <c r="X17" s="1">
        <f t="shared" si="17"/>
        <v>55000</v>
      </c>
      <c r="Y17" s="1">
        <f t="shared" si="17"/>
        <v>2</v>
      </c>
      <c r="Z17" s="1">
        <f t="shared" si="17"/>
        <v>11000</v>
      </c>
      <c r="AA17" s="1">
        <f t="shared" si="17"/>
        <v>3</v>
      </c>
      <c r="AB17" s="1">
        <f t="shared" si="17"/>
        <v>1</v>
      </c>
      <c r="AC17" s="1">
        <f t="shared" si="17"/>
        <v>3</v>
      </c>
      <c r="AD17" s="1">
        <f t="shared" si="17"/>
        <v>5500</v>
      </c>
      <c r="AE17" s="1">
        <f t="shared" si="17"/>
        <v>5</v>
      </c>
      <c r="AG17" s="8">
        <f t="shared" si="18"/>
        <v>33.317</v>
      </c>
      <c r="AH17" s="1">
        <f t="shared" si="19"/>
        <v>187000</v>
      </c>
      <c r="AI17" s="1">
        <f t="shared" si="19"/>
        <v>10</v>
      </c>
      <c r="AJ17" s="1">
        <f t="shared" si="19"/>
        <v>66000</v>
      </c>
      <c r="AK17" s="1">
        <f t="shared" si="19"/>
        <v>10</v>
      </c>
      <c r="AL17" s="1">
        <f t="shared" si="19"/>
        <v>10</v>
      </c>
      <c r="AM17" s="1">
        <f t="shared" si="19"/>
        <v>46500</v>
      </c>
      <c r="AN17" s="1">
        <f t="shared" si="19"/>
        <v>10</v>
      </c>
      <c r="AO17" s="1">
        <f t="shared" si="19"/>
        <v>10</v>
      </c>
      <c r="AP17" s="1">
        <f t="shared" si="19"/>
        <v>35500</v>
      </c>
      <c r="AQ17" s="1">
        <f t="shared" si="19"/>
        <v>10</v>
      </c>
      <c r="AR17" s="1">
        <f t="shared" si="19"/>
        <v>1</v>
      </c>
      <c r="AS17" s="1"/>
      <c r="AT17" s="8">
        <f t="shared" si="20"/>
        <v>36.668316831683171</v>
      </c>
      <c r="AU17" s="1">
        <f t="shared" si="21"/>
        <v>264000</v>
      </c>
      <c r="AV17" s="1">
        <f t="shared" si="21"/>
        <v>5</v>
      </c>
      <c r="AW17" s="1">
        <f t="shared" si="21"/>
        <v>5</v>
      </c>
      <c r="AX17" s="1">
        <f t="shared" si="21"/>
        <v>55000</v>
      </c>
      <c r="AY17" s="1">
        <f t="shared" si="21"/>
        <v>5</v>
      </c>
      <c r="AZ17" s="1">
        <f t="shared" si="21"/>
        <v>5</v>
      </c>
      <c r="BA17" s="1">
        <f t="shared" si="21"/>
        <v>88000</v>
      </c>
      <c r="BB17" s="1">
        <f t="shared" si="21"/>
        <v>5</v>
      </c>
      <c r="BC17" s="1">
        <f t="shared" si="21"/>
        <v>5</v>
      </c>
      <c r="BD17" s="1">
        <f t="shared" si="21"/>
        <v>77000</v>
      </c>
      <c r="BE17" s="1">
        <f t="shared" si="21"/>
        <v>5</v>
      </c>
      <c r="BF17" s="1">
        <f t="shared" si="21"/>
        <v>1</v>
      </c>
    </row>
    <row r="18" spans="2:58" x14ac:dyDescent="0.35">
      <c r="B18" s="13" t="s">
        <v>152</v>
      </c>
      <c r="C18" s="1">
        <f>C16*$C$14</f>
        <v>5</v>
      </c>
      <c r="D18" s="1">
        <f>D16*$C$14</f>
        <v>10</v>
      </c>
      <c r="E18" s="1">
        <f>E16*$C$14</f>
        <v>20</v>
      </c>
      <c r="F18" s="1">
        <f>F16*$C$14</f>
        <v>40</v>
      </c>
      <c r="G18" s="1"/>
      <c r="I18" s="7">
        <v>10</v>
      </c>
      <c r="J18" s="1">
        <f t="shared" si="12"/>
        <v>187</v>
      </c>
      <c r="K18" s="1">
        <f t="shared" si="13"/>
        <v>196</v>
      </c>
      <c r="L18" s="1">
        <f t="shared" si="25"/>
        <v>895</v>
      </c>
      <c r="M18" s="1">
        <f t="shared" si="26"/>
        <v>100</v>
      </c>
      <c r="N18" s="1">
        <f t="shared" si="14"/>
        <v>196</v>
      </c>
      <c r="O18" s="1">
        <f t="shared" si="27"/>
        <v>20</v>
      </c>
      <c r="P18" s="1">
        <f t="shared" si="15"/>
        <v>129</v>
      </c>
      <c r="Q18" s="1">
        <f t="shared" si="28"/>
        <v>12</v>
      </c>
      <c r="R18" s="1">
        <f t="shared" si="16"/>
        <v>92</v>
      </c>
      <c r="S18" s="1">
        <f t="shared" si="29"/>
        <v>8</v>
      </c>
      <c r="T18" s="1">
        <f t="shared" si="22"/>
        <v>2200</v>
      </c>
      <c r="U18" s="12">
        <f t="shared" si="23"/>
        <v>2200</v>
      </c>
      <c r="W18" s="8">
        <f t="shared" si="24"/>
        <v>3.8471698113207551</v>
      </c>
      <c r="X18" s="1">
        <f t="shared" si="17"/>
        <v>55000</v>
      </c>
      <c r="Y18" s="1">
        <f t="shared" si="17"/>
        <v>2</v>
      </c>
      <c r="Z18" s="1">
        <f t="shared" si="17"/>
        <v>11000</v>
      </c>
      <c r="AA18" s="1">
        <f t="shared" si="17"/>
        <v>3</v>
      </c>
      <c r="AB18" s="1">
        <f t="shared" si="17"/>
        <v>1</v>
      </c>
      <c r="AC18" s="1">
        <f t="shared" si="17"/>
        <v>3</v>
      </c>
      <c r="AD18" s="1">
        <f t="shared" si="17"/>
        <v>5500</v>
      </c>
      <c r="AE18" s="1">
        <f t="shared" si="17"/>
        <v>5</v>
      </c>
      <c r="AG18" s="8">
        <f t="shared" si="18"/>
        <v>33.317</v>
      </c>
      <c r="AH18" s="1">
        <f t="shared" si="19"/>
        <v>187000</v>
      </c>
      <c r="AI18" s="1">
        <f t="shared" si="19"/>
        <v>10</v>
      </c>
      <c r="AJ18" s="1">
        <f t="shared" si="19"/>
        <v>66000</v>
      </c>
      <c r="AK18" s="1">
        <f t="shared" si="19"/>
        <v>10</v>
      </c>
      <c r="AL18" s="1">
        <f t="shared" si="19"/>
        <v>10</v>
      </c>
      <c r="AM18" s="1">
        <f t="shared" si="19"/>
        <v>46500</v>
      </c>
      <c r="AN18" s="1">
        <f t="shared" si="19"/>
        <v>10</v>
      </c>
      <c r="AO18" s="1">
        <f t="shared" si="19"/>
        <v>10</v>
      </c>
      <c r="AP18" s="1">
        <f t="shared" si="19"/>
        <v>35500</v>
      </c>
      <c r="AQ18" s="1">
        <f t="shared" si="19"/>
        <v>10</v>
      </c>
      <c r="AR18" s="1">
        <f t="shared" si="19"/>
        <v>1</v>
      </c>
      <c r="AS18" s="1"/>
      <c r="AT18" s="8">
        <f t="shared" si="20"/>
        <v>36.668316831683171</v>
      </c>
      <c r="AU18" s="1">
        <f t="shared" si="21"/>
        <v>264000</v>
      </c>
      <c r="AV18" s="1">
        <f t="shared" si="21"/>
        <v>5</v>
      </c>
      <c r="AW18" s="1">
        <f t="shared" si="21"/>
        <v>5</v>
      </c>
      <c r="AX18" s="1">
        <f t="shared" si="21"/>
        <v>55000</v>
      </c>
      <c r="AY18" s="1">
        <f t="shared" si="21"/>
        <v>5</v>
      </c>
      <c r="AZ18" s="1">
        <f t="shared" si="21"/>
        <v>5</v>
      </c>
      <c r="BA18" s="1">
        <f t="shared" si="21"/>
        <v>88000</v>
      </c>
      <c r="BB18" s="1">
        <f t="shared" si="21"/>
        <v>5</v>
      </c>
      <c r="BC18" s="1">
        <f t="shared" si="21"/>
        <v>5</v>
      </c>
      <c r="BD18" s="1">
        <f t="shared" si="21"/>
        <v>77000</v>
      </c>
      <c r="BE18" s="1">
        <f t="shared" si="21"/>
        <v>5</v>
      </c>
      <c r="BF18" s="1">
        <f t="shared" si="21"/>
        <v>1</v>
      </c>
    </row>
    <row r="19" spans="2:58" x14ac:dyDescent="0.35">
      <c r="B19" s="13" t="s">
        <v>154</v>
      </c>
      <c r="C19" s="1">
        <f>C17/C18</f>
        <v>1</v>
      </c>
      <c r="D19" s="1">
        <f>D17/D18</f>
        <v>0.8</v>
      </c>
      <c r="E19" s="1">
        <f>E17/E18</f>
        <v>0.6</v>
      </c>
      <c r="F19" s="1">
        <f>F17/F18</f>
        <v>0.8</v>
      </c>
      <c r="G19" s="1"/>
      <c r="I19" s="7">
        <v>11</v>
      </c>
      <c r="J19" s="1">
        <f t="shared" si="12"/>
        <v>207</v>
      </c>
      <c r="K19" s="1">
        <f t="shared" si="13"/>
        <v>216</v>
      </c>
      <c r="L19" s="1">
        <f t="shared" si="25"/>
        <v>995</v>
      </c>
      <c r="M19" s="1">
        <f t="shared" si="26"/>
        <v>100</v>
      </c>
      <c r="N19" s="1">
        <f t="shared" si="14"/>
        <v>216</v>
      </c>
      <c r="O19" s="1">
        <f t="shared" si="27"/>
        <v>20</v>
      </c>
      <c r="P19" s="1">
        <f t="shared" si="15"/>
        <v>142</v>
      </c>
      <c r="Q19" s="1">
        <f t="shared" si="28"/>
        <v>13</v>
      </c>
      <c r="R19" s="1">
        <f t="shared" si="16"/>
        <v>100</v>
      </c>
      <c r="S19" s="1">
        <f t="shared" si="29"/>
        <v>8</v>
      </c>
      <c r="T19" s="1">
        <f t="shared" si="22"/>
        <v>2500</v>
      </c>
      <c r="U19" s="12">
        <f t="shared" si="23"/>
        <v>2500</v>
      </c>
      <c r="W19" s="8">
        <f t="shared" si="24"/>
        <v>3.8471698113207546</v>
      </c>
      <c r="X19" s="1">
        <f t="shared" ref="X19:AE28" si="30">IF(X$6=$C$29,_xlfn.CEILING.MATH($U19*INDEX($E$29:$E$36,X$3),500),INDEX($E$29:$E$36,X$3))</f>
        <v>62500</v>
      </c>
      <c r="Y19" s="1">
        <f t="shared" si="30"/>
        <v>2</v>
      </c>
      <c r="Z19" s="1">
        <f t="shared" si="30"/>
        <v>12500</v>
      </c>
      <c r="AA19" s="1">
        <f t="shared" si="30"/>
        <v>3</v>
      </c>
      <c r="AB19" s="1">
        <f t="shared" si="30"/>
        <v>1</v>
      </c>
      <c r="AC19" s="1">
        <f t="shared" si="30"/>
        <v>3</v>
      </c>
      <c r="AD19" s="1">
        <f t="shared" si="30"/>
        <v>6500</v>
      </c>
      <c r="AE19" s="1">
        <f t="shared" si="30"/>
        <v>5</v>
      </c>
      <c r="AG19" s="8">
        <f t="shared" si="18"/>
        <v>33.317</v>
      </c>
      <c r="AH19" s="1">
        <f t="shared" ref="AH19:AR28" si="31">IF(AH$6=$C$29,_xlfn.CEILING.MATH($U19*INDEX($E$45:$E$55,AH$3),500),INDEX($E$45:$E$55,AH$3))</f>
        <v>212500</v>
      </c>
      <c r="AI19" s="1">
        <f t="shared" si="31"/>
        <v>10</v>
      </c>
      <c r="AJ19" s="1">
        <f t="shared" si="31"/>
        <v>75000</v>
      </c>
      <c r="AK19" s="1">
        <f t="shared" si="31"/>
        <v>10</v>
      </c>
      <c r="AL19" s="1">
        <f t="shared" si="31"/>
        <v>10</v>
      </c>
      <c r="AM19" s="1">
        <f t="shared" si="31"/>
        <v>52500</v>
      </c>
      <c r="AN19" s="1">
        <f t="shared" si="31"/>
        <v>10</v>
      </c>
      <c r="AO19" s="1">
        <f t="shared" si="31"/>
        <v>10</v>
      </c>
      <c r="AP19" s="1">
        <f t="shared" si="31"/>
        <v>40000</v>
      </c>
      <c r="AQ19" s="1">
        <f t="shared" si="31"/>
        <v>10</v>
      </c>
      <c r="AR19" s="1">
        <f t="shared" si="31"/>
        <v>1</v>
      </c>
      <c r="AS19" s="1"/>
      <c r="AT19" s="8">
        <f t="shared" si="20"/>
        <v>36.668316831683171</v>
      </c>
      <c r="AU19" s="1">
        <f t="shared" ref="AU19:BF28" si="32">IF(AU$6=$C$29,_xlfn.CEILING.MATH($U19*INDEX($E$72:$E$83,AU$3),500),INDEX($E$72:$E$83,AU$3))</f>
        <v>300000</v>
      </c>
      <c r="AV19" s="1">
        <f t="shared" si="32"/>
        <v>5</v>
      </c>
      <c r="AW19" s="1">
        <f t="shared" si="32"/>
        <v>5</v>
      </c>
      <c r="AX19" s="1">
        <f t="shared" si="32"/>
        <v>62500</v>
      </c>
      <c r="AY19" s="1">
        <f t="shared" si="32"/>
        <v>5</v>
      </c>
      <c r="AZ19" s="1">
        <f t="shared" si="32"/>
        <v>5</v>
      </c>
      <c r="BA19" s="1">
        <f t="shared" si="32"/>
        <v>100000</v>
      </c>
      <c r="BB19" s="1">
        <f t="shared" si="32"/>
        <v>5</v>
      </c>
      <c r="BC19" s="1">
        <f t="shared" si="32"/>
        <v>5</v>
      </c>
      <c r="BD19" s="1">
        <f t="shared" si="32"/>
        <v>87500</v>
      </c>
      <c r="BE19" s="1">
        <f t="shared" si="32"/>
        <v>5</v>
      </c>
      <c r="BF19" s="1">
        <f t="shared" si="32"/>
        <v>1</v>
      </c>
    </row>
    <row r="20" spans="2:58" x14ac:dyDescent="0.35">
      <c r="I20" s="7">
        <v>12</v>
      </c>
      <c r="J20" s="1">
        <f t="shared" si="12"/>
        <v>227</v>
      </c>
      <c r="K20" s="1">
        <f t="shared" si="13"/>
        <v>236</v>
      </c>
      <c r="L20" s="1">
        <f t="shared" si="25"/>
        <v>1095</v>
      </c>
      <c r="M20" s="1">
        <f t="shared" si="26"/>
        <v>100</v>
      </c>
      <c r="N20" s="1">
        <f t="shared" si="14"/>
        <v>236</v>
      </c>
      <c r="O20" s="1">
        <f t="shared" si="27"/>
        <v>20</v>
      </c>
      <c r="P20" s="1">
        <f t="shared" si="15"/>
        <v>154</v>
      </c>
      <c r="Q20" s="1">
        <f t="shared" si="28"/>
        <v>12</v>
      </c>
      <c r="R20" s="1">
        <f t="shared" si="16"/>
        <v>109</v>
      </c>
      <c r="S20" s="1">
        <f t="shared" si="29"/>
        <v>9</v>
      </c>
      <c r="T20" s="1">
        <f t="shared" si="22"/>
        <v>2500</v>
      </c>
      <c r="U20" s="12">
        <f t="shared" si="23"/>
        <v>2500</v>
      </c>
      <c r="W20" s="8">
        <f t="shared" si="24"/>
        <v>3.8471698113207546</v>
      </c>
      <c r="X20" s="1">
        <f t="shared" si="30"/>
        <v>62500</v>
      </c>
      <c r="Y20" s="1">
        <f t="shared" si="30"/>
        <v>2</v>
      </c>
      <c r="Z20" s="1">
        <f t="shared" si="30"/>
        <v>12500</v>
      </c>
      <c r="AA20" s="1">
        <f t="shared" si="30"/>
        <v>3</v>
      </c>
      <c r="AB20" s="1">
        <f t="shared" si="30"/>
        <v>1</v>
      </c>
      <c r="AC20" s="1">
        <f t="shared" si="30"/>
        <v>3</v>
      </c>
      <c r="AD20" s="1">
        <f t="shared" si="30"/>
        <v>6500</v>
      </c>
      <c r="AE20" s="1">
        <f t="shared" si="30"/>
        <v>5</v>
      </c>
      <c r="AG20" s="8">
        <f t="shared" si="18"/>
        <v>33.317</v>
      </c>
      <c r="AH20" s="1">
        <f t="shared" si="31"/>
        <v>212500</v>
      </c>
      <c r="AI20" s="1">
        <f t="shared" si="31"/>
        <v>10</v>
      </c>
      <c r="AJ20" s="1">
        <f t="shared" si="31"/>
        <v>75000</v>
      </c>
      <c r="AK20" s="1">
        <f t="shared" si="31"/>
        <v>10</v>
      </c>
      <c r="AL20" s="1">
        <f t="shared" si="31"/>
        <v>10</v>
      </c>
      <c r="AM20" s="1">
        <f t="shared" si="31"/>
        <v>52500</v>
      </c>
      <c r="AN20" s="1">
        <f t="shared" si="31"/>
        <v>10</v>
      </c>
      <c r="AO20" s="1">
        <f t="shared" si="31"/>
        <v>10</v>
      </c>
      <c r="AP20" s="1">
        <f t="shared" si="31"/>
        <v>40000</v>
      </c>
      <c r="AQ20" s="1">
        <f t="shared" si="31"/>
        <v>10</v>
      </c>
      <c r="AR20" s="1">
        <f t="shared" si="31"/>
        <v>1</v>
      </c>
      <c r="AS20" s="1"/>
      <c r="AT20" s="8">
        <f t="shared" si="20"/>
        <v>36.668316831683171</v>
      </c>
      <c r="AU20" s="1">
        <f t="shared" si="32"/>
        <v>300000</v>
      </c>
      <c r="AV20" s="1">
        <f t="shared" si="32"/>
        <v>5</v>
      </c>
      <c r="AW20" s="1">
        <f t="shared" si="32"/>
        <v>5</v>
      </c>
      <c r="AX20" s="1">
        <f t="shared" si="32"/>
        <v>62500</v>
      </c>
      <c r="AY20" s="1">
        <f t="shared" si="32"/>
        <v>5</v>
      </c>
      <c r="AZ20" s="1">
        <f t="shared" si="32"/>
        <v>5</v>
      </c>
      <c r="BA20" s="1">
        <f t="shared" si="32"/>
        <v>100000</v>
      </c>
      <c r="BB20" s="1">
        <f t="shared" si="32"/>
        <v>5</v>
      </c>
      <c r="BC20" s="1">
        <f t="shared" si="32"/>
        <v>5</v>
      </c>
      <c r="BD20" s="1">
        <f t="shared" si="32"/>
        <v>87500</v>
      </c>
      <c r="BE20" s="1">
        <f t="shared" si="32"/>
        <v>5</v>
      </c>
      <c r="BF20" s="1">
        <f t="shared" si="32"/>
        <v>1</v>
      </c>
    </row>
    <row r="21" spans="2:58" x14ac:dyDescent="0.35">
      <c r="I21" s="7">
        <v>13</v>
      </c>
      <c r="J21" s="1">
        <f t="shared" si="12"/>
        <v>247</v>
      </c>
      <c r="K21" s="1">
        <f t="shared" si="13"/>
        <v>258</v>
      </c>
      <c r="L21" s="1">
        <f t="shared" si="25"/>
        <v>1205</v>
      </c>
      <c r="M21" s="1">
        <f t="shared" si="26"/>
        <v>110</v>
      </c>
      <c r="N21" s="1">
        <f t="shared" si="14"/>
        <v>258</v>
      </c>
      <c r="O21" s="1">
        <f t="shared" si="27"/>
        <v>22</v>
      </c>
      <c r="P21" s="1">
        <f t="shared" si="15"/>
        <v>168</v>
      </c>
      <c r="Q21" s="1">
        <f t="shared" si="28"/>
        <v>14</v>
      </c>
      <c r="R21" s="1">
        <f t="shared" si="16"/>
        <v>118</v>
      </c>
      <c r="S21" s="1">
        <f t="shared" si="29"/>
        <v>9</v>
      </c>
      <c r="T21" s="1">
        <f t="shared" si="22"/>
        <v>2600</v>
      </c>
      <c r="U21" s="12">
        <f t="shared" si="23"/>
        <v>2600</v>
      </c>
      <c r="W21" s="8">
        <f t="shared" si="24"/>
        <v>3.8471698113207551</v>
      </c>
      <c r="X21" s="1">
        <f t="shared" si="30"/>
        <v>65000</v>
      </c>
      <c r="Y21" s="1">
        <f t="shared" si="30"/>
        <v>2</v>
      </c>
      <c r="Z21" s="1">
        <f t="shared" si="30"/>
        <v>13000</v>
      </c>
      <c r="AA21" s="1">
        <f t="shared" si="30"/>
        <v>3</v>
      </c>
      <c r="AB21" s="1">
        <f t="shared" si="30"/>
        <v>1</v>
      </c>
      <c r="AC21" s="1">
        <f t="shared" si="30"/>
        <v>3</v>
      </c>
      <c r="AD21" s="1">
        <f t="shared" si="30"/>
        <v>6500</v>
      </c>
      <c r="AE21" s="1">
        <f t="shared" si="30"/>
        <v>5</v>
      </c>
      <c r="AG21" s="8">
        <f t="shared" si="18"/>
        <v>33.317</v>
      </c>
      <c r="AH21" s="1">
        <f t="shared" si="31"/>
        <v>221000</v>
      </c>
      <c r="AI21" s="1">
        <f t="shared" si="31"/>
        <v>10</v>
      </c>
      <c r="AJ21" s="1">
        <f t="shared" si="31"/>
        <v>78000</v>
      </c>
      <c r="AK21" s="1">
        <f t="shared" si="31"/>
        <v>10</v>
      </c>
      <c r="AL21" s="1">
        <f t="shared" si="31"/>
        <v>10</v>
      </c>
      <c r="AM21" s="1">
        <f t="shared" si="31"/>
        <v>55000</v>
      </c>
      <c r="AN21" s="1">
        <f t="shared" si="31"/>
        <v>10</v>
      </c>
      <c r="AO21" s="1">
        <f t="shared" si="31"/>
        <v>10</v>
      </c>
      <c r="AP21" s="1">
        <f t="shared" si="31"/>
        <v>42000</v>
      </c>
      <c r="AQ21" s="1">
        <f t="shared" si="31"/>
        <v>10</v>
      </c>
      <c r="AR21" s="1">
        <f t="shared" si="31"/>
        <v>1</v>
      </c>
      <c r="AS21" s="1"/>
      <c r="AT21" s="8">
        <f t="shared" si="20"/>
        <v>36.668316831683171</v>
      </c>
      <c r="AU21" s="1">
        <f t="shared" si="32"/>
        <v>312000</v>
      </c>
      <c r="AV21" s="1">
        <f t="shared" si="32"/>
        <v>5</v>
      </c>
      <c r="AW21" s="1">
        <f t="shared" si="32"/>
        <v>5</v>
      </c>
      <c r="AX21" s="1">
        <f t="shared" si="32"/>
        <v>65000</v>
      </c>
      <c r="AY21" s="1">
        <f t="shared" si="32"/>
        <v>5</v>
      </c>
      <c r="AZ21" s="1">
        <f t="shared" si="32"/>
        <v>5</v>
      </c>
      <c r="BA21" s="1">
        <f t="shared" si="32"/>
        <v>104000</v>
      </c>
      <c r="BB21" s="1">
        <f t="shared" si="32"/>
        <v>5</v>
      </c>
      <c r="BC21" s="1">
        <f t="shared" si="32"/>
        <v>5</v>
      </c>
      <c r="BD21" s="1">
        <f t="shared" si="32"/>
        <v>91000</v>
      </c>
      <c r="BE21" s="1">
        <f t="shared" si="32"/>
        <v>5</v>
      </c>
      <c r="BF21" s="1">
        <f t="shared" si="32"/>
        <v>1</v>
      </c>
    </row>
    <row r="22" spans="2:58" x14ac:dyDescent="0.35">
      <c r="B22" s="17" t="s">
        <v>192</v>
      </c>
      <c r="I22" s="7">
        <v>14</v>
      </c>
      <c r="J22" s="1">
        <f t="shared" si="12"/>
        <v>272</v>
      </c>
      <c r="K22" s="1">
        <f t="shared" si="13"/>
        <v>283</v>
      </c>
      <c r="L22" s="1">
        <f t="shared" si="25"/>
        <v>1330</v>
      </c>
      <c r="M22" s="1">
        <f t="shared" si="26"/>
        <v>125</v>
      </c>
      <c r="N22" s="1">
        <f t="shared" si="14"/>
        <v>283</v>
      </c>
      <c r="O22" s="1">
        <f t="shared" si="27"/>
        <v>25</v>
      </c>
      <c r="P22" s="1">
        <f t="shared" si="15"/>
        <v>184</v>
      </c>
      <c r="Q22" s="1">
        <f t="shared" si="28"/>
        <v>16</v>
      </c>
      <c r="R22" s="1">
        <f t="shared" si="16"/>
        <v>128</v>
      </c>
      <c r="S22" s="1">
        <f t="shared" si="29"/>
        <v>10</v>
      </c>
      <c r="T22" s="1">
        <f t="shared" si="22"/>
        <v>2600</v>
      </c>
      <c r="U22" s="12">
        <f t="shared" si="23"/>
        <v>2600</v>
      </c>
      <c r="W22" s="8">
        <f t="shared" si="24"/>
        <v>3.8471698113207551</v>
      </c>
      <c r="X22" s="1">
        <f t="shared" si="30"/>
        <v>65000</v>
      </c>
      <c r="Y22" s="1">
        <f t="shared" si="30"/>
        <v>2</v>
      </c>
      <c r="Z22" s="1">
        <f t="shared" si="30"/>
        <v>13000</v>
      </c>
      <c r="AA22" s="1">
        <f t="shared" si="30"/>
        <v>3</v>
      </c>
      <c r="AB22" s="1">
        <f t="shared" si="30"/>
        <v>1</v>
      </c>
      <c r="AC22" s="1">
        <f t="shared" si="30"/>
        <v>3</v>
      </c>
      <c r="AD22" s="1">
        <f t="shared" si="30"/>
        <v>6500</v>
      </c>
      <c r="AE22" s="1">
        <f t="shared" si="30"/>
        <v>5</v>
      </c>
      <c r="AG22" s="8">
        <f t="shared" si="18"/>
        <v>33.317</v>
      </c>
      <c r="AH22" s="1">
        <f t="shared" si="31"/>
        <v>221000</v>
      </c>
      <c r="AI22" s="1">
        <f t="shared" si="31"/>
        <v>10</v>
      </c>
      <c r="AJ22" s="1">
        <f t="shared" si="31"/>
        <v>78000</v>
      </c>
      <c r="AK22" s="1">
        <f t="shared" si="31"/>
        <v>10</v>
      </c>
      <c r="AL22" s="1">
        <f t="shared" si="31"/>
        <v>10</v>
      </c>
      <c r="AM22" s="1">
        <f t="shared" si="31"/>
        <v>55000</v>
      </c>
      <c r="AN22" s="1">
        <f t="shared" si="31"/>
        <v>10</v>
      </c>
      <c r="AO22" s="1">
        <f t="shared" si="31"/>
        <v>10</v>
      </c>
      <c r="AP22" s="1">
        <f t="shared" si="31"/>
        <v>42000</v>
      </c>
      <c r="AQ22" s="1">
        <f t="shared" si="31"/>
        <v>10</v>
      </c>
      <c r="AR22" s="1">
        <f t="shared" si="31"/>
        <v>1</v>
      </c>
      <c r="AS22" s="1"/>
      <c r="AT22" s="8">
        <f t="shared" si="20"/>
        <v>36.668316831683171</v>
      </c>
      <c r="AU22" s="1">
        <f t="shared" si="32"/>
        <v>312000</v>
      </c>
      <c r="AV22" s="1">
        <f t="shared" si="32"/>
        <v>5</v>
      </c>
      <c r="AW22" s="1">
        <f t="shared" si="32"/>
        <v>5</v>
      </c>
      <c r="AX22" s="1">
        <f t="shared" si="32"/>
        <v>65000</v>
      </c>
      <c r="AY22" s="1">
        <f t="shared" si="32"/>
        <v>5</v>
      </c>
      <c r="AZ22" s="1">
        <f t="shared" si="32"/>
        <v>5</v>
      </c>
      <c r="BA22" s="1">
        <f t="shared" si="32"/>
        <v>104000</v>
      </c>
      <c r="BB22" s="1">
        <f t="shared" si="32"/>
        <v>5</v>
      </c>
      <c r="BC22" s="1">
        <f t="shared" si="32"/>
        <v>5</v>
      </c>
      <c r="BD22" s="1">
        <f t="shared" si="32"/>
        <v>91000</v>
      </c>
      <c r="BE22" s="1">
        <f t="shared" si="32"/>
        <v>5</v>
      </c>
      <c r="BF22" s="1">
        <f t="shared" si="32"/>
        <v>1</v>
      </c>
    </row>
    <row r="23" spans="2:58" x14ac:dyDescent="0.35">
      <c r="B23" s="13" t="s">
        <v>172</v>
      </c>
      <c r="C23" s="2">
        <v>1</v>
      </c>
      <c r="I23" s="7">
        <v>15</v>
      </c>
      <c r="J23" s="1">
        <f t="shared" si="12"/>
        <v>297</v>
      </c>
      <c r="K23" s="1">
        <f t="shared" si="13"/>
        <v>308</v>
      </c>
      <c r="L23" s="1">
        <f t="shared" si="25"/>
        <v>1455</v>
      </c>
      <c r="M23" s="1">
        <f t="shared" si="26"/>
        <v>125</v>
      </c>
      <c r="N23" s="1">
        <f t="shared" si="14"/>
        <v>308</v>
      </c>
      <c r="O23" s="1">
        <f t="shared" si="27"/>
        <v>25</v>
      </c>
      <c r="P23" s="1">
        <f t="shared" si="15"/>
        <v>199</v>
      </c>
      <c r="Q23" s="1">
        <f t="shared" si="28"/>
        <v>15</v>
      </c>
      <c r="R23" s="1">
        <f t="shared" si="16"/>
        <v>139</v>
      </c>
      <c r="S23" s="1">
        <f t="shared" si="29"/>
        <v>11</v>
      </c>
      <c r="T23" s="1">
        <f t="shared" si="22"/>
        <v>2700</v>
      </c>
      <c r="U23" s="12">
        <f t="shared" si="23"/>
        <v>2700</v>
      </c>
      <c r="W23" s="8">
        <f t="shared" si="24"/>
        <v>3.8471698113207546</v>
      </c>
      <c r="X23" s="1">
        <f t="shared" si="30"/>
        <v>67500</v>
      </c>
      <c r="Y23" s="1">
        <f t="shared" si="30"/>
        <v>2</v>
      </c>
      <c r="Z23" s="1">
        <f t="shared" si="30"/>
        <v>13500</v>
      </c>
      <c r="AA23" s="1">
        <f t="shared" si="30"/>
        <v>3</v>
      </c>
      <c r="AB23" s="1">
        <f t="shared" si="30"/>
        <v>1</v>
      </c>
      <c r="AC23" s="1">
        <f t="shared" si="30"/>
        <v>3</v>
      </c>
      <c r="AD23" s="1">
        <f t="shared" si="30"/>
        <v>7000</v>
      </c>
      <c r="AE23" s="1">
        <f t="shared" si="30"/>
        <v>5</v>
      </c>
      <c r="AG23" s="8">
        <f t="shared" si="18"/>
        <v>33.317</v>
      </c>
      <c r="AH23" s="1">
        <f t="shared" si="31"/>
        <v>229500</v>
      </c>
      <c r="AI23" s="1">
        <f t="shared" si="31"/>
        <v>10</v>
      </c>
      <c r="AJ23" s="1">
        <f t="shared" si="31"/>
        <v>81000</v>
      </c>
      <c r="AK23" s="1">
        <f t="shared" si="31"/>
        <v>10</v>
      </c>
      <c r="AL23" s="1">
        <f t="shared" si="31"/>
        <v>10</v>
      </c>
      <c r="AM23" s="1">
        <f t="shared" si="31"/>
        <v>57000</v>
      </c>
      <c r="AN23" s="1">
        <f t="shared" si="31"/>
        <v>10</v>
      </c>
      <c r="AO23" s="1">
        <f t="shared" si="31"/>
        <v>10</v>
      </c>
      <c r="AP23" s="1">
        <f t="shared" si="31"/>
        <v>43500</v>
      </c>
      <c r="AQ23" s="1">
        <f t="shared" si="31"/>
        <v>10</v>
      </c>
      <c r="AR23" s="1">
        <f t="shared" si="31"/>
        <v>1</v>
      </c>
      <c r="AS23" s="1"/>
      <c r="AT23" s="8">
        <f t="shared" si="20"/>
        <v>36.668316831683171</v>
      </c>
      <c r="AU23" s="1">
        <f t="shared" si="32"/>
        <v>324000</v>
      </c>
      <c r="AV23" s="1">
        <f t="shared" si="32"/>
        <v>5</v>
      </c>
      <c r="AW23" s="1">
        <f t="shared" si="32"/>
        <v>5</v>
      </c>
      <c r="AX23" s="1">
        <f t="shared" si="32"/>
        <v>67500</v>
      </c>
      <c r="AY23" s="1">
        <f t="shared" si="32"/>
        <v>5</v>
      </c>
      <c r="AZ23" s="1">
        <f t="shared" si="32"/>
        <v>5</v>
      </c>
      <c r="BA23" s="1">
        <f t="shared" si="32"/>
        <v>108000</v>
      </c>
      <c r="BB23" s="1">
        <f t="shared" si="32"/>
        <v>5</v>
      </c>
      <c r="BC23" s="1">
        <f t="shared" si="32"/>
        <v>5</v>
      </c>
      <c r="BD23" s="1">
        <f t="shared" si="32"/>
        <v>94500</v>
      </c>
      <c r="BE23" s="1">
        <f t="shared" si="32"/>
        <v>5</v>
      </c>
      <c r="BF23" s="1">
        <f t="shared" si="32"/>
        <v>1</v>
      </c>
    </row>
    <row r="24" spans="2:58" x14ac:dyDescent="0.35">
      <c r="B24" s="13" t="s">
        <v>210</v>
      </c>
      <c r="C24" s="2">
        <v>4</v>
      </c>
      <c r="D24" s="7"/>
      <c r="I24" s="7">
        <v>16</v>
      </c>
      <c r="J24" s="1">
        <f t="shared" si="12"/>
        <v>322</v>
      </c>
      <c r="K24" s="1">
        <f t="shared" si="13"/>
        <v>333</v>
      </c>
      <c r="L24" s="1">
        <f t="shared" si="25"/>
        <v>1580</v>
      </c>
      <c r="M24" s="1">
        <f t="shared" si="26"/>
        <v>125</v>
      </c>
      <c r="N24" s="1">
        <f t="shared" si="14"/>
        <v>333</v>
      </c>
      <c r="O24" s="1">
        <f t="shared" si="27"/>
        <v>25</v>
      </c>
      <c r="P24" s="1">
        <f t="shared" si="15"/>
        <v>215</v>
      </c>
      <c r="Q24" s="1">
        <f t="shared" si="28"/>
        <v>16</v>
      </c>
      <c r="R24" s="1">
        <f t="shared" si="16"/>
        <v>149</v>
      </c>
      <c r="S24" s="1">
        <f t="shared" si="29"/>
        <v>10</v>
      </c>
      <c r="T24" s="1">
        <f t="shared" si="22"/>
        <v>2700</v>
      </c>
      <c r="U24" s="12">
        <f t="shared" si="23"/>
        <v>2700</v>
      </c>
      <c r="W24" s="8">
        <f t="shared" si="24"/>
        <v>3.8471698113207546</v>
      </c>
      <c r="X24" s="1">
        <f t="shared" si="30"/>
        <v>67500</v>
      </c>
      <c r="Y24" s="1">
        <f t="shared" si="30"/>
        <v>2</v>
      </c>
      <c r="Z24" s="1">
        <f t="shared" si="30"/>
        <v>13500</v>
      </c>
      <c r="AA24" s="1">
        <f t="shared" si="30"/>
        <v>3</v>
      </c>
      <c r="AB24" s="1">
        <f t="shared" si="30"/>
        <v>1</v>
      </c>
      <c r="AC24" s="1">
        <f t="shared" si="30"/>
        <v>3</v>
      </c>
      <c r="AD24" s="1">
        <f t="shared" si="30"/>
        <v>7000</v>
      </c>
      <c r="AE24" s="1">
        <f t="shared" si="30"/>
        <v>5</v>
      </c>
      <c r="AG24" s="8">
        <f t="shared" si="18"/>
        <v>33.317</v>
      </c>
      <c r="AH24" s="1">
        <f t="shared" si="31"/>
        <v>229500</v>
      </c>
      <c r="AI24" s="1">
        <f t="shared" si="31"/>
        <v>10</v>
      </c>
      <c r="AJ24" s="1">
        <f t="shared" si="31"/>
        <v>81000</v>
      </c>
      <c r="AK24" s="1">
        <f t="shared" si="31"/>
        <v>10</v>
      </c>
      <c r="AL24" s="1">
        <f t="shared" si="31"/>
        <v>10</v>
      </c>
      <c r="AM24" s="1">
        <f t="shared" si="31"/>
        <v>57000</v>
      </c>
      <c r="AN24" s="1">
        <f t="shared" si="31"/>
        <v>10</v>
      </c>
      <c r="AO24" s="1">
        <f t="shared" si="31"/>
        <v>10</v>
      </c>
      <c r="AP24" s="1">
        <f t="shared" si="31"/>
        <v>43500</v>
      </c>
      <c r="AQ24" s="1">
        <f t="shared" si="31"/>
        <v>10</v>
      </c>
      <c r="AR24" s="1">
        <f t="shared" si="31"/>
        <v>1</v>
      </c>
      <c r="AS24" s="1"/>
      <c r="AT24" s="8">
        <f t="shared" si="20"/>
        <v>36.668316831683171</v>
      </c>
      <c r="AU24" s="1">
        <f t="shared" si="32"/>
        <v>324000</v>
      </c>
      <c r="AV24" s="1">
        <f t="shared" si="32"/>
        <v>5</v>
      </c>
      <c r="AW24" s="1">
        <f t="shared" si="32"/>
        <v>5</v>
      </c>
      <c r="AX24" s="1">
        <f t="shared" si="32"/>
        <v>67500</v>
      </c>
      <c r="AY24" s="1">
        <f t="shared" si="32"/>
        <v>5</v>
      </c>
      <c r="AZ24" s="1">
        <f t="shared" si="32"/>
        <v>5</v>
      </c>
      <c r="BA24" s="1">
        <f t="shared" si="32"/>
        <v>108000</v>
      </c>
      <c r="BB24" s="1">
        <f t="shared" si="32"/>
        <v>5</v>
      </c>
      <c r="BC24" s="1">
        <f t="shared" si="32"/>
        <v>5</v>
      </c>
      <c r="BD24" s="1">
        <f t="shared" si="32"/>
        <v>94500</v>
      </c>
      <c r="BE24" s="1">
        <f t="shared" si="32"/>
        <v>5</v>
      </c>
      <c r="BF24" s="1">
        <f t="shared" si="32"/>
        <v>1</v>
      </c>
    </row>
    <row r="25" spans="2:58" x14ac:dyDescent="0.35">
      <c r="B25" s="13" t="s">
        <v>211</v>
      </c>
      <c r="C25" s="1">
        <f>SUMPRODUCT(F29:F36,G29:G36)/SUM(G29:G36)</f>
        <v>3.8471698113207546</v>
      </c>
      <c r="D25" s="1"/>
      <c r="I25" s="7">
        <v>17</v>
      </c>
      <c r="J25" s="1">
        <f t="shared" si="12"/>
        <v>347</v>
      </c>
      <c r="K25" s="1">
        <f t="shared" si="13"/>
        <v>358</v>
      </c>
      <c r="L25" s="1">
        <f t="shared" si="25"/>
        <v>1705</v>
      </c>
      <c r="M25" s="1">
        <f t="shared" si="26"/>
        <v>125</v>
      </c>
      <c r="N25" s="1">
        <f t="shared" si="14"/>
        <v>358</v>
      </c>
      <c r="O25" s="1">
        <f t="shared" si="27"/>
        <v>25</v>
      </c>
      <c r="P25" s="1">
        <f t="shared" si="15"/>
        <v>231</v>
      </c>
      <c r="Q25" s="1">
        <f t="shared" si="28"/>
        <v>16</v>
      </c>
      <c r="R25" s="1">
        <f t="shared" si="16"/>
        <v>160</v>
      </c>
      <c r="S25" s="1">
        <f t="shared" si="29"/>
        <v>11</v>
      </c>
      <c r="T25" s="1">
        <f t="shared" si="22"/>
        <v>2800</v>
      </c>
      <c r="U25" s="12">
        <f t="shared" si="23"/>
        <v>2800</v>
      </c>
      <c r="W25" s="8">
        <f t="shared" si="24"/>
        <v>3.8471698113207551</v>
      </c>
      <c r="X25" s="1">
        <f t="shared" si="30"/>
        <v>70000</v>
      </c>
      <c r="Y25" s="1">
        <f t="shared" si="30"/>
        <v>2</v>
      </c>
      <c r="Z25" s="1">
        <f t="shared" si="30"/>
        <v>14000</v>
      </c>
      <c r="AA25" s="1">
        <f t="shared" si="30"/>
        <v>3</v>
      </c>
      <c r="AB25" s="1">
        <f t="shared" si="30"/>
        <v>1</v>
      </c>
      <c r="AC25" s="1">
        <f t="shared" si="30"/>
        <v>3</v>
      </c>
      <c r="AD25" s="1">
        <f t="shared" si="30"/>
        <v>7000</v>
      </c>
      <c r="AE25" s="1">
        <f t="shared" si="30"/>
        <v>5</v>
      </c>
      <c r="AG25" s="8">
        <f t="shared" si="18"/>
        <v>33.317</v>
      </c>
      <c r="AH25" s="1">
        <f t="shared" si="31"/>
        <v>238000</v>
      </c>
      <c r="AI25" s="1">
        <f t="shared" si="31"/>
        <v>10</v>
      </c>
      <c r="AJ25" s="1">
        <f t="shared" si="31"/>
        <v>84000</v>
      </c>
      <c r="AK25" s="1">
        <f t="shared" si="31"/>
        <v>10</v>
      </c>
      <c r="AL25" s="1">
        <f t="shared" si="31"/>
        <v>10</v>
      </c>
      <c r="AM25" s="1">
        <f t="shared" si="31"/>
        <v>59000</v>
      </c>
      <c r="AN25" s="1">
        <f t="shared" si="31"/>
        <v>10</v>
      </c>
      <c r="AO25" s="1">
        <f t="shared" si="31"/>
        <v>10</v>
      </c>
      <c r="AP25" s="1">
        <f t="shared" si="31"/>
        <v>45000</v>
      </c>
      <c r="AQ25" s="1">
        <f t="shared" si="31"/>
        <v>10</v>
      </c>
      <c r="AR25" s="1">
        <f t="shared" si="31"/>
        <v>1</v>
      </c>
      <c r="AS25" s="1"/>
      <c r="AT25" s="8">
        <f t="shared" si="20"/>
        <v>36.668316831683171</v>
      </c>
      <c r="AU25" s="1">
        <f t="shared" si="32"/>
        <v>336000</v>
      </c>
      <c r="AV25" s="1">
        <f t="shared" si="32"/>
        <v>5</v>
      </c>
      <c r="AW25" s="1">
        <f t="shared" si="32"/>
        <v>5</v>
      </c>
      <c r="AX25" s="1">
        <f t="shared" si="32"/>
        <v>70000</v>
      </c>
      <c r="AY25" s="1">
        <f t="shared" si="32"/>
        <v>5</v>
      </c>
      <c r="AZ25" s="1">
        <f t="shared" si="32"/>
        <v>5</v>
      </c>
      <c r="BA25" s="1">
        <f t="shared" si="32"/>
        <v>112000</v>
      </c>
      <c r="BB25" s="1">
        <f t="shared" si="32"/>
        <v>5</v>
      </c>
      <c r="BC25" s="1">
        <f t="shared" si="32"/>
        <v>5</v>
      </c>
      <c r="BD25" s="1">
        <f t="shared" si="32"/>
        <v>98000</v>
      </c>
      <c r="BE25" s="1">
        <f t="shared" si="32"/>
        <v>5</v>
      </c>
      <c r="BF25" s="1">
        <f t="shared" si="32"/>
        <v>1</v>
      </c>
    </row>
    <row r="26" spans="2:58" x14ac:dyDescent="0.35">
      <c r="B26" s="13" t="s">
        <v>212</v>
      </c>
      <c r="C26" s="1">
        <f>AVERAGE(W9:W51)</f>
        <v>3.8471698113207542</v>
      </c>
      <c r="D26" s="1"/>
      <c r="I26" s="7">
        <v>18</v>
      </c>
      <c r="J26" s="1">
        <f t="shared" si="12"/>
        <v>372</v>
      </c>
      <c r="K26" s="1">
        <f t="shared" si="13"/>
        <v>383</v>
      </c>
      <c r="L26" s="1">
        <f t="shared" si="25"/>
        <v>1830</v>
      </c>
      <c r="M26" s="1">
        <f t="shared" si="26"/>
        <v>125</v>
      </c>
      <c r="N26" s="1">
        <f t="shared" si="14"/>
        <v>383</v>
      </c>
      <c r="O26" s="1">
        <f t="shared" si="27"/>
        <v>25</v>
      </c>
      <c r="P26" s="1">
        <f t="shared" si="15"/>
        <v>246</v>
      </c>
      <c r="Q26" s="1">
        <f t="shared" si="28"/>
        <v>15</v>
      </c>
      <c r="R26" s="1">
        <f t="shared" si="16"/>
        <v>170</v>
      </c>
      <c r="S26" s="1">
        <f t="shared" si="29"/>
        <v>10</v>
      </c>
      <c r="T26" s="1">
        <f t="shared" si="22"/>
        <v>2800</v>
      </c>
      <c r="U26" s="12">
        <f t="shared" si="23"/>
        <v>2800</v>
      </c>
      <c r="W26" s="8">
        <f t="shared" si="24"/>
        <v>3.8471698113207551</v>
      </c>
      <c r="X26" s="1">
        <f t="shared" si="30"/>
        <v>70000</v>
      </c>
      <c r="Y26" s="1">
        <f t="shared" si="30"/>
        <v>2</v>
      </c>
      <c r="Z26" s="1">
        <f t="shared" si="30"/>
        <v>14000</v>
      </c>
      <c r="AA26" s="1">
        <f t="shared" si="30"/>
        <v>3</v>
      </c>
      <c r="AB26" s="1">
        <f t="shared" si="30"/>
        <v>1</v>
      </c>
      <c r="AC26" s="1">
        <f t="shared" si="30"/>
        <v>3</v>
      </c>
      <c r="AD26" s="1">
        <f t="shared" si="30"/>
        <v>7000</v>
      </c>
      <c r="AE26" s="1">
        <f t="shared" si="30"/>
        <v>5</v>
      </c>
      <c r="AG26" s="8">
        <f t="shared" si="18"/>
        <v>33.317</v>
      </c>
      <c r="AH26" s="1">
        <f t="shared" si="31"/>
        <v>238000</v>
      </c>
      <c r="AI26" s="1">
        <f t="shared" si="31"/>
        <v>10</v>
      </c>
      <c r="AJ26" s="1">
        <f t="shared" si="31"/>
        <v>84000</v>
      </c>
      <c r="AK26" s="1">
        <f t="shared" si="31"/>
        <v>10</v>
      </c>
      <c r="AL26" s="1">
        <f t="shared" si="31"/>
        <v>10</v>
      </c>
      <c r="AM26" s="1">
        <f t="shared" si="31"/>
        <v>59000</v>
      </c>
      <c r="AN26" s="1">
        <f t="shared" si="31"/>
        <v>10</v>
      </c>
      <c r="AO26" s="1">
        <f t="shared" si="31"/>
        <v>10</v>
      </c>
      <c r="AP26" s="1">
        <f t="shared" si="31"/>
        <v>45000</v>
      </c>
      <c r="AQ26" s="1">
        <f t="shared" si="31"/>
        <v>10</v>
      </c>
      <c r="AR26" s="1">
        <f t="shared" si="31"/>
        <v>1</v>
      </c>
      <c r="AS26" s="1"/>
      <c r="AT26" s="8">
        <f t="shared" si="20"/>
        <v>36.668316831683171</v>
      </c>
      <c r="AU26" s="1">
        <f t="shared" si="32"/>
        <v>336000</v>
      </c>
      <c r="AV26" s="1">
        <f t="shared" si="32"/>
        <v>5</v>
      </c>
      <c r="AW26" s="1">
        <f t="shared" si="32"/>
        <v>5</v>
      </c>
      <c r="AX26" s="1">
        <f t="shared" si="32"/>
        <v>70000</v>
      </c>
      <c r="AY26" s="1">
        <f t="shared" si="32"/>
        <v>5</v>
      </c>
      <c r="AZ26" s="1">
        <f t="shared" si="32"/>
        <v>5</v>
      </c>
      <c r="BA26" s="1">
        <f t="shared" si="32"/>
        <v>112000</v>
      </c>
      <c r="BB26" s="1">
        <f t="shared" si="32"/>
        <v>5</v>
      </c>
      <c r="BC26" s="1">
        <f t="shared" si="32"/>
        <v>5</v>
      </c>
      <c r="BD26" s="1">
        <f t="shared" si="32"/>
        <v>98000</v>
      </c>
      <c r="BE26" s="1">
        <f t="shared" si="32"/>
        <v>5</v>
      </c>
      <c r="BF26" s="1">
        <f t="shared" si="32"/>
        <v>1</v>
      </c>
    </row>
    <row r="27" spans="2:58" x14ac:dyDescent="0.35">
      <c r="I27" s="7">
        <v>19</v>
      </c>
      <c r="J27" s="1">
        <f t="shared" si="12"/>
        <v>397</v>
      </c>
      <c r="K27" s="1">
        <f t="shared" si="13"/>
        <v>408</v>
      </c>
      <c r="L27" s="1">
        <f t="shared" si="25"/>
        <v>1955</v>
      </c>
      <c r="M27" s="1">
        <f t="shared" si="26"/>
        <v>125</v>
      </c>
      <c r="N27" s="1">
        <f t="shared" si="14"/>
        <v>408</v>
      </c>
      <c r="O27" s="1">
        <f t="shared" si="27"/>
        <v>25</v>
      </c>
      <c r="P27" s="1">
        <f t="shared" si="15"/>
        <v>262</v>
      </c>
      <c r="Q27" s="1">
        <f t="shared" si="28"/>
        <v>16</v>
      </c>
      <c r="R27" s="1">
        <f t="shared" si="16"/>
        <v>180</v>
      </c>
      <c r="S27" s="1">
        <f t="shared" si="29"/>
        <v>10</v>
      </c>
      <c r="T27" s="1">
        <f t="shared" si="22"/>
        <v>2900</v>
      </c>
      <c r="U27" s="12">
        <f t="shared" si="23"/>
        <v>2900</v>
      </c>
      <c r="W27" s="8">
        <f t="shared" si="24"/>
        <v>3.8471698113207546</v>
      </c>
      <c r="X27" s="1">
        <f t="shared" si="30"/>
        <v>72500</v>
      </c>
      <c r="Y27" s="1">
        <f t="shared" si="30"/>
        <v>2</v>
      </c>
      <c r="Z27" s="1">
        <f t="shared" si="30"/>
        <v>14500</v>
      </c>
      <c r="AA27" s="1">
        <f t="shared" si="30"/>
        <v>3</v>
      </c>
      <c r="AB27" s="1">
        <f t="shared" si="30"/>
        <v>1</v>
      </c>
      <c r="AC27" s="1">
        <f t="shared" si="30"/>
        <v>3</v>
      </c>
      <c r="AD27" s="1">
        <f t="shared" si="30"/>
        <v>7500</v>
      </c>
      <c r="AE27" s="1">
        <f t="shared" si="30"/>
        <v>5</v>
      </c>
      <c r="AG27" s="8">
        <f t="shared" si="18"/>
        <v>33.317</v>
      </c>
      <c r="AH27" s="1">
        <f t="shared" si="31"/>
        <v>246500</v>
      </c>
      <c r="AI27" s="1">
        <f t="shared" si="31"/>
        <v>10</v>
      </c>
      <c r="AJ27" s="1">
        <f t="shared" si="31"/>
        <v>87000</v>
      </c>
      <c r="AK27" s="1">
        <f t="shared" si="31"/>
        <v>10</v>
      </c>
      <c r="AL27" s="1">
        <f t="shared" si="31"/>
        <v>10</v>
      </c>
      <c r="AM27" s="1">
        <f t="shared" si="31"/>
        <v>61000</v>
      </c>
      <c r="AN27" s="1">
        <f t="shared" si="31"/>
        <v>10</v>
      </c>
      <c r="AO27" s="1">
        <f t="shared" si="31"/>
        <v>10</v>
      </c>
      <c r="AP27" s="1">
        <f t="shared" si="31"/>
        <v>46500</v>
      </c>
      <c r="AQ27" s="1">
        <f t="shared" si="31"/>
        <v>10</v>
      </c>
      <c r="AR27" s="1">
        <f t="shared" si="31"/>
        <v>1</v>
      </c>
      <c r="AS27" s="1"/>
      <c r="AT27" s="8">
        <f t="shared" si="20"/>
        <v>36.668316831683171</v>
      </c>
      <c r="AU27" s="1">
        <f t="shared" si="32"/>
        <v>348000</v>
      </c>
      <c r="AV27" s="1">
        <f t="shared" si="32"/>
        <v>5</v>
      </c>
      <c r="AW27" s="1">
        <f t="shared" si="32"/>
        <v>5</v>
      </c>
      <c r="AX27" s="1">
        <f t="shared" si="32"/>
        <v>72500</v>
      </c>
      <c r="AY27" s="1">
        <f t="shared" si="32"/>
        <v>5</v>
      </c>
      <c r="AZ27" s="1">
        <f t="shared" si="32"/>
        <v>5</v>
      </c>
      <c r="BA27" s="1">
        <f t="shared" si="32"/>
        <v>116000</v>
      </c>
      <c r="BB27" s="1">
        <f t="shared" si="32"/>
        <v>5</v>
      </c>
      <c r="BC27" s="1">
        <f t="shared" si="32"/>
        <v>5</v>
      </c>
      <c r="BD27" s="1">
        <f t="shared" si="32"/>
        <v>101500</v>
      </c>
      <c r="BE27" s="1">
        <f t="shared" si="32"/>
        <v>5</v>
      </c>
      <c r="BF27" s="1">
        <f t="shared" si="32"/>
        <v>1</v>
      </c>
    </row>
    <row r="28" spans="2:58" x14ac:dyDescent="0.35">
      <c r="B28" s="13" t="s">
        <v>162</v>
      </c>
      <c r="C28" s="13" t="s">
        <v>160</v>
      </c>
      <c r="D28" s="13" t="s">
        <v>161</v>
      </c>
      <c r="E28" s="13" t="s">
        <v>158</v>
      </c>
      <c r="F28" s="13" t="s">
        <v>173</v>
      </c>
      <c r="G28" s="13" t="s">
        <v>159</v>
      </c>
      <c r="I28" s="7">
        <v>20</v>
      </c>
      <c r="J28" s="1">
        <f t="shared" si="12"/>
        <v>422</v>
      </c>
      <c r="K28" s="1">
        <f t="shared" si="13"/>
        <v>433</v>
      </c>
      <c r="L28" s="1">
        <f t="shared" si="25"/>
        <v>2080</v>
      </c>
      <c r="M28" s="1">
        <f t="shared" si="26"/>
        <v>125</v>
      </c>
      <c r="N28" s="1">
        <f t="shared" si="14"/>
        <v>433</v>
      </c>
      <c r="O28" s="1">
        <f t="shared" si="27"/>
        <v>25</v>
      </c>
      <c r="P28" s="1">
        <f t="shared" si="15"/>
        <v>277</v>
      </c>
      <c r="Q28" s="1">
        <f t="shared" si="28"/>
        <v>15</v>
      </c>
      <c r="R28" s="1">
        <f t="shared" si="16"/>
        <v>191</v>
      </c>
      <c r="S28" s="1">
        <f t="shared" si="29"/>
        <v>11</v>
      </c>
      <c r="T28" s="1">
        <f t="shared" si="22"/>
        <v>2900</v>
      </c>
      <c r="U28" s="12">
        <f t="shared" si="23"/>
        <v>2900</v>
      </c>
      <c r="W28" s="8">
        <f t="shared" si="24"/>
        <v>3.8471698113207546</v>
      </c>
      <c r="X28" s="1">
        <f t="shared" si="30"/>
        <v>72500</v>
      </c>
      <c r="Y28" s="1">
        <f t="shared" si="30"/>
        <v>2</v>
      </c>
      <c r="Z28" s="1">
        <f t="shared" si="30"/>
        <v>14500</v>
      </c>
      <c r="AA28" s="1">
        <f t="shared" si="30"/>
        <v>3</v>
      </c>
      <c r="AB28" s="1">
        <f t="shared" si="30"/>
        <v>1</v>
      </c>
      <c r="AC28" s="1">
        <f t="shared" si="30"/>
        <v>3</v>
      </c>
      <c r="AD28" s="1">
        <f t="shared" si="30"/>
        <v>7500</v>
      </c>
      <c r="AE28" s="1">
        <f t="shared" si="30"/>
        <v>5</v>
      </c>
      <c r="AG28" s="8">
        <f t="shared" si="18"/>
        <v>33.317</v>
      </c>
      <c r="AH28" s="1">
        <f t="shared" si="31"/>
        <v>246500</v>
      </c>
      <c r="AI28" s="1">
        <f t="shared" si="31"/>
        <v>10</v>
      </c>
      <c r="AJ28" s="1">
        <f t="shared" si="31"/>
        <v>87000</v>
      </c>
      <c r="AK28" s="1">
        <f t="shared" si="31"/>
        <v>10</v>
      </c>
      <c r="AL28" s="1">
        <f t="shared" si="31"/>
        <v>10</v>
      </c>
      <c r="AM28" s="1">
        <f t="shared" si="31"/>
        <v>61000</v>
      </c>
      <c r="AN28" s="1">
        <f t="shared" si="31"/>
        <v>10</v>
      </c>
      <c r="AO28" s="1">
        <f t="shared" si="31"/>
        <v>10</v>
      </c>
      <c r="AP28" s="1">
        <f t="shared" si="31"/>
        <v>46500</v>
      </c>
      <c r="AQ28" s="1">
        <f t="shared" si="31"/>
        <v>10</v>
      </c>
      <c r="AR28" s="1">
        <f t="shared" si="31"/>
        <v>1</v>
      </c>
      <c r="AS28" s="1"/>
      <c r="AT28" s="8">
        <f t="shared" si="20"/>
        <v>36.668316831683171</v>
      </c>
      <c r="AU28" s="1">
        <f t="shared" si="32"/>
        <v>348000</v>
      </c>
      <c r="AV28" s="1">
        <f t="shared" si="32"/>
        <v>5</v>
      </c>
      <c r="AW28" s="1">
        <f t="shared" si="32"/>
        <v>5</v>
      </c>
      <c r="AX28" s="1">
        <f t="shared" si="32"/>
        <v>72500</v>
      </c>
      <c r="AY28" s="1">
        <f t="shared" si="32"/>
        <v>5</v>
      </c>
      <c r="AZ28" s="1">
        <f t="shared" si="32"/>
        <v>5</v>
      </c>
      <c r="BA28" s="1">
        <f t="shared" si="32"/>
        <v>116000</v>
      </c>
      <c r="BB28" s="1">
        <f t="shared" si="32"/>
        <v>5</v>
      </c>
      <c r="BC28" s="1">
        <f t="shared" si="32"/>
        <v>5</v>
      </c>
      <c r="BD28" s="1">
        <f t="shared" si="32"/>
        <v>101500</v>
      </c>
      <c r="BE28" s="1">
        <f t="shared" si="32"/>
        <v>5</v>
      </c>
      <c r="BF28" s="1">
        <f t="shared" si="32"/>
        <v>1</v>
      </c>
    </row>
    <row r="29" spans="2:58" x14ac:dyDescent="0.35">
      <c r="B29">
        <v>1</v>
      </c>
      <c r="C29">
        <v>101</v>
      </c>
      <c r="D29" t="str">
        <f t="shared" ref="D29:D36" si="33">INDEX(item_name,MATCH(C29,item_id,0))</f>
        <v>金币</v>
      </c>
      <c r="E29" s="2">
        <v>25</v>
      </c>
      <c r="F29" s="1">
        <f t="shared" ref="F29:F36" si="34">INDEX(item_cost_mf,MATCH($C29,item_id,0),$C$23)*E29</f>
        <v>25</v>
      </c>
      <c r="G29" s="2">
        <v>10</v>
      </c>
      <c r="I29" s="7">
        <v>21</v>
      </c>
      <c r="J29" s="1">
        <f t="shared" si="12"/>
        <v>447</v>
      </c>
      <c r="K29" s="1">
        <f t="shared" si="13"/>
        <v>458</v>
      </c>
      <c r="L29" s="1">
        <f t="shared" si="25"/>
        <v>2205</v>
      </c>
      <c r="M29" s="1">
        <f t="shared" si="26"/>
        <v>125</v>
      </c>
      <c r="N29" s="1">
        <f t="shared" si="14"/>
        <v>458</v>
      </c>
      <c r="O29" s="1">
        <f t="shared" si="27"/>
        <v>25</v>
      </c>
      <c r="P29" s="1">
        <f t="shared" si="15"/>
        <v>293</v>
      </c>
      <c r="Q29" s="1">
        <f t="shared" si="28"/>
        <v>16</v>
      </c>
      <c r="R29" s="1">
        <f t="shared" si="16"/>
        <v>201</v>
      </c>
      <c r="S29" s="1">
        <f t="shared" si="29"/>
        <v>10</v>
      </c>
      <c r="T29" s="1">
        <f t="shared" si="22"/>
        <v>3000</v>
      </c>
      <c r="U29" s="12">
        <f t="shared" si="23"/>
        <v>3000</v>
      </c>
      <c r="W29" s="8">
        <f t="shared" si="24"/>
        <v>3.8471698113207551</v>
      </c>
      <c r="X29" s="1">
        <f t="shared" ref="X29:AE38" si="35">IF(X$6=$C$29,_xlfn.CEILING.MATH($U29*INDEX($E$29:$E$36,X$3),500),INDEX($E$29:$E$36,X$3))</f>
        <v>75000</v>
      </c>
      <c r="Y29" s="1">
        <f t="shared" si="35"/>
        <v>2</v>
      </c>
      <c r="Z29" s="1">
        <f t="shared" si="35"/>
        <v>15000</v>
      </c>
      <c r="AA29" s="1">
        <f t="shared" si="35"/>
        <v>3</v>
      </c>
      <c r="AB29" s="1">
        <f t="shared" si="35"/>
        <v>1</v>
      </c>
      <c r="AC29" s="1">
        <f t="shared" si="35"/>
        <v>3</v>
      </c>
      <c r="AD29" s="1">
        <f t="shared" si="35"/>
        <v>7500</v>
      </c>
      <c r="AE29" s="1">
        <f t="shared" si="35"/>
        <v>5</v>
      </c>
      <c r="AG29" s="8">
        <f t="shared" si="18"/>
        <v>33.317</v>
      </c>
      <c r="AH29" s="1">
        <f t="shared" ref="AH29:AR38" si="36">IF(AH$6=$C$29,_xlfn.CEILING.MATH($U29*INDEX($E$45:$E$55,AH$3),500),INDEX($E$45:$E$55,AH$3))</f>
        <v>255000</v>
      </c>
      <c r="AI29" s="1">
        <f t="shared" si="36"/>
        <v>10</v>
      </c>
      <c r="AJ29" s="1">
        <f t="shared" si="36"/>
        <v>90000</v>
      </c>
      <c r="AK29" s="1">
        <f t="shared" si="36"/>
        <v>10</v>
      </c>
      <c r="AL29" s="1">
        <f t="shared" si="36"/>
        <v>10</v>
      </c>
      <c r="AM29" s="1">
        <f t="shared" si="36"/>
        <v>63000</v>
      </c>
      <c r="AN29" s="1">
        <f t="shared" si="36"/>
        <v>10</v>
      </c>
      <c r="AO29" s="1">
        <f t="shared" si="36"/>
        <v>10</v>
      </c>
      <c r="AP29" s="1">
        <f t="shared" si="36"/>
        <v>48000</v>
      </c>
      <c r="AQ29" s="1">
        <f t="shared" si="36"/>
        <v>10</v>
      </c>
      <c r="AR29" s="1">
        <f t="shared" si="36"/>
        <v>1</v>
      </c>
      <c r="AS29" s="1"/>
      <c r="AT29" s="8">
        <f t="shared" si="20"/>
        <v>36.668316831683171</v>
      </c>
      <c r="AU29" s="1">
        <f t="shared" ref="AU29:BF38" si="37">IF(AU$6=$C$29,_xlfn.CEILING.MATH($U29*INDEX($E$72:$E$83,AU$3),500),INDEX($E$72:$E$83,AU$3))</f>
        <v>360000</v>
      </c>
      <c r="AV29" s="1">
        <f t="shared" si="37"/>
        <v>5</v>
      </c>
      <c r="AW29" s="1">
        <f t="shared" si="37"/>
        <v>5</v>
      </c>
      <c r="AX29" s="1">
        <f t="shared" si="37"/>
        <v>75000</v>
      </c>
      <c r="AY29" s="1">
        <f t="shared" si="37"/>
        <v>5</v>
      </c>
      <c r="AZ29" s="1">
        <f t="shared" si="37"/>
        <v>5</v>
      </c>
      <c r="BA29" s="1">
        <f t="shared" si="37"/>
        <v>120000</v>
      </c>
      <c r="BB29" s="1">
        <f t="shared" si="37"/>
        <v>5</v>
      </c>
      <c r="BC29" s="1">
        <f t="shared" si="37"/>
        <v>5</v>
      </c>
      <c r="BD29" s="1">
        <f t="shared" si="37"/>
        <v>105000</v>
      </c>
      <c r="BE29" s="1">
        <f t="shared" si="37"/>
        <v>5</v>
      </c>
      <c r="BF29" s="1">
        <f t="shared" si="37"/>
        <v>1</v>
      </c>
    </row>
    <row r="30" spans="2:58" x14ac:dyDescent="0.35">
      <c r="B30">
        <v>2</v>
      </c>
      <c r="C30">
        <v>601</v>
      </c>
      <c r="D30" t="str">
        <f t="shared" si="33"/>
        <v>双倍结算</v>
      </c>
      <c r="E30" s="2">
        <v>2</v>
      </c>
      <c r="F30" s="1">
        <f t="shared" si="34"/>
        <v>2.6680000000000001</v>
      </c>
      <c r="G30" s="2">
        <v>150</v>
      </c>
      <c r="I30" s="7">
        <v>22</v>
      </c>
      <c r="J30" s="1">
        <f t="shared" si="12"/>
        <v>472</v>
      </c>
      <c r="K30" s="1">
        <f t="shared" si="13"/>
        <v>483</v>
      </c>
      <c r="L30" s="1">
        <f t="shared" si="25"/>
        <v>2330</v>
      </c>
      <c r="M30" s="1">
        <f t="shared" si="26"/>
        <v>125</v>
      </c>
      <c r="N30" s="1">
        <f t="shared" si="14"/>
        <v>483</v>
      </c>
      <c r="O30" s="1">
        <f t="shared" si="27"/>
        <v>25</v>
      </c>
      <c r="P30" s="1">
        <f t="shared" si="15"/>
        <v>309</v>
      </c>
      <c r="Q30" s="1">
        <f t="shared" si="28"/>
        <v>16</v>
      </c>
      <c r="R30" s="1">
        <f t="shared" si="16"/>
        <v>212</v>
      </c>
      <c r="S30" s="1">
        <f t="shared" si="29"/>
        <v>11</v>
      </c>
      <c r="T30" s="1">
        <f t="shared" si="22"/>
        <v>3000</v>
      </c>
      <c r="U30" s="12">
        <f t="shared" si="23"/>
        <v>3000</v>
      </c>
      <c r="W30" s="8">
        <f t="shared" si="24"/>
        <v>3.8471698113207551</v>
      </c>
      <c r="X30" s="1">
        <f t="shared" si="35"/>
        <v>75000</v>
      </c>
      <c r="Y30" s="1">
        <f t="shared" si="35"/>
        <v>2</v>
      </c>
      <c r="Z30" s="1">
        <f t="shared" si="35"/>
        <v>15000</v>
      </c>
      <c r="AA30" s="1">
        <f t="shared" si="35"/>
        <v>3</v>
      </c>
      <c r="AB30" s="1">
        <f t="shared" si="35"/>
        <v>1</v>
      </c>
      <c r="AC30" s="1">
        <f t="shared" si="35"/>
        <v>3</v>
      </c>
      <c r="AD30" s="1">
        <f t="shared" si="35"/>
        <v>7500</v>
      </c>
      <c r="AE30" s="1">
        <f t="shared" si="35"/>
        <v>5</v>
      </c>
      <c r="AG30" s="8">
        <f t="shared" si="18"/>
        <v>33.317</v>
      </c>
      <c r="AH30" s="1">
        <f t="shared" si="36"/>
        <v>255000</v>
      </c>
      <c r="AI30" s="1">
        <f t="shared" si="36"/>
        <v>10</v>
      </c>
      <c r="AJ30" s="1">
        <f t="shared" si="36"/>
        <v>90000</v>
      </c>
      <c r="AK30" s="1">
        <f t="shared" si="36"/>
        <v>10</v>
      </c>
      <c r="AL30" s="1">
        <f t="shared" si="36"/>
        <v>10</v>
      </c>
      <c r="AM30" s="1">
        <f t="shared" si="36"/>
        <v>63000</v>
      </c>
      <c r="AN30" s="1">
        <f t="shared" si="36"/>
        <v>10</v>
      </c>
      <c r="AO30" s="1">
        <f t="shared" si="36"/>
        <v>10</v>
      </c>
      <c r="AP30" s="1">
        <f t="shared" si="36"/>
        <v>48000</v>
      </c>
      <c r="AQ30" s="1">
        <f t="shared" si="36"/>
        <v>10</v>
      </c>
      <c r="AR30" s="1">
        <f t="shared" si="36"/>
        <v>1</v>
      </c>
      <c r="AS30" s="1"/>
      <c r="AT30" s="8">
        <f t="shared" si="20"/>
        <v>36.668316831683171</v>
      </c>
      <c r="AU30" s="1">
        <f t="shared" si="37"/>
        <v>360000</v>
      </c>
      <c r="AV30" s="1">
        <f t="shared" si="37"/>
        <v>5</v>
      </c>
      <c r="AW30" s="1">
        <f t="shared" si="37"/>
        <v>5</v>
      </c>
      <c r="AX30" s="1">
        <f t="shared" si="37"/>
        <v>75000</v>
      </c>
      <c r="AY30" s="1">
        <f t="shared" si="37"/>
        <v>5</v>
      </c>
      <c r="AZ30" s="1">
        <f t="shared" si="37"/>
        <v>5</v>
      </c>
      <c r="BA30" s="1">
        <f t="shared" si="37"/>
        <v>120000</v>
      </c>
      <c r="BB30" s="1">
        <f t="shared" si="37"/>
        <v>5</v>
      </c>
      <c r="BC30" s="1">
        <f t="shared" si="37"/>
        <v>5</v>
      </c>
      <c r="BD30" s="1">
        <f t="shared" si="37"/>
        <v>105000</v>
      </c>
      <c r="BE30" s="1">
        <f t="shared" si="37"/>
        <v>5</v>
      </c>
      <c r="BF30" s="1">
        <f t="shared" si="37"/>
        <v>1</v>
      </c>
    </row>
    <row r="31" spans="2:58" x14ac:dyDescent="0.35">
      <c r="B31">
        <v>3</v>
      </c>
      <c r="C31">
        <v>101</v>
      </c>
      <c r="D31" t="str">
        <f t="shared" si="33"/>
        <v>金币</v>
      </c>
      <c r="E31" s="2">
        <f>E29/5</f>
        <v>5</v>
      </c>
      <c r="F31" s="1">
        <f t="shared" si="34"/>
        <v>5</v>
      </c>
      <c r="G31" s="2">
        <v>150</v>
      </c>
      <c r="I31" s="7">
        <v>23</v>
      </c>
      <c r="J31" s="1">
        <f t="shared" si="12"/>
        <v>497</v>
      </c>
      <c r="K31" s="1">
        <f t="shared" si="13"/>
        <v>508</v>
      </c>
      <c r="L31" s="1">
        <f t="shared" si="25"/>
        <v>2455</v>
      </c>
      <c r="M31" s="1">
        <f t="shared" si="26"/>
        <v>125</v>
      </c>
      <c r="N31" s="1">
        <f t="shared" si="14"/>
        <v>508</v>
      </c>
      <c r="O31" s="1">
        <f t="shared" si="27"/>
        <v>25</v>
      </c>
      <c r="P31" s="1">
        <f t="shared" si="15"/>
        <v>324</v>
      </c>
      <c r="Q31" s="1">
        <f t="shared" si="28"/>
        <v>15</v>
      </c>
      <c r="R31" s="1">
        <f t="shared" si="16"/>
        <v>222</v>
      </c>
      <c r="S31" s="1">
        <f t="shared" si="29"/>
        <v>10</v>
      </c>
      <c r="T31" s="1">
        <f t="shared" si="22"/>
        <v>3100</v>
      </c>
      <c r="U31" s="12">
        <f t="shared" si="23"/>
        <v>3100</v>
      </c>
      <c r="W31" s="8">
        <f t="shared" si="24"/>
        <v>3.8471698113207546</v>
      </c>
      <c r="X31" s="1">
        <f t="shared" si="35"/>
        <v>77500</v>
      </c>
      <c r="Y31" s="1">
        <f t="shared" si="35"/>
        <v>2</v>
      </c>
      <c r="Z31" s="1">
        <f t="shared" si="35"/>
        <v>15500</v>
      </c>
      <c r="AA31" s="1">
        <f t="shared" si="35"/>
        <v>3</v>
      </c>
      <c r="AB31" s="1">
        <f t="shared" si="35"/>
        <v>1</v>
      </c>
      <c r="AC31" s="1">
        <f t="shared" si="35"/>
        <v>3</v>
      </c>
      <c r="AD31" s="1">
        <f t="shared" si="35"/>
        <v>8000</v>
      </c>
      <c r="AE31" s="1">
        <f t="shared" si="35"/>
        <v>5</v>
      </c>
      <c r="AG31" s="8">
        <f t="shared" si="18"/>
        <v>33.317</v>
      </c>
      <c r="AH31" s="1">
        <f t="shared" si="36"/>
        <v>263500</v>
      </c>
      <c r="AI31" s="1">
        <f t="shared" si="36"/>
        <v>10</v>
      </c>
      <c r="AJ31" s="1">
        <f t="shared" si="36"/>
        <v>93000</v>
      </c>
      <c r="AK31" s="1">
        <f t="shared" si="36"/>
        <v>10</v>
      </c>
      <c r="AL31" s="1">
        <f t="shared" si="36"/>
        <v>10</v>
      </c>
      <c r="AM31" s="1">
        <f t="shared" si="36"/>
        <v>65500</v>
      </c>
      <c r="AN31" s="1">
        <f t="shared" si="36"/>
        <v>10</v>
      </c>
      <c r="AO31" s="1">
        <f t="shared" si="36"/>
        <v>10</v>
      </c>
      <c r="AP31" s="1">
        <f t="shared" si="36"/>
        <v>50000</v>
      </c>
      <c r="AQ31" s="1">
        <f t="shared" si="36"/>
        <v>10</v>
      </c>
      <c r="AR31" s="1">
        <f t="shared" si="36"/>
        <v>1</v>
      </c>
      <c r="AS31" s="1"/>
      <c r="AT31" s="8">
        <f t="shared" si="20"/>
        <v>36.668316831683171</v>
      </c>
      <c r="AU31" s="1">
        <f t="shared" si="37"/>
        <v>372000</v>
      </c>
      <c r="AV31" s="1">
        <f t="shared" si="37"/>
        <v>5</v>
      </c>
      <c r="AW31" s="1">
        <f t="shared" si="37"/>
        <v>5</v>
      </c>
      <c r="AX31" s="1">
        <f t="shared" si="37"/>
        <v>77500</v>
      </c>
      <c r="AY31" s="1">
        <f t="shared" si="37"/>
        <v>5</v>
      </c>
      <c r="AZ31" s="1">
        <f t="shared" si="37"/>
        <v>5</v>
      </c>
      <c r="BA31" s="1">
        <f t="shared" si="37"/>
        <v>124000</v>
      </c>
      <c r="BB31" s="1">
        <f t="shared" si="37"/>
        <v>5</v>
      </c>
      <c r="BC31" s="1">
        <f t="shared" si="37"/>
        <v>5</v>
      </c>
      <c r="BD31" s="1">
        <f t="shared" si="37"/>
        <v>108500</v>
      </c>
      <c r="BE31" s="1">
        <f t="shared" si="37"/>
        <v>5</v>
      </c>
      <c r="BF31" s="1">
        <f t="shared" si="37"/>
        <v>1</v>
      </c>
    </row>
    <row r="32" spans="2:58" x14ac:dyDescent="0.35">
      <c r="B32">
        <v>4</v>
      </c>
      <c r="C32">
        <v>401</v>
      </c>
      <c r="D32" t="str">
        <f t="shared" si="33"/>
        <v>免费挑战(1倍)</v>
      </c>
      <c r="E32" s="2">
        <v>3</v>
      </c>
      <c r="F32" s="1">
        <f t="shared" si="34"/>
        <v>3</v>
      </c>
      <c r="G32" s="2">
        <v>150</v>
      </c>
      <c r="I32" s="7">
        <v>24</v>
      </c>
      <c r="J32" s="1">
        <f t="shared" si="12"/>
        <v>522</v>
      </c>
      <c r="K32" s="1">
        <f t="shared" si="13"/>
        <v>533</v>
      </c>
      <c r="L32" s="1">
        <f t="shared" si="25"/>
        <v>2580</v>
      </c>
      <c r="M32" s="1">
        <f t="shared" si="26"/>
        <v>125</v>
      </c>
      <c r="N32" s="1">
        <f t="shared" si="14"/>
        <v>533</v>
      </c>
      <c r="O32" s="1">
        <f t="shared" si="27"/>
        <v>25</v>
      </c>
      <c r="P32" s="1">
        <f t="shared" si="15"/>
        <v>340</v>
      </c>
      <c r="Q32" s="1">
        <f t="shared" si="28"/>
        <v>16</v>
      </c>
      <c r="R32" s="1">
        <f t="shared" si="16"/>
        <v>232</v>
      </c>
      <c r="S32" s="1">
        <f t="shared" si="29"/>
        <v>10</v>
      </c>
      <c r="T32" s="1">
        <f t="shared" si="22"/>
        <v>3100</v>
      </c>
      <c r="U32" s="12">
        <f t="shared" si="23"/>
        <v>3100</v>
      </c>
      <c r="W32" s="8">
        <f t="shared" si="24"/>
        <v>3.8471698113207546</v>
      </c>
      <c r="X32" s="1">
        <f t="shared" si="35"/>
        <v>77500</v>
      </c>
      <c r="Y32" s="1">
        <f t="shared" si="35"/>
        <v>2</v>
      </c>
      <c r="Z32" s="1">
        <f t="shared" si="35"/>
        <v>15500</v>
      </c>
      <c r="AA32" s="1">
        <f t="shared" si="35"/>
        <v>3</v>
      </c>
      <c r="AB32" s="1">
        <f t="shared" si="35"/>
        <v>1</v>
      </c>
      <c r="AC32" s="1">
        <f t="shared" si="35"/>
        <v>3</v>
      </c>
      <c r="AD32" s="1">
        <f t="shared" si="35"/>
        <v>8000</v>
      </c>
      <c r="AE32" s="1">
        <f t="shared" si="35"/>
        <v>5</v>
      </c>
      <c r="AG32" s="8">
        <f t="shared" si="18"/>
        <v>33.317</v>
      </c>
      <c r="AH32" s="1">
        <f t="shared" si="36"/>
        <v>263500</v>
      </c>
      <c r="AI32" s="1">
        <f t="shared" si="36"/>
        <v>10</v>
      </c>
      <c r="AJ32" s="1">
        <f t="shared" si="36"/>
        <v>93000</v>
      </c>
      <c r="AK32" s="1">
        <f t="shared" si="36"/>
        <v>10</v>
      </c>
      <c r="AL32" s="1">
        <f t="shared" si="36"/>
        <v>10</v>
      </c>
      <c r="AM32" s="1">
        <f t="shared" si="36"/>
        <v>65500</v>
      </c>
      <c r="AN32" s="1">
        <f t="shared" si="36"/>
        <v>10</v>
      </c>
      <c r="AO32" s="1">
        <f t="shared" si="36"/>
        <v>10</v>
      </c>
      <c r="AP32" s="1">
        <f t="shared" si="36"/>
        <v>50000</v>
      </c>
      <c r="AQ32" s="1">
        <f t="shared" si="36"/>
        <v>10</v>
      </c>
      <c r="AR32" s="1">
        <f t="shared" si="36"/>
        <v>1</v>
      </c>
      <c r="AS32" s="1"/>
      <c r="AT32" s="8">
        <f t="shared" si="20"/>
        <v>36.668316831683171</v>
      </c>
      <c r="AU32" s="1">
        <f t="shared" si="37"/>
        <v>372000</v>
      </c>
      <c r="AV32" s="1">
        <f t="shared" si="37"/>
        <v>5</v>
      </c>
      <c r="AW32" s="1">
        <f t="shared" si="37"/>
        <v>5</v>
      </c>
      <c r="AX32" s="1">
        <f t="shared" si="37"/>
        <v>77500</v>
      </c>
      <c r="AY32" s="1">
        <f t="shared" si="37"/>
        <v>5</v>
      </c>
      <c r="AZ32" s="1">
        <f t="shared" si="37"/>
        <v>5</v>
      </c>
      <c r="BA32" s="1">
        <f t="shared" si="37"/>
        <v>124000</v>
      </c>
      <c r="BB32" s="1">
        <f t="shared" si="37"/>
        <v>5</v>
      </c>
      <c r="BC32" s="1">
        <f t="shared" si="37"/>
        <v>5</v>
      </c>
      <c r="BD32" s="1">
        <f t="shared" si="37"/>
        <v>108500</v>
      </c>
      <c r="BE32" s="1">
        <f t="shared" si="37"/>
        <v>5</v>
      </c>
      <c r="BF32" s="1">
        <f t="shared" si="37"/>
        <v>1</v>
      </c>
    </row>
    <row r="33" spans="2:58" x14ac:dyDescent="0.35">
      <c r="B33">
        <v>5</v>
      </c>
      <c r="C33">
        <v>501</v>
      </c>
      <c r="D33" t="str">
        <f t="shared" si="33"/>
        <v>24小时离线加速</v>
      </c>
      <c r="E33" s="2">
        <v>1</v>
      </c>
      <c r="F33" s="1">
        <f t="shared" si="34"/>
        <v>3.35</v>
      </c>
      <c r="G33" s="2">
        <v>150</v>
      </c>
      <c r="I33" s="7">
        <v>25</v>
      </c>
      <c r="J33" s="1">
        <f t="shared" si="12"/>
        <v>547</v>
      </c>
      <c r="K33" s="1">
        <f t="shared" si="13"/>
        <v>558</v>
      </c>
      <c r="L33" s="1">
        <f t="shared" si="25"/>
        <v>2705</v>
      </c>
      <c r="M33" s="1">
        <f t="shared" si="26"/>
        <v>125</v>
      </c>
      <c r="N33" s="1">
        <f t="shared" si="14"/>
        <v>558</v>
      </c>
      <c r="O33" s="1">
        <f t="shared" si="27"/>
        <v>25</v>
      </c>
      <c r="P33" s="1">
        <f t="shared" si="15"/>
        <v>356</v>
      </c>
      <c r="Q33" s="1">
        <f t="shared" si="28"/>
        <v>16</v>
      </c>
      <c r="R33" s="1">
        <f t="shared" si="16"/>
        <v>243</v>
      </c>
      <c r="S33" s="1">
        <f t="shared" si="29"/>
        <v>11</v>
      </c>
      <c r="T33" s="1">
        <f t="shared" si="22"/>
        <v>3200</v>
      </c>
      <c r="U33" s="12">
        <f t="shared" si="23"/>
        <v>3200</v>
      </c>
      <c r="W33" s="8">
        <f t="shared" si="24"/>
        <v>3.8471698113207551</v>
      </c>
      <c r="X33" s="1">
        <f t="shared" si="35"/>
        <v>80000</v>
      </c>
      <c r="Y33" s="1">
        <f t="shared" si="35"/>
        <v>2</v>
      </c>
      <c r="Z33" s="1">
        <f t="shared" si="35"/>
        <v>16000</v>
      </c>
      <c r="AA33" s="1">
        <f t="shared" si="35"/>
        <v>3</v>
      </c>
      <c r="AB33" s="1">
        <f t="shared" si="35"/>
        <v>1</v>
      </c>
      <c r="AC33" s="1">
        <f t="shared" si="35"/>
        <v>3</v>
      </c>
      <c r="AD33" s="1">
        <f t="shared" si="35"/>
        <v>8000</v>
      </c>
      <c r="AE33" s="1">
        <f t="shared" si="35"/>
        <v>5</v>
      </c>
      <c r="AG33" s="8">
        <f t="shared" si="18"/>
        <v>33.317</v>
      </c>
      <c r="AH33" s="1">
        <f t="shared" si="36"/>
        <v>272000</v>
      </c>
      <c r="AI33" s="1">
        <f t="shared" si="36"/>
        <v>10</v>
      </c>
      <c r="AJ33" s="1">
        <f t="shared" si="36"/>
        <v>96000</v>
      </c>
      <c r="AK33" s="1">
        <f t="shared" si="36"/>
        <v>10</v>
      </c>
      <c r="AL33" s="1">
        <f t="shared" si="36"/>
        <v>10</v>
      </c>
      <c r="AM33" s="1">
        <f t="shared" si="36"/>
        <v>67500</v>
      </c>
      <c r="AN33" s="1">
        <f t="shared" si="36"/>
        <v>10</v>
      </c>
      <c r="AO33" s="1">
        <f t="shared" si="36"/>
        <v>10</v>
      </c>
      <c r="AP33" s="1">
        <f t="shared" si="36"/>
        <v>51500</v>
      </c>
      <c r="AQ33" s="1">
        <f t="shared" si="36"/>
        <v>10</v>
      </c>
      <c r="AR33" s="1">
        <f t="shared" si="36"/>
        <v>1</v>
      </c>
      <c r="AS33" s="1"/>
      <c r="AT33" s="8">
        <f t="shared" si="20"/>
        <v>36.668316831683171</v>
      </c>
      <c r="AU33" s="1">
        <f t="shared" si="37"/>
        <v>384000</v>
      </c>
      <c r="AV33" s="1">
        <f t="shared" si="37"/>
        <v>5</v>
      </c>
      <c r="AW33" s="1">
        <f t="shared" si="37"/>
        <v>5</v>
      </c>
      <c r="AX33" s="1">
        <f t="shared" si="37"/>
        <v>80000</v>
      </c>
      <c r="AY33" s="1">
        <f t="shared" si="37"/>
        <v>5</v>
      </c>
      <c r="AZ33" s="1">
        <f t="shared" si="37"/>
        <v>5</v>
      </c>
      <c r="BA33" s="1">
        <f t="shared" si="37"/>
        <v>128000</v>
      </c>
      <c r="BB33" s="1">
        <f t="shared" si="37"/>
        <v>5</v>
      </c>
      <c r="BC33" s="1">
        <f t="shared" si="37"/>
        <v>5</v>
      </c>
      <c r="BD33" s="1">
        <f t="shared" si="37"/>
        <v>112000</v>
      </c>
      <c r="BE33" s="1">
        <f t="shared" si="37"/>
        <v>5</v>
      </c>
      <c r="BF33" s="1">
        <f t="shared" si="37"/>
        <v>1</v>
      </c>
    </row>
    <row r="34" spans="2:58" x14ac:dyDescent="0.35">
      <c r="B34">
        <v>6</v>
      </c>
      <c r="C34">
        <v>601</v>
      </c>
      <c r="D34" t="str">
        <f t="shared" si="33"/>
        <v>双倍结算</v>
      </c>
      <c r="E34" s="2">
        <v>3</v>
      </c>
      <c r="F34" s="1">
        <f>INDEX(item_cost_mf,MATCH($C34,item_id,0),$C$23)*E34</f>
        <v>4.0020000000000007</v>
      </c>
      <c r="G34" s="2">
        <v>150</v>
      </c>
      <c r="I34" s="7">
        <v>26</v>
      </c>
      <c r="J34" s="1">
        <f t="shared" si="12"/>
        <v>572</v>
      </c>
      <c r="K34" s="1">
        <f t="shared" si="13"/>
        <v>583</v>
      </c>
      <c r="L34" s="1">
        <f t="shared" si="25"/>
        <v>2830</v>
      </c>
      <c r="M34" s="1">
        <f t="shared" si="26"/>
        <v>125</v>
      </c>
      <c r="N34" s="1">
        <f t="shared" si="14"/>
        <v>583</v>
      </c>
      <c r="O34" s="1">
        <f t="shared" si="27"/>
        <v>25</v>
      </c>
      <c r="P34" s="1">
        <f t="shared" si="15"/>
        <v>371</v>
      </c>
      <c r="Q34" s="1">
        <f t="shared" si="28"/>
        <v>15</v>
      </c>
      <c r="R34" s="1">
        <f t="shared" si="16"/>
        <v>253</v>
      </c>
      <c r="S34" s="1">
        <f t="shared" si="29"/>
        <v>10</v>
      </c>
      <c r="T34" s="1">
        <f t="shared" si="22"/>
        <v>3200</v>
      </c>
      <c r="U34" s="12">
        <f t="shared" si="23"/>
        <v>3200</v>
      </c>
      <c r="W34" s="8">
        <f t="shared" si="24"/>
        <v>3.8471698113207551</v>
      </c>
      <c r="X34" s="1">
        <f t="shared" si="35"/>
        <v>80000</v>
      </c>
      <c r="Y34" s="1">
        <f t="shared" si="35"/>
        <v>2</v>
      </c>
      <c r="Z34" s="1">
        <f t="shared" si="35"/>
        <v>16000</v>
      </c>
      <c r="AA34" s="1">
        <f t="shared" si="35"/>
        <v>3</v>
      </c>
      <c r="AB34" s="1">
        <f t="shared" si="35"/>
        <v>1</v>
      </c>
      <c r="AC34" s="1">
        <f t="shared" si="35"/>
        <v>3</v>
      </c>
      <c r="AD34" s="1">
        <f t="shared" si="35"/>
        <v>8000</v>
      </c>
      <c r="AE34" s="1">
        <f t="shared" si="35"/>
        <v>5</v>
      </c>
      <c r="AG34" s="8">
        <f t="shared" si="18"/>
        <v>33.317</v>
      </c>
      <c r="AH34" s="1">
        <f t="shared" si="36"/>
        <v>272000</v>
      </c>
      <c r="AI34" s="1">
        <f t="shared" si="36"/>
        <v>10</v>
      </c>
      <c r="AJ34" s="1">
        <f t="shared" si="36"/>
        <v>96000</v>
      </c>
      <c r="AK34" s="1">
        <f t="shared" si="36"/>
        <v>10</v>
      </c>
      <c r="AL34" s="1">
        <f t="shared" si="36"/>
        <v>10</v>
      </c>
      <c r="AM34" s="1">
        <f t="shared" si="36"/>
        <v>67500</v>
      </c>
      <c r="AN34" s="1">
        <f t="shared" si="36"/>
        <v>10</v>
      </c>
      <c r="AO34" s="1">
        <f t="shared" si="36"/>
        <v>10</v>
      </c>
      <c r="AP34" s="1">
        <f t="shared" si="36"/>
        <v>51500</v>
      </c>
      <c r="AQ34" s="1">
        <f t="shared" si="36"/>
        <v>10</v>
      </c>
      <c r="AR34" s="1">
        <f t="shared" si="36"/>
        <v>1</v>
      </c>
      <c r="AS34" s="1"/>
      <c r="AT34" s="8">
        <f t="shared" si="20"/>
        <v>36.668316831683171</v>
      </c>
      <c r="AU34" s="1">
        <f t="shared" si="37"/>
        <v>384000</v>
      </c>
      <c r="AV34" s="1">
        <f t="shared" si="37"/>
        <v>5</v>
      </c>
      <c r="AW34" s="1">
        <f t="shared" si="37"/>
        <v>5</v>
      </c>
      <c r="AX34" s="1">
        <f t="shared" si="37"/>
        <v>80000</v>
      </c>
      <c r="AY34" s="1">
        <f t="shared" si="37"/>
        <v>5</v>
      </c>
      <c r="AZ34" s="1">
        <f t="shared" si="37"/>
        <v>5</v>
      </c>
      <c r="BA34" s="1">
        <f t="shared" si="37"/>
        <v>128000</v>
      </c>
      <c r="BB34" s="1">
        <f t="shared" si="37"/>
        <v>5</v>
      </c>
      <c r="BC34" s="1">
        <f t="shared" si="37"/>
        <v>5</v>
      </c>
      <c r="BD34" s="1">
        <f t="shared" si="37"/>
        <v>112000</v>
      </c>
      <c r="BE34" s="1">
        <f t="shared" si="37"/>
        <v>5</v>
      </c>
      <c r="BF34" s="1">
        <f t="shared" si="37"/>
        <v>1</v>
      </c>
    </row>
    <row r="35" spans="2:58" x14ac:dyDescent="0.35">
      <c r="B35">
        <v>7</v>
      </c>
      <c r="C35">
        <v>101</v>
      </c>
      <c r="D35" t="str">
        <f t="shared" si="33"/>
        <v>金币</v>
      </c>
      <c r="E35" s="2">
        <f>E31/2</f>
        <v>2.5</v>
      </c>
      <c r="F35" s="1">
        <f t="shared" si="34"/>
        <v>2.5</v>
      </c>
      <c r="G35" s="2">
        <v>150</v>
      </c>
      <c r="I35" s="7">
        <v>27</v>
      </c>
      <c r="J35" s="1">
        <f t="shared" si="12"/>
        <v>597</v>
      </c>
      <c r="K35" s="1">
        <f t="shared" si="13"/>
        <v>608</v>
      </c>
      <c r="L35" s="1">
        <f t="shared" si="25"/>
        <v>2955</v>
      </c>
      <c r="M35" s="1">
        <f t="shared" si="26"/>
        <v>125</v>
      </c>
      <c r="N35" s="1">
        <f t="shared" si="14"/>
        <v>608</v>
      </c>
      <c r="O35" s="1">
        <f t="shared" si="27"/>
        <v>25</v>
      </c>
      <c r="P35" s="1">
        <f t="shared" si="15"/>
        <v>387</v>
      </c>
      <c r="Q35" s="1">
        <f t="shared" si="28"/>
        <v>16</v>
      </c>
      <c r="R35" s="1">
        <f t="shared" si="16"/>
        <v>264</v>
      </c>
      <c r="S35" s="1">
        <f t="shared" si="29"/>
        <v>11</v>
      </c>
      <c r="T35" s="1">
        <f t="shared" si="22"/>
        <v>3300</v>
      </c>
      <c r="U35" s="12">
        <f t="shared" si="23"/>
        <v>3300</v>
      </c>
      <c r="W35" s="8">
        <f t="shared" si="24"/>
        <v>3.8471698113207546</v>
      </c>
      <c r="X35" s="1">
        <f t="shared" si="35"/>
        <v>82500</v>
      </c>
      <c r="Y35" s="1">
        <f t="shared" si="35"/>
        <v>2</v>
      </c>
      <c r="Z35" s="1">
        <f t="shared" si="35"/>
        <v>16500</v>
      </c>
      <c r="AA35" s="1">
        <f t="shared" si="35"/>
        <v>3</v>
      </c>
      <c r="AB35" s="1">
        <f t="shared" si="35"/>
        <v>1</v>
      </c>
      <c r="AC35" s="1">
        <f t="shared" si="35"/>
        <v>3</v>
      </c>
      <c r="AD35" s="1">
        <f t="shared" si="35"/>
        <v>8500</v>
      </c>
      <c r="AE35" s="1">
        <f t="shared" si="35"/>
        <v>5</v>
      </c>
      <c r="AG35" s="8">
        <f t="shared" si="18"/>
        <v>33.317</v>
      </c>
      <c r="AH35" s="1">
        <f t="shared" si="36"/>
        <v>280500</v>
      </c>
      <c r="AI35" s="1">
        <f t="shared" si="36"/>
        <v>10</v>
      </c>
      <c r="AJ35" s="1">
        <f t="shared" si="36"/>
        <v>99000</v>
      </c>
      <c r="AK35" s="1">
        <f t="shared" si="36"/>
        <v>10</v>
      </c>
      <c r="AL35" s="1">
        <f t="shared" si="36"/>
        <v>10</v>
      </c>
      <c r="AM35" s="1">
        <f t="shared" si="36"/>
        <v>69500</v>
      </c>
      <c r="AN35" s="1">
        <f t="shared" si="36"/>
        <v>10</v>
      </c>
      <c r="AO35" s="1">
        <f t="shared" si="36"/>
        <v>10</v>
      </c>
      <c r="AP35" s="1">
        <f t="shared" si="36"/>
        <v>53000</v>
      </c>
      <c r="AQ35" s="1">
        <f t="shared" si="36"/>
        <v>10</v>
      </c>
      <c r="AR35" s="1">
        <f t="shared" si="36"/>
        <v>1</v>
      </c>
      <c r="AS35" s="1"/>
      <c r="AT35" s="8">
        <f t="shared" si="20"/>
        <v>36.668316831683171</v>
      </c>
      <c r="AU35" s="1">
        <f t="shared" si="37"/>
        <v>396000</v>
      </c>
      <c r="AV35" s="1">
        <f t="shared" si="37"/>
        <v>5</v>
      </c>
      <c r="AW35" s="1">
        <f t="shared" si="37"/>
        <v>5</v>
      </c>
      <c r="AX35" s="1">
        <f t="shared" si="37"/>
        <v>82500</v>
      </c>
      <c r="AY35" s="1">
        <f t="shared" si="37"/>
        <v>5</v>
      </c>
      <c r="AZ35" s="1">
        <f t="shared" si="37"/>
        <v>5</v>
      </c>
      <c r="BA35" s="1">
        <f t="shared" si="37"/>
        <v>132000</v>
      </c>
      <c r="BB35" s="1">
        <f t="shared" si="37"/>
        <v>5</v>
      </c>
      <c r="BC35" s="1">
        <f t="shared" si="37"/>
        <v>5</v>
      </c>
      <c r="BD35" s="1">
        <f t="shared" si="37"/>
        <v>115500</v>
      </c>
      <c r="BE35" s="1">
        <f t="shared" si="37"/>
        <v>5</v>
      </c>
      <c r="BF35" s="1">
        <f t="shared" si="37"/>
        <v>1</v>
      </c>
    </row>
    <row r="36" spans="2:58" s="2" customFormat="1" x14ac:dyDescent="0.35">
      <c r="B36">
        <v>8</v>
      </c>
      <c r="C36">
        <v>401</v>
      </c>
      <c r="D36" t="str">
        <f t="shared" si="33"/>
        <v>免费挑战(1倍)</v>
      </c>
      <c r="E36" s="2">
        <v>5</v>
      </c>
      <c r="F36" s="1">
        <f t="shared" si="34"/>
        <v>5</v>
      </c>
      <c r="G36" s="2">
        <v>150</v>
      </c>
      <c r="I36" s="7">
        <v>28</v>
      </c>
      <c r="J36" s="1">
        <f t="shared" si="12"/>
        <v>622</v>
      </c>
      <c r="K36" s="1">
        <f t="shared" si="13"/>
        <v>633</v>
      </c>
      <c r="L36" s="1">
        <f t="shared" si="25"/>
        <v>3080</v>
      </c>
      <c r="M36" s="1">
        <f t="shared" si="26"/>
        <v>125</v>
      </c>
      <c r="N36" s="1">
        <f t="shared" si="14"/>
        <v>633</v>
      </c>
      <c r="O36" s="1">
        <f t="shared" si="27"/>
        <v>25</v>
      </c>
      <c r="P36" s="1">
        <f t="shared" si="15"/>
        <v>402</v>
      </c>
      <c r="Q36" s="1">
        <f t="shared" si="28"/>
        <v>15</v>
      </c>
      <c r="R36" s="1">
        <f t="shared" si="16"/>
        <v>274</v>
      </c>
      <c r="S36" s="1">
        <f t="shared" si="29"/>
        <v>10</v>
      </c>
      <c r="T36" s="1">
        <f t="shared" si="22"/>
        <v>3300</v>
      </c>
      <c r="U36" s="12">
        <f t="shared" si="23"/>
        <v>3300</v>
      </c>
      <c r="W36" s="8">
        <f t="shared" si="24"/>
        <v>3.8471698113207546</v>
      </c>
      <c r="X36" s="1">
        <f t="shared" si="35"/>
        <v>82500</v>
      </c>
      <c r="Y36" s="1">
        <f t="shared" si="35"/>
        <v>2</v>
      </c>
      <c r="Z36" s="1">
        <f t="shared" si="35"/>
        <v>16500</v>
      </c>
      <c r="AA36" s="1">
        <f t="shared" si="35"/>
        <v>3</v>
      </c>
      <c r="AB36" s="1">
        <f t="shared" si="35"/>
        <v>1</v>
      </c>
      <c r="AC36" s="1">
        <f t="shared" si="35"/>
        <v>3</v>
      </c>
      <c r="AD36" s="1">
        <f t="shared" si="35"/>
        <v>8500</v>
      </c>
      <c r="AE36" s="1">
        <f t="shared" si="35"/>
        <v>5</v>
      </c>
      <c r="AF36" s="1"/>
      <c r="AG36" s="8">
        <f t="shared" si="18"/>
        <v>33.317</v>
      </c>
      <c r="AH36" s="1">
        <f t="shared" si="36"/>
        <v>280500</v>
      </c>
      <c r="AI36" s="1">
        <f t="shared" si="36"/>
        <v>10</v>
      </c>
      <c r="AJ36" s="1">
        <f t="shared" si="36"/>
        <v>99000</v>
      </c>
      <c r="AK36" s="1">
        <f t="shared" si="36"/>
        <v>10</v>
      </c>
      <c r="AL36" s="1">
        <f t="shared" si="36"/>
        <v>10</v>
      </c>
      <c r="AM36" s="1">
        <f t="shared" si="36"/>
        <v>69500</v>
      </c>
      <c r="AN36" s="1">
        <f t="shared" si="36"/>
        <v>10</v>
      </c>
      <c r="AO36" s="1">
        <f t="shared" si="36"/>
        <v>10</v>
      </c>
      <c r="AP36" s="1">
        <f t="shared" si="36"/>
        <v>53000</v>
      </c>
      <c r="AQ36" s="1">
        <f t="shared" si="36"/>
        <v>10</v>
      </c>
      <c r="AR36" s="1">
        <f t="shared" si="36"/>
        <v>1</v>
      </c>
      <c r="AS36" s="1"/>
      <c r="AT36" s="8">
        <f t="shared" si="20"/>
        <v>36.668316831683171</v>
      </c>
      <c r="AU36" s="1">
        <f t="shared" si="37"/>
        <v>396000</v>
      </c>
      <c r="AV36" s="1">
        <f t="shared" si="37"/>
        <v>5</v>
      </c>
      <c r="AW36" s="1">
        <f t="shared" si="37"/>
        <v>5</v>
      </c>
      <c r="AX36" s="1">
        <f t="shared" si="37"/>
        <v>82500</v>
      </c>
      <c r="AY36" s="1">
        <f t="shared" si="37"/>
        <v>5</v>
      </c>
      <c r="AZ36" s="1">
        <f t="shared" si="37"/>
        <v>5</v>
      </c>
      <c r="BA36" s="1">
        <f t="shared" si="37"/>
        <v>132000</v>
      </c>
      <c r="BB36" s="1">
        <f t="shared" si="37"/>
        <v>5</v>
      </c>
      <c r="BC36" s="1">
        <f t="shared" si="37"/>
        <v>5</v>
      </c>
      <c r="BD36" s="1">
        <f t="shared" si="37"/>
        <v>115500</v>
      </c>
      <c r="BE36" s="1">
        <f t="shared" si="37"/>
        <v>5</v>
      </c>
      <c r="BF36" s="1">
        <f t="shared" si="37"/>
        <v>1</v>
      </c>
    </row>
    <row r="37" spans="2:58" s="2" customFormat="1" x14ac:dyDescent="0.35">
      <c r="I37" s="7">
        <v>29</v>
      </c>
      <c r="J37" s="1">
        <f t="shared" si="12"/>
        <v>647</v>
      </c>
      <c r="K37" s="1">
        <f t="shared" si="13"/>
        <v>658</v>
      </c>
      <c r="L37" s="1">
        <f t="shared" si="25"/>
        <v>3205</v>
      </c>
      <c r="M37" s="1">
        <f t="shared" si="26"/>
        <v>125</v>
      </c>
      <c r="N37" s="1">
        <f t="shared" si="14"/>
        <v>658</v>
      </c>
      <c r="O37" s="1">
        <f t="shared" si="27"/>
        <v>25</v>
      </c>
      <c r="P37" s="1">
        <f t="shared" si="15"/>
        <v>418</v>
      </c>
      <c r="Q37" s="1">
        <f t="shared" si="28"/>
        <v>16</v>
      </c>
      <c r="R37" s="1">
        <f t="shared" si="16"/>
        <v>285</v>
      </c>
      <c r="S37" s="1">
        <f t="shared" si="29"/>
        <v>11</v>
      </c>
      <c r="T37" s="1">
        <f t="shared" si="22"/>
        <v>3400</v>
      </c>
      <c r="U37" s="12">
        <f t="shared" si="23"/>
        <v>3400</v>
      </c>
      <c r="W37" s="8">
        <f t="shared" si="24"/>
        <v>3.8471698113207551</v>
      </c>
      <c r="X37" s="1">
        <f t="shared" si="35"/>
        <v>85000</v>
      </c>
      <c r="Y37" s="1">
        <f t="shared" si="35"/>
        <v>2</v>
      </c>
      <c r="Z37" s="1">
        <f t="shared" si="35"/>
        <v>17000</v>
      </c>
      <c r="AA37" s="1">
        <f t="shared" si="35"/>
        <v>3</v>
      </c>
      <c r="AB37" s="1">
        <f t="shared" si="35"/>
        <v>1</v>
      </c>
      <c r="AC37" s="1">
        <f t="shared" si="35"/>
        <v>3</v>
      </c>
      <c r="AD37" s="1">
        <f t="shared" si="35"/>
        <v>8500</v>
      </c>
      <c r="AE37" s="1">
        <f t="shared" si="35"/>
        <v>5</v>
      </c>
      <c r="AF37" s="1"/>
      <c r="AG37" s="8">
        <f t="shared" si="18"/>
        <v>33.317</v>
      </c>
      <c r="AH37" s="1">
        <f t="shared" si="36"/>
        <v>289000</v>
      </c>
      <c r="AI37" s="1">
        <f t="shared" si="36"/>
        <v>10</v>
      </c>
      <c r="AJ37" s="1">
        <f t="shared" si="36"/>
        <v>102000</v>
      </c>
      <c r="AK37" s="1">
        <f t="shared" si="36"/>
        <v>10</v>
      </c>
      <c r="AL37" s="1">
        <f t="shared" si="36"/>
        <v>10</v>
      </c>
      <c r="AM37" s="1">
        <f t="shared" si="36"/>
        <v>71500</v>
      </c>
      <c r="AN37" s="1">
        <f t="shared" si="36"/>
        <v>10</v>
      </c>
      <c r="AO37" s="1">
        <f t="shared" si="36"/>
        <v>10</v>
      </c>
      <c r="AP37" s="1">
        <f t="shared" si="36"/>
        <v>54500</v>
      </c>
      <c r="AQ37" s="1">
        <f t="shared" si="36"/>
        <v>10</v>
      </c>
      <c r="AR37" s="1">
        <f t="shared" si="36"/>
        <v>1</v>
      </c>
      <c r="AS37" s="1"/>
      <c r="AT37" s="8">
        <f t="shared" si="20"/>
        <v>36.668316831683171</v>
      </c>
      <c r="AU37" s="1">
        <f t="shared" si="37"/>
        <v>408000</v>
      </c>
      <c r="AV37" s="1">
        <f t="shared" si="37"/>
        <v>5</v>
      </c>
      <c r="AW37" s="1">
        <f t="shared" si="37"/>
        <v>5</v>
      </c>
      <c r="AX37" s="1">
        <f t="shared" si="37"/>
        <v>85000</v>
      </c>
      <c r="AY37" s="1">
        <f t="shared" si="37"/>
        <v>5</v>
      </c>
      <c r="AZ37" s="1">
        <f t="shared" si="37"/>
        <v>5</v>
      </c>
      <c r="BA37" s="1">
        <f t="shared" si="37"/>
        <v>136000</v>
      </c>
      <c r="BB37" s="1">
        <f t="shared" si="37"/>
        <v>5</v>
      </c>
      <c r="BC37" s="1">
        <f t="shared" si="37"/>
        <v>5</v>
      </c>
      <c r="BD37" s="1">
        <f t="shared" si="37"/>
        <v>119000</v>
      </c>
      <c r="BE37" s="1">
        <f t="shared" si="37"/>
        <v>5</v>
      </c>
      <c r="BF37" s="1">
        <f t="shared" si="37"/>
        <v>1</v>
      </c>
    </row>
    <row r="38" spans="2:58" s="2" customFormat="1" x14ac:dyDescent="0.35">
      <c r="I38" s="7">
        <v>30</v>
      </c>
      <c r="J38" s="1">
        <f t="shared" si="12"/>
        <v>672</v>
      </c>
      <c r="K38" s="1">
        <f t="shared" si="13"/>
        <v>683</v>
      </c>
      <c r="L38" s="1">
        <f t="shared" si="25"/>
        <v>3330</v>
      </c>
      <c r="M38" s="1">
        <f t="shared" si="26"/>
        <v>125</v>
      </c>
      <c r="N38" s="1">
        <f t="shared" si="14"/>
        <v>683</v>
      </c>
      <c r="O38" s="1">
        <f t="shared" si="27"/>
        <v>25</v>
      </c>
      <c r="P38" s="1">
        <f t="shared" si="15"/>
        <v>434</v>
      </c>
      <c r="Q38" s="1">
        <f t="shared" si="28"/>
        <v>16</v>
      </c>
      <c r="R38" s="1">
        <f t="shared" si="16"/>
        <v>295</v>
      </c>
      <c r="S38" s="1">
        <f t="shared" si="29"/>
        <v>10</v>
      </c>
      <c r="T38" s="1">
        <f t="shared" si="22"/>
        <v>3400</v>
      </c>
      <c r="U38" s="12">
        <f t="shared" si="23"/>
        <v>3400</v>
      </c>
      <c r="W38" s="8">
        <f t="shared" si="24"/>
        <v>3.8471698113207551</v>
      </c>
      <c r="X38" s="1">
        <f t="shared" si="35"/>
        <v>85000</v>
      </c>
      <c r="Y38" s="1">
        <f t="shared" si="35"/>
        <v>2</v>
      </c>
      <c r="Z38" s="1">
        <f t="shared" si="35"/>
        <v>17000</v>
      </c>
      <c r="AA38" s="1">
        <f t="shared" si="35"/>
        <v>3</v>
      </c>
      <c r="AB38" s="1">
        <f t="shared" si="35"/>
        <v>1</v>
      </c>
      <c r="AC38" s="1">
        <f t="shared" si="35"/>
        <v>3</v>
      </c>
      <c r="AD38" s="1">
        <f t="shared" si="35"/>
        <v>8500</v>
      </c>
      <c r="AE38" s="1">
        <f t="shared" si="35"/>
        <v>5</v>
      </c>
      <c r="AF38" s="1"/>
      <c r="AG38" s="8">
        <f t="shared" si="18"/>
        <v>33.317</v>
      </c>
      <c r="AH38" s="1">
        <f t="shared" si="36"/>
        <v>289000</v>
      </c>
      <c r="AI38" s="1">
        <f t="shared" si="36"/>
        <v>10</v>
      </c>
      <c r="AJ38" s="1">
        <f t="shared" si="36"/>
        <v>102000</v>
      </c>
      <c r="AK38" s="1">
        <f t="shared" si="36"/>
        <v>10</v>
      </c>
      <c r="AL38" s="1">
        <f t="shared" si="36"/>
        <v>10</v>
      </c>
      <c r="AM38" s="1">
        <f t="shared" si="36"/>
        <v>71500</v>
      </c>
      <c r="AN38" s="1">
        <f t="shared" si="36"/>
        <v>10</v>
      </c>
      <c r="AO38" s="1">
        <f t="shared" si="36"/>
        <v>10</v>
      </c>
      <c r="AP38" s="1">
        <f t="shared" si="36"/>
        <v>54500</v>
      </c>
      <c r="AQ38" s="1">
        <f t="shared" si="36"/>
        <v>10</v>
      </c>
      <c r="AR38" s="1">
        <f t="shared" si="36"/>
        <v>1</v>
      </c>
      <c r="AS38" s="1"/>
      <c r="AT38" s="8">
        <f t="shared" si="20"/>
        <v>36.668316831683171</v>
      </c>
      <c r="AU38" s="1">
        <f t="shared" si="37"/>
        <v>408000</v>
      </c>
      <c r="AV38" s="1">
        <f t="shared" si="37"/>
        <v>5</v>
      </c>
      <c r="AW38" s="1">
        <f t="shared" si="37"/>
        <v>5</v>
      </c>
      <c r="AX38" s="1">
        <f t="shared" si="37"/>
        <v>85000</v>
      </c>
      <c r="AY38" s="1">
        <f t="shared" si="37"/>
        <v>5</v>
      </c>
      <c r="AZ38" s="1">
        <f t="shared" si="37"/>
        <v>5</v>
      </c>
      <c r="BA38" s="1">
        <f t="shared" si="37"/>
        <v>136000</v>
      </c>
      <c r="BB38" s="1">
        <f t="shared" si="37"/>
        <v>5</v>
      </c>
      <c r="BC38" s="1">
        <f t="shared" si="37"/>
        <v>5</v>
      </c>
      <c r="BD38" s="1">
        <f t="shared" si="37"/>
        <v>119000</v>
      </c>
      <c r="BE38" s="1">
        <f t="shared" si="37"/>
        <v>5</v>
      </c>
      <c r="BF38" s="1">
        <f t="shared" si="37"/>
        <v>1</v>
      </c>
    </row>
    <row r="39" spans="2:58" s="2" customFormat="1" x14ac:dyDescent="0.35">
      <c r="B39" s="17" t="s">
        <v>191</v>
      </c>
      <c r="I39" s="7">
        <v>31</v>
      </c>
      <c r="J39" s="1">
        <f t="shared" si="12"/>
        <v>697</v>
      </c>
      <c r="K39" s="1">
        <f t="shared" si="13"/>
        <v>708</v>
      </c>
      <c r="L39" s="1">
        <f t="shared" si="25"/>
        <v>3455</v>
      </c>
      <c r="M39" s="1">
        <f t="shared" si="26"/>
        <v>125</v>
      </c>
      <c r="N39" s="1">
        <f t="shared" si="14"/>
        <v>708</v>
      </c>
      <c r="O39" s="1">
        <f t="shared" si="27"/>
        <v>25</v>
      </c>
      <c r="P39" s="1">
        <f t="shared" si="15"/>
        <v>449</v>
      </c>
      <c r="Q39" s="1">
        <f t="shared" si="28"/>
        <v>15</v>
      </c>
      <c r="R39" s="1">
        <f t="shared" si="16"/>
        <v>305</v>
      </c>
      <c r="S39" s="1">
        <f t="shared" si="29"/>
        <v>10</v>
      </c>
      <c r="T39" s="1">
        <f t="shared" si="22"/>
        <v>3500</v>
      </c>
      <c r="U39" s="12">
        <f t="shared" si="23"/>
        <v>3500</v>
      </c>
      <c r="W39" s="8">
        <f t="shared" si="24"/>
        <v>3.8471698113207546</v>
      </c>
      <c r="X39" s="1">
        <f t="shared" ref="X39:AE51" si="38">IF(X$6=$C$29,_xlfn.CEILING.MATH($U39*INDEX($E$29:$E$36,X$3),500),INDEX($E$29:$E$36,X$3))</f>
        <v>87500</v>
      </c>
      <c r="Y39" s="1">
        <f t="shared" si="38"/>
        <v>2</v>
      </c>
      <c r="Z39" s="1">
        <f t="shared" si="38"/>
        <v>17500</v>
      </c>
      <c r="AA39" s="1">
        <f t="shared" si="38"/>
        <v>3</v>
      </c>
      <c r="AB39" s="1">
        <f t="shared" si="38"/>
        <v>1</v>
      </c>
      <c r="AC39" s="1">
        <f t="shared" si="38"/>
        <v>3</v>
      </c>
      <c r="AD39" s="1">
        <f t="shared" si="38"/>
        <v>9000</v>
      </c>
      <c r="AE39" s="1">
        <f t="shared" si="38"/>
        <v>5</v>
      </c>
      <c r="AF39" s="1"/>
      <c r="AG39" s="8">
        <f t="shared" si="18"/>
        <v>33.317</v>
      </c>
      <c r="AH39" s="1">
        <f t="shared" ref="AH39:AR51" si="39">IF(AH$6=$C$29,_xlfn.CEILING.MATH($U39*INDEX($E$45:$E$55,AH$3),500),INDEX($E$45:$E$55,AH$3))</f>
        <v>297500</v>
      </c>
      <c r="AI39" s="1">
        <f t="shared" si="39"/>
        <v>10</v>
      </c>
      <c r="AJ39" s="1">
        <f t="shared" si="39"/>
        <v>105000</v>
      </c>
      <c r="AK39" s="1">
        <f t="shared" si="39"/>
        <v>10</v>
      </c>
      <c r="AL39" s="1">
        <f t="shared" si="39"/>
        <v>10</v>
      </c>
      <c r="AM39" s="1">
        <f t="shared" si="39"/>
        <v>73500</v>
      </c>
      <c r="AN39" s="1">
        <f t="shared" si="39"/>
        <v>10</v>
      </c>
      <c r="AO39" s="1">
        <f t="shared" si="39"/>
        <v>10</v>
      </c>
      <c r="AP39" s="1">
        <f t="shared" si="39"/>
        <v>56000</v>
      </c>
      <c r="AQ39" s="1">
        <f t="shared" si="39"/>
        <v>10</v>
      </c>
      <c r="AR39" s="1">
        <f t="shared" si="39"/>
        <v>1</v>
      </c>
      <c r="AS39" s="1"/>
      <c r="AT39" s="8">
        <f t="shared" si="20"/>
        <v>36.668316831683171</v>
      </c>
      <c r="AU39" s="1">
        <f t="shared" ref="AU39:BF51" si="40">IF(AU$6=$C$29,_xlfn.CEILING.MATH($U39*INDEX($E$72:$E$83,AU$3),500),INDEX($E$72:$E$83,AU$3))</f>
        <v>420000</v>
      </c>
      <c r="AV39" s="1">
        <f t="shared" si="40"/>
        <v>5</v>
      </c>
      <c r="AW39" s="1">
        <f t="shared" si="40"/>
        <v>5</v>
      </c>
      <c r="AX39" s="1">
        <f t="shared" si="40"/>
        <v>87500</v>
      </c>
      <c r="AY39" s="1">
        <f t="shared" si="40"/>
        <v>5</v>
      </c>
      <c r="AZ39" s="1">
        <f t="shared" si="40"/>
        <v>5</v>
      </c>
      <c r="BA39" s="1">
        <f t="shared" si="40"/>
        <v>140000</v>
      </c>
      <c r="BB39" s="1">
        <f t="shared" si="40"/>
        <v>5</v>
      </c>
      <c r="BC39" s="1">
        <f t="shared" si="40"/>
        <v>5</v>
      </c>
      <c r="BD39" s="1">
        <f t="shared" si="40"/>
        <v>122500</v>
      </c>
      <c r="BE39" s="1">
        <f t="shared" si="40"/>
        <v>5</v>
      </c>
      <c r="BF39" s="1">
        <f t="shared" si="40"/>
        <v>1</v>
      </c>
    </row>
    <row r="40" spans="2:58" s="2" customFormat="1" x14ac:dyDescent="0.35">
      <c r="B40" s="13" t="s">
        <v>210</v>
      </c>
      <c r="C40" s="2">
        <v>40</v>
      </c>
      <c r="E40" s="13" t="s">
        <v>168</v>
      </c>
      <c r="F40" s="3">
        <v>2.99</v>
      </c>
      <c r="I40" s="7">
        <v>32</v>
      </c>
      <c r="J40" s="1">
        <f t="shared" si="12"/>
        <v>722</v>
      </c>
      <c r="K40" s="1">
        <f t="shared" si="13"/>
        <v>733</v>
      </c>
      <c r="L40" s="1">
        <f t="shared" si="25"/>
        <v>3580</v>
      </c>
      <c r="M40" s="1">
        <f t="shared" si="26"/>
        <v>125</v>
      </c>
      <c r="N40" s="1">
        <f t="shared" si="14"/>
        <v>733</v>
      </c>
      <c r="O40" s="1">
        <f t="shared" si="27"/>
        <v>25</v>
      </c>
      <c r="P40" s="1">
        <f t="shared" si="15"/>
        <v>465</v>
      </c>
      <c r="Q40" s="1">
        <f t="shared" si="28"/>
        <v>16</v>
      </c>
      <c r="R40" s="1">
        <f t="shared" si="16"/>
        <v>316</v>
      </c>
      <c r="S40" s="1">
        <f t="shared" si="29"/>
        <v>11</v>
      </c>
      <c r="T40" s="1">
        <f t="shared" si="22"/>
        <v>3500</v>
      </c>
      <c r="U40" s="12">
        <f t="shared" si="23"/>
        <v>3500</v>
      </c>
      <c r="W40" s="8">
        <f t="shared" si="24"/>
        <v>3.8471698113207546</v>
      </c>
      <c r="X40" s="1">
        <f t="shared" si="38"/>
        <v>87500</v>
      </c>
      <c r="Y40" s="1">
        <f t="shared" si="38"/>
        <v>2</v>
      </c>
      <c r="Z40" s="1">
        <f t="shared" si="38"/>
        <v>17500</v>
      </c>
      <c r="AA40" s="1">
        <f t="shared" si="38"/>
        <v>3</v>
      </c>
      <c r="AB40" s="1">
        <f t="shared" si="38"/>
        <v>1</v>
      </c>
      <c r="AC40" s="1">
        <f t="shared" si="38"/>
        <v>3</v>
      </c>
      <c r="AD40" s="1">
        <f t="shared" si="38"/>
        <v>9000</v>
      </c>
      <c r="AE40" s="1">
        <f t="shared" si="38"/>
        <v>5</v>
      </c>
      <c r="AF40" s="1"/>
      <c r="AG40" s="8">
        <f t="shared" si="18"/>
        <v>33.317</v>
      </c>
      <c r="AH40" s="1">
        <f t="shared" si="39"/>
        <v>297500</v>
      </c>
      <c r="AI40" s="1">
        <f t="shared" si="39"/>
        <v>10</v>
      </c>
      <c r="AJ40" s="1">
        <f t="shared" si="39"/>
        <v>105000</v>
      </c>
      <c r="AK40" s="1">
        <f t="shared" si="39"/>
        <v>10</v>
      </c>
      <c r="AL40" s="1">
        <f t="shared" si="39"/>
        <v>10</v>
      </c>
      <c r="AM40" s="1">
        <f t="shared" si="39"/>
        <v>73500</v>
      </c>
      <c r="AN40" s="1">
        <f t="shared" si="39"/>
        <v>10</v>
      </c>
      <c r="AO40" s="1">
        <f t="shared" si="39"/>
        <v>10</v>
      </c>
      <c r="AP40" s="1">
        <f t="shared" si="39"/>
        <v>56000</v>
      </c>
      <c r="AQ40" s="1">
        <f t="shared" si="39"/>
        <v>10</v>
      </c>
      <c r="AR40" s="1">
        <f t="shared" si="39"/>
        <v>1</v>
      </c>
      <c r="AS40" s="1"/>
      <c r="AT40" s="8">
        <f t="shared" si="20"/>
        <v>36.668316831683171</v>
      </c>
      <c r="AU40" s="1">
        <f t="shared" si="40"/>
        <v>420000</v>
      </c>
      <c r="AV40" s="1">
        <f t="shared" si="40"/>
        <v>5</v>
      </c>
      <c r="AW40" s="1">
        <f t="shared" si="40"/>
        <v>5</v>
      </c>
      <c r="AX40" s="1">
        <f t="shared" si="40"/>
        <v>87500</v>
      </c>
      <c r="AY40" s="1">
        <f t="shared" si="40"/>
        <v>5</v>
      </c>
      <c r="AZ40" s="1">
        <f t="shared" si="40"/>
        <v>5</v>
      </c>
      <c r="BA40" s="1">
        <f t="shared" si="40"/>
        <v>140000</v>
      </c>
      <c r="BB40" s="1">
        <f t="shared" si="40"/>
        <v>5</v>
      </c>
      <c r="BC40" s="1">
        <f t="shared" si="40"/>
        <v>5</v>
      </c>
      <c r="BD40" s="1">
        <f t="shared" si="40"/>
        <v>122500</v>
      </c>
      <c r="BE40" s="1">
        <f t="shared" si="40"/>
        <v>5</v>
      </c>
      <c r="BF40" s="1">
        <f t="shared" si="40"/>
        <v>1</v>
      </c>
    </row>
    <row r="41" spans="2:58" s="2" customFormat="1" x14ac:dyDescent="0.35">
      <c r="B41" s="13" t="s">
        <v>211</v>
      </c>
      <c r="C41" s="1">
        <f>SUMPRODUCT(C58:C65,D58:D65)/SUM(D58:D65)</f>
        <v>33.317</v>
      </c>
      <c r="E41" s="13" t="s">
        <v>171</v>
      </c>
      <c r="F41" s="8">
        <f>F40/(C41/离线奖励!$C$12)</f>
        <v>0.26923192364258491</v>
      </c>
      <c r="I41" s="7">
        <v>33</v>
      </c>
      <c r="J41" s="1">
        <f t="shared" si="12"/>
        <v>747</v>
      </c>
      <c r="K41" s="1">
        <f t="shared" si="13"/>
        <v>758</v>
      </c>
      <c r="L41" s="1">
        <f t="shared" si="25"/>
        <v>3705</v>
      </c>
      <c r="M41" s="1">
        <f t="shared" si="26"/>
        <v>125</v>
      </c>
      <c r="N41" s="1">
        <f t="shared" si="14"/>
        <v>758</v>
      </c>
      <c r="O41" s="1">
        <f t="shared" si="27"/>
        <v>25</v>
      </c>
      <c r="P41" s="1">
        <f t="shared" si="15"/>
        <v>481</v>
      </c>
      <c r="Q41" s="1">
        <f t="shared" si="28"/>
        <v>16</v>
      </c>
      <c r="R41" s="1">
        <f t="shared" si="16"/>
        <v>326</v>
      </c>
      <c r="S41" s="1">
        <f t="shared" si="29"/>
        <v>10</v>
      </c>
      <c r="T41" s="1">
        <f t="shared" si="22"/>
        <v>3600</v>
      </c>
      <c r="U41" s="12">
        <f t="shared" si="23"/>
        <v>3600</v>
      </c>
      <c r="W41" s="8">
        <f t="shared" si="24"/>
        <v>3.8471698113207551</v>
      </c>
      <c r="X41" s="1">
        <f t="shared" si="38"/>
        <v>90000</v>
      </c>
      <c r="Y41" s="1">
        <f t="shared" si="38"/>
        <v>2</v>
      </c>
      <c r="Z41" s="1">
        <f t="shared" si="38"/>
        <v>18000</v>
      </c>
      <c r="AA41" s="1">
        <f t="shared" si="38"/>
        <v>3</v>
      </c>
      <c r="AB41" s="1">
        <f t="shared" si="38"/>
        <v>1</v>
      </c>
      <c r="AC41" s="1">
        <f t="shared" si="38"/>
        <v>3</v>
      </c>
      <c r="AD41" s="1">
        <f t="shared" si="38"/>
        <v>9000</v>
      </c>
      <c r="AE41" s="1">
        <f t="shared" si="38"/>
        <v>5</v>
      </c>
      <c r="AF41" s="1"/>
      <c r="AG41" s="8">
        <f t="shared" si="18"/>
        <v>33.317</v>
      </c>
      <c r="AH41" s="1">
        <f t="shared" si="39"/>
        <v>306000</v>
      </c>
      <c r="AI41" s="1">
        <f t="shared" si="39"/>
        <v>10</v>
      </c>
      <c r="AJ41" s="1">
        <f t="shared" si="39"/>
        <v>108000</v>
      </c>
      <c r="AK41" s="1">
        <f t="shared" si="39"/>
        <v>10</v>
      </c>
      <c r="AL41" s="1">
        <f t="shared" si="39"/>
        <v>10</v>
      </c>
      <c r="AM41" s="1">
        <f t="shared" si="39"/>
        <v>76000</v>
      </c>
      <c r="AN41" s="1">
        <f t="shared" si="39"/>
        <v>10</v>
      </c>
      <c r="AO41" s="1">
        <f t="shared" si="39"/>
        <v>10</v>
      </c>
      <c r="AP41" s="1">
        <f t="shared" si="39"/>
        <v>58000</v>
      </c>
      <c r="AQ41" s="1">
        <f t="shared" si="39"/>
        <v>10</v>
      </c>
      <c r="AR41" s="1">
        <f t="shared" si="39"/>
        <v>1</v>
      </c>
      <c r="AS41" s="1"/>
      <c r="AT41" s="8">
        <f t="shared" si="20"/>
        <v>36.668316831683171</v>
      </c>
      <c r="AU41" s="1">
        <f t="shared" si="40"/>
        <v>432000</v>
      </c>
      <c r="AV41" s="1">
        <f t="shared" si="40"/>
        <v>5</v>
      </c>
      <c r="AW41" s="1">
        <f t="shared" si="40"/>
        <v>5</v>
      </c>
      <c r="AX41" s="1">
        <f t="shared" si="40"/>
        <v>90000</v>
      </c>
      <c r="AY41" s="1">
        <f t="shared" si="40"/>
        <v>5</v>
      </c>
      <c r="AZ41" s="1">
        <f t="shared" si="40"/>
        <v>5</v>
      </c>
      <c r="BA41" s="1">
        <f t="shared" si="40"/>
        <v>144000</v>
      </c>
      <c r="BB41" s="1">
        <f t="shared" si="40"/>
        <v>5</v>
      </c>
      <c r="BC41" s="1">
        <f t="shared" si="40"/>
        <v>5</v>
      </c>
      <c r="BD41" s="1">
        <f t="shared" si="40"/>
        <v>126000</v>
      </c>
      <c r="BE41" s="1">
        <f t="shared" si="40"/>
        <v>5</v>
      </c>
      <c r="BF41" s="1">
        <f t="shared" si="40"/>
        <v>1</v>
      </c>
    </row>
    <row r="42" spans="2:58" s="2" customFormat="1" x14ac:dyDescent="0.35">
      <c r="B42" s="13" t="s">
        <v>212</v>
      </c>
      <c r="C42" s="8">
        <f>AVERAGE(AG9:AG121)</f>
        <v>33.317</v>
      </c>
      <c r="I42" s="7">
        <v>34</v>
      </c>
      <c r="J42" s="1">
        <f t="shared" si="12"/>
        <v>772</v>
      </c>
      <c r="K42" s="1">
        <f t="shared" si="13"/>
        <v>783</v>
      </c>
      <c r="L42" s="1">
        <f t="shared" si="25"/>
        <v>3830</v>
      </c>
      <c r="M42" s="1">
        <f t="shared" si="26"/>
        <v>125</v>
      </c>
      <c r="N42" s="1">
        <f t="shared" si="14"/>
        <v>783</v>
      </c>
      <c r="O42" s="1">
        <f t="shared" si="27"/>
        <v>25</v>
      </c>
      <c r="P42" s="1">
        <f t="shared" si="15"/>
        <v>496</v>
      </c>
      <c r="Q42" s="1">
        <f t="shared" si="28"/>
        <v>15</v>
      </c>
      <c r="R42" s="1">
        <f t="shared" si="16"/>
        <v>337</v>
      </c>
      <c r="S42" s="1">
        <f t="shared" si="29"/>
        <v>11</v>
      </c>
      <c r="T42" s="1">
        <f t="shared" si="22"/>
        <v>3600</v>
      </c>
      <c r="U42" s="12">
        <f t="shared" si="23"/>
        <v>3600</v>
      </c>
      <c r="W42" s="8">
        <f t="shared" si="24"/>
        <v>3.8471698113207551</v>
      </c>
      <c r="X42" s="1">
        <f t="shared" si="38"/>
        <v>90000</v>
      </c>
      <c r="Y42" s="1">
        <f t="shared" si="38"/>
        <v>2</v>
      </c>
      <c r="Z42" s="1">
        <f t="shared" si="38"/>
        <v>18000</v>
      </c>
      <c r="AA42" s="1">
        <f t="shared" si="38"/>
        <v>3</v>
      </c>
      <c r="AB42" s="1">
        <f t="shared" si="38"/>
        <v>1</v>
      </c>
      <c r="AC42" s="1">
        <f t="shared" si="38"/>
        <v>3</v>
      </c>
      <c r="AD42" s="1">
        <f t="shared" si="38"/>
        <v>9000</v>
      </c>
      <c r="AE42" s="1">
        <f t="shared" si="38"/>
        <v>5</v>
      </c>
      <c r="AF42" s="1"/>
      <c r="AG42" s="8">
        <f t="shared" si="18"/>
        <v>33.317</v>
      </c>
      <c r="AH42" s="1">
        <f t="shared" si="39"/>
        <v>306000</v>
      </c>
      <c r="AI42" s="1">
        <f t="shared" si="39"/>
        <v>10</v>
      </c>
      <c r="AJ42" s="1">
        <f t="shared" si="39"/>
        <v>108000</v>
      </c>
      <c r="AK42" s="1">
        <f t="shared" si="39"/>
        <v>10</v>
      </c>
      <c r="AL42" s="1">
        <f t="shared" si="39"/>
        <v>10</v>
      </c>
      <c r="AM42" s="1">
        <f t="shared" si="39"/>
        <v>76000</v>
      </c>
      <c r="AN42" s="1">
        <f t="shared" si="39"/>
        <v>10</v>
      </c>
      <c r="AO42" s="1">
        <f t="shared" si="39"/>
        <v>10</v>
      </c>
      <c r="AP42" s="1">
        <f t="shared" si="39"/>
        <v>58000</v>
      </c>
      <c r="AQ42" s="1">
        <f t="shared" si="39"/>
        <v>10</v>
      </c>
      <c r="AR42" s="1">
        <f t="shared" si="39"/>
        <v>1</v>
      </c>
      <c r="AS42" s="1"/>
      <c r="AT42" s="8">
        <f t="shared" si="20"/>
        <v>36.668316831683171</v>
      </c>
      <c r="AU42" s="1">
        <f t="shared" si="40"/>
        <v>432000</v>
      </c>
      <c r="AV42" s="1">
        <f t="shared" si="40"/>
        <v>5</v>
      </c>
      <c r="AW42" s="1">
        <f t="shared" si="40"/>
        <v>5</v>
      </c>
      <c r="AX42" s="1">
        <f t="shared" si="40"/>
        <v>90000</v>
      </c>
      <c r="AY42" s="1">
        <f t="shared" si="40"/>
        <v>5</v>
      </c>
      <c r="AZ42" s="1">
        <f t="shared" si="40"/>
        <v>5</v>
      </c>
      <c r="BA42" s="1">
        <f t="shared" si="40"/>
        <v>144000</v>
      </c>
      <c r="BB42" s="1">
        <f t="shared" si="40"/>
        <v>5</v>
      </c>
      <c r="BC42" s="1">
        <f t="shared" si="40"/>
        <v>5</v>
      </c>
      <c r="BD42" s="1">
        <f t="shared" si="40"/>
        <v>126000</v>
      </c>
      <c r="BE42" s="1">
        <f t="shared" si="40"/>
        <v>5</v>
      </c>
      <c r="BF42" s="1">
        <f t="shared" si="40"/>
        <v>1</v>
      </c>
    </row>
    <row r="43" spans="2:58" s="2" customFormat="1" x14ac:dyDescent="0.35">
      <c r="B43" s="13" t="s">
        <v>166</v>
      </c>
      <c r="C43" s="2">
        <v>168</v>
      </c>
      <c r="I43" s="7">
        <v>35</v>
      </c>
      <c r="J43" s="1">
        <f t="shared" si="12"/>
        <v>797</v>
      </c>
      <c r="K43" s="1">
        <f t="shared" si="13"/>
        <v>808</v>
      </c>
      <c r="L43" s="1">
        <f t="shared" si="25"/>
        <v>3955</v>
      </c>
      <c r="M43" s="1">
        <f t="shared" si="26"/>
        <v>125</v>
      </c>
      <c r="N43" s="1">
        <f t="shared" si="14"/>
        <v>808</v>
      </c>
      <c r="O43" s="1">
        <f t="shared" si="27"/>
        <v>25</v>
      </c>
      <c r="P43" s="1">
        <f t="shared" si="15"/>
        <v>512</v>
      </c>
      <c r="Q43" s="1">
        <f t="shared" si="28"/>
        <v>16</v>
      </c>
      <c r="R43" s="1">
        <f t="shared" si="16"/>
        <v>347</v>
      </c>
      <c r="S43" s="1">
        <f t="shared" si="29"/>
        <v>10</v>
      </c>
      <c r="T43" s="1">
        <f t="shared" si="22"/>
        <v>3700</v>
      </c>
      <c r="U43" s="12">
        <f t="shared" si="23"/>
        <v>3700</v>
      </c>
      <c r="W43" s="8">
        <f t="shared" si="24"/>
        <v>3.8471698113207546</v>
      </c>
      <c r="X43" s="1">
        <f t="shared" si="38"/>
        <v>92500</v>
      </c>
      <c r="Y43" s="1">
        <f t="shared" si="38"/>
        <v>2</v>
      </c>
      <c r="Z43" s="1">
        <f t="shared" si="38"/>
        <v>18500</v>
      </c>
      <c r="AA43" s="1">
        <f t="shared" si="38"/>
        <v>3</v>
      </c>
      <c r="AB43" s="1">
        <f t="shared" si="38"/>
        <v>1</v>
      </c>
      <c r="AC43" s="1">
        <f t="shared" si="38"/>
        <v>3</v>
      </c>
      <c r="AD43" s="1">
        <f t="shared" si="38"/>
        <v>9500</v>
      </c>
      <c r="AE43" s="1">
        <f t="shared" si="38"/>
        <v>5</v>
      </c>
      <c r="AF43" s="1"/>
      <c r="AG43" s="8">
        <f t="shared" si="18"/>
        <v>33.317</v>
      </c>
      <c r="AH43" s="1">
        <f t="shared" si="39"/>
        <v>314500</v>
      </c>
      <c r="AI43" s="1">
        <f t="shared" si="39"/>
        <v>10</v>
      </c>
      <c r="AJ43" s="1">
        <f t="shared" si="39"/>
        <v>111000</v>
      </c>
      <c r="AK43" s="1">
        <f t="shared" si="39"/>
        <v>10</v>
      </c>
      <c r="AL43" s="1">
        <f t="shared" si="39"/>
        <v>10</v>
      </c>
      <c r="AM43" s="1">
        <f t="shared" si="39"/>
        <v>78000</v>
      </c>
      <c r="AN43" s="1">
        <f t="shared" si="39"/>
        <v>10</v>
      </c>
      <c r="AO43" s="1">
        <f t="shared" si="39"/>
        <v>10</v>
      </c>
      <c r="AP43" s="1" cm="1">
        <f t="array" ref="AP43">IF(AP$6=$C$29,_xlfn.CEILING.MATH($U43*_xlfn.SINGLE(INDEX($E$45:$E$55,AP$3)),500),INDEX($E$45:$E$55,AP$3))</f>
        <v>59500</v>
      </c>
      <c r="AQ43" s="1">
        <f t="shared" si="39"/>
        <v>10</v>
      </c>
      <c r="AR43" s="1">
        <f t="shared" si="39"/>
        <v>1</v>
      </c>
      <c r="AS43" s="1"/>
      <c r="AT43" s="8">
        <f t="shared" si="20"/>
        <v>36.668316831683164</v>
      </c>
      <c r="AU43" s="1">
        <f t="shared" si="40"/>
        <v>444000</v>
      </c>
      <c r="AV43" s="1">
        <f t="shared" si="40"/>
        <v>5</v>
      </c>
      <c r="AW43" s="1">
        <f t="shared" si="40"/>
        <v>5</v>
      </c>
      <c r="AX43" s="1">
        <f t="shared" si="40"/>
        <v>92500</v>
      </c>
      <c r="AY43" s="1">
        <f t="shared" si="40"/>
        <v>5</v>
      </c>
      <c r="AZ43" s="1">
        <f t="shared" si="40"/>
        <v>5</v>
      </c>
      <c r="BA43" s="1">
        <f t="shared" si="40"/>
        <v>148000</v>
      </c>
      <c r="BB43" s="1">
        <f t="shared" si="40"/>
        <v>5</v>
      </c>
      <c r="BC43" s="1">
        <f t="shared" si="40"/>
        <v>5</v>
      </c>
      <c r="BD43" s="1">
        <f t="shared" si="40"/>
        <v>129500</v>
      </c>
      <c r="BE43" s="1">
        <f t="shared" si="40"/>
        <v>5</v>
      </c>
      <c r="BF43" s="1">
        <f t="shared" si="40"/>
        <v>1</v>
      </c>
    </row>
    <row r="44" spans="2:58" s="2" customFormat="1" x14ac:dyDescent="0.35">
      <c r="B44" s="13" t="s">
        <v>162</v>
      </c>
      <c r="C44" s="13" t="s">
        <v>160</v>
      </c>
      <c r="D44" s="13" t="s">
        <v>161</v>
      </c>
      <c r="E44" s="13" t="s">
        <v>158</v>
      </c>
      <c r="F44" s="13" t="s">
        <v>173</v>
      </c>
      <c r="G44" s="13" t="s">
        <v>159</v>
      </c>
      <c r="I44" s="7">
        <v>36</v>
      </c>
      <c r="J44" s="1">
        <f t="shared" si="12"/>
        <v>822</v>
      </c>
      <c r="K44" s="1">
        <f t="shared" si="13"/>
        <v>833</v>
      </c>
      <c r="L44" s="1">
        <f t="shared" si="25"/>
        <v>4080</v>
      </c>
      <c r="M44" s="1">
        <f t="shared" si="26"/>
        <v>125</v>
      </c>
      <c r="N44" s="1">
        <f t="shared" si="14"/>
        <v>833</v>
      </c>
      <c r="O44" s="1">
        <f t="shared" si="27"/>
        <v>25</v>
      </c>
      <c r="P44" s="1">
        <f t="shared" si="15"/>
        <v>527</v>
      </c>
      <c r="Q44" s="1">
        <f t="shared" si="28"/>
        <v>15</v>
      </c>
      <c r="R44" s="1">
        <f t="shared" si="16"/>
        <v>357</v>
      </c>
      <c r="S44" s="1">
        <f t="shared" si="29"/>
        <v>10</v>
      </c>
      <c r="T44" s="1">
        <f t="shared" si="22"/>
        <v>3700</v>
      </c>
      <c r="U44" s="12">
        <f t="shared" si="23"/>
        <v>3700</v>
      </c>
      <c r="W44" s="8">
        <f t="shared" si="24"/>
        <v>3.8471698113207546</v>
      </c>
      <c r="X44" s="1">
        <f t="shared" si="38"/>
        <v>92500</v>
      </c>
      <c r="Y44" s="1">
        <f t="shared" si="38"/>
        <v>2</v>
      </c>
      <c r="Z44" s="1">
        <f t="shared" si="38"/>
        <v>18500</v>
      </c>
      <c r="AA44" s="1">
        <f t="shared" si="38"/>
        <v>3</v>
      </c>
      <c r="AB44" s="1">
        <f t="shared" si="38"/>
        <v>1</v>
      </c>
      <c r="AC44" s="1">
        <f t="shared" si="38"/>
        <v>3</v>
      </c>
      <c r="AD44" s="1">
        <f t="shared" si="38"/>
        <v>9500</v>
      </c>
      <c r="AE44" s="1">
        <f t="shared" si="38"/>
        <v>5</v>
      </c>
      <c r="AF44" s="1"/>
      <c r="AG44" s="8">
        <f t="shared" si="18"/>
        <v>33.317</v>
      </c>
      <c r="AH44" s="1">
        <f t="shared" si="39"/>
        <v>314500</v>
      </c>
      <c r="AI44" s="1">
        <f t="shared" si="39"/>
        <v>10</v>
      </c>
      <c r="AJ44" s="1">
        <f t="shared" si="39"/>
        <v>111000</v>
      </c>
      <c r="AK44" s="1">
        <f t="shared" si="39"/>
        <v>10</v>
      </c>
      <c r="AL44" s="1">
        <f t="shared" si="39"/>
        <v>10</v>
      </c>
      <c r="AM44" s="1">
        <f t="shared" si="39"/>
        <v>78000</v>
      </c>
      <c r="AN44" s="1">
        <f t="shared" si="39"/>
        <v>10</v>
      </c>
      <c r="AO44" s="1">
        <f t="shared" si="39"/>
        <v>10</v>
      </c>
      <c r="AP44" s="1">
        <f t="shared" si="39"/>
        <v>59500</v>
      </c>
      <c r="AQ44" s="1">
        <f t="shared" si="39"/>
        <v>10</v>
      </c>
      <c r="AR44" s="1">
        <f t="shared" si="39"/>
        <v>1</v>
      </c>
      <c r="AS44" s="1"/>
      <c r="AT44" s="8">
        <f t="shared" si="20"/>
        <v>36.668316831683164</v>
      </c>
      <c r="AU44" s="1">
        <f t="shared" si="40"/>
        <v>444000</v>
      </c>
      <c r="AV44" s="1">
        <f t="shared" si="40"/>
        <v>5</v>
      </c>
      <c r="AW44" s="1">
        <f t="shared" si="40"/>
        <v>5</v>
      </c>
      <c r="AX44" s="1">
        <f t="shared" si="40"/>
        <v>92500</v>
      </c>
      <c r="AY44" s="1">
        <f t="shared" si="40"/>
        <v>5</v>
      </c>
      <c r="AZ44" s="1">
        <f t="shared" si="40"/>
        <v>5</v>
      </c>
      <c r="BA44" s="1">
        <f t="shared" si="40"/>
        <v>148000</v>
      </c>
      <c r="BB44" s="1">
        <f t="shared" si="40"/>
        <v>5</v>
      </c>
      <c r="BC44" s="1">
        <f t="shared" si="40"/>
        <v>5</v>
      </c>
      <c r="BD44" s="1">
        <f t="shared" si="40"/>
        <v>129500</v>
      </c>
      <c r="BE44" s="1">
        <f t="shared" si="40"/>
        <v>5</v>
      </c>
      <c r="BF44" s="1">
        <f t="shared" si="40"/>
        <v>1</v>
      </c>
    </row>
    <row r="45" spans="2:58" s="2" customFormat="1" x14ac:dyDescent="0.35">
      <c r="B45">
        <v>1</v>
      </c>
      <c r="C45">
        <v>101</v>
      </c>
      <c r="D45" t="str">
        <f t="shared" ref="D45:D55" si="41">INDEX(item_name,MATCH(C45,item_id,0))</f>
        <v>金币</v>
      </c>
      <c r="E45" s="2">
        <v>85</v>
      </c>
      <c r="F45" s="1">
        <f t="shared" ref="F45:F55" si="42">INDEX(item_cost_mf,MATCH($C45,item_id,0),$C$23)*E45</f>
        <v>85</v>
      </c>
      <c r="G45" s="2">
        <v>3</v>
      </c>
      <c r="I45" s="7">
        <v>37</v>
      </c>
      <c r="J45" s="1">
        <f t="shared" si="12"/>
        <v>847</v>
      </c>
      <c r="K45" s="1">
        <f t="shared" si="13"/>
        <v>858</v>
      </c>
      <c r="L45" s="1">
        <f t="shared" si="25"/>
        <v>4205</v>
      </c>
      <c r="M45" s="1">
        <f t="shared" si="26"/>
        <v>125</v>
      </c>
      <c r="N45" s="1">
        <f t="shared" si="14"/>
        <v>858</v>
      </c>
      <c r="O45" s="1">
        <f t="shared" si="27"/>
        <v>25</v>
      </c>
      <c r="P45" s="1">
        <f t="shared" si="15"/>
        <v>543</v>
      </c>
      <c r="Q45" s="1">
        <f t="shared" si="28"/>
        <v>16</v>
      </c>
      <c r="R45" s="1">
        <f t="shared" si="16"/>
        <v>368</v>
      </c>
      <c r="S45" s="1">
        <f t="shared" si="29"/>
        <v>11</v>
      </c>
      <c r="T45" s="1">
        <f t="shared" si="22"/>
        <v>3800</v>
      </c>
      <c r="U45" s="12">
        <f t="shared" si="23"/>
        <v>3800</v>
      </c>
      <c r="W45" s="8">
        <f t="shared" si="24"/>
        <v>3.8471698113207542</v>
      </c>
      <c r="X45" s="1">
        <f t="shared" si="38"/>
        <v>95000</v>
      </c>
      <c r="Y45" s="1">
        <f t="shared" si="38"/>
        <v>2</v>
      </c>
      <c r="Z45" s="1">
        <f t="shared" si="38"/>
        <v>19000</v>
      </c>
      <c r="AA45" s="1">
        <f t="shared" si="38"/>
        <v>3</v>
      </c>
      <c r="AB45" s="1">
        <f t="shared" si="38"/>
        <v>1</v>
      </c>
      <c r="AC45" s="1">
        <f t="shared" si="38"/>
        <v>3</v>
      </c>
      <c r="AD45" s="1">
        <f t="shared" si="38"/>
        <v>9500</v>
      </c>
      <c r="AE45" s="1">
        <f t="shared" si="38"/>
        <v>5</v>
      </c>
      <c r="AF45" s="1"/>
      <c r="AG45" s="8">
        <f t="shared" si="18"/>
        <v>33.317</v>
      </c>
      <c r="AH45" s="1">
        <f t="shared" si="39"/>
        <v>323000</v>
      </c>
      <c r="AI45" s="1">
        <f t="shared" si="39"/>
        <v>10</v>
      </c>
      <c r="AJ45" s="1">
        <f t="shared" si="39"/>
        <v>114000</v>
      </c>
      <c r="AK45" s="1">
        <f t="shared" si="39"/>
        <v>10</v>
      </c>
      <c r="AL45" s="1">
        <f t="shared" si="39"/>
        <v>10</v>
      </c>
      <c r="AM45" s="1">
        <f t="shared" si="39"/>
        <v>80000</v>
      </c>
      <c r="AN45" s="1">
        <f t="shared" si="39"/>
        <v>10</v>
      </c>
      <c r="AO45" s="1">
        <f t="shared" si="39"/>
        <v>10</v>
      </c>
      <c r="AP45" s="1">
        <f t="shared" si="39"/>
        <v>61000</v>
      </c>
      <c r="AQ45" s="1">
        <f t="shared" si="39"/>
        <v>10</v>
      </c>
      <c r="AR45" s="1">
        <f t="shared" si="39"/>
        <v>1</v>
      </c>
      <c r="AS45" s="1"/>
      <c r="AT45" s="8">
        <f t="shared" si="20"/>
        <v>36.668316831683171</v>
      </c>
      <c r="AU45" s="1">
        <f t="shared" si="40"/>
        <v>456000</v>
      </c>
      <c r="AV45" s="1">
        <f t="shared" si="40"/>
        <v>5</v>
      </c>
      <c r="AW45" s="1">
        <f t="shared" si="40"/>
        <v>5</v>
      </c>
      <c r="AX45" s="1">
        <f t="shared" si="40"/>
        <v>95000</v>
      </c>
      <c r="AY45" s="1">
        <f t="shared" si="40"/>
        <v>5</v>
      </c>
      <c r="AZ45" s="1">
        <f t="shared" si="40"/>
        <v>5</v>
      </c>
      <c r="BA45" s="1">
        <f t="shared" si="40"/>
        <v>152000</v>
      </c>
      <c r="BB45" s="1">
        <f t="shared" si="40"/>
        <v>5</v>
      </c>
      <c r="BC45" s="1">
        <f t="shared" si="40"/>
        <v>5</v>
      </c>
      <c r="BD45" s="1">
        <f t="shared" si="40"/>
        <v>133000</v>
      </c>
      <c r="BE45" s="1">
        <f t="shared" si="40"/>
        <v>5</v>
      </c>
      <c r="BF45" s="1">
        <f t="shared" si="40"/>
        <v>1</v>
      </c>
    </row>
    <row r="46" spans="2:58" s="2" customFormat="1" x14ac:dyDescent="0.35">
      <c r="B46">
        <v>2</v>
      </c>
      <c r="C46">
        <v>601</v>
      </c>
      <c r="D46" t="str">
        <f t="shared" si="41"/>
        <v>双倍结算</v>
      </c>
      <c r="E46" s="2">
        <v>10</v>
      </c>
      <c r="F46" s="1">
        <f>INDEX(item_cost_mf,MATCH($C46,item_id,0),$C$23)*E46</f>
        <v>13.34</v>
      </c>
      <c r="G46" s="2">
        <v>5</v>
      </c>
      <c r="I46" s="7">
        <v>38</v>
      </c>
      <c r="J46" s="1">
        <f t="shared" si="12"/>
        <v>872</v>
      </c>
      <c r="K46" s="1">
        <f t="shared" si="13"/>
        <v>883</v>
      </c>
      <c r="L46" s="1">
        <f t="shared" si="25"/>
        <v>4330</v>
      </c>
      <c r="M46" s="1">
        <f t="shared" si="26"/>
        <v>125</v>
      </c>
      <c r="N46" s="1">
        <f t="shared" si="14"/>
        <v>883</v>
      </c>
      <c r="O46" s="1">
        <f t="shared" si="27"/>
        <v>25</v>
      </c>
      <c r="P46" s="1">
        <f t="shared" si="15"/>
        <v>559</v>
      </c>
      <c r="Q46" s="1">
        <f t="shared" si="28"/>
        <v>16</v>
      </c>
      <c r="R46" s="1">
        <f t="shared" si="16"/>
        <v>378</v>
      </c>
      <c r="S46" s="1">
        <f t="shared" si="29"/>
        <v>10</v>
      </c>
      <c r="T46" s="1">
        <f t="shared" si="22"/>
        <v>3800</v>
      </c>
      <c r="U46" s="12">
        <f t="shared" si="23"/>
        <v>3800</v>
      </c>
      <c r="W46" s="8">
        <f t="shared" si="24"/>
        <v>3.8471698113207542</v>
      </c>
      <c r="X46" s="1">
        <f t="shared" si="38"/>
        <v>95000</v>
      </c>
      <c r="Y46" s="1">
        <f t="shared" si="38"/>
        <v>2</v>
      </c>
      <c r="Z46" s="1">
        <f t="shared" si="38"/>
        <v>19000</v>
      </c>
      <c r="AA46" s="1">
        <f t="shared" si="38"/>
        <v>3</v>
      </c>
      <c r="AB46" s="1">
        <f t="shared" si="38"/>
        <v>1</v>
      </c>
      <c r="AC46" s="1">
        <f t="shared" si="38"/>
        <v>3</v>
      </c>
      <c r="AD46" s="1">
        <f t="shared" si="38"/>
        <v>9500</v>
      </c>
      <c r="AE46" s="1">
        <f t="shared" si="38"/>
        <v>5</v>
      </c>
      <c r="AF46" s="1"/>
      <c r="AG46" s="8">
        <f t="shared" si="18"/>
        <v>33.317</v>
      </c>
      <c r="AH46" s="1" cm="1">
        <f t="array" ref="AH46">IF(AH$6=$C$29,_xlfn.CEILING.MATH($U46*_xlfn.SINGLE(INDEX($E$45:$E$55,AH$3)),500),INDEX($E$45:$E$55,AH$3))</f>
        <v>323000</v>
      </c>
      <c r="AI46" s="1">
        <f t="shared" si="39"/>
        <v>10</v>
      </c>
      <c r="AJ46" s="1">
        <f t="shared" si="39"/>
        <v>114000</v>
      </c>
      <c r="AK46" s="1">
        <f t="shared" si="39"/>
        <v>10</v>
      </c>
      <c r="AL46" s="1">
        <f t="shared" si="39"/>
        <v>10</v>
      </c>
      <c r="AM46" s="1">
        <f t="shared" si="39"/>
        <v>80000</v>
      </c>
      <c r="AN46" s="1">
        <f t="shared" si="39"/>
        <v>10</v>
      </c>
      <c r="AO46" s="1">
        <f t="shared" si="39"/>
        <v>10</v>
      </c>
      <c r="AP46" s="1">
        <f t="shared" si="39"/>
        <v>61000</v>
      </c>
      <c r="AQ46" s="1">
        <f t="shared" si="39"/>
        <v>10</v>
      </c>
      <c r="AR46" s="1">
        <f t="shared" si="39"/>
        <v>1</v>
      </c>
      <c r="AS46" s="1"/>
      <c r="AT46" s="8">
        <f t="shared" si="20"/>
        <v>36.668316831683171</v>
      </c>
      <c r="AU46" s="1">
        <f t="shared" si="40"/>
        <v>456000</v>
      </c>
      <c r="AV46" s="1">
        <f t="shared" si="40"/>
        <v>5</v>
      </c>
      <c r="AW46" s="1">
        <f t="shared" si="40"/>
        <v>5</v>
      </c>
      <c r="AX46" s="1">
        <f t="shared" si="40"/>
        <v>95000</v>
      </c>
      <c r="AY46" s="1">
        <f t="shared" si="40"/>
        <v>5</v>
      </c>
      <c r="AZ46" s="1">
        <f t="shared" si="40"/>
        <v>5</v>
      </c>
      <c r="BA46" s="1">
        <f t="shared" si="40"/>
        <v>152000</v>
      </c>
      <c r="BB46" s="1">
        <f t="shared" si="40"/>
        <v>5</v>
      </c>
      <c r="BC46" s="1">
        <f t="shared" si="40"/>
        <v>5</v>
      </c>
      <c r="BD46" s="1">
        <f t="shared" si="40"/>
        <v>133000</v>
      </c>
      <c r="BE46" s="1">
        <f t="shared" si="40"/>
        <v>5</v>
      </c>
      <c r="BF46" s="1">
        <f t="shared" si="40"/>
        <v>1</v>
      </c>
    </row>
    <row r="47" spans="2:58" s="2" customFormat="1" x14ac:dyDescent="0.35">
      <c r="B47">
        <v>3</v>
      </c>
      <c r="C47">
        <v>101</v>
      </c>
      <c r="D47" t="str">
        <f t="shared" si="41"/>
        <v>金币</v>
      </c>
      <c r="E47" s="2">
        <v>30</v>
      </c>
      <c r="F47" s="1">
        <f t="shared" si="42"/>
        <v>30</v>
      </c>
      <c r="G47" s="2">
        <v>20</v>
      </c>
      <c r="I47" s="7">
        <v>39</v>
      </c>
      <c r="J47" s="1">
        <f t="shared" si="12"/>
        <v>897</v>
      </c>
      <c r="K47" s="1">
        <f t="shared" si="13"/>
        <v>908</v>
      </c>
      <c r="L47" s="1">
        <f t="shared" si="25"/>
        <v>4455</v>
      </c>
      <c r="M47" s="1">
        <f t="shared" si="26"/>
        <v>125</v>
      </c>
      <c r="N47" s="1">
        <f t="shared" si="14"/>
        <v>908</v>
      </c>
      <c r="O47" s="1">
        <f t="shared" si="27"/>
        <v>25</v>
      </c>
      <c r="P47" s="1">
        <f t="shared" si="15"/>
        <v>574</v>
      </c>
      <c r="Q47" s="1">
        <f t="shared" si="28"/>
        <v>15</v>
      </c>
      <c r="R47" s="1">
        <f t="shared" si="16"/>
        <v>389</v>
      </c>
      <c r="S47" s="1">
        <f t="shared" si="29"/>
        <v>11</v>
      </c>
      <c r="T47" s="1">
        <f t="shared" si="22"/>
        <v>3900</v>
      </c>
      <c r="U47" s="12">
        <f t="shared" si="23"/>
        <v>3900</v>
      </c>
      <c r="W47" s="8">
        <f t="shared" si="24"/>
        <v>3.8471698113207546</v>
      </c>
      <c r="X47" s="1">
        <f t="shared" si="38"/>
        <v>97500</v>
      </c>
      <c r="Y47" s="1">
        <f t="shared" si="38"/>
        <v>2</v>
      </c>
      <c r="Z47" s="1">
        <f t="shared" si="38"/>
        <v>19500</v>
      </c>
      <c r="AA47" s="1">
        <f t="shared" si="38"/>
        <v>3</v>
      </c>
      <c r="AB47" s="1">
        <f t="shared" si="38"/>
        <v>1</v>
      </c>
      <c r="AC47" s="1">
        <f t="shared" si="38"/>
        <v>3</v>
      </c>
      <c r="AD47" s="1">
        <f t="shared" si="38"/>
        <v>10000</v>
      </c>
      <c r="AE47" s="1">
        <f t="shared" si="38"/>
        <v>5</v>
      </c>
      <c r="AF47" s="1"/>
      <c r="AG47" s="8">
        <f t="shared" si="18"/>
        <v>33.317</v>
      </c>
      <c r="AH47" s="1">
        <f t="shared" si="39"/>
        <v>331500</v>
      </c>
      <c r="AI47" s="1">
        <f t="shared" si="39"/>
        <v>10</v>
      </c>
      <c r="AJ47" s="1">
        <f t="shared" si="39"/>
        <v>117000</v>
      </c>
      <c r="AK47" s="1">
        <f t="shared" si="39"/>
        <v>10</v>
      </c>
      <c r="AL47" s="1">
        <f t="shared" si="39"/>
        <v>10</v>
      </c>
      <c r="AM47" s="1">
        <f t="shared" si="39"/>
        <v>82000</v>
      </c>
      <c r="AN47" s="1">
        <f t="shared" si="39"/>
        <v>10</v>
      </c>
      <c r="AO47" s="1">
        <f t="shared" si="39"/>
        <v>10</v>
      </c>
      <c r="AP47" s="1">
        <f t="shared" si="39"/>
        <v>62500</v>
      </c>
      <c r="AQ47" s="1">
        <f t="shared" si="39"/>
        <v>10</v>
      </c>
      <c r="AR47" s="1">
        <f t="shared" si="39"/>
        <v>1</v>
      </c>
      <c r="AS47" s="1"/>
      <c r="AT47" s="8">
        <f t="shared" si="20"/>
        <v>36.668316831683171</v>
      </c>
      <c r="AU47" s="1">
        <f t="shared" si="40"/>
        <v>468000</v>
      </c>
      <c r="AV47" s="1">
        <f t="shared" si="40"/>
        <v>5</v>
      </c>
      <c r="AW47" s="1">
        <f t="shared" si="40"/>
        <v>5</v>
      </c>
      <c r="AX47" s="1">
        <f t="shared" si="40"/>
        <v>97500</v>
      </c>
      <c r="AY47" s="1">
        <f t="shared" si="40"/>
        <v>5</v>
      </c>
      <c r="AZ47" s="1">
        <f t="shared" si="40"/>
        <v>5</v>
      </c>
      <c r="BA47" s="1">
        <f t="shared" si="40"/>
        <v>156000</v>
      </c>
      <c r="BB47" s="1">
        <f t="shared" si="40"/>
        <v>5</v>
      </c>
      <c r="BC47" s="1">
        <f t="shared" si="40"/>
        <v>5</v>
      </c>
      <c r="BD47" s="1">
        <f t="shared" si="40"/>
        <v>136500</v>
      </c>
      <c r="BE47" s="1">
        <f t="shared" si="40"/>
        <v>5</v>
      </c>
      <c r="BF47" s="1">
        <f t="shared" si="40"/>
        <v>1</v>
      </c>
    </row>
    <row r="48" spans="2:58" s="2" customFormat="1" x14ac:dyDescent="0.35">
      <c r="B48">
        <v>4</v>
      </c>
      <c r="C48">
        <v>302</v>
      </c>
      <c r="D48" t="str">
        <f t="shared" si="41"/>
        <v>加5张</v>
      </c>
      <c r="E48" s="2">
        <v>10</v>
      </c>
      <c r="F48" s="1">
        <f t="shared" si="42"/>
        <v>30</v>
      </c>
      <c r="G48" s="2">
        <v>19</v>
      </c>
      <c r="I48" s="7">
        <v>40</v>
      </c>
      <c r="J48" s="1">
        <f t="shared" si="12"/>
        <v>922</v>
      </c>
      <c r="K48" s="1">
        <f t="shared" si="13"/>
        <v>933</v>
      </c>
      <c r="L48" s="1">
        <f t="shared" si="25"/>
        <v>4580</v>
      </c>
      <c r="M48" s="1">
        <f t="shared" si="26"/>
        <v>125</v>
      </c>
      <c r="N48" s="1">
        <f t="shared" si="14"/>
        <v>933</v>
      </c>
      <c r="O48" s="1">
        <f t="shared" si="27"/>
        <v>25</v>
      </c>
      <c r="P48" s="1">
        <f t="shared" si="15"/>
        <v>590</v>
      </c>
      <c r="Q48" s="1">
        <f t="shared" si="28"/>
        <v>16</v>
      </c>
      <c r="R48" s="1">
        <f t="shared" si="16"/>
        <v>399</v>
      </c>
      <c r="S48" s="1">
        <f t="shared" si="29"/>
        <v>10</v>
      </c>
      <c r="T48" s="1">
        <f t="shared" si="22"/>
        <v>3900</v>
      </c>
      <c r="U48" s="12">
        <f t="shared" si="23"/>
        <v>3900</v>
      </c>
      <c r="W48" s="8">
        <f t="shared" si="24"/>
        <v>3.8471698113207546</v>
      </c>
      <c r="X48" s="1">
        <f t="shared" si="38"/>
        <v>97500</v>
      </c>
      <c r="Y48" s="1">
        <f t="shared" si="38"/>
        <v>2</v>
      </c>
      <c r="Z48" s="1">
        <f t="shared" si="38"/>
        <v>19500</v>
      </c>
      <c r="AA48" s="1">
        <f t="shared" si="38"/>
        <v>3</v>
      </c>
      <c r="AB48" s="1">
        <f t="shared" si="38"/>
        <v>1</v>
      </c>
      <c r="AC48" s="1">
        <f t="shared" si="38"/>
        <v>3</v>
      </c>
      <c r="AD48" s="1">
        <f t="shared" si="38"/>
        <v>10000</v>
      </c>
      <c r="AE48" s="1">
        <f t="shared" si="38"/>
        <v>5</v>
      </c>
      <c r="AF48" s="1"/>
      <c r="AG48" s="8">
        <f t="shared" si="18"/>
        <v>33.317</v>
      </c>
      <c r="AH48" s="1">
        <f t="shared" si="39"/>
        <v>331500</v>
      </c>
      <c r="AI48" s="1">
        <f t="shared" si="39"/>
        <v>10</v>
      </c>
      <c r="AJ48" s="1">
        <f t="shared" si="39"/>
        <v>117000</v>
      </c>
      <c r="AK48" s="1">
        <f t="shared" si="39"/>
        <v>10</v>
      </c>
      <c r="AL48" s="1">
        <f t="shared" si="39"/>
        <v>10</v>
      </c>
      <c r="AM48" s="1">
        <f t="shared" si="39"/>
        <v>82000</v>
      </c>
      <c r="AN48" s="1">
        <f t="shared" si="39"/>
        <v>10</v>
      </c>
      <c r="AO48" s="1">
        <f t="shared" si="39"/>
        <v>10</v>
      </c>
      <c r="AP48" s="1">
        <f t="shared" si="39"/>
        <v>62500</v>
      </c>
      <c r="AQ48" s="1">
        <f t="shared" si="39"/>
        <v>10</v>
      </c>
      <c r="AR48" s="1">
        <f t="shared" si="39"/>
        <v>1</v>
      </c>
      <c r="AS48" s="1"/>
      <c r="AT48" s="8">
        <f t="shared" si="20"/>
        <v>36.668316831683171</v>
      </c>
      <c r="AU48" s="1">
        <f t="shared" si="40"/>
        <v>468000</v>
      </c>
      <c r="AV48" s="1">
        <f t="shared" si="40"/>
        <v>5</v>
      </c>
      <c r="AW48" s="1">
        <f t="shared" si="40"/>
        <v>5</v>
      </c>
      <c r="AX48" s="1">
        <f t="shared" si="40"/>
        <v>97500</v>
      </c>
      <c r="AY48" s="1">
        <f t="shared" si="40"/>
        <v>5</v>
      </c>
      <c r="AZ48" s="1">
        <f t="shared" si="40"/>
        <v>5</v>
      </c>
      <c r="BA48" s="1">
        <f t="shared" si="40"/>
        <v>156000</v>
      </c>
      <c r="BB48" s="1">
        <f t="shared" si="40"/>
        <v>5</v>
      </c>
      <c r="BC48" s="1">
        <f t="shared" si="40"/>
        <v>5</v>
      </c>
      <c r="BD48" s="1">
        <f t="shared" si="40"/>
        <v>136500</v>
      </c>
      <c r="BE48" s="1">
        <f t="shared" si="40"/>
        <v>5</v>
      </c>
      <c r="BF48" s="1">
        <f t="shared" si="40"/>
        <v>1</v>
      </c>
    </row>
    <row r="49" spans="2:58" s="2" customFormat="1" x14ac:dyDescent="0.35">
      <c r="B49">
        <v>4</v>
      </c>
      <c r="C49">
        <v>401</v>
      </c>
      <c r="D49" t="str">
        <f t="shared" si="41"/>
        <v>免费挑战(1倍)</v>
      </c>
      <c r="E49" s="2">
        <v>10</v>
      </c>
      <c r="F49" s="1">
        <f t="shared" si="42"/>
        <v>10</v>
      </c>
      <c r="G49" s="2">
        <v>19</v>
      </c>
      <c r="I49" s="7">
        <v>41</v>
      </c>
      <c r="J49" s="1">
        <f t="shared" si="12"/>
        <v>947</v>
      </c>
      <c r="K49" s="1">
        <f t="shared" si="13"/>
        <v>958</v>
      </c>
      <c r="L49" s="1">
        <f t="shared" si="25"/>
        <v>4705</v>
      </c>
      <c r="M49" s="1">
        <f t="shared" si="26"/>
        <v>125</v>
      </c>
      <c r="N49" s="1">
        <f t="shared" si="14"/>
        <v>958</v>
      </c>
      <c r="O49" s="1">
        <f t="shared" si="27"/>
        <v>25</v>
      </c>
      <c r="P49" s="1">
        <f t="shared" si="15"/>
        <v>606</v>
      </c>
      <c r="Q49" s="1">
        <f t="shared" si="28"/>
        <v>16</v>
      </c>
      <c r="R49" s="1">
        <f t="shared" si="16"/>
        <v>410</v>
      </c>
      <c r="S49" s="1">
        <f t="shared" si="29"/>
        <v>11</v>
      </c>
      <c r="T49" s="1">
        <f t="shared" si="22"/>
        <v>4000</v>
      </c>
      <c r="U49" s="12">
        <f t="shared" si="23"/>
        <v>4000</v>
      </c>
      <c r="W49" s="8">
        <f t="shared" si="24"/>
        <v>3.8471698113207546</v>
      </c>
      <c r="X49" s="1">
        <f t="shared" si="38"/>
        <v>100000</v>
      </c>
      <c r="Y49" s="1">
        <f t="shared" si="38"/>
        <v>2</v>
      </c>
      <c r="Z49" s="1">
        <f t="shared" si="38"/>
        <v>20000</v>
      </c>
      <c r="AA49" s="1">
        <f t="shared" si="38"/>
        <v>3</v>
      </c>
      <c r="AB49" s="1">
        <f t="shared" si="38"/>
        <v>1</v>
      </c>
      <c r="AC49" s="1">
        <f t="shared" si="38"/>
        <v>3</v>
      </c>
      <c r="AD49" s="1">
        <f t="shared" si="38"/>
        <v>10000</v>
      </c>
      <c r="AE49" s="1">
        <f t="shared" si="38"/>
        <v>5</v>
      </c>
      <c r="AF49" s="1"/>
      <c r="AG49" s="8">
        <f t="shared" si="18"/>
        <v>33.317</v>
      </c>
      <c r="AH49" s="1">
        <f t="shared" si="39"/>
        <v>340000</v>
      </c>
      <c r="AI49" s="1">
        <f t="shared" si="39"/>
        <v>10</v>
      </c>
      <c r="AJ49" s="1">
        <f t="shared" si="39"/>
        <v>120000</v>
      </c>
      <c r="AK49" s="1">
        <f t="shared" si="39"/>
        <v>10</v>
      </c>
      <c r="AL49" s="1">
        <f t="shared" si="39"/>
        <v>10</v>
      </c>
      <c r="AM49" s="1">
        <f t="shared" si="39"/>
        <v>84000</v>
      </c>
      <c r="AN49" s="1">
        <f t="shared" si="39"/>
        <v>10</v>
      </c>
      <c r="AO49" s="1">
        <f t="shared" si="39"/>
        <v>10</v>
      </c>
      <c r="AP49" s="1">
        <f t="shared" si="39"/>
        <v>64000</v>
      </c>
      <c r="AQ49" s="1">
        <f t="shared" si="39"/>
        <v>10</v>
      </c>
      <c r="AR49" s="1">
        <f t="shared" si="39"/>
        <v>1</v>
      </c>
      <c r="AS49" s="1"/>
      <c r="AT49" s="8">
        <f t="shared" si="20"/>
        <v>36.668316831683171</v>
      </c>
      <c r="AU49" s="1">
        <f t="shared" si="40"/>
        <v>480000</v>
      </c>
      <c r="AV49" s="1">
        <f t="shared" si="40"/>
        <v>5</v>
      </c>
      <c r="AW49" s="1">
        <f t="shared" si="40"/>
        <v>5</v>
      </c>
      <c r="AX49" s="1">
        <f t="shared" si="40"/>
        <v>100000</v>
      </c>
      <c r="AY49" s="1">
        <f t="shared" si="40"/>
        <v>5</v>
      </c>
      <c r="AZ49" s="1">
        <f t="shared" si="40"/>
        <v>5</v>
      </c>
      <c r="BA49" s="1">
        <f t="shared" si="40"/>
        <v>160000</v>
      </c>
      <c r="BB49" s="1">
        <f t="shared" si="40"/>
        <v>5</v>
      </c>
      <c r="BC49" s="1">
        <f t="shared" si="40"/>
        <v>5</v>
      </c>
      <c r="BD49" s="1">
        <f t="shared" si="40"/>
        <v>140000</v>
      </c>
      <c r="BE49" s="1">
        <f t="shared" si="40"/>
        <v>5</v>
      </c>
      <c r="BF49" s="1">
        <f t="shared" si="40"/>
        <v>1</v>
      </c>
    </row>
    <row r="50" spans="2:58" s="2" customFormat="1" x14ac:dyDescent="0.35">
      <c r="B50">
        <v>5</v>
      </c>
      <c r="C50">
        <v>101</v>
      </c>
      <c r="D50" t="str">
        <f t="shared" si="41"/>
        <v>金币</v>
      </c>
      <c r="E50" s="2">
        <v>21</v>
      </c>
      <c r="F50" s="1">
        <f t="shared" si="42"/>
        <v>21</v>
      </c>
      <c r="G50" s="2">
        <v>3</v>
      </c>
      <c r="I50" s="7">
        <v>42</v>
      </c>
      <c r="J50" s="1">
        <f t="shared" si="12"/>
        <v>972</v>
      </c>
      <c r="K50" s="1">
        <f t="shared" si="13"/>
        <v>983</v>
      </c>
      <c r="L50" s="1">
        <f t="shared" si="25"/>
        <v>4830</v>
      </c>
      <c r="M50" s="1">
        <f t="shared" si="26"/>
        <v>125</v>
      </c>
      <c r="N50" s="1">
        <f t="shared" si="14"/>
        <v>983</v>
      </c>
      <c r="O50" s="1">
        <f t="shared" si="27"/>
        <v>25</v>
      </c>
      <c r="P50" s="1">
        <f t="shared" si="15"/>
        <v>621</v>
      </c>
      <c r="Q50" s="1">
        <f t="shared" si="28"/>
        <v>15</v>
      </c>
      <c r="R50" s="1">
        <f t="shared" si="16"/>
        <v>420</v>
      </c>
      <c r="S50" s="1">
        <f t="shared" si="29"/>
        <v>10</v>
      </c>
      <c r="T50" s="1">
        <f t="shared" si="22"/>
        <v>4000</v>
      </c>
      <c r="U50" s="12">
        <f t="shared" si="23"/>
        <v>4000</v>
      </c>
      <c r="W50" s="8">
        <f t="shared" si="24"/>
        <v>3.8471698113207546</v>
      </c>
      <c r="X50" s="1">
        <f t="shared" si="38"/>
        <v>100000</v>
      </c>
      <c r="Y50" s="1">
        <f t="shared" si="38"/>
        <v>2</v>
      </c>
      <c r="Z50" s="1">
        <f t="shared" si="38"/>
        <v>20000</v>
      </c>
      <c r="AA50" s="1">
        <f t="shared" si="38"/>
        <v>3</v>
      </c>
      <c r="AB50" s="1">
        <f t="shared" si="38"/>
        <v>1</v>
      </c>
      <c r="AC50" s="1">
        <f t="shared" si="38"/>
        <v>3</v>
      </c>
      <c r="AD50" s="1">
        <f t="shared" si="38"/>
        <v>10000</v>
      </c>
      <c r="AE50" s="1">
        <f t="shared" si="38"/>
        <v>5</v>
      </c>
      <c r="AF50" s="1"/>
      <c r="AG50" s="8">
        <f t="shared" si="18"/>
        <v>33.317</v>
      </c>
      <c r="AH50" s="1">
        <f t="shared" si="39"/>
        <v>340000</v>
      </c>
      <c r="AI50" s="1">
        <f t="shared" si="39"/>
        <v>10</v>
      </c>
      <c r="AJ50" s="1">
        <f t="shared" si="39"/>
        <v>120000</v>
      </c>
      <c r="AK50" s="1">
        <f t="shared" si="39"/>
        <v>10</v>
      </c>
      <c r="AL50" s="1">
        <f t="shared" si="39"/>
        <v>10</v>
      </c>
      <c r="AM50" s="1">
        <f t="shared" si="39"/>
        <v>84000</v>
      </c>
      <c r="AN50" s="1">
        <f t="shared" si="39"/>
        <v>10</v>
      </c>
      <c r="AO50" s="1">
        <f t="shared" si="39"/>
        <v>10</v>
      </c>
      <c r="AP50" s="1">
        <f t="shared" si="39"/>
        <v>64000</v>
      </c>
      <c r="AQ50" s="1">
        <f t="shared" si="39"/>
        <v>10</v>
      </c>
      <c r="AR50" s="1">
        <f t="shared" si="39"/>
        <v>1</v>
      </c>
      <c r="AS50" s="1"/>
      <c r="AT50" s="8">
        <f t="shared" si="20"/>
        <v>36.668316831683171</v>
      </c>
      <c r="AU50" s="1">
        <f t="shared" si="40"/>
        <v>480000</v>
      </c>
      <c r="AV50" s="1">
        <f t="shared" si="40"/>
        <v>5</v>
      </c>
      <c r="AW50" s="1">
        <f t="shared" si="40"/>
        <v>5</v>
      </c>
      <c r="AX50" s="1">
        <f t="shared" si="40"/>
        <v>100000</v>
      </c>
      <c r="AY50" s="1">
        <f t="shared" si="40"/>
        <v>5</v>
      </c>
      <c r="AZ50" s="1">
        <f t="shared" si="40"/>
        <v>5</v>
      </c>
      <c r="BA50" s="1">
        <f t="shared" si="40"/>
        <v>160000</v>
      </c>
      <c r="BB50" s="1">
        <f t="shared" si="40"/>
        <v>5</v>
      </c>
      <c r="BC50" s="1">
        <f t="shared" si="40"/>
        <v>5</v>
      </c>
      <c r="BD50" s="1">
        <f t="shared" si="40"/>
        <v>140000</v>
      </c>
      <c r="BE50" s="1">
        <f t="shared" si="40"/>
        <v>5</v>
      </c>
      <c r="BF50" s="1">
        <f t="shared" si="40"/>
        <v>1</v>
      </c>
    </row>
    <row r="51" spans="2:58" x14ac:dyDescent="0.35">
      <c r="B51">
        <v>6</v>
      </c>
      <c r="C51">
        <v>302</v>
      </c>
      <c r="D51" t="str">
        <f t="shared" si="41"/>
        <v>加5张</v>
      </c>
      <c r="E51" s="2">
        <v>10</v>
      </c>
      <c r="F51" s="1">
        <f t="shared" si="42"/>
        <v>30</v>
      </c>
      <c r="G51" s="2">
        <v>10</v>
      </c>
      <c r="I51" s="7">
        <v>43</v>
      </c>
      <c r="J51" s="1">
        <f t="shared" si="12"/>
        <v>997</v>
      </c>
      <c r="K51" s="1">
        <f t="shared" si="13"/>
        <v>498</v>
      </c>
      <c r="L51" s="1">
        <f t="shared" si="25"/>
        <v>2405</v>
      </c>
      <c r="M51" s="1">
        <f t="shared" si="26"/>
        <v>-2425</v>
      </c>
      <c r="N51" s="1">
        <f t="shared" si="14"/>
        <v>498</v>
      </c>
      <c r="O51" s="1">
        <f t="shared" si="27"/>
        <v>-485</v>
      </c>
      <c r="P51" s="1">
        <f t="shared" si="15"/>
        <v>318</v>
      </c>
      <c r="Q51" s="1">
        <f t="shared" si="28"/>
        <v>-303</v>
      </c>
      <c r="R51" s="1">
        <f t="shared" si="16"/>
        <v>218</v>
      </c>
      <c r="S51" s="1">
        <f t="shared" si="29"/>
        <v>-202</v>
      </c>
      <c r="T51" s="1">
        <f t="shared" si="22"/>
        <v>3100</v>
      </c>
      <c r="U51" s="12">
        <f t="shared" si="23"/>
        <v>3100</v>
      </c>
      <c r="W51" s="8">
        <f t="shared" si="24"/>
        <v>3.8471698113207546</v>
      </c>
      <c r="X51" s="1">
        <f t="shared" si="38"/>
        <v>77500</v>
      </c>
      <c r="Y51" s="1">
        <f t="shared" si="38"/>
        <v>2</v>
      </c>
      <c r="Z51" s="1">
        <f t="shared" si="38"/>
        <v>15500</v>
      </c>
      <c r="AA51" s="1">
        <f t="shared" si="38"/>
        <v>3</v>
      </c>
      <c r="AB51" s="1">
        <f t="shared" si="38"/>
        <v>1</v>
      </c>
      <c r="AC51" s="1">
        <f t="shared" si="38"/>
        <v>3</v>
      </c>
      <c r="AD51" s="1">
        <f t="shared" si="38"/>
        <v>8000</v>
      </c>
      <c r="AE51" s="1">
        <f t="shared" si="38"/>
        <v>5</v>
      </c>
      <c r="AG51" s="8">
        <f t="shared" si="18"/>
        <v>33.317</v>
      </c>
      <c r="AH51" s="1">
        <f t="shared" si="39"/>
        <v>263500</v>
      </c>
      <c r="AI51" s="1">
        <f t="shared" si="39"/>
        <v>10</v>
      </c>
      <c r="AJ51" s="1">
        <f t="shared" si="39"/>
        <v>93000</v>
      </c>
      <c r="AK51" s="1">
        <f t="shared" si="39"/>
        <v>10</v>
      </c>
      <c r="AL51" s="1">
        <f t="shared" si="39"/>
        <v>10</v>
      </c>
      <c r="AM51" s="1">
        <f t="shared" si="39"/>
        <v>65500</v>
      </c>
      <c r="AN51" s="1">
        <f t="shared" si="39"/>
        <v>10</v>
      </c>
      <c r="AO51" s="1">
        <f t="shared" si="39"/>
        <v>10</v>
      </c>
      <c r="AP51" s="1">
        <f t="shared" si="39"/>
        <v>50000</v>
      </c>
      <c r="AQ51" s="1">
        <f t="shared" si="39"/>
        <v>10</v>
      </c>
      <c r="AR51" s="1">
        <f t="shared" si="39"/>
        <v>1</v>
      </c>
      <c r="AS51" s="1"/>
      <c r="AT51" s="8">
        <f t="shared" si="20"/>
        <v>36.668316831683171</v>
      </c>
      <c r="AU51" s="1">
        <f t="shared" si="40"/>
        <v>372000</v>
      </c>
      <c r="AV51" s="1">
        <f t="shared" si="40"/>
        <v>5</v>
      </c>
      <c r="AW51" s="1">
        <f t="shared" si="40"/>
        <v>5</v>
      </c>
      <c r="AX51" s="1">
        <f t="shared" si="40"/>
        <v>77500</v>
      </c>
      <c r="AY51" s="1">
        <f t="shared" si="40"/>
        <v>5</v>
      </c>
      <c r="AZ51" s="1">
        <f t="shared" si="40"/>
        <v>5</v>
      </c>
      <c r="BA51" s="1">
        <f t="shared" si="40"/>
        <v>124000</v>
      </c>
      <c r="BB51" s="1">
        <f t="shared" si="40"/>
        <v>5</v>
      </c>
      <c r="BC51" s="1">
        <f t="shared" si="40"/>
        <v>5</v>
      </c>
      <c r="BD51" s="1">
        <f t="shared" si="40"/>
        <v>108500</v>
      </c>
      <c r="BE51" s="1">
        <f t="shared" si="40"/>
        <v>5</v>
      </c>
      <c r="BF51" s="1">
        <f t="shared" si="40"/>
        <v>1</v>
      </c>
    </row>
    <row r="52" spans="2:58" x14ac:dyDescent="0.35">
      <c r="B52">
        <v>6</v>
      </c>
      <c r="C52">
        <v>303</v>
      </c>
      <c r="D52" t="str">
        <f t="shared" si="41"/>
        <v>万能牌</v>
      </c>
      <c r="E52" s="2">
        <v>10</v>
      </c>
      <c r="F52" s="1">
        <f t="shared" si="42"/>
        <v>30</v>
      </c>
      <c r="G52" s="2">
        <v>10</v>
      </c>
      <c r="W52" s="8"/>
      <c r="AG52" s="8"/>
      <c r="AI52" s="1"/>
      <c r="AL52" s="1"/>
      <c r="AQ52" s="1"/>
      <c r="AS52" s="1"/>
      <c r="AT52" s="8"/>
      <c r="AV52" s="1"/>
      <c r="AY52" s="1"/>
      <c r="BD52" s="1"/>
      <c r="BF52" s="1"/>
    </row>
    <row r="53" spans="2:58" x14ac:dyDescent="0.35">
      <c r="B53">
        <v>7</v>
      </c>
      <c r="C53">
        <v>101</v>
      </c>
      <c r="D53" t="str">
        <f t="shared" si="41"/>
        <v>金币</v>
      </c>
      <c r="E53" s="2">
        <v>16</v>
      </c>
      <c r="F53" s="1">
        <f t="shared" si="42"/>
        <v>16</v>
      </c>
      <c r="G53" s="2">
        <v>20</v>
      </c>
      <c r="W53" s="8"/>
      <c r="AG53" s="8"/>
      <c r="AI53" s="1"/>
      <c r="AL53" s="1"/>
      <c r="AQ53" s="1"/>
      <c r="AS53" s="1"/>
      <c r="AT53" s="8"/>
      <c r="AV53" s="1"/>
      <c r="AY53" s="1"/>
      <c r="BD53" s="1"/>
      <c r="BF53" s="1"/>
    </row>
    <row r="54" spans="2:58" x14ac:dyDescent="0.35">
      <c r="B54">
        <v>8</v>
      </c>
      <c r="C54">
        <v>303</v>
      </c>
      <c r="D54" t="str">
        <f t="shared" si="41"/>
        <v>万能牌</v>
      </c>
      <c r="E54" s="2">
        <v>10</v>
      </c>
      <c r="F54" s="1">
        <f t="shared" si="42"/>
        <v>30</v>
      </c>
      <c r="G54" s="2">
        <v>20</v>
      </c>
      <c r="W54" s="8"/>
      <c r="AG54" s="8"/>
      <c r="AI54" s="1"/>
      <c r="AL54" s="1"/>
      <c r="AQ54" s="1"/>
      <c r="AS54" s="1"/>
      <c r="AT54" s="8"/>
      <c r="AV54" s="1"/>
      <c r="AY54" s="1"/>
      <c r="BD54" s="1"/>
      <c r="BF54" s="1"/>
    </row>
    <row r="55" spans="2:58" x14ac:dyDescent="0.35">
      <c r="B55">
        <v>8</v>
      </c>
      <c r="C55">
        <v>501</v>
      </c>
      <c r="D55" t="str">
        <f t="shared" si="41"/>
        <v>24小时离线加速</v>
      </c>
      <c r="E55" s="2">
        <v>1</v>
      </c>
      <c r="F55" s="1">
        <f t="shared" si="42"/>
        <v>3.35</v>
      </c>
      <c r="G55" s="2">
        <v>20</v>
      </c>
      <c r="W55" s="8"/>
      <c r="AG55" s="8"/>
      <c r="AI55" s="1"/>
      <c r="AL55" s="1"/>
      <c r="AQ55" s="1"/>
      <c r="AS55" s="1"/>
      <c r="AT55" s="8"/>
      <c r="AV55" s="1"/>
      <c r="AY55" s="1"/>
      <c r="BD55" s="1"/>
      <c r="BF55" s="1"/>
    </row>
    <row r="56" spans="2:58" x14ac:dyDescent="0.35">
      <c r="B56" s="2"/>
      <c r="W56" s="8"/>
      <c r="AG56" s="8"/>
      <c r="AI56" s="1"/>
      <c r="AL56" s="1"/>
      <c r="AQ56" s="1"/>
      <c r="AS56" s="1"/>
      <c r="AT56" s="8"/>
      <c r="AV56" s="1"/>
      <c r="AY56" s="1"/>
      <c r="BD56" s="1"/>
      <c r="BF56" s="1"/>
    </row>
    <row r="57" spans="2:58" x14ac:dyDescent="0.35">
      <c r="B57" s="7" t="s">
        <v>167</v>
      </c>
      <c r="C57" s="7"/>
      <c r="D57" s="7"/>
      <c r="W57" s="8"/>
      <c r="AG57" s="8"/>
      <c r="AI57" s="1"/>
      <c r="AL57" s="1"/>
      <c r="AQ57" s="1"/>
      <c r="AS57" s="1"/>
      <c r="AT57" s="8"/>
      <c r="AV57" s="1"/>
      <c r="AY57" s="1"/>
      <c r="BD57" s="1"/>
      <c r="BF57" s="1"/>
    </row>
    <row r="58" spans="2:58" x14ac:dyDescent="0.35">
      <c r="B58" s="7">
        <v>1</v>
      </c>
      <c r="C58" s="7">
        <f t="shared" ref="C58:C65" si="43">SUMIF($B$45:$B$55,B58,$F$45:$F$55)</f>
        <v>85</v>
      </c>
      <c r="D58" s="7">
        <f t="shared" ref="D58:D65" si="44">INDEX($G$45:$G$55,MATCH(B58,$B$45:$B$55,0))</f>
        <v>3</v>
      </c>
      <c r="W58" s="8"/>
      <c r="AG58" s="8"/>
      <c r="AI58" s="1"/>
      <c r="AL58" s="1"/>
      <c r="AQ58" s="1"/>
      <c r="AS58" s="1"/>
      <c r="AT58" s="8"/>
      <c r="AV58" s="1"/>
      <c r="AY58" s="1"/>
      <c r="BD58" s="1"/>
      <c r="BF58" s="1"/>
    </row>
    <row r="59" spans="2:58" x14ac:dyDescent="0.35">
      <c r="B59" s="7">
        <v>2</v>
      </c>
      <c r="C59" s="7">
        <f t="shared" si="43"/>
        <v>13.34</v>
      </c>
      <c r="D59" s="7">
        <f t="shared" si="44"/>
        <v>5</v>
      </c>
      <c r="W59" s="8"/>
      <c r="AG59" s="8"/>
      <c r="AI59" s="1"/>
      <c r="AL59" s="1"/>
      <c r="AQ59" s="1"/>
      <c r="AS59" s="1"/>
      <c r="AT59" s="8"/>
      <c r="AV59" s="1"/>
      <c r="AY59" s="1"/>
      <c r="BD59" s="1"/>
      <c r="BF59" s="1"/>
    </row>
    <row r="60" spans="2:58" x14ac:dyDescent="0.35">
      <c r="B60" s="7">
        <v>3</v>
      </c>
      <c r="C60" s="7">
        <f t="shared" si="43"/>
        <v>30</v>
      </c>
      <c r="D60" s="7">
        <f t="shared" si="44"/>
        <v>20</v>
      </c>
      <c r="W60" s="8"/>
      <c r="AG60" s="8"/>
      <c r="AI60" s="1"/>
      <c r="AL60" s="1"/>
      <c r="AQ60" s="1"/>
      <c r="AS60" s="1"/>
      <c r="AT60" s="8"/>
      <c r="AV60" s="1"/>
      <c r="AY60" s="1"/>
      <c r="BD60" s="1"/>
      <c r="BF60" s="1"/>
    </row>
    <row r="61" spans="2:58" x14ac:dyDescent="0.35">
      <c r="B61" s="7">
        <v>4</v>
      </c>
      <c r="C61" s="7">
        <f t="shared" si="43"/>
        <v>40</v>
      </c>
      <c r="D61" s="7">
        <f t="shared" si="44"/>
        <v>19</v>
      </c>
      <c r="W61" s="8"/>
      <c r="AG61" s="8"/>
      <c r="AI61" s="1"/>
      <c r="AL61" s="1"/>
      <c r="AQ61" s="1"/>
      <c r="AS61" s="1"/>
      <c r="AT61" s="8"/>
      <c r="AV61" s="1"/>
      <c r="AY61" s="1"/>
      <c r="BD61" s="1"/>
      <c r="BF61" s="1"/>
    </row>
    <row r="62" spans="2:58" x14ac:dyDescent="0.35">
      <c r="B62" s="7">
        <v>5</v>
      </c>
      <c r="C62" s="7">
        <f t="shared" si="43"/>
        <v>21</v>
      </c>
      <c r="D62" s="7">
        <f t="shared" si="44"/>
        <v>3</v>
      </c>
      <c r="W62" s="8"/>
      <c r="AG62" s="8"/>
      <c r="AI62" s="1"/>
      <c r="AL62" s="1"/>
      <c r="AQ62" s="1"/>
      <c r="AS62" s="1"/>
      <c r="AT62" s="8"/>
      <c r="AV62" s="1"/>
      <c r="AY62" s="1"/>
      <c r="BD62" s="1"/>
      <c r="BF62" s="1"/>
    </row>
    <row r="63" spans="2:58" x14ac:dyDescent="0.35">
      <c r="B63" s="7">
        <v>6</v>
      </c>
      <c r="C63" s="7">
        <f t="shared" si="43"/>
        <v>60</v>
      </c>
      <c r="D63" s="7">
        <f t="shared" si="44"/>
        <v>10</v>
      </c>
      <c r="W63" s="8"/>
      <c r="AG63" s="8"/>
      <c r="AI63" s="1"/>
      <c r="AL63" s="1"/>
      <c r="AQ63" s="1"/>
      <c r="AS63" s="1"/>
      <c r="AT63" s="8"/>
      <c r="AV63" s="1"/>
      <c r="AY63" s="1"/>
      <c r="BD63" s="1"/>
      <c r="BF63" s="1"/>
    </row>
    <row r="64" spans="2:58" x14ac:dyDescent="0.35">
      <c r="B64" s="7">
        <v>7</v>
      </c>
      <c r="C64" s="7">
        <f t="shared" si="43"/>
        <v>16</v>
      </c>
      <c r="D64" s="7">
        <f t="shared" si="44"/>
        <v>20</v>
      </c>
      <c r="W64" s="8"/>
      <c r="AG64" s="8"/>
      <c r="AI64" s="1"/>
      <c r="AL64" s="1"/>
      <c r="AQ64" s="1"/>
      <c r="AS64" s="1"/>
      <c r="AT64" s="8"/>
      <c r="AV64" s="1"/>
      <c r="AY64" s="1"/>
      <c r="BD64" s="1"/>
      <c r="BF64" s="1"/>
    </row>
    <row r="65" spans="2:58" x14ac:dyDescent="0.35">
      <c r="B65" s="7">
        <v>8</v>
      </c>
      <c r="C65" s="7">
        <f t="shared" si="43"/>
        <v>33.35</v>
      </c>
      <c r="D65" s="7">
        <f t="shared" si="44"/>
        <v>20</v>
      </c>
      <c r="W65" s="8"/>
      <c r="AG65" s="8"/>
      <c r="AI65" s="1"/>
      <c r="AL65" s="1"/>
      <c r="AQ65" s="1"/>
      <c r="AS65" s="1"/>
      <c r="AT65" s="8"/>
      <c r="AV65" s="1"/>
      <c r="AY65" s="1"/>
      <c r="BD65" s="1"/>
      <c r="BF65" s="1"/>
    </row>
    <row r="66" spans="2:58" x14ac:dyDescent="0.35">
      <c r="W66" s="8"/>
      <c r="AG66" s="8"/>
      <c r="AI66" s="1"/>
      <c r="AL66" s="1"/>
      <c r="AQ66" s="1"/>
      <c r="AS66" s="1"/>
      <c r="AT66" s="8"/>
      <c r="AV66" s="1"/>
      <c r="AY66" s="1"/>
      <c r="BD66" s="1"/>
      <c r="BF66" s="1"/>
    </row>
    <row r="67" spans="2:58" x14ac:dyDescent="0.35">
      <c r="B67" s="17" t="s">
        <v>191</v>
      </c>
      <c r="W67" s="8"/>
      <c r="AG67" s="8"/>
      <c r="AI67" s="1"/>
      <c r="AL67" s="1"/>
      <c r="AQ67" s="1"/>
      <c r="AS67" s="1"/>
      <c r="AT67" s="8"/>
      <c r="AV67" s="1"/>
      <c r="AY67" s="1"/>
      <c r="BD67" s="1"/>
      <c r="BF67" s="1"/>
    </row>
    <row r="68" spans="2:58" x14ac:dyDescent="0.35">
      <c r="B68" s="13" t="s">
        <v>211</v>
      </c>
      <c r="C68" s="1">
        <f>SUMPRODUCT(C87:C94,D87:D94)/SUM(D87:D94)</f>
        <v>36.668316831683171</v>
      </c>
      <c r="E68" s="13" t="s">
        <v>168</v>
      </c>
      <c r="F68" s="3">
        <v>2.99</v>
      </c>
      <c r="W68" s="8"/>
      <c r="AG68" s="8"/>
      <c r="AI68" s="1"/>
      <c r="AL68" s="1"/>
      <c r="AQ68" s="1"/>
      <c r="AS68" s="1"/>
      <c r="AT68" s="8"/>
      <c r="AV68" s="1"/>
      <c r="AY68" s="1"/>
      <c r="BD68" s="1"/>
      <c r="BF68" s="1"/>
    </row>
    <row r="69" spans="2:58" x14ac:dyDescent="0.35">
      <c r="B69" s="13" t="s">
        <v>212</v>
      </c>
      <c r="C69" s="8">
        <f>AVERAGE(AT39:AT137)</f>
        <v>36.668316831683171</v>
      </c>
      <c r="E69" s="13" t="s">
        <v>171</v>
      </c>
      <c r="F69" s="8">
        <f>F68/(C69/离线奖励!$C$12)</f>
        <v>0.24462535439449168</v>
      </c>
      <c r="W69" s="8"/>
      <c r="AG69" s="8"/>
      <c r="AI69" s="1"/>
      <c r="AL69" s="1"/>
      <c r="AQ69" s="1"/>
      <c r="AS69" s="1"/>
      <c r="AT69" s="8"/>
      <c r="AV69" s="1"/>
      <c r="AY69" s="1"/>
      <c r="BD69" s="1"/>
      <c r="BF69" s="1"/>
    </row>
    <row r="70" spans="2:58" x14ac:dyDescent="0.35">
      <c r="B70" s="13" t="s">
        <v>166</v>
      </c>
      <c r="W70" s="8"/>
      <c r="AG70" s="8"/>
      <c r="AI70" s="1"/>
      <c r="AL70" s="1"/>
      <c r="AQ70" s="1"/>
      <c r="AS70" s="1"/>
      <c r="AT70" s="8"/>
      <c r="AV70" s="1"/>
      <c r="AY70" s="1"/>
      <c r="BD70" s="1"/>
      <c r="BF70" s="1"/>
    </row>
    <row r="71" spans="2:58" x14ac:dyDescent="0.35">
      <c r="B71" s="13" t="s">
        <v>162</v>
      </c>
      <c r="C71" s="13" t="s">
        <v>160</v>
      </c>
      <c r="D71" s="13" t="s">
        <v>161</v>
      </c>
      <c r="E71" s="13" t="s">
        <v>158</v>
      </c>
      <c r="F71" s="13" t="s">
        <v>173</v>
      </c>
      <c r="G71" s="13" t="s">
        <v>159</v>
      </c>
      <c r="W71" s="8"/>
      <c r="AG71" s="8"/>
      <c r="AI71" s="1"/>
      <c r="AL71" s="1"/>
      <c r="AQ71" s="1"/>
      <c r="AS71" s="1"/>
      <c r="AT71" s="8"/>
      <c r="AV71" s="1"/>
      <c r="AY71" s="1"/>
      <c r="BD71" s="1"/>
      <c r="BF71" s="1"/>
    </row>
    <row r="72" spans="2:58" x14ac:dyDescent="0.35">
      <c r="B72">
        <v>1</v>
      </c>
      <c r="C72">
        <v>101</v>
      </c>
      <c r="D72" t="str">
        <f t="shared" ref="D72:D83" si="45">INDEX(item_name,MATCH(C72,item_id,0))</f>
        <v>金币</v>
      </c>
      <c r="E72" s="2">
        <v>120</v>
      </c>
      <c r="F72" s="1">
        <f t="shared" ref="F72:F83" si="46">INDEX(item_cost_mf,MATCH($C72,item_id,0),$C$23)*E72</f>
        <v>120</v>
      </c>
      <c r="G72" s="2">
        <v>11</v>
      </c>
      <c r="W72" s="8"/>
      <c r="AG72" s="8"/>
      <c r="AI72" s="1"/>
      <c r="AL72" s="1"/>
      <c r="AQ72" s="1"/>
      <c r="AS72" s="1"/>
      <c r="AT72" s="8"/>
      <c r="AV72" s="1"/>
      <c r="AY72" s="1"/>
      <c r="BD72" s="1"/>
      <c r="BF72" s="1"/>
    </row>
    <row r="73" spans="2:58" x14ac:dyDescent="0.35">
      <c r="B73">
        <v>2</v>
      </c>
      <c r="C73">
        <v>401</v>
      </c>
      <c r="D73" t="str">
        <f t="shared" si="45"/>
        <v>免费挑战(1倍)</v>
      </c>
      <c r="E73" s="2">
        <v>5</v>
      </c>
      <c r="F73" s="1">
        <f t="shared" si="46"/>
        <v>5</v>
      </c>
      <c r="G73" s="2">
        <v>12</v>
      </c>
      <c r="W73" s="8"/>
      <c r="AG73" s="8"/>
      <c r="AI73" s="1"/>
      <c r="AL73" s="1"/>
      <c r="AQ73" s="1"/>
      <c r="AS73" s="1"/>
      <c r="AT73" s="8"/>
      <c r="AV73" s="1"/>
      <c r="AY73" s="1"/>
      <c r="BD73" s="1"/>
      <c r="BF73" s="1"/>
    </row>
    <row r="74" spans="2:58" x14ac:dyDescent="0.35">
      <c r="B74">
        <v>2</v>
      </c>
      <c r="C74">
        <v>202</v>
      </c>
      <c r="D74" t="str">
        <f t="shared" si="45"/>
        <v>开局-全清</v>
      </c>
      <c r="E74" s="2">
        <v>5</v>
      </c>
      <c r="F74" s="1">
        <f t="shared" si="46"/>
        <v>10</v>
      </c>
      <c r="G74" s="2">
        <v>12</v>
      </c>
      <c r="W74" s="8"/>
      <c r="AG74" s="8"/>
      <c r="AI74" s="1"/>
      <c r="AL74" s="1"/>
      <c r="AQ74" s="1"/>
      <c r="AS74" s="1"/>
      <c r="AT74" s="8"/>
      <c r="AV74" s="1"/>
      <c r="AY74" s="1"/>
      <c r="BD74" s="1"/>
      <c r="BF74" s="1"/>
    </row>
    <row r="75" spans="2:58" x14ac:dyDescent="0.35">
      <c r="B75">
        <v>3</v>
      </c>
      <c r="C75">
        <v>101</v>
      </c>
      <c r="D75" t="str">
        <f t="shared" si="45"/>
        <v>金币</v>
      </c>
      <c r="E75" s="2">
        <v>25</v>
      </c>
      <c r="F75" s="1">
        <f t="shared" si="46"/>
        <v>25</v>
      </c>
      <c r="G75" s="2">
        <v>16</v>
      </c>
      <c r="W75" s="8"/>
      <c r="AG75" s="8"/>
      <c r="AI75" s="1"/>
      <c r="AL75" s="1"/>
      <c r="AQ75" s="1"/>
      <c r="AS75" s="1"/>
      <c r="AT75" s="8"/>
      <c r="AV75" s="1"/>
      <c r="AY75" s="1"/>
      <c r="BD75" s="1"/>
      <c r="BF75" s="1"/>
    </row>
    <row r="76" spans="2:58" x14ac:dyDescent="0.35">
      <c r="B76">
        <v>4</v>
      </c>
      <c r="C76">
        <v>401</v>
      </c>
      <c r="D76" t="str">
        <f t="shared" si="45"/>
        <v>免费挑战(1倍)</v>
      </c>
      <c r="E76" s="2">
        <v>5</v>
      </c>
      <c r="F76" s="1">
        <f t="shared" si="46"/>
        <v>5</v>
      </c>
      <c r="G76" s="2">
        <v>12</v>
      </c>
      <c r="W76" s="8"/>
      <c r="AG76" s="8"/>
      <c r="AI76" s="1"/>
      <c r="AL76" s="1"/>
      <c r="AQ76" s="1"/>
      <c r="AS76" s="1"/>
      <c r="AT76" s="8"/>
      <c r="AV76" s="1"/>
      <c r="AY76" s="1"/>
      <c r="BD76" s="1"/>
      <c r="BF76" s="1"/>
    </row>
    <row r="77" spans="2:58" x14ac:dyDescent="0.35">
      <c r="B77">
        <v>4</v>
      </c>
      <c r="C77">
        <v>203</v>
      </c>
      <c r="D77" t="str">
        <f t="shared" si="45"/>
        <v>开局-万能牌</v>
      </c>
      <c r="E77" s="2">
        <v>5</v>
      </c>
      <c r="F77" s="1">
        <f t="shared" si="46"/>
        <v>13.333333333333332</v>
      </c>
      <c r="G77" s="2">
        <v>12</v>
      </c>
      <c r="W77" s="8"/>
      <c r="AG77" s="8"/>
      <c r="AI77" s="1"/>
      <c r="AL77" s="1"/>
      <c r="AQ77" s="1"/>
      <c r="AS77" s="1"/>
      <c r="AT77" s="8"/>
      <c r="AV77" s="1"/>
      <c r="AY77" s="1"/>
      <c r="BD77" s="1"/>
      <c r="BF77" s="1"/>
    </row>
    <row r="78" spans="2:58" x14ac:dyDescent="0.35">
      <c r="B78">
        <v>5</v>
      </c>
      <c r="C78">
        <v>101</v>
      </c>
      <c r="D78" t="str">
        <f t="shared" si="45"/>
        <v>金币</v>
      </c>
      <c r="E78" s="2">
        <v>40</v>
      </c>
      <c r="F78" s="1">
        <f t="shared" si="46"/>
        <v>40</v>
      </c>
      <c r="G78" s="2">
        <v>10</v>
      </c>
      <c r="W78" s="8"/>
      <c r="AG78" s="8"/>
      <c r="AI78" s="1"/>
      <c r="AL78" s="1"/>
      <c r="AQ78" s="1"/>
      <c r="AS78" s="1"/>
      <c r="AT78" s="8"/>
      <c r="AV78" s="1"/>
      <c r="AY78" s="1"/>
      <c r="BD78" s="1"/>
      <c r="BF78" s="1"/>
    </row>
    <row r="79" spans="2:58" x14ac:dyDescent="0.35">
      <c r="B79">
        <v>6</v>
      </c>
      <c r="C79">
        <v>302</v>
      </c>
      <c r="D79" t="str">
        <f t="shared" si="45"/>
        <v>加5张</v>
      </c>
      <c r="E79" s="2">
        <v>5</v>
      </c>
      <c r="F79" s="1">
        <f t="shared" si="46"/>
        <v>15</v>
      </c>
      <c r="G79" s="2">
        <v>10</v>
      </c>
      <c r="W79" s="8"/>
      <c r="AG79" s="8"/>
      <c r="AI79" s="1"/>
      <c r="AL79" s="1"/>
      <c r="AQ79" s="1"/>
      <c r="AS79" s="1"/>
      <c r="AT79" s="8"/>
      <c r="AV79" s="1"/>
      <c r="AY79" s="1"/>
      <c r="BD79" s="1"/>
      <c r="BF79" s="1"/>
    </row>
    <row r="80" spans="2:58" x14ac:dyDescent="0.35">
      <c r="B80">
        <v>6</v>
      </c>
      <c r="C80">
        <v>303</v>
      </c>
      <c r="D80" t="str">
        <f t="shared" si="45"/>
        <v>万能牌</v>
      </c>
      <c r="E80" s="2">
        <v>5</v>
      </c>
      <c r="F80" s="1">
        <f t="shared" si="46"/>
        <v>15</v>
      </c>
      <c r="G80" s="2">
        <v>10</v>
      </c>
      <c r="W80" s="8"/>
      <c r="AG80" s="8"/>
      <c r="AI80" s="1"/>
      <c r="AL80" s="1"/>
      <c r="AQ80" s="1"/>
      <c r="AS80" s="1"/>
      <c r="AT80" s="8"/>
      <c r="AV80" s="1"/>
      <c r="AY80" s="1"/>
      <c r="BD80" s="1"/>
      <c r="BF80" s="1"/>
    </row>
    <row r="81" spans="2:58" x14ac:dyDescent="0.35">
      <c r="B81">
        <v>7</v>
      </c>
      <c r="C81">
        <v>101</v>
      </c>
      <c r="D81" t="str">
        <f t="shared" si="45"/>
        <v>金币</v>
      </c>
      <c r="E81" s="2">
        <v>35</v>
      </c>
      <c r="F81" s="1">
        <f t="shared" si="46"/>
        <v>35</v>
      </c>
      <c r="G81" s="2">
        <v>20</v>
      </c>
      <c r="W81" s="8"/>
      <c r="AG81" s="8"/>
      <c r="AI81" s="1"/>
      <c r="AL81" s="1"/>
      <c r="AQ81" s="1"/>
      <c r="AS81" s="1"/>
      <c r="AT81" s="8"/>
      <c r="AV81" s="1"/>
      <c r="AY81" s="1"/>
      <c r="BD81" s="1"/>
      <c r="BF81" s="1"/>
    </row>
    <row r="82" spans="2:58" x14ac:dyDescent="0.35">
      <c r="B82">
        <v>8</v>
      </c>
      <c r="C82">
        <v>303</v>
      </c>
      <c r="D82" t="str">
        <f t="shared" si="45"/>
        <v>万能牌</v>
      </c>
      <c r="E82" s="2">
        <v>5</v>
      </c>
      <c r="F82" s="1">
        <f t="shared" si="46"/>
        <v>15</v>
      </c>
      <c r="G82" s="2">
        <v>10</v>
      </c>
      <c r="W82" s="8"/>
      <c r="AG82" s="8"/>
      <c r="AI82" s="1"/>
      <c r="AL82" s="1"/>
      <c r="AQ82" s="1"/>
      <c r="AS82" s="1"/>
      <c r="AT82" s="8"/>
      <c r="AV82" s="1"/>
      <c r="AY82" s="1"/>
      <c r="BD82" s="1"/>
      <c r="BF82" s="1"/>
    </row>
    <row r="83" spans="2:58" x14ac:dyDescent="0.35">
      <c r="B83">
        <v>8</v>
      </c>
      <c r="C83">
        <v>501</v>
      </c>
      <c r="D83" t="str">
        <f t="shared" si="45"/>
        <v>24小时离线加速</v>
      </c>
      <c r="E83" s="2">
        <v>1</v>
      </c>
      <c r="F83" s="1">
        <f t="shared" si="46"/>
        <v>3.35</v>
      </c>
      <c r="G83" s="2">
        <v>10</v>
      </c>
      <c r="W83" s="8"/>
      <c r="AG83" s="8"/>
      <c r="AI83" s="1"/>
      <c r="AL83" s="1"/>
      <c r="AQ83" s="1"/>
      <c r="AS83" s="1"/>
      <c r="AT83" s="8"/>
      <c r="AV83" s="1"/>
      <c r="AY83" s="1"/>
      <c r="BD83" s="1"/>
      <c r="BF83" s="1"/>
    </row>
    <row r="84" spans="2:58" x14ac:dyDescent="0.35">
      <c r="W84" s="8"/>
      <c r="AG84" s="8"/>
      <c r="AI84" s="1"/>
      <c r="AL84" s="1"/>
      <c r="AQ84" s="1"/>
      <c r="AS84" s="1"/>
      <c r="AT84" s="8"/>
      <c r="AV84" s="1"/>
      <c r="AY84" s="1"/>
      <c r="BD84" s="1"/>
      <c r="BF84" s="1"/>
    </row>
    <row r="85" spans="2:58" x14ac:dyDescent="0.35">
      <c r="W85" s="8"/>
      <c r="AG85" s="8"/>
      <c r="AI85" s="1"/>
      <c r="AL85" s="1"/>
      <c r="AQ85" s="1"/>
      <c r="AS85" s="1"/>
      <c r="AT85" s="8"/>
      <c r="AV85" s="1"/>
      <c r="AY85" s="1"/>
      <c r="BD85" s="1"/>
      <c r="BF85" s="1"/>
    </row>
    <row r="86" spans="2:58" x14ac:dyDescent="0.35">
      <c r="B86" s="7" t="s">
        <v>167</v>
      </c>
      <c r="C86" s="7"/>
      <c r="D86" s="7"/>
      <c r="W86" s="8"/>
      <c r="AG86" s="8"/>
      <c r="AI86" s="1"/>
      <c r="AL86" s="1"/>
      <c r="AQ86" s="1"/>
      <c r="AS86" s="1"/>
      <c r="AT86" s="8"/>
      <c r="AV86" s="1"/>
      <c r="AY86" s="1"/>
      <c r="BD86" s="1"/>
      <c r="BF86" s="1"/>
    </row>
    <row r="87" spans="2:58" x14ac:dyDescent="0.35">
      <c r="B87" s="7">
        <v>1</v>
      </c>
      <c r="C87" s="7">
        <f t="shared" ref="C87:C94" si="47">SUMIF($B$72:$B$83,B87,$F$72:$F$83)</f>
        <v>120</v>
      </c>
      <c r="D87" s="7">
        <f t="shared" ref="D87:D94" si="48">INDEX($G$72:$G$83,MATCH(B87,$B$72:$B$83,0))</f>
        <v>11</v>
      </c>
      <c r="W87" s="8"/>
      <c r="AG87" s="8"/>
      <c r="AI87" s="1"/>
      <c r="AL87" s="1"/>
      <c r="AQ87" s="1"/>
      <c r="AS87" s="1"/>
      <c r="AT87" s="8"/>
      <c r="AV87" s="1"/>
      <c r="AY87" s="1"/>
      <c r="BD87" s="1"/>
      <c r="BF87" s="1"/>
    </row>
    <row r="88" spans="2:58" x14ac:dyDescent="0.35">
      <c r="B88" s="7">
        <v>2</v>
      </c>
      <c r="C88" s="7">
        <f t="shared" si="47"/>
        <v>15</v>
      </c>
      <c r="D88" s="7">
        <f t="shared" si="48"/>
        <v>12</v>
      </c>
      <c r="W88" s="8"/>
      <c r="AG88" s="8"/>
      <c r="AI88" s="1"/>
      <c r="AL88" s="1"/>
      <c r="AQ88" s="1"/>
      <c r="AS88" s="1"/>
      <c r="AT88" s="8"/>
      <c r="AV88" s="1"/>
      <c r="AY88" s="1"/>
      <c r="BD88" s="1"/>
      <c r="BF88" s="1"/>
    </row>
    <row r="89" spans="2:58" x14ac:dyDescent="0.35">
      <c r="B89" s="7">
        <v>3</v>
      </c>
      <c r="C89" s="7">
        <f t="shared" si="47"/>
        <v>25</v>
      </c>
      <c r="D89" s="7">
        <f t="shared" si="48"/>
        <v>16</v>
      </c>
      <c r="W89" s="8"/>
      <c r="AG89" s="8"/>
      <c r="AI89" s="1"/>
      <c r="AL89" s="1"/>
      <c r="AQ89" s="1"/>
      <c r="AS89" s="1"/>
      <c r="AT89" s="8"/>
      <c r="AV89" s="1"/>
      <c r="AY89" s="1"/>
      <c r="BD89" s="1"/>
      <c r="BF89" s="1"/>
    </row>
    <row r="90" spans="2:58" x14ac:dyDescent="0.35">
      <c r="B90" s="7">
        <v>4</v>
      </c>
      <c r="C90" s="7">
        <f t="shared" si="47"/>
        <v>18.333333333333332</v>
      </c>
      <c r="D90" s="7">
        <f t="shared" si="48"/>
        <v>12</v>
      </c>
      <c r="W90" s="8"/>
      <c r="AG90" s="8"/>
      <c r="AI90" s="1"/>
      <c r="AL90" s="1"/>
      <c r="AQ90" s="1"/>
      <c r="AS90" s="1"/>
      <c r="AT90" s="8"/>
      <c r="AV90" s="1"/>
      <c r="AY90" s="1"/>
      <c r="BD90" s="1"/>
      <c r="BF90" s="1"/>
    </row>
    <row r="91" spans="2:58" x14ac:dyDescent="0.35">
      <c r="B91" s="7">
        <v>5</v>
      </c>
      <c r="C91" s="7">
        <f t="shared" si="47"/>
        <v>40</v>
      </c>
      <c r="D91" s="7">
        <f t="shared" si="48"/>
        <v>10</v>
      </c>
      <c r="W91" s="8"/>
      <c r="AG91" s="8"/>
      <c r="AI91" s="1"/>
      <c r="AL91" s="1"/>
      <c r="AQ91" s="1"/>
      <c r="AS91" s="1"/>
      <c r="AT91" s="8"/>
      <c r="AV91" s="1"/>
      <c r="AY91" s="1"/>
      <c r="BD91" s="1"/>
      <c r="BF91" s="1"/>
    </row>
    <row r="92" spans="2:58" x14ac:dyDescent="0.35">
      <c r="B92" s="7">
        <v>6</v>
      </c>
      <c r="C92" s="7">
        <f t="shared" si="47"/>
        <v>30</v>
      </c>
      <c r="D92" s="7">
        <f t="shared" si="48"/>
        <v>10</v>
      </c>
      <c r="W92" s="8"/>
      <c r="AG92" s="8"/>
      <c r="AI92" s="1"/>
      <c r="AL92" s="1"/>
      <c r="AQ92" s="1"/>
      <c r="AS92" s="1"/>
      <c r="AT92" s="8"/>
      <c r="AV92" s="1"/>
      <c r="AY92" s="1"/>
      <c r="BD92" s="1"/>
      <c r="BF92" s="1"/>
    </row>
    <row r="93" spans="2:58" x14ac:dyDescent="0.35">
      <c r="B93" s="7">
        <v>7</v>
      </c>
      <c r="C93" s="7">
        <f t="shared" si="47"/>
        <v>35</v>
      </c>
      <c r="D93" s="7">
        <f t="shared" si="48"/>
        <v>20</v>
      </c>
      <c r="W93" s="8"/>
      <c r="AG93" s="8"/>
      <c r="AI93" s="1"/>
      <c r="AL93" s="1"/>
      <c r="AQ93" s="1"/>
      <c r="AS93" s="1"/>
      <c r="AT93" s="8"/>
      <c r="AV93" s="1"/>
      <c r="AY93" s="1"/>
      <c r="BD93" s="1"/>
      <c r="BF93" s="1"/>
    </row>
    <row r="94" spans="2:58" x14ac:dyDescent="0.35">
      <c r="B94" s="7">
        <v>8</v>
      </c>
      <c r="C94" s="7">
        <f t="shared" si="47"/>
        <v>18.350000000000001</v>
      </c>
      <c r="D94" s="7">
        <f t="shared" si="48"/>
        <v>10</v>
      </c>
      <c r="W94" s="8"/>
      <c r="AG94" s="8"/>
      <c r="AI94" s="1"/>
      <c r="AL94" s="1"/>
      <c r="AQ94" s="1"/>
      <c r="AS94" s="1"/>
      <c r="AT94" s="8"/>
      <c r="AV94" s="1"/>
      <c r="AY94" s="1"/>
      <c r="BD94" s="1"/>
      <c r="BF94" s="1"/>
    </row>
    <row r="95" spans="2:58" x14ac:dyDescent="0.35">
      <c r="W95" s="8"/>
      <c r="AG95" s="8"/>
      <c r="AI95" s="1"/>
      <c r="AL95" s="1"/>
      <c r="AQ95" s="1"/>
      <c r="AS95" s="1"/>
      <c r="AT95" s="8"/>
      <c r="AV95" s="1"/>
      <c r="AY95" s="1"/>
      <c r="BD95" s="1"/>
      <c r="BF95" s="1"/>
    </row>
    <row r="96" spans="2:58" x14ac:dyDescent="0.35">
      <c r="W96" s="8"/>
      <c r="AG96" s="8"/>
      <c r="AI96" s="1"/>
      <c r="AL96" s="1"/>
      <c r="AQ96" s="1"/>
      <c r="AS96" s="1"/>
      <c r="AT96" s="8"/>
      <c r="AV96" s="1"/>
      <c r="AY96" s="1"/>
      <c r="BD96" s="1"/>
      <c r="BF96" s="1"/>
    </row>
    <row r="97" spans="23:58" x14ac:dyDescent="0.35">
      <c r="W97" s="8"/>
      <c r="AG97" s="8"/>
      <c r="AI97" s="1"/>
      <c r="AL97" s="1"/>
      <c r="AQ97" s="1"/>
      <c r="AS97" s="1"/>
      <c r="AT97" s="8"/>
      <c r="AV97" s="1"/>
      <c r="AY97" s="1"/>
      <c r="BD97" s="1"/>
      <c r="BF97" s="1"/>
    </row>
    <row r="98" spans="23:58" x14ac:dyDescent="0.35">
      <c r="W98" s="8"/>
      <c r="AG98" s="8"/>
      <c r="AI98" s="1"/>
      <c r="AL98" s="1"/>
      <c r="AQ98" s="1"/>
      <c r="AS98" s="1"/>
      <c r="AT98" s="8"/>
      <c r="AV98" s="1"/>
      <c r="AY98" s="1"/>
      <c r="BD98" s="1"/>
      <c r="BF98" s="1"/>
    </row>
    <row r="99" spans="23:58" x14ac:dyDescent="0.35">
      <c r="W99" s="8"/>
      <c r="AG99" s="8"/>
      <c r="AI99" s="1"/>
      <c r="AL99" s="1"/>
      <c r="AQ99" s="1"/>
      <c r="AS99" s="1"/>
      <c r="AT99" s="8"/>
      <c r="AV99" s="1"/>
      <c r="AY99" s="1"/>
      <c r="BD99" s="1"/>
      <c r="BF99" s="1"/>
    </row>
    <row r="100" spans="23:58" x14ac:dyDescent="0.35">
      <c r="W100" s="8"/>
      <c r="AG100" s="8"/>
      <c r="AI100" s="1"/>
      <c r="AL100" s="1"/>
      <c r="AQ100" s="1"/>
      <c r="AS100" s="1"/>
      <c r="AT100" s="8"/>
      <c r="AV100" s="1"/>
      <c r="AY100" s="1"/>
      <c r="BD100" s="1"/>
      <c r="BF100" s="1"/>
    </row>
    <row r="101" spans="23:58" x14ac:dyDescent="0.35">
      <c r="W101" s="8"/>
      <c r="AG101" s="8"/>
      <c r="AI101" s="1"/>
      <c r="AL101" s="1"/>
      <c r="AQ101" s="1"/>
      <c r="AS101" s="1"/>
      <c r="AT101" s="8"/>
      <c r="AV101" s="1"/>
      <c r="AY101" s="1"/>
      <c r="BD101" s="1"/>
      <c r="BF101" s="1"/>
    </row>
    <row r="102" spans="23:58" x14ac:dyDescent="0.35">
      <c r="W102" s="8"/>
      <c r="AG102" s="8"/>
      <c r="AI102" s="1"/>
      <c r="AL102" s="1"/>
      <c r="AQ102" s="1"/>
      <c r="AS102" s="1"/>
      <c r="AT102" s="8"/>
      <c r="AV102" s="1"/>
      <c r="AY102" s="1"/>
      <c r="BD102" s="1"/>
      <c r="BF102" s="1"/>
    </row>
    <row r="103" spans="23:58" x14ac:dyDescent="0.35">
      <c r="W103" s="8"/>
      <c r="AG103" s="8"/>
      <c r="AI103" s="1"/>
      <c r="AL103" s="1"/>
      <c r="AQ103" s="1"/>
      <c r="AS103" s="1"/>
      <c r="AT103" s="8"/>
      <c r="AV103" s="1"/>
      <c r="AY103" s="1"/>
      <c r="BD103" s="1"/>
      <c r="BF103" s="1"/>
    </row>
    <row r="104" spans="23:58" x14ac:dyDescent="0.35">
      <c r="W104" s="8"/>
      <c r="AG104" s="8"/>
      <c r="AI104" s="1"/>
      <c r="AL104" s="1"/>
      <c r="AQ104" s="1"/>
      <c r="AS104" s="1"/>
      <c r="AT104" s="8"/>
      <c r="AV104" s="1"/>
      <c r="AY104" s="1"/>
      <c r="BD104" s="1"/>
      <c r="BF104" s="1"/>
    </row>
    <row r="105" spans="23:58" x14ac:dyDescent="0.35">
      <c r="W105" s="8"/>
      <c r="AG105" s="8"/>
      <c r="AI105" s="1"/>
      <c r="AL105" s="1"/>
      <c r="AQ105" s="1"/>
      <c r="AS105" s="1"/>
      <c r="AT105" s="8"/>
      <c r="AV105" s="1"/>
      <c r="AY105" s="1"/>
      <c r="BD105" s="1"/>
      <c r="BF105" s="1"/>
    </row>
    <row r="106" spans="23:58" ht="12.75" customHeight="1" x14ac:dyDescent="0.35">
      <c r="W106" s="8"/>
      <c r="AG106" s="8"/>
      <c r="AI106" s="1"/>
      <c r="AL106" s="1"/>
      <c r="AQ106" s="1"/>
      <c r="AS106" s="1"/>
      <c r="AT106" s="8"/>
      <c r="AV106" s="1"/>
      <c r="AY106" s="1"/>
      <c r="BD106" s="1"/>
      <c r="BF106" s="1"/>
    </row>
    <row r="107" spans="23:58" x14ac:dyDescent="0.35">
      <c r="W107" s="8"/>
      <c r="AG107" s="8"/>
      <c r="AI107" s="1"/>
      <c r="AL107" s="1"/>
      <c r="AQ107" s="1"/>
      <c r="AS107" s="1"/>
      <c r="AT107" s="8"/>
      <c r="AV107" s="1"/>
      <c r="AY107" s="1"/>
      <c r="BD107" s="1"/>
      <c r="BF10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CFD4-B45A-4160-ACD5-FA1007B0CD65}">
  <dimension ref="B1:AD106"/>
  <sheetViews>
    <sheetView topLeftCell="A8" workbookViewId="0">
      <selection activeCell="I27" sqref="C16:I27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9" width="11.375" style="2" customWidth="1"/>
    <col min="10" max="10" width="6.75" style="2" customWidth="1"/>
    <col min="11" max="11" width="11.375" style="1" bestFit="1" customWidth="1"/>
    <col min="12" max="12" width="13.125" style="1" customWidth="1"/>
    <col min="13" max="13" width="8" style="7" bestFit="1" customWidth="1"/>
    <col min="14" max="14" width="12.75" style="7" bestFit="1" customWidth="1"/>
    <col min="15" max="23" width="13.75" style="1" customWidth="1"/>
    <col min="24" max="24" width="11.75" style="1" customWidth="1"/>
    <col min="25" max="25" width="9.625" style="15" bestFit="1" customWidth="1"/>
    <col min="26" max="26" width="12.875" style="1" customWidth="1"/>
    <col min="27" max="27" width="12.875" customWidth="1"/>
    <col min="28" max="29" width="12.875" style="1" customWidth="1"/>
    <col min="30" max="30" width="12.875" customWidth="1"/>
  </cols>
  <sheetData>
    <row r="1" spans="2:30" s="4" customFormat="1" ht="32.1" customHeight="1" x14ac:dyDescent="0.35">
      <c r="B1" s="4" t="s">
        <v>79</v>
      </c>
    </row>
    <row r="2" spans="2:30" s="7" customFormat="1" x14ac:dyDescent="0.35">
      <c r="O2" s="7">
        <f t="shared" ref="O2:W2" si="0">INT((O3-1)/3)+1</f>
        <v>1</v>
      </c>
      <c r="P2" s="7">
        <f t="shared" si="0"/>
        <v>1</v>
      </c>
      <c r="Q2" s="7">
        <f t="shared" si="0"/>
        <v>1</v>
      </c>
      <c r="R2" s="7">
        <f t="shared" si="0"/>
        <v>2</v>
      </c>
      <c r="S2" s="7">
        <f t="shared" si="0"/>
        <v>2</v>
      </c>
      <c r="T2" s="7">
        <f t="shared" si="0"/>
        <v>2</v>
      </c>
      <c r="U2" s="7">
        <f t="shared" si="0"/>
        <v>3</v>
      </c>
      <c r="V2" s="7">
        <f t="shared" si="0"/>
        <v>3</v>
      </c>
      <c r="W2" s="7">
        <f t="shared" si="0"/>
        <v>3</v>
      </c>
      <c r="Y2" s="16"/>
      <c r="Z2" s="7">
        <v>1</v>
      </c>
      <c r="AA2" s="7">
        <v>2</v>
      </c>
      <c r="AB2" s="7">
        <v>3</v>
      </c>
      <c r="AC2" s="7">
        <v>4</v>
      </c>
      <c r="AD2" s="7">
        <v>5</v>
      </c>
    </row>
    <row r="3" spans="2:30" x14ac:dyDescent="0.35">
      <c r="L3"/>
      <c r="O3" s="7">
        <v>1</v>
      </c>
      <c r="P3" s="7">
        <v>2</v>
      </c>
      <c r="Q3" s="7">
        <v>3</v>
      </c>
      <c r="R3" s="7">
        <v>4</v>
      </c>
      <c r="S3" s="7">
        <v>5</v>
      </c>
      <c r="T3" s="7">
        <v>6</v>
      </c>
      <c r="U3" s="7">
        <v>7</v>
      </c>
      <c r="V3" s="7">
        <v>8</v>
      </c>
      <c r="W3" s="7">
        <v>9</v>
      </c>
      <c r="Z3" s="7">
        <f>INDEX($C$37:$C$47,Z2)</f>
        <v>1</v>
      </c>
      <c r="AA3" s="7">
        <f>INDEX($C$37:$C$47,AA2)</f>
        <v>2</v>
      </c>
      <c r="AB3" s="7">
        <f>INDEX($C$37:$C$47,AB2)</f>
        <v>3</v>
      </c>
      <c r="AC3" s="7">
        <f>INDEX($C$37:$C$47,AC2)</f>
        <v>4</v>
      </c>
      <c r="AD3" s="7">
        <f>INDEX($C$37:$C$47,AD2)</f>
        <v>5</v>
      </c>
    </row>
    <row r="4" spans="2:30" x14ac:dyDescent="0.35">
      <c r="B4" s="13" t="s">
        <v>382</v>
      </c>
      <c r="J4" s="7"/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  <c r="T4" s="7" t="s">
        <v>368</v>
      </c>
      <c r="U4" s="7" t="s">
        <v>368</v>
      </c>
      <c r="V4" s="7" t="s">
        <v>368</v>
      </c>
      <c r="W4" s="7" t="s">
        <v>368</v>
      </c>
      <c r="X4" s="7" t="s">
        <v>368</v>
      </c>
      <c r="Y4" s="7" t="s">
        <v>368</v>
      </c>
      <c r="Z4" s="7" t="s">
        <v>368</v>
      </c>
      <c r="AA4" s="7" t="s">
        <v>368</v>
      </c>
      <c r="AB4" s="7" t="s">
        <v>368</v>
      </c>
      <c r="AC4" s="7" t="s">
        <v>368</v>
      </c>
      <c r="AD4" s="7" t="s">
        <v>368</v>
      </c>
    </row>
    <row r="5" spans="2:30" x14ac:dyDescent="0.35">
      <c r="B5" t="s">
        <v>4</v>
      </c>
      <c r="C5" s="2">
        <v>67</v>
      </c>
      <c r="J5" s="7"/>
      <c r="K5" s="7" t="s">
        <v>282</v>
      </c>
      <c r="L5" s="7"/>
      <c r="M5" s="7" t="s">
        <v>283</v>
      </c>
      <c r="O5" s="7">
        <f t="shared" ref="O5:W5" si="1">INDEX($D$19:$D$27,O3)</f>
        <v>101</v>
      </c>
      <c r="P5" s="7">
        <f t="shared" si="1"/>
        <v>201</v>
      </c>
      <c r="Q5" s="7">
        <f t="shared" si="1"/>
        <v>301</v>
      </c>
      <c r="R5" s="7">
        <f t="shared" si="1"/>
        <v>101</v>
      </c>
      <c r="S5" s="7">
        <f t="shared" si="1"/>
        <v>202</v>
      </c>
      <c r="T5" s="7">
        <f t="shared" si="1"/>
        <v>301</v>
      </c>
      <c r="U5" s="7">
        <f t="shared" si="1"/>
        <v>101</v>
      </c>
      <c r="V5" s="7">
        <f t="shared" si="1"/>
        <v>203</v>
      </c>
      <c r="W5" s="7">
        <f t="shared" si="1"/>
        <v>301</v>
      </c>
      <c r="X5" s="7"/>
      <c r="Y5" s="16"/>
      <c r="Z5" s="7">
        <f>INDEX($D$37:$D$47,Z2)</f>
        <v>101</v>
      </c>
      <c r="AA5" s="7">
        <f>INDEX($D$37:$D$47,AA2)</f>
        <v>302</v>
      </c>
      <c r="AB5" s="7">
        <f>INDEX($D$37:$D$47,AB2)</f>
        <v>401</v>
      </c>
      <c r="AC5" s="7">
        <f>INDEX($D$37:$D$47,AC2)</f>
        <v>301</v>
      </c>
      <c r="AD5" s="7">
        <f>INDEX($D$37:$D$47,AD2)</f>
        <v>303</v>
      </c>
    </row>
    <row r="6" spans="2:30" x14ac:dyDescent="0.35">
      <c r="B6" t="s">
        <v>352</v>
      </c>
      <c r="C6" s="1">
        <f>MATCH(C5,base_k,1)</f>
        <v>5</v>
      </c>
      <c r="J6" s="7"/>
      <c r="K6" s="7"/>
      <c r="L6" s="7"/>
      <c r="N6" s="7" t="s">
        <v>8</v>
      </c>
      <c r="O6" s="7">
        <f t="shared" ref="O6:W6" si="2">INDEX(item_cost_mf,MATCH(O5,item_id,0),1)</f>
        <v>1</v>
      </c>
      <c r="P6" s="7">
        <f t="shared" si="2"/>
        <v>1.6666666666666665</v>
      </c>
      <c r="Q6" s="7">
        <f t="shared" si="2"/>
        <v>0.375</v>
      </c>
      <c r="R6" s="7">
        <f t="shared" si="2"/>
        <v>1</v>
      </c>
      <c r="S6" s="7">
        <f t="shared" si="2"/>
        <v>2</v>
      </c>
      <c r="T6" s="7">
        <f t="shared" si="2"/>
        <v>0.375</v>
      </c>
      <c r="U6" s="7">
        <f t="shared" si="2"/>
        <v>1</v>
      </c>
      <c r="V6" s="7">
        <f t="shared" si="2"/>
        <v>2.6666666666666665</v>
      </c>
      <c r="W6" s="7">
        <f t="shared" si="2"/>
        <v>0.375</v>
      </c>
      <c r="X6" s="7"/>
      <c r="Y6" s="16"/>
      <c r="Z6" s="7">
        <f>INDEX(item_cost_mf,MATCH(Z5,item_id,0),1)</f>
        <v>1</v>
      </c>
      <c r="AA6" s="7">
        <f>INDEX(item_cost_mf,MATCH(AA5,item_id,0),1)</f>
        <v>3</v>
      </c>
      <c r="AB6" s="7">
        <f>INDEX(item_cost_mf,MATCH(AB5,item_id,0),1)</f>
        <v>1</v>
      </c>
      <c r="AC6" s="7">
        <f>INDEX(item_cost_mf,MATCH(AC5,item_id,0),1)</f>
        <v>0.375</v>
      </c>
      <c r="AD6" s="7">
        <f>INDEX(item_cost_mf,MATCH(AD5,item_id,0),1)</f>
        <v>3</v>
      </c>
    </row>
    <row r="7" spans="2:30" s="13" customFormat="1" x14ac:dyDescent="0.35">
      <c r="B7" t="s">
        <v>351</v>
      </c>
      <c r="C7" s="1">
        <f>C5-INDEX(base_k,C6)</f>
        <v>0</v>
      </c>
      <c r="J7" s="13" t="s">
        <v>17</v>
      </c>
      <c r="K7" s="13" t="s">
        <v>170</v>
      </c>
      <c r="L7" s="13" t="s">
        <v>148</v>
      </c>
      <c r="M7" s="13" t="s">
        <v>174</v>
      </c>
      <c r="N7" s="13" t="s">
        <v>176</v>
      </c>
      <c r="O7" s="13" t="str">
        <f t="shared" ref="O7:W7" si="3">INDEX($E$19:$E$27,O3)</f>
        <v>金币</v>
      </c>
      <c r="P7" s="13" t="str">
        <f t="shared" si="3"/>
        <v>开局-消三张</v>
      </c>
      <c r="Q7" s="13" t="str">
        <f t="shared" si="3"/>
        <v>回退</v>
      </c>
      <c r="R7" s="13" t="str">
        <f t="shared" si="3"/>
        <v>金币</v>
      </c>
      <c r="S7" s="13" t="str">
        <f t="shared" si="3"/>
        <v>开局-全清</v>
      </c>
      <c r="T7" s="13" t="str">
        <f t="shared" si="3"/>
        <v>回退</v>
      </c>
      <c r="U7" s="13" t="str">
        <f t="shared" si="3"/>
        <v>金币</v>
      </c>
      <c r="V7" s="13" t="str">
        <f t="shared" si="3"/>
        <v>开局-万能牌</v>
      </c>
      <c r="W7" s="13" t="str">
        <f t="shared" si="3"/>
        <v>回退</v>
      </c>
      <c r="Y7" s="13" t="s">
        <v>176</v>
      </c>
      <c r="Z7" s="13" t="str">
        <f>IF(Z$3=$D$19,_xlfn.CEILING.MATH(#REF!*INDEX($E$37:$E$47,Z$2),500),INDEX($E$37:$E$47,Z$2))</f>
        <v>金币</v>
      </c>
      <c r="AA7" s="13" t="str">
        <f>IF(AA$3=$D$19,_xlfn.CEILING.MATH(#REF!*INDEX($E$37:$E$47,AA$2),500),INDEX($E$37:$E$47,AA$2))</f>
        <v>加5张</v>
      </c>
      <c r="AB7" s="13" t="str">
        <f>IF(AB$3=$D$19,_xlfn.CEILING.MATH(#REF!*INDEX($E$37:$E$47,AB$2),500),INDEX($E$37:$E$47,AB$2))</f>
        <v>免费挑战(1倍)</v>
      </c>
      <c r="AC7" s="13" t="str">
        <f>IF(AC$3=$D$19,_xlfn.CEILING.MATH(#REF!*INDEX($E$37:$E$47,AC$2),500),INDEX($E$37:$E$47,AC$2))</f>
        <v>回退</v>
      </c>
      <c r="AD7" s="13" t="str">
        <f>IF(AD$3=$D$19,_xlfn.CEILING.MATH(#REF!*INDEX($E$37:$E$47,AD$2),500),INDEX($E$37:$E$47,AD$2))</f>
        <v>万能牌</v>
      </c>
    </row>
    <row r="8" spans="2:30" x14ac:dyDescent="0.35">
      <c r="J8" s="7">
        <v>1</v>
      </c>
      <c r="K8" s="1">
        <f t="shared" ref="K8:K47" si="4">INDEX(base_k,J8+$C$6-1)+$C$7</f>
        <v>67</v>
      </c>
      <c r="L8" s="1">
        <f t="shared" ref="L8:L47" si="5">INDEX(base_v,MATCH(K8,base_k,1))</f>
        <v>2200</v>
      </c>
      <c r="M8" s="1">
        <f>(MOD(J8-1,3)+1)</f>
        <v>1</v>
      </c>
      <c r="N8" s="8">
        <f>((SUMPRODUCT(P8:Q8,P$6:Q$6)+SUMPRODUCT(S8:T8,S$6:T$6)+SUMPRODUCT(V8:W8,V$6:W$6))*$L8+SUM(O8,R8,U8))/L8</f>
        <v>3.1780303030303028</v>
      </c>
      <c r="O8" s="1">
        <f t="shared" ref="O8:W17" si="6">IF(O$2=$M8,IF(O$5=$D$19,_xlfn.CEILING.MATH($L8*INDEX($F$19:$F$27,O$3),500),INDEX($F$19:$F$27,O$3)),"")</f>
        <v>2500</v>
      </c>
      <c r="P8" s="1">
        <f t="shared" si="6"/>
        <v>1</v>
      </c>
      <c r="Q8" s="1">
        <f t="shared" si="6"/>
        <v>1</v>
      </c>
      <c r="R8" s="1" t="str">
        <f t="shared" si="6"/>
        <v/>
      </c>
      <c r="S8" s="1" t="str">
        <f t="shared" si="6"/>
        <v/>
      </c>
      <c r="T8" s="1" t="str">
        <f t="shared" si="6"/>
        <v/>
      </c>
      <c r="U8" s="1" t="str">
        <f t="shared" si="6"/>
        <v/>
      </c>
      <c r="V8" s="1" t="str">
        <f t="shared" si="6"/>
        <v/>
      </c>
      <c r="W8" s="1" t="str">
        <f t="shared" si="6"/>
        <v/>
      </c>
      <c r="Y8" s="8">
        <f>SUMPRODUCT(AA8:AD8,AA$6:AD$6)+Z8/$L8</f>
        <v>11.46590909090909</v>
      </c>
      <c r="Z8" s="1">
        <f t="shared" ref="Z8:Z47" si="7">IF(Z$5=$D$37,_xlfn.CEILING.MATH($L8*INDEX($F$37:$F$41,Z$2),1000),INDEX($F$37:$F$41,Z$2))</f>
        <v>9000</v>
      </c>
      <c r="AA8" s="1">
        <f t="shared" ref="AA8:AD27" si="8">IF(AA$5=$D$37,_xlfn.CEILING.MATH($L8*INDEX($F$37:$F$41,AA$2),500),INDEX($F$37:$F$41,AA$2))</f>
        <v>1</v>
      </c>
      <c r="AB8" s="1">
        <f t="shared" si="8"/>
        <v>1</v>
      </c>
      <c r="AC8" s="1">
        <f t="shared" si="8"/>
        <v>1</v>
      </c>
      <c r="AD8" s="1">
        <f t="shared" si="8"/>
        <v>1</v>
      </c>
    </row>
    <row r="9" spans="2:30" x14ac:dyDescent="0.35">
      <c r="J9" s="7">
        <v>2</v>
      </c>
      <c r="K9" s="1">
        <f t="shared" si="4"/>
        <v>87</v>
      </c>
      <c r="L9" s="1">
        <f t="shared" si="5"/>
        <v>2250</v>
      </c>
      <c r="M9" s="1">
        <f t="shared" ref="M9:M47" si="9">(MOD(J9-1,3)+1)</f>
        <v>2</v>
      </c>
      <c r="N9" s="8">
        <f t="shared" ref="N9:N47" si="10">((SUMPRODUCT(P9:Q9,P$6:Q$6)+SUMPRODUCT(S9:T9,S$6:T$6)+SUMPRODUCT(V9:W9,V$6:W$6))*$L9+SUM(O9,R9,U9))/L9</f>
        <v>3.4861111111111112</v>
      </c>
      <c r="O9" s="1" t="str">
        <f t="shared" si="6"/>
        <v/>
      </c>
      <c r="P9" s="1" t="str">
        <f t="shared" si="6"/>
        <v/>
      </c>
      <c r="Q9" s="1" t="str">
        <f t="shared" si="6"/>
        <v/>
      </c>
      <c r="R9" s="1">
        <f t="shared" si="6"/>
        <v>2500</v>
      </c>
      <c r="S9" s="1">
        <f t="shared" si="6"/>
        <v>1</v>
      </c>
      <c r="T9" s="1">
        <f t="shared" si="6"/>
        <v>1</v>
      </c>
      <c r="U9" s="1" t="str">
        <f t="shared" si="6"/>
        <v/>
      </c>
      <c r="V9" s="1" t="str">
        <f t="shared" si="6"/>
        <v/>
      </c>
      <c r="W9" s="1" t="str">
        <f t="shared" si="6"/>
        <v/>
      </c>
      <c r="Y9" s="8">
        <f t="shared" ref="Y9:Y47" si="11">SUMPRODUCT(AA9:AD9,AA$6:AD$6)+Z9/$L9</f>
        <v>11.375</v>
      </c>
      <c r="Z9" s="1">
        <f t="shared" si="7"/>
        <v>9000</v>
      </c>
      <c r="AA9" s="1">
        <f t="shared" si="8"/>
        <v>1</v>
      </c>
      <c r="AB9" s="1">
        <f t="shared" si="8"/>
        <v>1</v>
      </c>
      <c r="AC9" s="1">
        <f t="shared" si="8"/>
        <v>1</v>
      </c>
      <c r="AD9" s="1">
        <f t="shared" si="8"/>
        <v>1</v>
      </c>
    </row>
    <row r="10" spans="2:30" x14ac:dyDescent="0.35">
      <c r="B10" s="7"/>
      <c r="J10" s="7">
        <v>3</v>
      </c>
      <c r="K10" s="1">
        <f t="shared" si="4"/>
        <v>107</v>
      </c>
      <c r="L10" s="1">
        <f t="shared" si="5"/>
        <v>2300</v>
      </c>
      <c r="M10" s="1">
        <f t="shared" si="9"/>
        <v>3</v>
      </c>
      <c r="N10" s="8">
        <f t="shared" si="10"/>
        <v>4.1286231884057969</v>
      </c>
      <c r="O10" s="1" t="str">
        <f t="shared" si="6"/>
        <v/>
      </c>
      <c r="P10" s="1" t="str">
        <f t="shared" si="6"/>
        <v/>
      </c>
      <c r="Q10" s="1" t="str">
        <f t="shared" si="6"/>
        <v/>
      </c>
      <c r="R10" s="1" t="str">
        <f t="shared" si="6"/>
        <v/>
      </c>
      <c r="S10" s="1" t="str">
        <f t="shared" si="6"/>
        <v/>
      </c>
      <c r="T10" s="1" t="str">
        <f t="shared" si="6"/>
        <v/>
      </c>
      <c r="U10" s="1">
        <f t="shared" si="6"/>
        <v>2500</v>
      </c>
      <c r="V10" s="1">
        <f t="shared" si="6"/>
        <v>1</v>
      </c>
      <c r="W10" s="1">
        <f t="shared" si="6"/>
        <v>1</v>
      </c>
      <c r="Y10" s="8">
        <f t="shared" si="11"/>
        <v>11.722826086956522</v>
      </c>
      <c r="Z10" s="1">
        <f t="shared" si="7"/>
        <v>10000</v>
      </c>
      <c r="AA10" s="1">
        <f t="shared" si="8"/>
        <v>1</v>
      </c>
      <c r="AB10" s="1">
        <f t="shared" si="8"/>
        <v>1</v>
      </c>
      <c r="AC10" s="1">
        <f t="shared" si="8"/>
        <v>1</v>
      </c>
      <c r="AD10" s="1">
        <f t="shared" si="8"/>
        <v>1</v>
      </c>
    </row>
    <row r="11" spans="2:30" x14ac:dyDescent="0.35">
      <c r="C11" s="5"/>
      <c r="J11" s="7">
        <v>4</v>
      </c>
      <c r="K11" s="1">
        <f t="shared" si="4"/>
        <v>127</v>
      </c>
      <c r="L11" s="1">
        <f t="shared" si="5"/>
        <v>2350</v>
      </c>
      <c r="M11" s="1">
        <f t="shared" si="9"/>
        <v>1</v>
      </c>
      <c r="N11" s="8">
        <f t="shared" si="10"/>
        <v>3.1054964539007091</v>
      </c>
      <c r="O11" s="1">
        <f t="shared" si="6"/>
        <v>2500</v>
      </c>
      <c r="P11" s="1">
        <f t="shared" si="6"/>
        <v>1</v>
      </c>
      <c r="Q11" s="1">
        <f t="shared" si="6"/>
        <v>1</v>
      </c>
      <c r="R11" s="1" t="str">
        <f t="shared" si="6"/>
        <v/>
      </c>
      <c r="S11" s="1" t="str">
        <f t="shared" si="6"/>
        <v/>
      </c>
      <c r="T11" s="1" t="str">
        <f t="shared" si="6"/>
        <v/>
      </c>
      <c r="U11" s="1" t="str">
        <f t="shared" si="6"/>
        <v/>
      </c>
      <c r="V11" s="1" t="str">
        <f t="shared" si="6"/>
        <v/>
      </c>
      <c r="W11" s="1" t="str">
        <f t="shared" si="6"/>
        <v/>
      </c>
      <c r="Y11" s="8">
        <f t="shared" si="11"/>
        <v>11.63031914893617</v>
      </c>
      <c r="Z11" s="1">
        <f t="shared" si="7"/>
        <v>10000</v>
      </c>
      <c r="AA11" s="1">
        <f t="shared" si="8"/>
        <v>1</v>
      </c>
      <c r="AB11" s="1">
        <f t="shared" si="8"/>
        <v>1</v>
      </c>
      <c r="AC11" s="1">
        <f t="shared" si="8"/>
        <v>1</v>
      </c>
      <c r="AD11" s="1">
        <f t="shared" si="8"/>
        <v>1</v>
      </c>
    </row>
    <row r="12" spans="2:30" x14ac:dyDescent="0.35">
      <c r="B12" t="s">
        <v>172</v>
      </c>
      <c r="C12" s="2">
        <v>1</v>
      </c>
      <c r="J12" s="7">
        <v>5</v>
      </c>
      <c r="K12" s="1">
        <f t="shared" si="4"/>
        <v>147</v>
      </c>
      <c r="L12" s="1">
        <f t="shared" si="5"/>
        <v>2400</v>
      </c>
      <c r="M12" s="1">
        <f t="shared" si="9"/>
        <v>2</v>
      </c>
      <c r="N12" s="8">
        <f t="shared" si="10"/>
        <v>3.4166666666666665</v>
      </c>
      <c r="O12" s="1" t="str">
        <f t="shared" si="6"/>
        <v/>
      </c>
      <c r="P12" s="1" t="str">
        <f t="shared" si="6"/>
        <v/>
      </c>
      <c r="Q12" s="1" t="str">
        <f t="shared" si="6"/>
        <v/>
      </c>
      <c r="R12" s="1">
        <f t="shared" si="6"/>
        <v>2500</v>
      </c>
      <c r="S12" s="1">
        <f t="shared" si="6"/>
        <v>1</v>
      </c>
      <c r="T12" s="1">
        <f t="shared" si="6"/>
        <v>1</v>
      </c>
      <c r="U12" s="1" t="str">
        <f t="shared" si="6"/>
        <v/>
      </c>
      <c r="V12" s="1" t="str">
        <f t="shared" si="6"/>
        <v/>
      </c>
      <c r="W12" s="1" t="str">
        <f t="shared" si="6"/>
        <v/>
      </c>
      <c r="Y12" s="8">
        <f t="shared" si="11"/>
        <v>11.541666666666668</v>
      </c>
      <c r="Z12" s="1">
        <f t="shared" si="7"/>
        <v>10000</v>
      </c>
      <c r="AA12" s="1">
        <f t="shared" si="8"/>
        <v>1</v>
      </c>
      <c r="AB12" s="1">
        <f t="shared" si="8"/>
        <v>1</v>
      </c>
      <c r="AC12" s="1">
        <f t="shared" si="8"/>
        <v>1</v>
      </c>
      <c r="AD12" s="1">
        <f t="shared" si="8"/>
        <v>1</v>
      </c>
    </row>
    <row r="13" spans="2:30" x14ac:dyDescent="0.35">
      <c r="J13" s="7">
        <v>6</v>
      </c>
      <c r="K13" s="1">
        <f t="shared" si="4"/>
        <v>167</v>
      </c>
      <c r="L13" s="1">
        <f t="shared" si="5"/>
        <v>2450</v>
      </c>
      <c r="M13" s="1">
        <f t="shared" si="9"/>
        <v>3</v>
      </c>
      <c r="N13" s="8">
        <f t="shared" si="10"/>
        <v>4.062074829931972</v>
      </c>
      <c r="O13" s="1" t="str">
        <f t="shared" si="6"/>
        <v/>
      </c>
      <c r="P13" s="1" t="str">
        <f t="shared" si="6"/>
        <v/>
      </c>
      <c r="Q13" s="1" t="str">
        <f t="shared" si="6"/>
        <v/>
      </c>
      <c r="R13" s="1" t="str">
        <f t="shared" si="6"/>
        <v/>
      </c>
      <c r="S13" s="1" t="str">
        <f t="shared" si="6"/>
        <v/>
      </c>
      <c r="T13" s="1" t="str">
        <f t="shared" si="6"/>
        <v/>
      </c>
      <c r="U13" s="1">
        <f t="shared" si="6"/>
        <v>2500</v>
      </c>
      <c r="V13" s="1">
        <f t="shared" si="6"/>
        <v>1</v>
      </c>
      <c r="W13" s="1">
        <f t="shared" si="6"/>
        <v>1</v>
      </c>
      <c r="Y13" s="8">
        <f t="shared" si="11"/>
        <v>11.456632653061224</v>
      </c>
      <c r="Z13" s="1">
        <f t="shared" si="7"/>
        <v>10000</v>
      </c>
      <c r="AA13" s="1">
        <f t="shared" si="8"/>
        <v>1</v>
      </c>
      <c r="AB13" s="1">
        <f t="shared" si="8"/>
        <v>1</v>
      </c>
      <c r="AC13" s="1">
        <f t="shared" si="8"/>
        <v>1</v>
      </c>
      <c r="AD13" s="1">
        <f t="shared" si="8"/>
        <v>1</v>
      </c>
    </row>
    <row r="14" spans="2:30" x14ac:dyDescent="0.35">
      <c r="B14" s="17" t="s">
        <v>359</v>
      </c>
      <c r="J14" s="7">
        <v>7</v>
      </c>
      <c r="K14" s="1">
        <f t="shared" si="4"/>
        <v>187</v>
      </c>
      <c r="L14" s="1">
        <f t="shared" si="5"/>
        <v>2500</v>
      </c>
      <c r="M14" s="1">
        <f t="shared" si="9"/>
        <v>1</v>
      </c>
      <c r="N14" s="8">
        <f t="shared" si="10"/>
        <v>3.0416666666666665</v>
      </c>
      <c r="O14" s="1">
        <f t="shared" si="6"/>
        <v>2500</v>
      </c>
      <c r="P14" s="1">
        <f t="shared" si="6"/>
        <v>1</v>
      </c>
      <c r="Q14" s="1">
        <f t="shared" si="6"/>
        <v>1</v>
      </c>
      <c r="R14" s="1" t="str">
        <f t="shared" si="6"/>
        <v/>
      </c>
      <c r="S14" s="1" t="str">
        <f t="shared" si="6"/>
        <v/>
      </c>
      <c r="T14" s="1" t="str">
        <f t="shared" si="6"/>
        <v/>
      </c>
      <c r="U14" s="1" t="str">
        <f t="shared" si="6"/>
        <v/>
      </c>
      <c r="V14" s="1" t="str">
        <f t="shared" si="6"/>
        <v/>
      </c>
      <c r="W14" s="1" t="str">
        <f t="shared" si="6"/>
        <v/>
      </c>
      <c r="Y14" s="8">
        <f t="shared" si="11"/>
        <v>11.375</v>
      </c>
      <c r="Z14" s="1">
        <f t="shared" si="7"/>
        <v>10000</v>
      </c>
      <c r="AA14" s="1">
        <f t="shared" si="8"/>
        <v>1</v>
      </c>
      <c r="AB14" s="1">
        <f t="shared" si="8"/>
        <v>1</v>
      </c>
      <c r="AC14" s="1">
        <f t="shared" si="8"/>
        <v>1</v>
      </c>
      <c r="AD14" s="1">
        <f t="shared" si="8"/>
        <v>1</v>
      </c>
    </row>
    <row r="15" spans="2:30" x14ac:dyDescent="0.35">
      <c r="B15" t="s">
        <v>210</v>
      </c>
      <c r="C15" s="2">
        <v>3</v>
      </c>
      <c r="D15" s="7"/>
      <c r="I15"/>
      <c r="J15" s="7">
        <v>8</v>
      </c>
      <c r="K15" s="1">
        <f t="shared" si="4"/>
        <v>207</v>
      </c>
      <c r="L15" s="1">
        <f t="shared" si="5"/>
        <v>2550</v>
      </c>
      <c r="M15" s="1">
        <f t="shared" si="9"/>
        <v>2</v>
      </c>
      <c r="N15" s="8">
        <f t="shared" si="10"/>
        <v>3.5514705882352939</v>
      </c>
      <c r="O15" s="1" t="str">
        <f t="shared" si="6"/>
        <v/>
      </c>
      <c r="P15" s="1" t="str">
        <f t="shared" si="6"/>
        <v/>
      </c>
      <c r="Q15" s="1" t="str">
        <f t="shared" si="6"/>
        <v/>
      </c>
      <c r="R15" s="1">
        <f t="shared" si="6"/>
        <v>3000</v>
      </c>
      <c r="S15" s="1">
        <f t="shared" si="6"/>
        <v>1</v>
      </c>
      <c r="T15" s="1">
        <f t="shared" si="6"/>
        <v>1</v>
      </c>
      <c r="U15" s="1" t="str">
        <f t="shared" si="6"/>
        <v/>
      </c>
      <c r="V15" s="1" t="str">
        <f t="shared" si="6"/>
        <v/>
      </c>
      <c r="W15" s="1" t="str">
        <f t="shared" si="6"/>
        <v/>
      </c>
      <c r="Y15" s="8">
        <f t="shared" si="11"/>
        <v>11.688725490196077</v>
      </c>
      <c r="Z15" s="1">
        <f t="shared" si="7"/>
        <v>11000</v>
      </c>
      <c r="AA15" s="1">
        <f t="shared" si="8"/>
        <v>1</v>
      </c>
      <c r="AB15" s="1">
        <f t="shared" si="8"/>
        <v>1</v>
      </c>
      <c r="AC15" s="1">
        <f t="shared" si="8"/>
        <v>1</v>
      </c>
      <c r="AD15" s="1">
        <f t="shared" si="8"/>
        <v>1</v>
      </c>
    </row>
    <row r="16" spans="2:30" x14ac:dyDescent="0.35">
      <c r="B16" t="s">
        <v>213</v>
      </c>
      <c r="C16" s="1">
        <f>AVERAGE(H19:H27)</f>
        <v>3.4861111111111103</v>
      </c>
      <c r="D16" s="1"/>
      <c r="I16"/>
      <c r="J16" s="7">
        <v>9</v>
      </c>
      <c r="K16" s="1">
        <f t="shared" si="4"/>
        <v>227</v>
      </c>
      <c r="L16" s="1">
        <f t="shared" si="5"/>
        <v>2600</v>
      </c>
      <c r="M16" s="1">
        <f t="shared" si="9"/>
        <v>3</v>
      </c>
      <c r="N16" s="8">
        <f t="shared" si="10"/>
        <v>4.1955128205128203</v>
      </c>
      <c r="O16" s="1" t="str">
        <f t="shared" si="6"/>
        <v/>
      </c>
      <c r="P16" s="1" t="str">
        <f t="shared" si="6"/>
        <v/>
      </c>
      <c r="Q16" s="1" t="str">
        <f t="shared" si="6"/>
        <v/>
      </c>
      <c r="R16" s="1" t="str">
        <f t="shared" si="6"/>
        <v/>
      </c>
      <c r="S16" s="1" t="str">
        <f t="shared" si="6"/>
        <v/>
      </c>
      <c r="T16" s="1" t="str">
        <f t="shared" si="6"/>
        <v/>
      </c>
      <c r="U16" s="1">
        <f t="shared" si="6"/>
        <v>3000</v>
      </c>
      <c r="V16" s="1">
        <f t="shared" si="6"/>
        <v>1</v>
      </c>
      <c r="W16" s="1">
        <f t="shared" si="6"/>
        <v>1</v>
      </c>
      <c r="Y16" s="8">
        <f t="shared" si="11"/>
        <v>11.60576923076923</v>
      </c>
      <c r="Z16" s="1">
        <f t="shared" si="7"/>
        <v>11000</v>
      </c>
      <c r="AA16" s="1">
        <f t="shared" si="8"/>
        <v>1</v>
      </c>
      <c r="AB16" s="1">
        <f t="shared" si="8"/>
        <v>1</v>
      </c>
      <c r="AC16" s="1">
        <f t="shared" si="8"/>
        <v>1</v>
      </c>
      <c r="AD16" s="1">
        <f t="shared" si="8"/>
        <v>1</v>
      </c>
    </row>
    <row r="17" spans="2:30" x14ac:dyDescent="0.35">
      <c r="B17" t="s">
        <v>214</v>
      </c>
      <c r="C17" s="8">
        <f>AVERAGE(N8:N57)</f>
        <v>3.5478073908119021</v>
      </c>
      <c r="D17" s="1"/>
      <c r="I17"/>
      <c r="J17" s="7">
        <v>10</v>
      </c>
      <c r="K17" s="1">
        <f t="shared" si="4"/>
        <v>247</v>
      </c>
      <c r="L17" s="1">
        <f t="shared" si="5"/>
        <v>2650</v>
      </c>
      <c r="M17" s="1">
        <f t="shared" si="9"/>
        <v>1</v>
      </c>
      <c r="N17" s="8">
        <f t="shared" si="10"/>
        <v>3.1737421383647795</v>
      </c>
      <c r="O17" s="1">
        <f t="shared" si="6"/>
        <v>3000</v>
      </c>
      <c r="P17" s="1">
        <f t="shared" si="6"/>
        <v>1</v>
      </c>
      <c r="Q17" s="1">
        <f t="shared" si="6"/>
        <v>1</v>
      </c>
      <c r="R17" s="1" t="str">
        <f t="shared" si="6"/>
        <v/>
      </c>
      <c r="S17" s="1" t="str">
        <f t="shared" si="6"/>
        <v/>
      </c>
      <c r="T17" s="1" t="str">
        <f t="shared" si="6"/>
        <v/>
      </c>
      <c r="U17" s="1" t="str">
        <f t="shared" si="6"/>
        <v/>
      </c>
      <c r="V17" s="1" t="str">
        <f t="shared" si="6"/>
        <v/>
      </c>
      <c r="W17" s="1" t="str">
        <f t="shared" si="6"/>
        <v/>
      </c>
      <c r="Y17" s="8">
        <f t="shared" si="11"/>
        <v>11.525943396226415</v>
      </c>
      <c r="Z17" s="1">
        <f t="shared" si="7"/>
        <v>11000</v>
      </c>
      <c r="AA17" s="1">
        <f t="shared" si="8"/>
        <v>1</v>
      </c>
      <c r="AB17" s="1">
        <f t="shared" si="8"/>
        <v>1</v>
      </c>
      <c r="AC17" s="1">
        <f t="shared" si="8"/>
        <v>1</v>
      </c>
      <c r="AD17" s="1">
        <f t="shared" si="8"/>
        <v>1</v>
      </c>
    </row>
    <row r="18" spans="2:30" x14ac:dyDescent="0.35">
      <c r="B18" s="13" t="s">
        <v>174</v>
      </c>
      <c r="C18" s="13" t="s">
        <v>163</v>
      </c>
      <c r="D18" s="13" t="s">
        <v>160</v>
      </c>
      <c r="E18" s="13" t="s">
        <v>161</v>
      </c>
      <c r="F18" s="13" t="s">
        <v>158</v>
      </c>
      <c r="G18" s="13" t="s">
        <v>173</v>
      </c>
      <c r="H18" s="13" t="s">
        <v>175</v>
      </c>
      <c r="I18" s="5"/>
      <c r="J18" s="7">
        <v>11</v>
      </c>
      <c r="K18" s="1">
        <f t="shared" si="4"/>
        <v>272</v>
      </c>
      <c r="L18" s="1">
        <f t="shared" si="5"/>
        <v>2700</v>
      </c>
      <c r="M18" s="1">
        <f t="shared" si="9"/>
        <v>2</v>
      </c>
      <c r="N18" s="8">
        <f t="shared" si="10"/>
        <v>3.4861111111111112</v>
      </c>
      <c r="O18" s="1" t="str">
        <f t="shared" ref="O18:W27" si="12">IF(O$2=$M18,IF(O$5=$D$19,_xlfn.CEILING.MATH($L18*INDEX($F$19:$F$27,O$3),500),INDEX($F$19:$F$27,O$3)),"")</f>
        <v/>
      </c>
      <c r="P18" s="1" t="str">
        <f t="shared" si="12"/>
        <v/>
      </c>
      <c r="Q18" s="1" t="str">
        <f t="shared" si="12"/>
        <v/>
      </c>
      <c r="R18" s="1">
        <f t="shared" si="12"/>
        <v>3000</v>
      </c>
      <c r="S18" s="1">
        <f t="shared" si="12"/>
        <v>1</v>
      </c>
      <c r="T18" s="1">
        <f t="shared" si="12"/>
        <v>1</v>
      </c>
      <c r="U18" s="1" t="str">
        <f t="shared" si="12"/>
        <v/>
      </c>
      <c r="V18" s="1" t="str">
        <f t="shared" si="12"/>
        <v/>
      </c>
      <c r="W18" s="1" t="str">
        <f t="shared" si="12"/>
        <v/>
      </c>
      <c r="Y18" s="8">
        <f t="shared" si="11"/>
        <v>11.449074074074074</v>
      </c>
      <c r="Z18" s="1">
        <f t="shared" si="7"/>
        <v>11000</v>
      </c>
      <c r="AA18" s="1">
        <f t="shared" si="8"/>
        <v>1</v>
      </c>
      <c r="AB18" s="1">
        <f t="shared" si="8"/>
        <v>1</v>
      </c>
      <c r="AC18" s="1">
        <f t="shared" si="8"/>
        <v>1</v>
      </c>
      <c r="AD18" s="1">
        <f t="shared" si="8"/>
        <v>1</v>
      </c>
    </row>
    <row r="19" spans="2:30" x14ac:dyDescent="0.35">
      <c r="B19">
        <v>1</v>
      </c>
      <c r="C19">
        <v>1</v>
      </c>
      <c r="D19">
        <v>101</v>
      </c>
      <c r="E19" t="str">
        <f t="shared" ref="E19:E27" si="13">INDEX(item_name,MATCH(D19,item_id,0))</f>
        <v>金币</v>
      </c>
      <c r="F19">
        <v>1</v>
      </c>
      <c r="G19" s="8">
        <f t="shared" ref="G19:G27" si="14">INDEX(item_cost_mf,MATCH($D19,item_id,0),$C$12)*F19</f>
        <v>1</v>
      </c>
      <c r="H19" s="8">
        <f t="shared" ref="H19:H27" si="15">SUMIF($B$19:$B$27,B19,$G$19:$G$27)</f>
        <v>3.0416666666666665</v>
      </c>
      <c r="I19" s="5"/>
      <c r="J19" s="7">
        <v>12</v>
      </c>
      <c r="K19" s="1">
        <f t="shared" si="4"/>
        <v>297</v>
      </c>
      <c r="L19" s="1">
        <f t="shared" si="5"/>
        <v>2750</v>
      </c>
      <c r="M19" s="1">
        <f t="shared" si="9"/>
        <v>3</v>
      </c>
      <c r="N19" s="8">
        <f t="shared" si="10"/>
        <v>4.1325757575757569</v>
      </c>
      <c r="O19" s="1" t="str">
        <f t="shared" si="12"/>
        <v/>
      </c>
      <c r="P19" s="1" t="str">
        <f t="shared" si="12"/>
        <v/>
      </c>
      <c r="Q19" s="1" t="str">
        <f t="shared" si="12"/>
        <v/>
      </c>
      <c r="R19" s="1" t="str">
        <f t="shared" si="12"/>
        <v/>
      </c>
      <c r="S19" s="1" t="str">
        <f t="shared" si="12"/>
        <v/>
      </c>
      <c r="T19" s="1" t="str">
        <f t="shared" si="12"/>
        <v/>
      </c>
      <c r="U19" s="1">
        <f t="shared" si="12"/>
        <v>3000</v>
      </c>
      <c r="V19" s="1">
        <f t="shared" si="12"/>
        <v>1</v>
      </c>
      <c r="W19" s="1">
        <f t="shared" si="12"/>
        <v>1</v>
      </c>
      <c r="Y19" s="8">
        <f t="shared" si="11"/>
        <v>11.375</v>
      </c>
      <c r="Z19" s="1">
        <f t="shared" si="7"/>
        <v>11000</v>
      </c>
      <c r="AA19" s="1">
        <f t="shared" si="8"/>
        <v>1</v>
      </c>
      <c r="AB19" s="1">
        <f t="shared" si="8"/>
        <v>1</v>
      </c>
      <c r="AC19" s="1">
        <f t="shared" si="8"/>
        <v>1</v>
      </c>
      <c r="AD19" s="1">
        <f t="shared" si="8"/>
        <v>1</v>
      </c>
    </row>
    <row r="20" spans="2:30" x14ac:dyDescent="0.35">
      <c r="B20">
        <v>1</v>
      </c>
      <c r="C20">
        <v>2</v>
      </c>
      <c r="D20">
        <v>201</v>
      </c>
      <c r="E20" t="str">
        <f t="shared" si="13"/>
        <v>开局-消三张</v>
      </c>
      <c r="F20">
        <v>1</v>
      </c>
      <c r="G20" s="8">
        <f t="shared" si="14"/>
        <v>1.6666666666666665</v>
      </c>
      <c r="H20" s="8">
        <f t="shared" si="15"/>
        <v>3.0416666666666665</v>
      </c>
      <c r="I20" s="1"/>
      <c r="J20" s="7">
        <v>13</v>
      </c>
      <c r="K20" s="1">
        <f t="shared" si="4"/>
        <v>322</v>
      </c>
      <c r="L20" s="1">
        <f t="shared" si="5"/>
        <v>2800</v>
      </c>
      <c r="M20" s="1">
        <f t="shared" si="9"/>
        <v>1</v>
      </c>
      <c r="N20" s="8">
        <f t="shared" si="10"/>
        <v>3.1130952380952377</v>
      </c>
      <c r="O20" s="1">
        <f t="shared" si="12"/>
        <v>3000</v>
      </c>
      <c r="P20" s="1">
        <f t="shared" si="12"/>
        <v>1</v>
      </c>
      <c r="Q20" s="1">
        <f t="shared" si="12"/>
        <v>1</v>
      </c>
      <c r="R20" s="1" t="str">
        <f t="shared" si="12"/>
        <v/>
      </c>
      <c r="S20" s="1" t="str">
        <f t="shared" si="12"/>
        <v/>
      </c>
      <c r="T20" s="1" t="str">
        <f t="shared" si="12"/>
        <v/>
      </c>
      <c r="U20" s="1" t="str">
        <f t="shared" si="12"/>
        <v/>
      </c>
      <c r="V20" s="1" t="str">
        <f t="shared" si="12"/>
        <v/>
      </c>
      <c r="W20" s="1" t="str">
        <f t="shared" si="12"/>
        <v/>
      </c>
      <c r="Y20" s="8">
        <f t="shared" si="11"/>
        <v>11.660714285714285</v>
      </c>
      <c r="Z20" s="1">
        <f t="shared" si="7"/>
        <v>12000</v>
      </c>
      <c r="AA20" s="1">
        <f t="shared" si="8"/>
        <v>1</v>
      </c>
      <c r="AB20" s="1">
        <f t="shared" si="8"/>
        <v>1</v>
      </c>
      <c r="AC20" s="1">
        <f t="shared" si="8"/>
        <v>1</v>
      </c>
      <c r="AD20" s="1">
        <f t="shared" si="8"/>
        <v>1</v>
      </c>
    </row>
    <row r="21" spans="2:30" x14ac:dyDescent="0.35">
      <c r="B21">
        <v>1</v>
      </c>
      <c r="C21">
        <v>3</v>
      </c>
      <c r="D21">
        <v>301</v>
      </c>
      <c r="E21" t="str">
        <f t="shared" si="13"/>
        <v>回退</v>
      </c>
      <c r="F21">
        <v>1</v>
      </c>
      <c r="G21" s="8">
        <f t="shared" si="14"/>
        <v>0.375</v>
      </c>
      <c r="H21" s="8">
        <f t="shared" si="15"/>
        <v>3.0416666666666665</v>
      </c>
      <c r="I21" s="1"/>
      <c r="J21" s="7">
        <v>14</v>
      </c>
      <c r="K21" s="1">
        <f t="shared" si="4"/>
        <v>347</v>
      </c>
      <c r="L21" s="1">
        <f t="shared" si="5"/>
        <v>2850</v>
      </c>
      <c r="M21" s="1">
        <f t="shared" si="9"/>
        <v>2</v>
      </c>
      <c r="N21" s="8">
        <f t="shared" si="10"/>
        <v>3.4276315789473686</v>
      </c>
      <c r="O21" s="1" t="str">
        <f t="shared" si="12"/>
        <v/>
      </c>
      <c r="P21" s="1" t="str">
        <f t="shared" si="12"/>
        <v/>
      </c>
      <c r="Q21" s="1" t="str">
        <f t="shared" si="12"/>
        <v/>
      </c>
      <c r="R21" s="1">
        <f t="shared" si="12"/>
        <v>3000</v>
      </c>
      <c r="S21" s="1">
        <f t="shared" si="12"/>
        <v>1</v>
      </c>
      <c r="T21" s="1">
        <f t="shared" si="12"/>
        <v>1</v>
      </c>
      <c r="U21" s="1" t="str">
        <f t="shared" si="12"/>
        <v/>
      </c>
      <c r="V21" s="1" t="str">
        <f t="shared" si="12"/>
        <v/>
      </c>
      <c r="W21" s="1" t="str">
        <f t="shared" si="12"/>
        <v/>
      </c>
      <c r="Y21" s="8">
        <f t="shared" si="11"/>
        <v>11.585526315789473</v>
      </c>
      <c r="Z21" s="1">
        <f t="shared" si="7"/>
        <v>12000</v>
      </c>
      <c r="AA21" s="1">
        <f t="shared" si="8"/>
        <v>1</v>
      </c>
      <c r="AB21" s="1">
        <f t="shared" si="8"/>
        <v>1</v>
      </c>
      <c r="AC21" s="1">
        <f t="shared" si="8"/>
        <v>1</v>
      </c>
      <c r="AD21" s="1">
        <f t="shared" si="8"/>
        <v>1</v>
      </c>
    </row>
    <row r="22" spans="2:30" x14ac:dyDescent="0.35">
      <c r="B22">
        <v>2</v>
      </c>
      <c r="C22">
        <v>1</v>
      </c>
      <c r="D22">
        <v>101</v>
      </c>
      <c r="E22" t="str">
        <f t="shared" si="13"/>
        <v>金币</v>
      </c>
      <c r="F22">
        <v>1</v>
      </c>
      <c r="G22" s="8">
        <f t="shared" si="14"/>
        <v>1</v>
      </c>
      <c r="H22" s="8">
        <f t="shared" si="15"/>
        <v>3.375</v>
      </c>
      <c r="J22" s="7">
        <v>15</v>
      </c>
      <c r="K22" s="1">
        <f t="shared" si="4"/>
        <v>372</v>
      </c>
      <c r="L22" s="1">
        <f t="shared" si="5"/>
        <v>2900</v>
      </c>
      <c r="M22" s="1">
        <f t="shared" si="9"/>
        <v>3</v>
      </c>
      <c r="N22" s="8">
        <f t="shared" si="10"/>
        <v>4.0761494252873556</v>
      </c>
      <c r="O22" s="1" t="str">
        <f t="shared" si="12"/>
        <v/>
      </c>
      <c r="P22" s="1" t="str">
        <f t="shared" si="12"/>
        <v/>
      </c>
      <c r="Q22" s="1" t="str">
        <f t="shared" si="12"/>
        <v/>
      </c>
      <c r="R22" s="1" t="str">
        <f t="shared" si="12"/>
        <v/>
      </c>
      <c r="S22" s="1" t="str">
        <f t="shared" si="12"/>
        <v/>
      </c>
      <c r="T22" s="1" t="str">
        <f t="shared" si="12"/>
        <v/>
      </c>
      <c r="U22" s="1">
        <f t="shared" si="12"/>
        <v>3000</v>
      </c>
      <c r="V22" s="1">
        <f t="shared" si="12"/>
        <v>1</v>
      </c>
      <c r="W22" s="1">
        <f t="shared" si="12"/>
        <v>1</v>
      </c>
      <c r="Y22" s="8">
        <f t="shared" si="11"/>
        <v>11.512931034482758</v>
      </c>
      <c r="Z22" s="1">
        <f t="shared" si="7"/>
        <v>12000</v>
      </c>
      <c r="AA22" s="1">
        <f t="shared" si="8"/>
        <v>1</v>
      </c>
      <c r="AB22" s="1">
        <f t="shared" si="8"/>
        <v>1</v>
      </c>
      <c r="AC22" s="1">
        <f t="shared" si="8"/>
        <v>1</v>
      </c>
      <c r="AD22" s="1">
        <f t="shared" si="8"/>
        <v>1</v>
      </c>
    </row>
    <row r="23" spans="2:30" x14ac:dyDescent="0.35">
      <c r="B23">
        <v>2</v>
      </c>
      <c r="C23">
        <v>2</v>
      </c>
      <c r="D23">
        <v>202</v>
      </c>
      <c r="E23" t="str">
        <f t="shared" si="13"/>
        <v>开局-全清</v>
      </c>
      <c r="F23">
        <v>1</v>
      </c>
      <c r="G23" s="8">
        <f t="shared" si="14"/>
        <v>2</v>
      </c>
      <c r="H23" s="8">
        <f t="shared" si="15"/>
        <v>3.375</v>
      </c>
      <c r="J23" s="7">
        <v>16</v>
      </c>
      <c r="K23" s="1">
        <f t="shared" si="4"/>
        <v>397</v>
      </c>
      <c r="L23" s="1">
        <f t="shared" si="5"/>
        <v>2950</v>
      </c>
      <c r="M23" s="1">
        <f t="shared" si="9"/>
        <v>1</v>
      </c>
      <c r="N23" s="8">
        <f t="shared" si="10"/>
        <v>3.0586158192090394</v>
      </c>
      <c r="O23" s="1">
        <f t="shared" si="12"/>
        <v>3000</v>
      </c>
      <c r="P23" s="1">
        <f t="shared" si="12"/>
        <v>1</v>
      </c>
      <c r="Q23" s="1">
        <f t="shared" si="12"/>
        <v>1</v>
      </c>
      <c r="R23" s="1" t="str">
        <f t="shared" si="12"/>
        <v/>
      </c>
      <c r="S23" s="1" t="str">
        <f t="shared" si="12"/>
        <v/>
      </c>
      <c r="T23" s="1" t="str">
        <f t="shared" si="12"/>
        <v/>
      </c>
      <c r="U23" s="1" t="str">
        <f t="shared" si="12"/>
        <v/>
      </c>
      <c r="V23" s="1" t="str">
        <f t="shared" si="12"/>
        <v/>
      </c>
      <c r="W23" s="1" t="str">
        <f t="shared" si="12"/>
        <v/>
      </c>
      <c r="Y23" s="8">
        <f t="shared" si="11"/>
        <v>11.442796610169491</v>
      </c>
      <c r="Z23" s="1">
        <f t="shared" si="7"/>
        <v>12000</v>
      </c>
      <c r="AA23" s="1">
        <f t="shared" si="8"/>
        <v>1</v>
      </c>
      <c r="AB23" s="1">
        <f t="shared" si="8"/>
        <v>1</v>
      </c>
      <c r="AC23" s="1">
        <f t="shared" si="8"/>
        <v>1</v>
      </c>
      <c r="AD23" s="1">
        <f t="shared" si="8"/>
        <v>1</v>
      </c>
    </row>
    <row r="24" spans="2:30" x14ac:dyDescent="0.35">
      <c r="B24">
        <v>2</v>
      </c>
      <c r="C24">
        <v>3</v>
      </c>
      <c r="D24">
        <v>301</v>
      </c>
      <c r="E24" t="str">
        <f t="shared" si="13"/>
        <v>回退</v>
      </c>
      <c r="F24">
        <v>1</v>
      </c>
      <c r="G24" s="8">
        <f t="shared" si="14"/>
        <v>0.375</v>
      </c>
      <c r="H24" s="8">
        <f t="shared" si="15"/>
        <v>3.375</v>
      </c>
      <c r="J24" s="7">
        <v>17</v>
      </c>
      <c r="K24" s="1">
        <f t="shared" si="4"/>
        <v>422</v>
      </c>
      <c r="L24" s="1">
        <f t="shared" si="5"/>
        <v>3000</v>
      </c>
      <c r="M24" s="1">
        <f t="shared" si="9"/>
        <v>2</v>
      </c>
      <c r="N24" s="8">
        <f t="shared" si="10"/>
        <v>3.375</v>
      </c>
      <c r="O24" s="1" t="str">
        <f t="shared" si="12"/>
        <v/>
      </c>
      <c r="P24" s="1" t="str">
        <f t="shared" si="12"/>
        <v/>
      </c>
      <c r="Q24" s="1" t="str">
        <f t="shared" si="12"/>
        <v/>
      </c>
      <c r="R24" s="1">
        <f t="shared" si="12"/>
        <v>3000</v>
      </c>
      <c r="S24" s="1">
        <f t="shared" si="12"/>
        <v>1</v>
      </c>
      <c r="T24" s="1">
        <f t="shared" si="12"/>
        <v>1</v>
      </c>
      <c r="U24" s="1" t="str">
        <f t="shared" si="12"/>
        <v/>
      </c>
      <c r="V24" s="1" t="str">
        <f t="shared" si="12"/>
        <v/>
      </c>
      <c r="W24" s="1" t="str">
        <f t="shared" si="12"/>
        <v/>
      </c>
      <c r="Y24" s="8">
        <f t="shared" si="11"/>
        <v>11.375</v>
      </c>
      <c r="Z24" s="1">
        <f t="shared" si="7"/>
        <v>12000</v>
      </c>
      <c r="AA24" s="1">
        <f t="shared" si="8"/>
        <v>1</v>
      </c>
      <c r="AB24" s="1">
        <f t="shared" si="8"/>
        <v>1</v>
      </c>
      <c r="AC24" s="1">
        <f t="shared" si="8"/>
        <v>1</v>
      </c>
      <c r="AD24" s="1">
        <f t="shared" si="8"/>
        <v>1</v>
      </c>
    </row>
    <row r="25" spans="2:30" x14ac:dyDescent="0.35">
      <c r="B25">
        <v>3</v>
      </c>
      <c r="C25">
        <v>1</v>
      </c>
      <c r="D25">
        <v>101</v>
      </c>
      <c r="E25" t="str">
        <f t="shared" si="13"/>
        <v>金币</v>
      </c>
      <c r="F25">
        <v>1</v>
      </c>
      <c r="G25" s="8">
        <f t="shared" si="14"/>
        <v>1</v>
      </c>
      <c r="H25" s="8">
        <f t="shared" si="15"/>
        <v>4.0416666666666661</v>
      </c>
      <c r="J25" s="7">
        <v>18</v>
      </c>
      <c r="K25" s="1">
        <f t="shared" si="4"/>
        <v>447</v>
      </c>
      <c r="L25" s="1">
        <f t="shared" si="5"/>
        <v>3050</v>
      </c>
      <c r="M25" s="1">
        <f t="shared" si="9"/>
        <v>3</v>
      </c>
      <c r="N25" s="8">
        <f t="shared" si="10"/>
        <v>4.1892076502732234</v>
      </c>
      <c r="O25" s="1" t="str">
        <f t="shared" si="12"/>
        <v/>
      </c>
      <c r="P25" s="1" t="str">
        <f t="shared" si="12"/>
        <v/>
      </c>
      <c r="Q25" s="1" t="str">
        <f t="shared" si="12"/>
        <v/>
      </c>
      <c r="R25" s="1" t="str">
        <f t="shared" si="12"/>
        <v/>
      </c>
      <c r="S25" s="1" t="str">
        <f t="shared" si="12"/>
        <v/>
      </c>
      <c r="T25" s="1" t="str">
        <f t="shared" si="12"/>
        <v/>
      </c>
      <c r="U25" s="1">
        <f t="shared" si="12"/>
        <v>3500</v>
      </c>
      <c r="V25" s="1">
        <f t="shared" si="12"/>
        <v>1</v>
      </c>
      <c r="W25" s="1">
        <f t="shared" si="12"/>
        <v>1</v>
      </c>
      <c r="Y25" s="8">
        <f t="shared" si="11"/>
        <v>11.637295081967213</v>
      </c>
      <c r="Z25" s="1">
        <f t="shared" si="7"/>
        <v>13000</v>
      </c>
      <c r="AA25" s="1">
        <f t="shared" si="8"/>
        <v>1</v>
      </c>
      <c r="AB25" s="1">
        <f t="shared" si="8"/>
        <v>1</v>
      </c>
      <c r="AC25" s="1">
        <f t="shared" si="8"/>
        <v>1</v>
      </c>
      <c r="AD25" s="1">
        <f t="shared" si="8"/>
        <v>1</v>
      </c>
    </row>
    <row r="26" spans="2:30" x14ac:dyDescent="0.35">
      <c r="B26">
        <v>3</v>
      </c>
      <c r="C26">
        <v>2</v>
      </c>
      <c r="D26">
        <v>203</v>
      </c>
      <c r="E26" t="str">
        <f t="shared" si="13"/>
        <v>开局-万能牌</v>
      </c>
      <c r="F26">
        <v>1</v>
      </c>
      <c r="G26" s="8">
        <f t="shared" si="14"/>
        <v>2.6666666666666665</v>
      </c>
      <c r="H26" s="8">
        <f t="shared" si="15"/>
        <v>4.0416666666666661</v>
      </c>
      <c r="J26" s="7">
        <v>19</v>
      </c>
      <c r="K26" s="1">
        <f t="shared" si="4"/>
        <v>472</v>
      </c>
      <c r="L26" s="1">
        <f t="shared" si="5"/>
        <v>3100</v>
      </c>
      <c r="M26" s="1">
        <f t="shared" si="9"/>
        <v>1</v>
      </c>
      <c r="N26" s="8">
        <f t="shared" si="10"/>
        <v>3.1706989247311825</v>
      </c>
      <c r="O26" s="1">
        <f t="shared" si="12"/>
        <v>3500</v>
      </c>
      <c r="P26" s="1">
        <f t="shared" si="12"/>
        <v>1</v>
      </c>
      <c r="Q26" s="1">
        <f t="shared" si="12"/>
        <v>1</v>
      </c>
      <c r="R26" s="1" t="str">
        <f t="shared" si="12"/>
        <v/>
      </c>
      <c r="S26" s="1" t="str">
        <f t="shared" si="12"/>
        <v/>
      </c>
      <c r="T26" s="1" t="str">
        <f t="shared" si="12"/>
        <v/>
      </c>
      <c r="U26" s="1" t="str">
        <f t="shared" si="12"/>
        <v/>
      </c>
      <c r="V26" s="1" t="str">
        <f t="shared" si="12"/>
        <v/>
      </c>
      <c r="W26" s="1" t="str">
        <f t="shared" si="12"/>
        <v/>
      </c>
      <c r="Y26" s="8">
        <f t="shared" si="11"/>
        <v>11.568548387096774</v>
      </c>
      <c r="Z26" s="1">
        <f t="shared" si="7"/>
        <v>13000</v>
      </c>
      <c r="AA26" s="1">
        <f t="shared" si="8"/>
        <v>1</v>
      </c>
      <c r="AB26" s="1">
        <f t="shared" si="8"/>
        <v>1</v>
      </c>
      <c r="AC26" s="1">
        <f t="shared" si="8"/>
        <v>1</v>
      </c>
      <c r="AD26" s="1">
        <f t="shared" si="8"/>
        <v>1</v>
      </c>
    </row>
    <row r="27" spans="2:30" x14ac:dyDescent="0.35">
      <c r="B27">
        <v>3</v>
      </c>
      <c r="C27">
        <v>3</v>
      </c>
      <c r="D27">
        <v>301</v>
      </c>
      <c r="E27" t="str">
        <f t="shared" si="13"/>
        <v>回退</v>
      </c>
      <c r="F27">
        <v>1</v>
      </c>
      <c r="G27" s="8">
        <f t="shared" si="14"/>
        <v>0.375</v>
      </c>
      <c r="H27" s="8">
        <f t="shared" si="15"/>
        <v>4.0416666666666661</v>
      </c>
      <c r="J27" s="7">
        <v>20</v>
      </c>
      <c r="K27" s="1">
        <f t="shared" si="4"/>
        <v>497</v>
      </c>
      <c r="L27" s="1">
        <f t="shared" si="5"/>
        <v>3150</v>
      </c>
      <c r="M27" s="1">
        <f t="shared" si="9"/>
        <v>2</v>
      </c>
      <c r="N27" s="8">
        <f t="shared" si="10"/>
        <v>3.4861111111111112</v>
      </c>
      <c r="O27" s="1" t="str">
        <f t="shared" si="12"/>
        <v/>
      </c>
      <c r="P27" s="1" t="str">
        <f t="shared" si="12"/>
        <v/>
      </c>
      <c r="Q27" s="1" t="str">
        <f t="shared" si="12"/>
        <v/>
      </c>
      <c r="R27" s="1">
        <f t="shared" si="12"/>
        <v>3500</v>
      </c>
      <c r="S27" s="1">
        <f t="shared" si="12"/>
        <v>1</v>
      </c>
      <c r="T27" s="1">
        <f t="shared" si="12"/>
        <v>1</v>
      </c>
      <c r="U27" s="1" t="str">
        <f t="shared" si="12"/>
        <v/>
      </c>
      <c r="V27" s="1" t="str">
        <f t="shared" si="12"/>
        <v/>
      </c>
      <c r="W27" s="1" t="str">
        <f t="shared" si="12"/>
        <v/>
      </c>
      <c r="Y27" s="8">
        <f t="shared" si="11"/>
        <v>11.501984126984127</v>
      </c>
      <c r="Z27" s="1">
        <f t="shared" si="7"/>
        <v>13000</v>
      </c>
      <c r="AA27" s="1">
        <f t="shared" si="8"/>
        <v>1</v>
      </c>
      <c r="AB27" s="1">
        <f t="shared" si="8"/>
        <v>1</v>
      </c>
      <c r="AC27" s="1">
        <f t="shared" si="8"/>
        <v>1</v>
      </c>
      <c r="AD27" s="1">
        <f t="shared" si="8"/>
        <v>1</v>
      </c>
    </row>
    <row r="28" spans="2:30" x14ac:dyDescent="0.35">
      <c r="J28" s="7">
        <v>21</v>
      </c>
      <c r="K28" s="1">
        <f t="shared" si="4"/>
        <v>522</v>
      </c>
      <c r="L28" s="1">
        <f t="shared" si="5"/>
        <v>3200</v>
      </c>
      <c r="M28" s="1">
        <f t="shared" si="9"/>
        <v>3</v>
      </c>
      <c r="N28" s="8">
        <f t="shared" si="10"/>
        <v>4.1354166666666661</v>
      </c>
      <c r="O28" s="1" t="str">
        <f t="shared" ref="O28:W37" si="16">IF(O$2=$M28,IF(O$5=$D$19,_xlfn.CEILING.MATH($L28*INDEX($F$19:$F$27,O$3),500),INDEX($F$19:$F$27,O$3)),"")</f>
        <v/>
      </c>
      <c r="P28" s="1" t="str">
        <f t="shared" si="16"/>
        <v/>
      </c>
      <c r="Q28" s="1" t="str">
        <f t="shared" si="16"/>
        <v/>
      </c>
      <c r="R28" s="1" t="str">
        <f t="shared" si="16"/>
        <v/>
      </c>
      <c r="S28" s="1" t="str">
        <f t="shared" si="16"/>
        <v/>
      </c>
      <c r="T28" s="1" t="str">
        <f t="shared" si="16"/>
        <v/>
      </c>
      <c r="U28" s="1">
        <f t="shared" si="16"/>
        <v>3500</v>
      </c>
      <c r="V28" s="1">
        <f t="shared" si="16"/>
        <v>1</v>
      </c>
      <c r="W28" s="1">
        <f t="shared" si="16"/>
        <v>1</v>
      </c>
      <c r="Y28" s="8">
        <f t="shared" si="11"/>
        <v>11.4375</v>
      </c>
      <c r="Z28" s="1">
        <f t="shared" si="7"/>
        <v>13000</v>
      </c>
      <c r="AA28" s="1">
        <f t="shared" ref="AA28:AD47" si="17">IF(AA$5=$D$37,_xlfn.CEILING.MATH($L28*INDEX($F$37:$F$41,AA$2),500),INDEX($F$37:$F$41,AA$2))</f>
        <v>1</v>
      </c>
      <c r="AB28" s="1">
        <f t="shared" si="17"/>
        <v>1</v>
      </c>
      <c r="AC28" s="1">
        <f t="shared" si="17"/>
        <v>1</v>
      </c>
      <c r="AD28" s="1">
        <f t="shared" si="17"/>
        <v>1</v>
      </c>
    </row>
    <row r="29" spans="2:30" x14ac:dyDescent="0.35">
      <c r="B29" s="2"/>
      <c r="C29" s="5"/>
      <c r="D29" s="1"/>
      <c r="F29" s="1"/>
      <c r="J29" s="7">
        <v>22</v>
      </c>
      <c r="K29" s="1">
        <f t="shared" si="4"/>
        <v>547</v>
      </c>
      <c r="L29" s="1">
        <f t="shared" si="5"/>
        <v>3250</v>
      </c>
      <c r="M29" s="1">
        <f t="shared" si="9"/>
        <v>1</v>
      </c>
      <c r="N29" s="8">
        <f t="shared" si="10"/>
        <v>3.1185897435897436</v>
      </c>
      <c r="O29" s="1">
        <f t="shared" si="16"/>
        <v>3500</v>
      </c>
      <c r="P29" s="1">
        <f t="shared" si="16"/>
        <v>1</v>
      </c>
      <c r="Q29" s="1">
        <f t="shared" si="16"/>
        <v>1</v>
      </c>
      <c r="R29" s="1" t="str">
        <f t="shared" si="16"/>
        <v/>
      </c>
      <c r="S29" s="1" t="str">
        <f t="shared" si="16"/>
        <v/>
      </c>
      <c r="T29" s="1" t="str">
        <f t="shared" si="16"/>
        <v/>
      </c>
      <c r="U29" s="1" t="str">
        <f t="shared" si="16"/>
        <v/>
      </c>
      <c r="V29" s="1" t="str">
        <f t="shared" si="16"/>
        <v/>
      </c>
      <c r="W29" s="1" t="str">
        <f t="shared" si="16"/>
        <v/>
      </c>
      <c r="Y29" s="8">
        <f t="shared" si="11"/>
        <v>11.375</v>
      </c>
      <c r="Z29" s="1">
        <f t="shared" si="7"/>
        <v>13000</v>
      </c>
      <c r="AA29" s="1">
        <f t="shared" si="17"/>
        <v>1</v>
      </c>
      <c r="AB29" s="1">
        <f t="shared" si="17"/>
        <v>1</v>
      </c>
      <c r="AC29" s="1">
        <f t="shared" si="17"/>
        <v>1</v>
      </c>
      <c r="AD29" s="1">
        <f t="shared" si="17"/>
        <v>1</v>
      </c>
    </row>
    <row r="30" spans="2:30" x14ac:dyDescent="0.35">
      <c r="B30" s="2"/>
      <c r="C30" s="5"/>
      <c r="D30" s="1"/>
      <c r="F30" s="1"/>
      <c r="J30" s="7">
        <v>23</v>
      </c>
      <c r="K30" s="1">
        <f t="shared" si="4"/>
        <v>572</v>
      </c>
      <c r="L30" s="1">
        <f t="shared" si="5"/>
        <v>3300</v>
      </c>
      <c r="M30" s="1">
        <f t="shared" si="9"/>
        <v>2</v>
      </c>
      <c r="N30" s="8">
        <f t="shared" si="10"/>
        <v>3.4356060606060606</v>
      </c>
      <c r="O30" s="1" t="str">
        <f t="shared" si="16"/>
        <v/>
      </c>
      <c r="P30" s="1" t="str">
        <f t="shared" si="16"/>
        <v/>
      </c>
      <c r="Q30" s="1" t="str">
        <f t="shared" si="16"/>
        <v/>
      </c>
      <c r="R30" s="1">
        <f t="shared" si="16"/>
        <v>3500</v>
      </c>
      <c r="S30" s="1">
        <f t="shared" si="16"/>
        <v>1</v>
      </c>
      <c r="T30" s="1">
        <f t="shared" si="16"/>
        <v>1</v>
      </c>
      <c r="U30" s="1" t="str">
        <f t="shared" si="16"/>
        <v/>
      </c>
      <c r="V30" s="1" t="str">
        <f t="shared" si="16"/>
        <v/>
      </c>
      <c r="W30" s="1" t="str">
        <f t="shared" si="16"/>
        <v/>
      </c>
      <c r="Y30" s="8">
        <f t="shared" si="11"/>
        <v>11.617424242424242</v>
      </c>
      <c r="Z30" s="1">
        <f t="shared" si="7"/>
        <v>14000</v>
      </c>
      <c r="AA30" s="1">
        <f t="shared" si="17"/>
        <v>1</v>
      </c>
      <c r="AB30" s="1">
        <f t="shared" si="17"/>
        <v>1</v>
      </c>
      <c r="AC30" s="1">
        <f t="shared" si="17"/>
        <v>1</v>
      </c>
      <c r="AD30" s="1">
        <f t="shared" si="17"/>
        <v>1</v>
      </c>
    </row>
    <row r="31" spans="2:30" x14ac:dyDescent="0.35">
      <c r="B31" s="17" t="s">
        <v>193</v>
      </c>
      <c r="C31" s="5"/>
      <c r="D31" s="1"/>
      <c r="F31" s="1"/>
      <c r="J31" s="7">
        <v>24</v>
      </c>
      <c r="K31" s="1">
        <f t="shared" si="4"/>
        <v>597</v>
      </c>
      <c r="L31" s="1">
        <f t="shared" si="5"/>
        <v>3350</v>
      </c>
      <c r="M31" s="1">
        <f t="shared" si="9"/>
        <v>3</v>
      </c>
      <c r="N31" s="8">
        <f t="shared" si="10"/>
        <v>4.0864427860696511</v>
      </c>
      <c r="O31" s="1" t="str">
        <f t="shared" si="16"/>
        <v/>
      </c>
      <c r="P31" s="1" t="str">
        <f t="shared" si="16"/>
        <v/>
      </c>
      <c r="Q31" s="1" t="str">
        <f t="shared" si="16"/>
        <v/>
      </c>
      <c r="R31" s="1" t="str">
        <f t="shared" si="16"/>
        <v/>
      </c>
      <c r="S31" s="1" t="str">
        <f t="shared" si="16"/>
        <v/>
      </c>
      <c r="T31" s="1" t="str">
        <f t="shared" si="16"/>
        <v/>
      </c>
      <c r="U31" s="1">
        <f t="shared" si="16"/>
        <v>3500</v>
      </c>
      <c r="V31" s="1">
        <f t="shared" si="16"/>
        <v>1</v>
      </c>
      <c r="W31" s="1">
        <f t="shared" si="16"/>
        <v>1</v>
      </c>
      <c r="Y31" s="8">
        <f t="shared" si="11"/>
        <v>11.55410447761194</v>
      </c>
      <c r="Z31" s="1">
        <f t="shared" si="7"/>
        <v>14000</v>
      </c>
      <c r="AA31" s="1">
        <f t="shared" si="17"/>
        <v>1</v>
      </c>
      <c r="AB31" s="1">
        <f t="shared" si="17"/>
        <v>1</v>
      </c>
      <c r="AC31" s="1">
        <f t="shared" si="17"/>
        <v>1</v>
      </c>
      <c r="AD31" s="1">
        <f t="shared" si="17"/>
        <v>1</v>
      </c>
    </row>
    <row r="32" spans="2:30" x14ac:dyDescent="0.35">
      <c r="B32" t="s">
        <v>210</v>
      </c>
      <c r="C32" s="2">
        <v>10</v>
      </c>
      <c r="E32" s="13" t="s">
        <v>168</v>
      </c>
      <c r="F32" s="3">
        <v>0.99</v>
      </c>
      <c r="J32" s="7">
        <v>25</v>
      </c>
      <c r="K32" s="1">
        <f t="shared" si="4"/>
        <v>622</v>
      </c>
      <c r="L32" s="1">
        <f t="shared" si="5"/>
        <v>3400</v>
      </c>
      <c r="M32" s="1">
        <f t="shared" si="9"/>
        <v>1</v>
      </c>
      <c r="N32" s="8">
        <f t="shared" si="10"/>
        <v>3.0710784313725488</v>
      </c>
      <c r="O32" s="1">
        <f t="shared" si="16"/>
        <v>3500</v>
      </c>
      <c r="P32" s="1">
        <f t="shared" si="16"/>
        <v>1</v>
      </c>
      <c r="Q32" s="1">
        <f t="shared" si="16"/>
        <v>1</v>
      </c>
      <c r="R32" s="1" t="str">
        <f t="shared" si="16"/>
        <v/>
      </c>
      <c r="S32" s="1" t="str">
        <f t="shared" si="16"/>
        <v/>
      </c>
      <c r="T32" s="1" t="str">
        <f t="shared" si="16"/>
        <v/>
      </c>
      <c r="U32" s="1" t="str">
        <f t="shared" si="16"/>
        <v/>
      </c>
      <c r="V32" s="1" t="str">
        <f t="shared" si="16"/>
        <v/>
      </c>
      <c r="W32" s="1" t="str">
        <f t="shared" si="16"/>
        <v/>
      </c>
      <c r="Y32" s="8">
        <f t="shared" si="11"/>
        <v>11.492647058823529</v>
      </c>
      <c r="Z32" s="1">
        <f t="shared" si="7"/>
        <v>14000</v>
      </c>
      <c r="AA32" s="1">
        <f t="shared" si="17"/>
        <v>1</v>
      </c>
      <c r="AB32" s="1">
        <f t="shared" si="17"/>
        <v>1</v>
      </c>
      <c r="AC32" s="1">
        <f t="shared" si="17"/>
        <v>1</v>
      </c>
      <c r="AD32" s="1">
        <f t="shared" si="17"/>
        <v>1</v>
      </c>
    </row>
    <row r="33" spans="2:30" x14ac:dyDescent="0.35">
      <c r="B33" t="s">
        <v>213</v>
      </c>
      <c r="C33" s="1">
        <f>SUM(G37:G41)</f>
        <v>11.375</v>
      </c>
      <c r="E33" s="13" t="s">
        <v>171</v>
      </c>
      <c r="F33" s="8">
        <f>F32/(C33/离线奖励!$C$12)</f>
        <v>0.2610989010989011</v>
      </c>
      <c r="J33" s="7">
        <v>26</v>
      </c>
      <c r="K33" s="1">
        <f t="shared" si="4"/>
        <v>647</v>
      </c>
      <c r="L33" s="1">
        <f t="shared" si="5"/>
        <v>3450</v>
      </c>
      <c r="M33" s="1">
        <f t="shared" si="9"/>
        <v>2</v>
      </c>
      <c r="N33" s="8">
        <f t="shared" si="10"/>
        <v>3.3894927536231885</v>
      </c>
      <c r="O33" s="1" t="str">
        <f t="shared" si="16"/>
        <v/>
      </c>
      <c r="P33" s="1" t="str">
        <f t="shared" si="16"/>
        <v/>
      </c>
      <c r="Q33" s="1" t="str">
        <f t="shared" si="16"/>
        <v/>
      </c>
      <c r="R33" s="1">
        <f t="shared" si="16"/>
        <v>3500</v>
      </c>
      <c r="S33" s="1">
        <f t="shared" si="16"/>
        <v>1</v>
      </c>
      <c r="T33" s="1">
        <f t="shared" si="16"/>
        <v>1</v>
      </c>
      <c r="U33" s="1" t="str">
        <f t="shared" si="16"/>
        <v/>
      </c>
      <c r="V33" s="1" t="str">
        <f t="shared" si="16"/>
        <v/>
      </c>
      <c r="W33" s="1" t="str">
        <f t="shared" si="16"/>
        <v/>
      </c>
      <c r="Y33" s="8">
        <f t="shared" si="11"/>
        <v>11.432971014492754</v>
      </c>
      <c r="Z33" s="1">
        <f t="shared" si="7"/>
        <v>14000</v>
      </c>
      <c r="AA33" s="1">
        <f t="shared" si="17"/>
        <v>1</v>
      </c>
      <c r="AB33" s="1">
        <f t="shared" si="17"/>
        <v>1</v>
      </c>
      <c r="AC33" s="1">
        <f t="shared" si="17"/>
        <v>1</v>
      </c>
      <c r="AD33" s="1">
        <f t="shared" si="17"/>
        <v>1</v>
      </c>
    </row>
    <row r="34" spans="2:30" x14ac:dyDescent="0.35">
      <c r="B34" t="s">
        <v>214</v>
      </c>
      <c r="C34" s="8">
        <f>AVERAGE(Y8:Y120)</f>
        <v>11.504294892580392</v>
      </c>
      <c r="J34" s="7">
        <v>27</v>
      </c>
      <c r="K34" s="1">
        <f t="shared" si="4"/>
        <v>672</v>
      </c>
      <c r="L34" s="1">
        <f t="shared" si="5"/>
        <v>3500</v>
      </c>
      <c r="M34" s="1">
        <f t="shared" si="9"/>
        <v>3</v>
      </c>
      <c r="N34" s="8">
        <f t="shared" si="10"/>
        <v>4.0416666666666661</v>
      </c>
      <c r="O34" s="1" t="str">
        <f t="shared" si="16"/>
        <v/>
      </c>
      <c r="P34" s="1" t="str">
        <f t="shared" si="16"/>
        <v/>
      </c>
      <c r="Q34" s="1" t="str">
        <f t="shared" si="16"/>
        <v/>
      </c>
      <c r="R34" s="1" t="str">
        <f t="shared" si="16"/>
        <v/>
      </c>
      <c r="S34" s="1" t="str">
        <f t="shared" si="16"/>
        <v/>
      </c>
      <c r="T34" s="1" t="str">
        <f t="shared" si="16"/>
        <v/>
      </c>
      <c r="U34" s="1">
        <f t="shared" si="16"/>
        <v>3500</v>
      </c>
      <c r="V34" s="1">
        <f t="shared" si="16"/>
        <v>1</v>
      </c>
      <c r="W34" s="1">
        <f t="shared" si="16"/>
        <v>1</v>
      </c>
      <c r="Y34" s="8">
        <f t="shared" si="11"/>
        <v>11.375</v>
      </c>
      <c r="Z34" s="1">
        <f t="shared" si="7"/>
        <v>14000</v>
      </c>
      <c r="AA34" s="1">
        <f t="shared" si="17"/>
        <v>1</v>
      </c>
      <c r="AB34" s="1">
        <f t="shared" si="17"/>
        <v>1</v>
      </c>
      <c r="AC34" s="1">
        <f t="shared" si="17"/>
        <v>1</v>
      </c>
      <c r="AD34" s="1">
        <f t="shared" si="17"/>
        <v>1</v>
      </c>
    </row>
    <row r="35" spans="2:30" s="2" customFormat="1" x14ac:dyDescent="0.35">
      <c r="B35"/>
      <c r="J35" s="7">
        <v>28</v>
      </c>
      <c r="K35" s="1">
        <f t="shared" si="4"/>
        <v>697</v>
      </c>
      <c r="L35" s="1">
        <f t="shared" si="5"/>
        <v>3550</v>
      </c>
      <c r="M35" s="1">
        <f t="shared" si="9"/>
        <v>1</v>
      </c>
      <c r="N35" s="8">
        <f t="shared" si="10"/>
        <v>3.168427230046948</v>
      </c>
      <c r="O35" s="1">
        <f t="shared" si="16"/>
        <v>4000</v>
      </c>
      <c r="P35" s="1">
        <f t="shared" si="16"/>
        <v>1</v>
      </c>
      <c r="Q35" s="1">
        <f t="shared" si="16"/>
        <v>1</v>
      </c>
      <c r="R35" s="1" t="str">
        <f t="shared" si="16"/>
        <v/>
      </c>
      <c r="S35" s="1" t="str">
        <f t="shared" si="16"/>
        <v/>
      </c>
      <c r="T35" s="1" t="str">
        <f t="shared" si="16"/>
        <v/>
      </c>
      <c r="U35" s="1" t="str">
        <f t="shared" si="16"/>
        <v/>
      </c>
      <c r="V35" s="1" t="str">
        <f t="shared" si="16"/>
        <v/>
      </c>
      <c r="W35" s="1" t="str">
        <f t="shared" si="16"/>
        <v/>
      </c>
      <c r="X35" s="1"/>
      <c r="Y35" s="8">
        <f t="shared" si="11"/>
        <v>11.600352112676056</v>
      </c>
      <c r="Z35" s="1">
        <f t="shared" si="7"/>
        <v>15000</v>
      </c>
      <c r="AA35" s="1">
        <f t="shared" si="17"/>
        <v>1</v>
      </c>
      <c r="AB35" s="1">
        <f t="shared" si="17"/>
        <v>1</v>
      </c>
      <c r="AC35" s="1">
        <f t="shared" si="17"/>
        <v>1</v>
      </c>
      <c r="AD35" s="1">
        <f t="shared" si="17"/>
        <v>1</v>
      </c>
    </row>
    <row r="36" spans="2:30" s="2" customFormat="1" x14ac:dyDescent="0.35">
      <c r="B36"/>
      <c r="C36" s="13" t="s">
        <v>163</v>
      </c>
      <c r="D36" s="13" t="s">
        <v>160</v>
      </c>
      <c r="E36" s="13" t="s">
        <v>161</v>
      </c>
      <c r="F36" s="13" t="s">
        <v>158</v>
      </c>
      <c r="G36" s="13" t="s">
        <v>173</v>
      </c>
      <c r="H36"/>
      <c r="J36" s="7">
        <v>29</v>
      </c>
      <c r="K36" s="1">
        <f t="shared" si="4"/>
        <v>722</v>
      </c>
      <c r="L36" s="1">
        <f t="shared" si="5"/>
        <v>3600</v>
      </c>
      <c r="M36" s="1">
        <f t="shared" si="9"/>
        <v>2</v>
      </c>
      <c r="N36" s="8">
        <f t="shared" si="10"/>
        <v>3.4861111111111112</v>
      </c>
      <c r="O36" s="1" t="str">
        <f t="shared" si="16"/>
        <v/>
      </c>
      <c r="P36" s="1" t="str">
        <f t="shared" si="16"/>
        <v/>
      </c>
      <c r="Q36" s="1" t="str">
        <f t="shared" si="16"/>
        <v/>
      </c>
      <c r="R36" s="1">
        <f t="shared" si="16"/>
        <v>4000</v>
      </c>
      <c r="S36" s="1">
        <f t="shared" si="16"/>
        <v>1</v>
      </c>
      <c r="T36" s="1">
        <f t="shared" si="16"/>
        <v>1</v>
      </c>
      <c r="U36" s="1" t="str">
        <f t="shared" si="16"/>
        <v/>
      </c>
      <c r="V36" s="1" t="str">
        <f t="shared" si="16"/>
        <v/>
      </c>
      <c r="W36" s="1" t="str">
        <f t="shared" si="16"/>
        <v/>
      </c>
      <c r="X36" s="1"/>
      <c r="Y36" s="8">
        <f t="shared" si="11"/>
        <v>11.541666666666668</v>
      </c>
      <c r="Z36" s="1">
        <f t="shared" si="7"/>
        <v>15000</v>
      </c>
      <c r="AA36" s="1">
        <f t="shared" si="17"/>
        <v>1</v>
      </c>
      <c r="AB36" s="1">
        <f t="shared" si="17"/>
        <v>1</v>
      </c>
      <c r="AC36" s="1">
        <f t="shared" si="17"/>
        <v>1</v>
      </c>
      <c r="AD36" s="1">
        <f t="shared" si="17"/>
        <v>1</v>
      </c>
    </row>
    <row r="37" spans="2:30" s="2" customFormat="1" x14ac:dyDescent="0.35">
      <c r="C37">
        <v>1</v>
      </c>
      <c r="D37">
        <v>101</v>
      </c>
      <c r="E37" t="str">
        <f>INDEX(item_name,MATCH(D37,item_id,0))</f>
        <v>金币</v>
      </c>
      <c r="F37" s="2">
        <v>4</v>
      </c>
      <c r="G37" s="1">
        <f>INDEX(item_cost_mf,MATCH($D37,item_id,0),$C$12)*F37</f>
        <v>4</v>
      </c>
      <c r="J37" s="7">
        <v>30</v>
      </c>
      <c r="K37" s="1">
        <f t="shared" si="4"/>
        <v>747</v>
      </c>
      <c r="L37" s="1">
        <f t="shared" si="5"/>
        <v>3650</v>
      </c>
      <c r="M37" s="1">
        <f t="shared" si="9"/>
        <v>3</v>
      </c>
      <c r="N37" s="8">
        <f t="shared" si="10"/>
        <v>4.1375570776255701</v>
      </c>
      <c r="O37" s="1" t="str">
        <f t="shared" si="16"/>
        <v/>
      </c>
      <c r="P37" s="1" t="str">
        <f t="shared" si="16"/>
        <v/>
      </c>
      <c r="Q37" s="1" t="str">
        <f t="shared" si="16"/>
        <v/>
      </c>
      <c r="R37" s="1" t="str">
        <f t="shared" si="16"/>
        <v/>
      </c>
      <c r="S37" s="1" t="str">
        <f t="shared" si="16"/>
        <v/>
      </c>
      <c r="T37" s="1" t="str">
        <f t="shared" si="16"/>
        <v/>
      </c>
      <c r="U37" s="1">
        <f t="shared" si="16"/>
        <v>4000</v>
      </c>
      <c r="V37" s="1">
        <f t="shared" si="16"/>
        <v>1</v>
      </c>
      <c r="W37" s="1">
        <f t="shared" si="16"/>
        <v>1</v>
      </c>
      <c r="X37" s="1"/>
      <c r="Y37" s="8">
        <f t="shared" si="11"/>
        <v>11.484589041095891</v>
      </c>
      <c r="Z37" s="1">
        <f t="shared" si="7"/>
        <v>15000</v>
      </c>
      <c r="AA37" s="1">
        <f t="shared" si="17"/>
        <v>1</v>
      </c>
      <c r="AB37" s="1">
        <f t="shared" si="17"/>
        <v>1</v>
      </c>
      <c r="AC37" s="1">
        <f t="shared" si="17"/>
        <v>1</v>
      </c>
      <c r="AD37" s="1">
        <f t="shared" si="17"/>
        <v>1</v>
      </c>
    </row>
    <row r="38" spans="2:30" s="2" customFormat="1" x14ac:dyDescent="0.35">
      <c r="C38">
        <v>2</v>
      </c>
      <c r="D38">
        <v>302</v>
      </c>
      <c r="E38" t="str">
        <f>INDEX(item_name,MATCH(D38,item_id,0))</f>
        <v>加5张</v>
      </c>
      <c r="F38" s="2">
        <v>1</v>
      </c>
      <c r="G38" s="1">
        <f>INDEX(item_cost_mf,MATCH($D38,item_id,0),$C$12)*F38</f>
        <v>3</v>
      </c>
      <c r="J38" s="7">
        <v>31</v>
      </c>
      <c r="K38" s="1">
        <f t="shared" si="4"/>
        <v>772</v>
      </c>
      <c r="L38" s="1">
        <f t="shared" si="5"/>
        <v>3700</v>
      </c>
      <c r="M38" s="1">
        <f t="shared" si="9"/>
        <v>1</v>
      </c>
      <c r="N38" s="8">
        <f t="shared" si="10"/>
        <v>3.1227477477477477</v>
      </c>
      <c r="O38" s="1">
        <f t="shared" ref="O38:W47" si="18">IF(O$2=$M38,IF(O$5=$D$19,_xlfn.CEILING.MATH($L38*INDEX($F$19:$F$27,O$3),500),INDEX($F$19:$F$27,O$3)),"")</f>
        <v>4000</v>
      </c>
      <c r="P38" s="1">
        <f t="shared" si="18"/>
        <v>1</v>
      </c>
      <c r="Q38" s="1">
        <f t="shared" si="18"/>
        <v>1</v>
      </c>
      <c r="R38" s="1" t="str">
        <f t="shared" si="18"/>
        <v/>
      </c>
      <c r="S38" s="1" t="str">
        <f t="shared" si="18"/>
        <v/>
      </c>
      <c r="T38" s="1" t="str">
        <f t="shared" si="18"/>
        <v/>
      </c>
      <c r="U38" s="1" t="str">
        <f t="shared" si="18"/>
        <v/>
      </c>
      <c r="V38" s="1" t="str">
        <f t="shared" si="18"/>
        <v/>
      </c>
      <c r="W38" s="1" t="str">
        <f t="shared" si="18"/>
        <v/>
      </c>
      <c r="X38" s="1"/>
      <c r="Y38" s="8">
        <f t="shared" si="11"/>
        <v>11.429054054054054</v>
      </c>
      <c r="Z38" s="1">
        <f t="shared" si="7"/>
        <v>15000</v>
      </c>
      <c r="AA38" s="1">
        <f t="shared" si="17"/>
        <v>1</v>
      </c>
      <c r="AB38" s="1">
        <f t="shared" si="17"/>
        <v>1</v>
      </c>
      <c r="AC38" s="1">
        <f t="shared" si="17"/>
        <v>1</v>
      </c>
      <c r="AD38" s="1">
        <f t="shared" si="17"/>
        <v>1</v>
      </c>
    </row>
    <row r="39" spans="2:30" s="2" customFormat="1" x14ac:dyDescent="0.35">
      <c r="C39">
        <v>3</v>
      </c>
      <c r="D39">
        <v>401</v>
      </c>
      <c r="E39" t="str">
        <f>INDEX(item_name,MATCH(D39,item_id,0))</f>
        <v>免费挑战(1倍)</v>
      </c>
      <c r="F39" s="2">
        <v>1</v>
      </c>
      <c r="G39" s="1">
        <f>INDEX(item_cost_mf,MATCH($D39,item_id,0),$C$12)*F39</f>
        <v>1</v>
      </c>
      <c r="J39" s="7">
        <v>32</v>
      </c>
      <c r="K39" s="1">
        <f t="shared" si="4"/>
        <v>797</v>
      </c>
      <c r="L39" s="1">
        <f t="shared" si="5"/>
        <v>3750</v>
      </c>
      <c r="M39" s="1">
        <f t="shared" si="9"/>
        <v>2</v>
      </c>
      <c r="N39" s="8">
        <f t="shared" si="10"/>
        <v>3.4416666666666669</v>
      </c>
      <c r="O39" s="1" t="str">
        <f t="shared" si="18"/>
        <v/>
      </c>
      <c r="P39" s="1" t="str">
        <f t="shared" si="18"/>
        <v/>
      </c>
      <c r="Q39" s="1" t="str">
        <f t="shared" si="18"/>
        <v/>
      </c>
      <c r="R39" s="1">
        <f t="shared" si="18"/>
        <v>4000</v>
      </c>
      <c r="S39" s="1">
        <f t="shared" si="18"/>
        <v>1</v>
      </c>
      <c r="T39" s="1">
        <f t="shared" si="18"/>
        <v>1</v>
      </c>
      <c r="U39" s="1" t="str">
        <f t="shared" si="18"/>
        <v/>
      </c>
      <c r="V39" s="1" t="str">
        <f t="shared" si="18"/>
        <v/>
      </c>
      <c r="W39" s="1" t="str">
        <f t="shared" si="18"/>
        <v/>
      </c>
      <c r="X39" s="1"/>
      <c r="Y39" s="8">
        <f t="shared" si="11"/>
        <v>11.375</v>
      </c>
      <c r="Z39" s="1">
        <f t="shared" si="7"/>
        <v>15000</v>
      </c>
      <c r="AA39" s="1">
        <f t="shared" si="17"/>
        <v>1</v>
      </c>
      <c r="AB39" s="1">
        <f t="shared" si="17"/>
        <v>1</v>
      </c>
      <c r="AC39" s="1">
        <f t="shared" si="17"/>
        <v>1</v>
      </c>
      <c r="AD39" s="1">
        <f t="shared" si="17"/>
        <v>1</v>
      </c>
    </row>
    <row r="40" spans="2:30" s="2" customFormat="1" x14ac:dyDescent="0.35">
      <c r="C40">
        <v>4</v>
      </c>
      <c r="D40">
        <v>301</v>
      </c>
      <c r="E40" t="str">
        <f>INDEX(item_name,MATCH(D40,item_id,0))</f>
        <v>回退</v>
      </c>
      <c r="F40" s="2">
        <v>1</v>
      </c>
      <c r="G40" s="1">
        <f>INDEX(item_cost_mf,MATCH($D40,item_id,0),$C$12)*F40</f>
        <v>0.375</v>
      </c>
      <c r="J40" s="7">
        <v>33</v>
      </c>
      <c r="K40" s="1">
        <f t="shared" si="4"/>
        <v>822</v>
      </c>
      <c r="L40" s="1">
        <f t="shared" si="5"/>
        <v>3800</v>
      </c>
      <c r="M40" s="1">
        <f t="shared" si="9"/>
        <v>3</v>
      </c>
      <c r="N40" s="8">
        <f t="shared" si="10"/>
        <v>4.0942982456140351</v>
      </c>
      <c r="O40" s="1" t="str">
        <f t="shared" si="18"/>
        <v/>
      </c>
      <c r="P40" s="1" t="str">
        <f t="shared" si="18"/>
        <v/>
      </c>
      <c r="Q40" s="1" t="str">
        <f t="shared" si="18"/>
        <v/>
      </c>
      <c r="R40" s="1" t="str">
        <f t="shared" si="18"/>
        <v/>
      </c>
      <c r="S40" s="1" t="str">
        <f t="shared" si="18"/>
        <v/>
      </c>
      <c r="T40" s="1" t="str">
        <f t="shared" si="18"/>
        <v/>
      </c>
      <c r="U40" s="1">
        <f t="shared" si="18"/>
        <v>4000</v>
      </c>
      <c r="V40" s="1">
        <f t="shared" si="18"/>
        <v>1</v>
      </c>
      <c r="W40" s="1">
        <f t="shared" si="18"/>
        <v>1</v>
      </c>
      <c r="X40" s="1"/>
      <c r="Y40" s="8">
        <f t="shared" si="11"/>
        <v>11.585526315789473</v>
      </c>
      <c r="Z40" s="1">
        <f t="shared" si="7"/>
        <v>16000</v>
      </c>
      <c r="AA40" s="1">
        <f t="shared" si="17"/>
        <v>1</v>
      </c>
      <c r="AB40" s="1">
        <f t="shared" si="17"/>
        <v>1</v>
      </c>
      <c r="AC40" s="1">
        <f t="shared" si="17"/>
        <v>1</v>
      </c>
      <c r="AD40" s="1">
        <f t="shared" si="17"/>
        <v>1</v>
      </c>
    </row>
    <row r="41" spans="2:30" s="2" customFormat="1" x14ac:dyDescent="0.35">
      <c r="C41">
        <v>5</v>
      </c>
      <c r="D41">
        <v>303</v>
      </c>
      <c r="E41" t="str">
        <f>INDEX(item_name,MATCH(D41,item_id,0))</f>
        <v>万能牌</v>
      </c>
      <c r="F41" s="2">
        <v>1</v>
      </c>
      <c r="G41" s="1">
        <f>INDEX(item_cost_mf,MATCH($D41,item_id,0),$C$12)*F41</f>
        <v>3</v>
      </c>
      <c r="J41" s="7">
        <v>34</v>
      </c>
      <c r="K41" s="1">
        <f t="shared" si="4"/>
        <v>847</v>
      </c>
      <c r="L41" s="1">
        <f t="shared" si="5"/>
        <v>3850</v>
      </c>
      <c r="M41" s="1">
        <f t="shared" si="9"/>
        <v>1</v>
      </c>
      <c r="N41" s="8">
        <f t="shared" si="10"/>
        <v>3.0806277056277054</v>
      </c>
      <c r="O41" s="1">
        <f t="shared" si="18"/>
        <v>4000</v>
      </c>
      <c r="P41" s="1">
        <f t="shared" si="18"/>
        <v>1</v>
      </c>
      <c r="Q41" s="1">
        <f t="shared" si="18"/>
        <v>1</v>
      </c>
      <c r="R41" s="1" t="str">
        <f t="shared" si="18"/>
        <v/>
      </c>
      <c r="S41" s="1" t="str">
        <f t="shared" si="18"/>
        <v/>
      </c>
      <c r="T41" s="1" t="str">
        <f t="shared" si="18"/>
        <v/>
      </c>
      <c r="U41" s="1" t="str">
        <f t="shared" si="18"/>
        <v/>
      </c>
      <c r="V41" s="1" t="str">
        <f t="shared" si="18"/>
        <v/>
      </c>
      <c r="W41" s="1" t="str">
        <f t="shared" si="18"/>
        <v/>
      </c>
      <c r="X41" s="1"/>
      <c r="Y41" s="8">
        <f t="shared" si="11"/>
        <v>11.530844155844155</v>
      </c>
      <c r="Z41" s="1">
        <f t="shared" si="7"/>
        <v>16000</v>
      </c>
      <c r="AA41" s="1">
        <f t="shared" si="17"/>
        <v>1</v>
      </c>
      <c r="AB41" s="1">
        <f t="shared" si="17"/>
        <v>1</v>
      </c>
      <c r="AC41" s="1">
        <f t="shared" si="17"/>
        <v>1</v>
      </c>
      <c r="AD41" s="1">
        <f t="shared" si="17"/>
        <v>1</v>
      </c>
    </row>
    <row r="42" spans="2:30" s="2" customFormat="1" x14ac:dyDescent="0.35">
      <c r="D42" s="1"/>
      <c r="F42" s="1"/>
      <c r="J42" s="7">
        <v>35</v>
      </c>
      <c r="K42" s="1">
        <f t="shared" si="4"/>
        <v>872</v>
      </c>
      <c r="L42" s="1">
        <f t="shared" si="5"/>
        <v>3900</v>
      </c>
      <c r="M42" s="1">
        <f t="shared" si="9"/>
        <v>2</v>
      </c>
      <c r="N42" s="8">
        <f t="shared" si="10"/>
        <v>3.4006410256410255</v>
      </c>
      <c r="O42" s="1" t="str">
        <f t="shared" si="18"/>
        <v/>
      </c>
      <c r="P42" s="1" t="str">
        <f t="shared" si="18"/>
        <v/>
      </c>
      <c r="Q42" s="1" t="str">
        <f t="shared" si="18"/>
        <v/>
      </c>
      <c r="R42" s="1">
        <f t="shared" si="18"/>
        <v>4000</v>
      </c>
      <c r="S42" s="1">
        <f t="shared" si="18"/>
        <v>1</v>
      </c>
      <c r="T42" s="1">
        <f t="shared" si="18"/>
        <v>1</v>
      </c>
      <c r="U42" s="1" t="str">
        <f t="shared" si="18"/>
        <v/>
      </c>
      <c r="V42" s="1" t="str">
        <f t="shared" si="18"/>
        <v/>
      </c>
      <c r="W42" s="1" t="str">
        <f t="shared" si="18"/>
        <v/>
      </c>
      <c r="X42" s="1"/>
      <c r="Y42" s="8">
        <f t="shared" si="11"/>
        <v>11.477564102564102</v>
      </c>
      <c r="Z42" s="1">
        <f t="shared" si="7"/>
        <v>16000</v>
      </c>
      <c r="AA42" s="1">
        <f t="shared" si="17"/>
        <v>1</v>
      </c>
      <c r="AB42" s="1">
        <f t="shared" si="17"/>
        <v>1</v>
      </c>
      <c r="AC42" s="1">
        <f t="shared" si="17"/>
        <v>1</v>
      </c>
      <c r="AD42" s="1">
        <f t="shared" si="17"/>
        <v>1</v>
      </c>
    </row>
    <row r="43" spans="2:30" s="2" customFormat="1" x14ac:dyDescent="0.35">
      <c r="D43" s="1"/>
      <c r="F43" s="1"/>
      <c r="J43" s="7">
        <v>36</v>
      </c>
      <c r="K43" s="1">
        <f t="shared" si="4"/>
        <v>897</v>
      </c>
      <c r="L43" s="1">
        <f t="shared" si="5"/>
        <v>3950</v>
      </c>
      <c r="M43" s="1">
        <f t="shared" si="9"/>
        <v>3</v>
      </c>
      <c r="N43" s="8">
        <f t="shared" si="10"/>
        <v>4.0543248945147674</v>
      </c>
      <c r="O43" s="1" t="str">
        <f t="shared" si="18"/>
        <v/>
      </c>
      <c r="P43" s="1" t="str">
        <f t="shared" si="18"/>
        <v/>
      </c>
      <c r="Q43" s="1" t="str">
        <f t="shared" si="18"/>
        <v/>
      </c>
      <c r="R43" s="1" t="str">
        <f t="shared" si="18"/>
        <v/>
      </c>
      <c r="S43" s="1" t="str">
        <f t="shared" si="18"/>
        <v/>
      </c>
      <c r="T43" s="1" t="str">
        <f t="shared" si="18"/>
        <v/>
      </c>
      <c r="U43" s="1">
        <f t="shared" si="18"/>
        <v>4000</v>
      </c>
      <c r="V43" s="1">
        <f t="shared" si="18"/>
        <v>1</v>
      </c>
      <c r="W43" s="1">
        <f t="shared" si="18"/>
        <v>1</v>
      </c>
      <c r="X43" s="1"/>
      <c r="Y43" s="8">
        <f t="shared" si="11"/>
        <v>11.425632911392405</v>
      </c>
      <c r="Z43" s="1">
        <f t="shared" si="7"/>
        <v>16000</v>
      </c>
      <c r="AA43" s="1">
        <f t="shared" si="17"/>
        <v>1</v>
      </c>
      <c r="AB43" s="1">
        <f t="shared" si="17"/>
        <v>1</v>
      </c>
      <c r="AC43" s="1">
        <f t="shared" si="17"/>
        <v>1</v>
      </c>
      <c r="AD43" s="1">
        <f t="shared" si="17"/>
        <v>1</v>
      </c>
    </row>
    <row r="44" spans="2:30" s="2" customFormat="1" x14ac:dyDescent="0.35">
      <c r="D44" s="1"/>
      <c r="F44" s="1"/>
      <c r="J44" s="7">
        <v>37</v>
      </c>
      <c r="K44" s="1">
        <f t="shared" si="4"/>
        <v>922</v>
      </c>
      <c r="L44" s="1">
        <f t="shared" si="5"/>
        <v>4000</v>
      </c>
      <c r="M44" s="1">
        <f t="shared" si="9"/>
        <v>1</v>
      </c>
      <c r="N44" s="8">
        <f t="shared" si="10"/>
        <v>3.0416666666666665</v>
      </c>
      <c r="O44" s="1">
        <f t="shared" si="18"/>
        <v>4000</v>
      </c>
      <c r="P44" s="1">
        <f t="shared" si="18"/>
        <v>1</v>
      </c>
      <c r="Q44" s="1">
        <f t="shared" si="18"/>
        <v>1</v>
      </c>
      <c r="R44" s="1" t="str">
        <f t="shared" si="18"/>
        <v/>
      </c>
      <c r="S44" s="1" t="str">
        <f t="shared" si="18"/>
        <v/>
      </c>
      <c r="T44" s="1" t="str">
        <f t="shared" si="18"/>
        <v/>
      </c>
      <c r="U44" s="1" t="str">
        <f t="shared" si="18"/>
        <v/>
      </c>
      <c r="V44" s="1" t="str">
        <f t="shared" si="18"/>
        <v/>
      </c>
      <c r="W44" s="1" t="str">
        <f t="shared" si="18"/>
        <v/>
      </c>
      <c r="X44" s="1"/>
      <c r="Y44" s="8">
        <f t="shared" si="11"/>
        <v>11.375</v>
      </c>
      <c r="Z44" s="1">
        <f t="shared" si="7"/>
        <v>16000</v>
      </c>
      <c r="AA44" s="1">
        <f t="shared" si="17"/>
        <v>1</v>
      </c>
      <c r="AB44" s="1">
        <f t="shared" si="17"/>
        <v>1</v>
      </c>
      <c r="AC44" s="1">
        <f t="shared" si="17"/>
        <v>1</v>
      </c>
      <c r="AD44" s="1">
        <f t="shared" si="17"/>
        <v>1</v>
      </c>
    </row>
    <row r="45" spans="2:30" s="2" customFormat="1" x14ac:dyDescent="0.35">
      <c r="D45" s="1"/>
      <c r="F45" s="1"/>
      <c r="J45" s="7">
        <v>38</v>
      </c>
      <c r="K45" s="1">
        <f t="shared" si="4"/>
        <v>947</v>
      </c>
      <c r="L45" s="1">
        <f t="shared" si="5"/>
        <v>4050</v>
      </c>
      <c r="M45" s="1">
        <f t="shared" si="9"/>
        <v>2</v>
      </c>
      <c r="N45" s="8">
        <f t="shared" si="10"/>
        <v>3.4861111111111112</v>
      </c>
      <c r="O45" s="1" t="str">
        <f t="shared" si="18"/>
        <v/>
      </c>
      <c r="P45" s="1" t="str">
        <f t="shared" si="18"/>
        <v/>
      </c>
      <c r="Q45" s="1" t="str">
        <f t="shared" si="18"/>
        <v/>
      </c>
      <c r="R45" s="1">
        <f t="shared" si="18"/>
        <v>4500</v>
      </c>
      <c r="S45" s="1">
        <f t="shared" si="18"/>
        <v>1</v>
      </c>
      <c r="T45" s="1">
        <f t="shared" si="18"/>
        <v>1</v>
      </c>
      <c r="U45" s="1" t="str">
        <f t="shared" si="18"/>
        <v/>
      </c>
      <c r="V45" s="1" t="str">
        <f t="shared" si="18"/>
        <v/>
      </c>
      <c r="W45" s="1" t="str">
        <f t="shared" si="18"/>
        <v/>
      </c>
      <c r="X45" s="1"/>
      <c r="Y45" s="8">
        <f t="shared" si="11"/>
        <v>11.572530864197532</v>
      </c>
      <c r="Z45" s="1">
        <f t="shared" si="7"/>
        <v>17000</v>
      </c>
      <c r="AA45" s="1">
        <f t="shared" si="17"/>
        <v>1</v>
      </c>
      <c r="AB45" s="1">
        <f t="shared" si="17"/>
        <v>1</v>
      </c>
      <c r="AC45" s="1">
        <f t="shared" si="17"/>
        <v>1</v>
      </c>
      <c r="AD45" s="1">
        <f t="shared" si="17"/>
        <v>1</v>
      </c>
    </row>
    <row r="46" spans="2:30" s="2" customFormat="1" x14ac:dyDescent="0.35">
      <c r="D46" s="1"/>
      <c r="F46" s="1"/>
      <c r="H46"/>
      <c r="J46" s="7">
        <v>39</v>
      </c>
      <c r="K46" s="1">
        <f t="shared" si="4"/>
        <v>972</v>
      </c>
      <c r="L46" s="1">
        <f t="shared" si="5"/>
        <v>4100</v>
      </c>
      <c r="M46" s="1">
        <f t="shared" si="9"/>
        <v>3</v>
      </c>
      <c r="N46" s="8">
        <f t="shared" si="10"/>
        <v>4.1392276422764223</v>
      </c>
      <c r="O46" s="1" t="str">
        <f t="shared" si="18"/>
        <v/>
      </c>
      <c r="P46" s="1" t="str">
        <f t="shared" si="18"/>
        <v/>
      </c>
      <c r="Q46" s="1" t="str">
        <f t="shared" si="18"/>
        <v/>
      </c>
      <c r="R46" s="1" t="str">
        <f t="shared" si="18"/>
        <v/>
      </c>
      <c r="S46" s="1" t="str">
        <f t="shared" si="18"/>
        <v/>
      </c>
      <c r="T46" s="1" t="str">
        <f t="shared" si="18"/>
        <v/>
      </c>
      <c r="U46" s="1">
        <f t="shared" si="18"/>
        <v>4500</v>
      </c>
      <c r="V46" s="1">
        <f t="shared" si="18"/>
        <v>1</v>
      </c>
      <c r="W46" s="1">
        <f t="shared" si="18"/>
        <v>1</v>
      </c>
      <c r="X46" s="1"/>
      <c r="Y46" s="8">
        <f t="shared" si="11"/>
        <v>11.521341463414634</v>
      </c>
      <c r="Z46" s="1">
        <f t="shared" si="7"/>
        <v>17000</v>
      </c>
      <c r="AA46" s="1">
        <f t="shared" si="17"/>
        <v>1</v>
      </c>
      <c r="AB46" s="1">
        <f t="shared" si="17"/>
        <v>1</v>
      </c>
      <c r="AC46" s="1">
        <f t="shared" si="17"/>
        <v>1</v>
      </c>
      <c r="AD46" s="1">
        <f t="shared" si="17"/>
        <v>1</v>
      </c>
    </row>
    <row r="47" spans="2:30" s="2" customFormat="1" x14ac:dyDescent="0.35">
      <c r="D47" s="1"/>
      <c r="F47" s="1"/>
      <c r="J47" s="7">
        <v>40</v>
      </c>
      <c r="K47" s="1">
        <f t="shared" si="4"/>
        <v>997</v>
      </c>
      <c r="L47" s="1">
        <f t="shared" si="5"/>
        <v>4150</v>
      </c>
      <c r="M47" s="1">
        <f t="shared" si="9"/>
        <v>1</v>
      </c>
      <c r="N47" s="8">
        <f t="shared" si="10"/>
        <v>3.126004016064257</v>
      </c>
      <c r="O47" s="1">
        <f t="shared" si="18"/>
        <v>4500</v>
      </c>
      <c r="P47" s="1">
        <f t="shared" si="18"/>
        <v>1</v>
      </c>
      <c r="Q47" s="1">
        <f t="shared" si="18"/>
        <v>1</v>
      </c>
      <c r="R47" s="1" t="str">
        <f t="shared" si="18"/>
        <v/>
      </c>
      <c r="S47" s="1" t="str">
        <f t="shared" si="18"/>
        <v/>
      </c>
      <c r="T47" s="1" t="str">
        <f t="shared" si="18"/>
        <v/>
      </c>
      <c r="U47" s="1" t="str">
        <f t="shared" si="18"/>
        <v/>
      </c>
      <c r="V47" s="1" t="str">
        <f t="shared" si="18"/>
        <v/>
      </c>
      <c r="W47" s="1" t="str">
        <f t="shared" si="18"/>
        <v/>
      </c>
      <c r="X47" s="1"/>
      <c r="Y47" s="8">
        <f t="shared" si="11"/>
        <v>11.471385542168676</v>
      </c>
      <c r="Z47" s="1">
        <f t="shared" si="7"/>
        <v>17000</v>
      </c>
      <c r="AA47" s="1">
        <f t="shared" si="17"/>
        <v>1</v>
      </c>
      <c r="AB47" s="1">
        <f t="shared" si="17"/>
        <v>1</v>
      </c>
      <c r="AC47" s="1">
        <f t="shared" si="17"/>
        <v>1</v>
      </c>
      <c r="AD47" s="1">
        <f t="shared" si="17"/>
        <v>1</v>
      </c>
    </row>
    <row r="48" spans="2:30" s="2" customFormat="1" x14ac:dyDescent="0.35">
      <c r="K48" s="1"/>
      <c r="L48" s="1"/>
      <c r="M48" s="7"/>
      <c r="N48" s="14"/>
      <c r="O48" s="1"/>
      <c r="P48" s="1"/>
      <c r="Q48" s="1"/>
      <c r="R48" s="1"/>
      <c r="S48" s="1"/>
      <c r="T48" s="1"/>
      <c r="U48" s="1"/>
      <c r="V48" s="1"/>
      <c r="W48" s="1"/>
      <c r="X48" s="1"/>
      <c r="Y48" s="15"/>
      <c r="Z48" s="1"/>
      <c r="AA48" s="1"/>
      <c r="AB48" s="1"/>
      <c r="AC48" s="1"/>
      <c r="AD48" s="1"/>
    </row>
    <row r="49" spans="2:30" s="2" customFormat="1" x14ac:dyDescent="0.35">
      <c r="K49" s="1"/>
      <c r="L49" s="1"/>
      <c r="M49" s="7"/>
      <c r="N49" s="14"/>
      <c r="O49" s="1"/>
      <c r="P49" s="1"/>
      <c r="Q49" s="1"/>
      <c r="R49" s="1"/>
      <c r="S49" s="1"/>
      <c r="T49" s="1"/>
      <c r="U49" s="1"/>
      <c r="V49" s="1"/>
      <c r="W49" s="1"/>
      <c r="X49" s="1"/>
      <c r="Y49" s="15"/>
      <c r="Z49" s="1"/>
      <c r="AA49" s="1"/>
      <c r="AB49" s="1"/>
      <c r="AC49" s="1"/>
      <c r="AD49" s="1"/>
    </row>
    <row r="50" spans="2:30" x14ac:dyDescent="0.35">
      <c r="B50" s="2"/>
      <c r="N50" s="14"/>
      <c r="AA50" s="1"/>
      <c r="AD50" s="1"/>
    </row>
    <row r="51" spans="2:30" x14ac:dyDescent="0.35">
      <c r="N51" s="14"/>
      <c r="AA51" s="1"/>
      <c r="AD51" s="1"/>
    </row>
    <row r="52" spans="2:30" x14ac:dyDescent="0.35">
      <c r="N52" s="14"/>
      <c r="AA52" s="1"/>
      <c r="AD52" s="1"/>
    </row>
    <row r="53" spans="2:30" x14ac:dyDescent="0.35">
      <c r="N53" s="14"/>
      <c r="AA53" s="1"/>
      <c r="AD53" s="1"/>
    </row>
    <row r="54" spans="2:30" x14ac:dyDescent="0.35">
      <c r="B54" s="2"/>
      <c r="N54" s="14"/>
      <c r="AA54" s="1"/>
      <c r="AD54" s="1"/>
    </row>
    <row r="55" spans="2:30" x14ac:dyDescent="0.35">
      <c r="B55" s="7"/>
      <c r="C55" s="7"/>
      <c r="D55" s="7"/>
      <c r="N55" s="14"/>
      <c r="AA55" s="1"/>
      <c r="AD55" s="1"/>
    </row>
    <row r="56" spans="2:30" x14ac:dyDescent="0.35">
      <c r="B56" s="7"/>
      <c r="C56" s="7"/>
      <c r="D56" s="7"/>
      <c r="N56" s="14"/>
      <c r="AA56" s="1"/>
      <c r="AD56" s="1"/>
    </row>
    <row r="57" spans="2:30" x14ac:dyDescent="0.35">
      <c r="B57" s="7"/>
      <c r="C57" s="7"/>
      <c r="D57" s="7"/>
      <c r="N57" s="14"/>
      <c r="AA57" s="1"/>
      <c r="AD57" s="1"/>
    </row>
    <row r="58" spans="2:30" x14ac:dyDescent="0.35">
      <c r="B58" s="7"/>
      <c r="C58" s="7"/>
      <c r="D58" s="7"/>
      <c r="AA58" s="1"/>
      <c r="AD58" s="1"/>
    </row>
    <row r="59" spans="2:30" x14ac:dyDescent="0.35">
      <c r="B59" s="7"/>
      <c r="C59" s="7"/>
      <c r="D59" s="7"/>
      <c r="AA59" s="1"/>
      <c r="AD59" s="1"/>
    </row>
    <row r="60" spans="2:30" x14ac:dyDescent="0.35">
      <c r="B60" s="7"/>
      <c r="C60" s="7"/>
      <c r="D60" s="7"/>
      <c r="AA60" s="1"/>
      <c r="AD60" s="1"/>
    </row>
    <row r="61" spans="2:30" x14ac:dyDescent="0.35">
      <c r="B61" s="7"/>
      <c r="C61" s="7"/>
      <c r="D61" s="7"/>
      <c r="AA61" s="1"/>
      <c r="AD61" s="1"/>
    </row>
    <row r="62" spans="2:30" x14ac:dyDescent="0.35">
      <c r="B62" s="7"/>
      <c r="C62" s="7"/>
      <c r="D62" s="7"/>
      <c r="AA62" s="1"/>
      <c r="AD62" s="1"/>
    </row>
    <row r="63" spans="2:30" x14ac:dyDescent="0.35">
      <c r="B63" s="7"/>
      <c r="C63" s="7"/>
      <c r="D63" s="7"/>
      <c r="AA63" s="1"/>
      <c r="AD63" s="1"/>
    </row>
    <row r="64" spans="2:30" x14ac:dyDescent="0.35">
      <c r="AA64" s="1"/>
      <c r="AD64" s="1"/>
    </row>
    <row r="65" spans="2:30" x14ac:dyDescent="0.35">
      <c r="AA65" s="1"/>
      <c r="AD65" s="1"/>
    </row>
    <row r="66" spans="2:30" x14ac:dyDescent="0.35">
      <c r="C66" s="1"/>
      <c r="AA66" s="1"/>
      <c r="AD66" s="1"/>
    </row>
    <row r="67" spans="2:30" x14ac:dyDescent="0.35">
      <c r="C67" s="8"/>
      <c r="AA67" s="1"/>
      <c r="AD67" s="1"/>
    </row>
    <row r="68" spans="2:30" x14ac:dyDescent="0.35">
      <c r="AA68" s="1"/>
      <c r="AD68" s="1"/>
    </row>
    <row r="69" spans="2:30" x14ac:dyDescent="0.35">
      <c r="C69"/>
      <c r="D69"/>
      <c r="E69"/>
      <c r="F69"/>
      <c r="G69"/>
      <c r="H69"/>
      <c r="AA69" s="1"/>
      <c r="AD69" s="1"/>
    </row>
    <row r="70" spans="2:30" x14ac:dyDescent="0.35">
      <c r="B70" s="2"/>
      <c r="D70" s="1"/>
      <c r="F70" s="1"/>
      <c r="AA70" s="1"/>
      <c r="AD70" s="1"/>
    </row>
    <row r="71" spans="2:30" x14ac:dyDescent="0.35">
      <c r="B71" s="2"/>
      <c r="D71" s="1"/>
      <c r="F71" s="1"/>
      <c r="AA71" s="1"/>
      <c r="AD71" s="1"/>
    </row>
    <row r="72" spans="2:30" x14ac:dyDescent="0.35">
      <c r="B72" s="2"/>
      <c r="D72" s="1"/>
      <c r="F72" s="1"/>
      <c r="AA72" s="1"/>
      <c r="AD72" s="1"/>
    </row>
    <row r="73" spans="2:30" x14ac:dyDescent="0.35">
      <c r="B73" s="2"/>
      <c r="D73" s="1"/>
      <c r="F73" s="1"/>
      <c r="AA73" s="1"/>
      <c r="AD73" s="1"/>
    </row>
    <row r="74" spans="2:30" x14ac:dyDescent="0.35">
      <c r="B74" s="2"/>
      <c r="D74" s="1"/>
      <c r="F74" s="1"/>
      <c r="AA74" s="1"/>
      <c r="AD74" s="1"/>
    </row>
    <row r="75" spans="2:30" x14ac:dyDescent="0.35">
      <c r="B75" s="2"/>
      <c r="D75" s="1"/>
      <c r="F75" s="1"/>
      <c r="AA75" s="1"/>
      <c r="AD75" s="1"/>
    </row>
    <row r="76" spans="2:30" x14ac:dyDescent="0.35">
      <c r="B76" s="2"/>
      <c r="D76" s="1"/>
      <c r="F76" s="1"/>
      <c r="AA76" s="1"/>
      <c r="AD76" s="1"/>
    </row>
    <row r="77" spans="2:30" x14ac:dyDescent="0.35">
      <c r="B77" s="2"/>
      <c r="D77" s="1"/>
      <c r="F77" s="1"/>
      <c r="AA77" s="1"/>
      <c r="AD77" s="1"/>
    </row>
    <row r="78" spans="2:30" x14ac:dyDescent="0.35">
      <c r="B78" s="2"/>
      <c r="D78" s="1"/>
      <c r="F78" s="1"/>
      <c r="AA78" s="1"/>
      <c r="AD78" s="1"/>
    </row>
    <row r="79" spans="2:30" x14ac:dyDescent="0.35">
      <c r="B79" s="2"/>
      <c r="D79" s="1"/>
      <c r="F79" s="1"/>
      <c r="AA79" s="1"/>
      <c r="AD79" s="1"/>
    </row>
    <row r="80" spans="2:30" x14ac:dyDescent="0.35">
      <c r="B80" s="2"/>
      <c r="D80" s="1"/>
      <c r="F80" s="1"/>
      <c r="AA80" s="1"/>
      <c r="AD80" s="1"/>
    </row>
    <row r="81" spans="2:30" x14ac:dyDescent="0.35">
      <c r="B81" s="2"/>
      <c r="D81" s="1"/>
      <c r="F81" s="1"/>
      <c r="AA81" s="1"/>
      <c r="AD81" s="1"/>
    </row>
    <row r="82" spans="2:30" x14ac:dyDescent="0.35">
      <c r="AA82" s="1"/>
      <c r="AD82" s="1"/>
    </row>
    <row r="83" spans="2:30" x14ac:dyDescent="0.35">
      <c r="AA83" s="1"/>
      <c r="AD83" s="1"/>
    </row>
    <row r="84" spans="2:30" x14ac:dyDescent="0.35">
      <c r="B84" s="7"/>
      <c r="C84" s="7"/>
      <c r="D84" s="7"/>
      <c r="AA84" s="1"/>
      <c r="AD84" s="1"/>
    </row>
    <row r="85" spans="2:30" x14ac:dyDescent="0.35">
      <c r="B85" s="7"/>
      <c r="C85" s="7"/>
      <c r="D85" s="7"/>
      <c r="AA85" s="1"/>
      <c r="AD85" s="1"/>
    </row>
    <row r="86" spans="2:30" x14ac:dyDescent="0.35">
      <c r="B86" s="7"/>
      <c r="C86" s="7"/>
      <c r="D86" s="7"/>
      <c r="AA86" s="1"/>
      <c r="AD86" s="1"/>
    </row>
    <row r="87" spans="2:30" x14ac:dyDescent="0.35">
      <c r="B87" s="7"/>
      <c r="C87" s="7"/>
      <c r="D87" s="7"/>
      <c r="AA87" s="1"/>
      <c r="AD87" s="1"/>
    </row>
    <row r="88" spans="2:30" x14ac:dyDescent="0.35">
      <c r="B88" s="7"/>
      <c r="C88" s="7"/>
      <c r="D88" s="7"/>
      <c r="AA88" s="1"/>
      <c r="AD88" s="1"/>
    </row>
    <row r="89" spans="2:30" x14ac:dyDescent="0.35">
      <c r="B89" s="7"/>
      <c r="C89" s="7"/>
      <c r="D89" s="7"/>
      <c r="AA89" s="1"/>
      <c r="AD89" s="1"/>
    </row>
    <row r="90" spans="2:30" x14ac:dyDescent="0.35">
      <c r="B90" s="7"/>
      <c r="C90" s="7"/>
      <c r="D90" s="7"/>
      <c r="AA90" s="1"/>
      <c r="AD90" s="1"/>
    </row>
    <row r="91" spans="2:30" x14ac:dyDescent="0.35">
      <c r="B91" s="7"/>
      <c r="C91" s="7"/>
      <c r="D91" s="7"/>
      <c r="AA91" s="1"/>
      <c r="AD91" s="1"/>
    </row>
    <row r="92" spans="2:30" x14ac:dyDescent="0.35">
      <c r="B92" s="7"/>
      <c r="C92" s="7"/>
      <c r="D92" s="7"/>
      <c r="AA92" s="1"/>
      <c r="AD92" s="1"/>
    </row>
    <row r="93" spans="2:30" x14ac:dyDescent="0.35">
      <c r="AA93" s="1"/>
      <c r="AD93" s="1"/>
    </row>
    <row r="94" spans="2:30" x14ac:dyDescent="0.35">
      <c r="AA94" s="1"/>
      <c r="AD94" s="1"/>
    </row>
    <row r="95" spans="2:30" x14ac:dyDescent="0.35">
      <c r="AA95" s="1"/>
      <c r="AD95" s="1"/>
    </row>
    <row r="96" spans="2:30" x14ac:dyDescent="0.35">
      <c r="AA96" s="1"/>
      <c r="AD96" s="1"/>
    </row>
    <row r="97" spans="27:30" x14ac:dyDescent="0.35">
      <c r="AA97" s="1"/>
      <c r="AD97" s="1"/>
    </row>
    <row r="98" spans="27:30" x14ac:dyDescent="0.35">
      <c r="AA98" s="1"/>
      <c r="AD98" s="1"/>
    </row>
    <row r="99" spans="27:30" x14ac:dyDescent="0.35">
      <c r="AA99" s="1"/>
      <c r="AD99" s="1"/>
    </row>
    <row r="100" spans="27:30" x14ac:dyDescent="0.35">
      <c r="AA100" s="1"/>
      <c r="AD100" s="1"/>
    </row>
    <row r="101" spans="27:30" x14ac:dyDescent="0.35">
      <c r="AA101" s="1"/>
      <c r="AD101" s="1"/>
    </row>
    <row r="102" spans="27:30" x14ac:dyDescent="0.35">
      <c r="AA102" s="1"/>
      <c r="AD102" s="1"/>
    </row>
    <row r="103" spans="27:30" x14ac:dyDescent="0.35">
      <c r="AA103" s="1"/>
      <c r="AD103" s="1"/>
    </row>
    <row r="104" spans="27:30" x14ac:dyDescent="0.35">
      <c r="AA104" s="1"/>
      <c r="AD104" s="1"/>
    </row>
    <row r="105" spans="27:30" ht="12.75" customHeight="1" x14ac:dyDescent="0.35">
      <c r="AA105" s="1"/>
      <c r="AD105" s="1"/>
    </row>
    <row r="106" spans="27:30" x14ac:dyDescent="0.35">
      <c r="AA106" s="1"/>
      <c r="AD1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788F-F12C-4A9C-921F-D045FB0883ED}">
  <dimension ref="B1:S106"/>
  <sheetViews>
    <sheetView workbookViewId="0">
      <selection activeCell="M45" sqref="M45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9" width="11.375" style="2" customWidth="1"/>
    <col min="10" max="10" width="6.75" style="2" customWidth="1"/>
    <col min="11" max="11" width="11.375" style="1" bestFit="1" customWidth="1"/>
    <col min="12" max="12" width="13.125" style="1" customWidth="1"/>
    <col min="13" max="13" width="9.625" style="15" bestFit="1" customWidth="1"/>
    <col min="14" max="14" width="11.375" style="1" bestFit="1" customWidth="1"/>
    <col min="15" max="15" width="12.875" style="1" customWidth="1"/>
    <col min="16" max="16" width="12.875" customWidth="1"/>
    <col min="17" max="18" width="12.875" style="1" customWidth="1"/>
    <col min="19" max="19" width="12.875" customWidth="1"/>
  </cols>
  <sheetData>
    <row r="1" spans="2:19" s="4" customFormat="1" ht="21" x14ac:dyDescent="0.35">
      <c r="B1" s="4" t="s">
        <v>177</v>
      </c>
    </row>
    <row r="2" spans="2:19" s="7" customFormat="1" x14ac:dyDescent="0.35">
      <c r="M2" s="16"/>
      <c r="N2" s="9"/>
      <c r="O2" s="7">
        <v>1</v>
      </c>
      <c r="P2" s="7">
        <v>2</v>
      </c>
      <c r="Q2" s="7">
        <v>3</v>
      </c>
      <c r="R2" s="7">
        <v>4</v>
      </c>
      <c r="S2" s="7">
        <v>5</v>
      </c>
    </row>
    <row r="3" spans="2:19" x14ac:dyDescent="0.35">
      <c r="L3"/>
      <c r="O3" s="7">
        <f>INDEX($C$18:$C$43,O2)</f>
        <v>1</v>
      </c>
      <c r="P3" s="7">
        <f>INDEX($C$18:$C$43,P2)</f>
        <v>2</v>
      </c>
      <c r="Q3" s="7">
        <f>INDEX($C$18:$C$43,Q2)</f>
        <v>3</v>
      </c>
      <c r="R3" s="7">
        <f>INDEX($C$18:$C$43,R2)</f>
        <v>4</v>
      </c>
      <c r="S3" s="7">
        <f>INDEX($C$18:$C$43,S2)</f>
        <v>5</v>
      </c>
    </row>
    <row r="4" spans="2:19" x14ac:dyDescent="0.35">
      <c r="B4" s="13" t="s">
        <v>387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</row>
    <row r="5" spans="2:19" x14ac:dyDescent="0.35">
      <c r="B5" s="13" t="s">
        <v>4</v>
      </c>
      <c r="C5" s="2">
        <v>18</v>
      </c>
      <c r="K5" s="7" t="s">
        <v>282</v>
      </c>
      <c r="N5" s="9" t="s">
        <v>388</v>
      </c>
      <c r="O5" s="1">
        <f>INDEX($D$18:$D$43,O2)</f>
        <v>101</v>
      </c>
      <c r="P5" s="1">
        <f>INDEX($D$18:$D$43,P2)</f>
        <v>302</v>
      </c>
      <c r="Q5" s="1">
        <f>INDEX($D$18:$D$43,Q2)</f>
        <v>601</v>
      </c>
      <c r="R5" s="1">
        <f>INDEX($D$18:$D$43,R2)</f>
        <v>301</v>
      </c>
      <c r="S5" s="1">
        <f>INDEX($D$18:$D$43,S2)</f>
        <v>303</v>
      </c>
    </row>
    <row r="6" spans="2:19" x14ac:dyDescent="0.35">
      <c r="B6" s="13" t="s">
        <v>352</v>
      </c>
      <c r="C6" s="2">
        <f>MATCH(C5,base_k,1)</f>
        <v>2</v>
      </c>
      <c r="N6" s="7">
        <v>4</v>
      </c>
      <c r="O6" s="1">
        <f>INDEX(item_cost_mf,MATCH(O5,item_id,0),1)</f>
        <v>1</v>
      </c>
      <c r="P6" s="1">
        <f>INDEX(item_cost_mf,MATCH(P5,item_id,0),1)</f>
        <v>3</v>
      </c>
      <c r="Q6" s="1">
        <f>INDEX(item_cost_mf,MATCH(Q5,item_id,0),1)</f>
        <v>1.3340000000000001</v>
      </c>
      <c r="R6" s="1">
        <f>INDEX(item_cost_mf,MATCH(R5,item_id,0),1)</f>
        <v>0.375</v>
      </c>
      <c r="S6" s="1">
        <f>INDEX(item_cost_mf,MATCH(S5,item_id,0),1)</f>
        <v>3</v>
      </c>
    </row>
    <row r="7" spans="2:19" s="13" customFormat="1" x14ac:dyDescent="0.35">
      <c r="B7" s="13" t="s">
        <v>351</v>
      </c>
      <c r="C7" s="2">
        <v>10</v>
      </c>
      <c r="J7" s="7" t="s">
        <v>17</v>
      </c>
      <c r="K7" s="13" t="s">
        <v>170</v>
      </c>
      <c r="L7" s="13" t="s">
        <v>156</v>
      </c>
      <c r="M7" s="13" t="s">
        <v>176</v>
      </c>
      <c r="O7" s="13" t="str">
        <f>INDEX($E$18:$E$24,O3)</f>
        <v>金币</v>
      </c>
      <c r="P7" s="13" t="str">
        <f>INDEX($E$18:$E$24,P3)</f>
        <v>加5张</v>
      </c>
      <c r="Q7" s="13" t="str">
        <f>INDEX($E$18:$E$24,Q3)</f>
        <v>双倍结算</v>
      </c>
      <c r="R7" s="13" t="str">
        <f>INDEX($E$18:$E$24,R3)</f>
        <v>回退</v>
      </c>
      <c r="S7" s="13" t="str">
        <f>INDEX($E$18:$E$24,S3)</f>
        <v>万能牌</v>
      </c>
    </row>
    <row r="8" spans="2:19" x14ac:dyDescent="0.35">
      <c r="B8" s="7"/>
      <c r="J8" s="7">
        <v>1</v>
      </c>
      <c r="K8" s="1">
        <f t="shared" ref="K8:K48" si="0">INDEX(base_k,J8+$C$6-1)+$C$7</f>
        <v>22</v>
      </c>
      <c r="L8" s="1">
        <f t="shared" ref="L8:L28" si="1">INDEX(leve_cost_v,MATCH(K8,leve_cost_k,1))</f>
        <v>1500</v>
      </c>
      <c r="M8" s="15">
        <f>SUMPRODUCT(P8:S8,P$6:S$6)+O8/$L8</f>
        <v>27.709</v>
      </c>
      <c r="N8" s="1">
        <f>ROUNDDOWN(O8/$N$6,-3)</f>
        <v>7000</v>
      </c>
      <c r="O8" s="1">
        <v>30000</v>
      </c>
      <c r="P8" s="1">
        <f t="shared" ref="P8:S29" si="2">IF(P$5=$D$18,_xlfn.CEILING.MATH($L8*INDEX($F$18:$F$22,P$2),500),INDEX($F$18:$F$22,P$2))</f>
        <v>1</v>
      </c>
      <c r="Q8" s="1">
        <f t="shared" si="2"/>
        <v>1</v>
      </c>
      <c r="R8" s="1">
        <f t="shared" si="2"/>
        <v>1</v>
      </c>
      <c r="S8" s="1">
        <f t="shared" si="2"/>
        <v>1</v>
      </c>
    </row>
    <row r="9" spans="2:19" x14ac:dyDescent="0.35">
      <c r="C9" s="5"/>
      <c r="J9" s="7">
        <v>2</v>
      </c>
      <c r="K9" s="1">
        <f t="shared" si="0"/>
        <v>37</v>
      </c>
      <c r="L9" s="1">
        <f>INDEX(leve_cost_v,MATCH(K9,leve_cost_k,1))</f>
        <v>1800</v>
      </c>
      <c r="M9" s="15">
        <f t="shared" ref="M9:M28" si="3">SUMPRODUCT(P9:S9,P$6:S$6)+O9/$L9</f>
        <v>29.931222222222221</v>
      </c>
      <c r="N9" s="1">
        <f t="shared" ref="N9:N48" si="4">ROUNDDOWN(O9/$N$6,-3)</f>
        <v>10000</v>
      </c>
      <c r="O9" s="1">
        <f t="shared" ref="O9:O48" si="5">IF(O$5=$D$18,_xlfn.CEILING.MATH($L9*INDEX($F$18:$F$22,O$2),1000),INDEX($F$18:$F$22,O$2))</f>
        <v>40000</v>
      </c>
      <c r="P9" s="1">
        <f t="shared" si="2"/>
        <v>1</v>
      </c>
      <c r="Q9" s="1">
        <f t="shared" si="2"/>
        <v>1</v>
      </c>
      <c r="R9" s="1">
        <f t="shared" si="2"/>
        <v>1</v>
      </c>
      <c r="S9" s="1">
        <f t="shared" si="2"/>
        <v>1</v>
      </c>
    </row>
    <row r="10" spans="2:19" x14ac:dyDescent="0.35">
      <c r="B10" t="s">
        <v>172</v>
      </c>
      <c r="C10" s="2">
        <v>1</v>
      </c>
      <c r="J10" s="7">
        <v>3</v>
      </c>
      <c r="K10" s="1">
        <f t="shared" si="0"/>
        <v>57</v>
      </c>
      <c r="L10" s="1">
        <f t="shared" si="1"/>
        <v>1800</v>
      </c>
      <c r="M10" s="15">
        <f t="shared" si="3"/>
        <v>29.931222222222221</v>
      </c>
      <c r="N10" s="1">
        <f t="shared" si="4"/>
        <v>10000</v>
      </c>
      <c r="O10" s="1">
        <f t="shared" si="5"/>
        <v>40000</v>
      </c>
      <c r="P10" s="1">
        <f t="shared" si="2"/>
        <v>1</v>
      </c>
      <c r="Q10" s="1">
        <f t="shared" si="2"/>
        <v>1</v>
      </c>
      <c r="R10" s="1">
        <f t="shared" si="2"/>
        <v>1</v>
      </c>
      <c r="S10" s="1">
        <f t="shared" si="2"/>
        <v>1</v>
      </c>
    </row>
    <row r="11" spans="2:19" x14ac:dyDescent="0.35">
      <c r="D11" s="7"/>
      <c r="J11" s="7">
        <v>4</v>
      </c>
      <c r="K11" s="1">
        <f t="shared" si="0"/>
        <v>77</v>
      </c>
      <c r="L11" s="1">
        <f t="shared" si="1"/>
        <v>2000</v>
      </c>
      <c r="M11" s="15">
        <f t="shared" si="3"/>
        <v>29.709</v>
      </c>
      <c r="N11" s="1">
        <f t="shared" si="4"/>
        <v>11000</v>
      </c>
      <c r="O11" s="1">
        <f t="shared" si="5"/>
        <v>44000</v>
      </c>
      <c r="P11" s="1">
        <f t="shared" si="2"/>
        <v>1</v>
      </c>
      <c r="Q11" s="1">
        <f t="shared" si="2"/>
        <v>1</v>
      </c>
      <c r="R11" s="1">
        <f t="shared" si="2"/>
        <v>1</v>
      </c>
      <c r="S11" s="1">
        <f t="shared" si="2"/>
        <v>1</v>
      </c>
    </row>
    <row r="12" spans="2:19" x14ac:dyDescent="0.35">
      <c r="B12" s="17" t="s">
        <v>194</v>
      </c>
      <c r="J12" s="7">
        <v>5</v>
      </c>
      <c r="K12" s="1">
        <f t="shared" si="0"/>
        <v>97</v>
      </c>
      <c r="L12" s="1">
        <f t="shared" si="1"/>
        <v>2000</v>
      </c>
      <c r="M12" s="15">
        <f t="shared" si="3"/>
        <v>29.709</v>
      </c>
      <c r="N12" s="1">
        <f t="shared" si="4"/>
        <v>11000</v>
      </c>
      <c r="O12" s="1">
        <f t="shared" si="5"/>
        <v>44000</v>
      </c>
      <c r="P12" s="1">
        <f t="shared" si="2"/>
        <v>1</v>
      </c>
      <c r="Q12" s="1">
        <f t="shared" si="2"/>
        <v>1</v>
      </c>
      <c r="R12" s="1">
        <f t="shared" si="2"/>
        <v>1</v>
      </c>
      <c r="S12" s="1">
        <f t="shared" si="2"/>
        <v>1</v>
      </c>
    </row>
    <row r="13" spans="2:19" x14ac:dyDescent="0.35">
      <c r="B13" s="13" t="s">
        <v>210</v>
      </c>
      <c r="C13" s="2">
        <v>10</v>
      </c>
      <c r="E13" s="13" t="s">
        <v>168</v>
      </c>
      <c r="F13" s="3">
        <v>3.99</v>
      </c>
      <c r="J13" s="7">
        <v>6</v>
      </c>
      <c r="K13" s="1">
        <f t="shared" si="0"/>
        <v>117</v>
      </c>
      <c r="L13" s="1">
        <f t="shared" si="1"/>
        <v>2200</v>
      </c>
      <c r="M13" s="15">
        <f t="shared" si="3"/>
        <v>29.981727272727273</v>
      </c>
      <c r="N13" s="1">
        <f t="shared" si="4"/>
        <v>12000</v>
      </c>
      <c r="O13" s="1">
        <f t="shared" si="5"/>
        <v>49000</v>
      </c>
      <c r="P13" s="1">
        <f t="shared" si="2"/>
        <v>1</v>
      </c>
      <c r="Q13" s="1">
        <f t="shared" si="2"/>
        <v>1</v>
      </c>
      <c r="R13" s="1">
        <f t="shared" si="2"/>
        <v>1</v>
      </c>
      <c r="S13" s="1">
        <f t="shared" si="2"/>
        <v>1</v>
      </c>
    </row>
    <row r="14" spans="2:19" x14ac:dyDescent="0.35">
      <c r="B14" s="13" t="s">
        <v>213</v>
      </c>
      <c r="C14" s="1">
        <f>SUM(G18:G22)</f>
        <v>29.709</v>
      </c>
      <c r="E14" s="13" t="s">
        <v>171</v>
      </c>
      <c r="F14" s="8">
        <f>F13/(C14/离线奖励!$C$12)</f>
        <v>0.40290820963344443</v>
      </c>
      <c r="J14" s="7">
        <v>7</v>
      </c>
      <c r="K14" s="1">
        <f t="shared" si="0"/>
        <v>137</v>
      </c>
      <c r="L14" s="1">
        <f t="shared" si="1"/>
        <v>2200</v>
      </c>
      <c r="M14" s="15">
        <f t="shared" si="3"/>
        <v>29.981727272727273</v>
      </c>
      <c r="N14" s="1">
        <f t="shared" si="4"/>
        <v>12000</v>
      </c>
      <c r="O14" s="1">
        <f t="shared" si="5"/>
        <v>49000</v>
      </c>
      <c r="P14" s="1">
        <f t="shared" si="2"/>
        <v>1</v>
      </c>
      <c r="Q14" s="1">
        <f t="shared" si="2"/>
        <v>1</v>
      </c>
      <c r="R14" s="1">
        <f t="shared" si="2"/>
        <v>1</v>
      </c>
      <c r="S14" s="1">
        <f t="shared" si="2"/>
        <v>1</v>
      </c>
    </row>
    <row r="15" spans="2:19" x14ac:dyDescent="0.35">
      <c r="B15" s="13" t="s">
        <v>214</v>
      </c>
      <c r="C15" s="8">
        <f>AVERAGE(M8:M120)</f>
        <v>29.788860539378049</v>
      </c>
      <c r="H15"/>
      <c r="I15"/>
      <c r="J15" s="7">
        <v>8</v>
      </c>
      <c r="K15" s="1">
        <f t="shared" si="0"/>
        <v>157</v>
      </c>
      <c r="L15" s="1">
        <f t="shared" si="1"/>
        <v>2200</v>
      </c>
      <c r="M15" s="15">
        <f t="shared" si="3"/>
        <v>29.981727272727273</v>
      </c>
      <c r="N15" s="1">
        <f t="shared" si="4"/>
        <v>12000</v>
      </c>
      <c r="O15" s="1">
        <f t="shared" si="5"/>
        <v>49000</v>
      </c>
      <c r="P15" s="1">
        <f t="shared" si="2"/>
        <v>1</v>
      </c>
      <c r="Q15" s="1">
        <f t="shared" si="2"/>
        <v>1</v>
      </c>
      <c r="R15" s="1">
        <f t="shared" si="2"/>
        <v>1</v>
      </c>
      <c r="S15" s="1">
        <f t="shared" si="2"/>
        <v>1</v>
      </c>
    </row>
    <row r="16" spans="2:19" x14ac:dyDescent="0.35">
      <c r="B16" s="13"/>
      <c r="H16" s="1"/>
      <c r="I16"/>
      <c r="J16" s="7">
        <v>9</v>
      </c>
      <c r="K16" s="1">
        <f t="shared" si="0"/>
        <v>177</v>
      </c>
      <c r="L16" s="1">
        <f t="shared" si="1"/>
        <v>2500</v>
      </c>
      <c r="M16" s="15">
        <f t="shared" si="3"/>
        <v>29.709</v>
      </c>
      <c r="N16" s="1">
        <f t="shared" si="4"/>
        <v>13000</v>
      </c>
      <c r="O16" s="1">
        <f t="shared" si="5"/>
        <v>55000</v>
      </c>
      <c r="P16" s="1">
        <f t="shared" si="2"/>
        <v>1</v>
      </c>
      <c r="Q16" s="1">
        <f t="shared" si="2"/>
        <v>1</v>
      </c>
      <c r="R16" s="1">
        <f t="shared" si="2"/>
        <v>1</v>
      </c>
      <c r="S16" s="1">
        <f t="shared" si="2"/>
        <v>1</v>
      </c>
    </row>
    <row r="17" spans="2:19" x14ac:dyDescent="0.35">
      <c r="C17" s="13" t="s">
        <v>163</v>
      </c>
      <c r="D17" s="13" t="s">
        <v>160</v>
      </c>
      <c r="E17" s="13" t="s">
        <v>161</v>
      </c>
      <c r="F17" s="13" t="s">
        <v>158</v>
      </c>
      <c r="G17" s="13" t="s">
        <v>173</v>
      </c>
      <c r="H17" s="1"/>
      <c r="I17"/>
      <c r="J17" s="7">
        <v>10</v>
      </c>
      <c r="K17" s="1">
        <f t="shared" si="0"/>
        <v>197</v>
      </c>
      <c r="L17" s="1">
        <f t="shared" si="1"/>
        <v>2500</v>
      </c>
      <c r="M17" s="15">
        <f t="shared" si="3"/>
        <v>29.709</v>
      </c>
      <c r="N17" s="1">
        <f t="shared" si="4"/>
        <v>13000</v>
      </c>
      <c r="O17" s="1">
        <f t="shared" si="5"/>
        <v>55000</v>
      </c>
      <c r="P17" s="1">
        <f t="shared" si="2"/>
        <v>1</v>
      </c>
      <c r="Q17" s="1">
        <f t="shared" si="2"/>
        <v>1</v>
      </c>
      <c r="R17" s="1">
        <f t="shared" si="2"/>
        <v>1</v>
      </c>
      <c r="S17" s="1">
        <f t="shared" si="2"/>
        <v>1</v>
      </c>
    </row>
    <row r="18" spans="2:19" x14ac:dyDescent="0.35">
      <c r="B18" s="2"/>
      <c r="C18">
        <v>1</v>
      </c>
      <c r="D18">
        <v>101</v>
      </c>
      <c r="E18" t="str">
        <f>INDEX(item_name,MATCH(D18,item_id,0))</f>
        <v>金币</v>
      </c>
      <c r="F18" s="2">
        <v>22</v>
      </c>
      <c r="G18" s="1">
        <f>INDEX(item_cost_mf,MATCH($D18,item_id,0),$C$10)*F18</f>
        <v>22</v>
      </c>
      <c r="H18" s="1">
        <f>G18/C14</f>
        <v>0.74051634184927129</v>
      </c>
      <c r="I18" s="5"/>
      <c r="J18" s="7">
        <v>11</v>
      </c>
      <c r="K18" s="1">
        <f t="shared" si="0"/>
        <v>217</v>
      </c>
      <c r="L18" s="1">
        <f t="shared" si="1"/>
        <v>2600</v>
      </c>
      <c r="M18" s="15">
        <f t="shared" si="3"/>
        <v>30.016692307692306</v>
      </c>
      <c r="N18" s="1">
        <f t="shared" si="4"/>
        <v>14000</v>
      </c>
      <c r="O18" s="1">
        <f t="shared" si="5"/>
        <v>58000</v>
      </c>
      <c r="P18" s="1">
        <f t="shared" si="2"/>
        <v>1</v>
      </c>
      <c r="Q18" s="1">
        <f t="shared" si="2"/>
        <v>1</v>
      </c>
      <c r="R18" s="1">
        <f t="shared" si="2"/>
        <v>1</v>
      </c>
      <c r="S18" s="1">
        <f t="shared" si="2"/>
        <v>1</v>
      </c>
    </row>
    <row r="19" spans="2:19" x14ac:dyDescent="0.35">
      <c r="B19" s="2"/>
      <c r="C19">
        <v>2</v>
      </c>
      <c r="D19">
        <v>302</v>
      </c>
      <c r="E19" t="str">
        <f>INDEX(item_name,MATCH(D19,item_id,0))</f>
        <v>加5张</v>
      </c>
      <c r="F19" s="2">
        <v>1</v>
      </c>
      <c r="G19" s="1">
        <f>INDEX(item_cost_mf,MATCH($D19,item_id,0),$C$10)*F19</f>
        <v>3</v>
      </c>
      <c r="H19" s="1"/>
      <c r="I19" s="5"/>
      <c r="J19" s="7">
        <v>12</v>
      </c>
      <c r="K19" s="1">
        <f t="shared" si="0"/>
        <v>237</v>
      </c>
      <c r="L19" s="1">
        <f t="shared" si="1"/>
        <v>2600</v>
      </c>
      <c r="M19" s="15">
        <f t="shared" si="3"/>
        <v>30.016692307692306</v>
      </c>
      <c r="N19" s="1">
        <f t="shared" si="4"/>
        <v>14000</v>
      </c>
      <c r="O19" s="1">
        <f t="shared" si="5"/>
        <v>58000</v>
      </c>
      <c r="P19" s="1">
        <f t="shared" si="2"/>
        <v>1</v>
      </c>
      <c r="Q19" s="1">
        <f t="shared" si="2"/>
        <v>1</v>
      </c>
      <c r="R19" s="1">
        <f t="shared" si="2"/>
        <v>1</v>
      </c>
      <c r="S19" s="1">
        <f t="shared" si="2"/>
        <v>1</v>
      </c>
    </row>
    <row r="20" spans="2:19" x14ac:dyDescent="0.35">
      <c r="B20" s="2"/>
      <c r="C20">
        <v>3</v>
      </c>
      <c r="D20">
        <v>601</v>
      </c>
      <c r="E20" t="str">
        <f>INDEX(item_name,MATCH(D20,item_id,0))</f>
        <v>双倍结算</v>
      </c>
      <c r="F20" s="2">
        <v>1</v>
      </c>
      <c r="G20" s="1">
        <f>INDEX(item_cost_mf,MATCH($D20,item_id,0),$C$10)*F20</f>
        <v>1.3340000000000001</v>
      </c>
      <c r="H20" s="1"/>
      <c r="I20" s="1"/>
      <c r="J20" s="7">
        <v>13</v>
      </c>
      <c r="K20" s="1">
        <f t="shared" si="0"/>
        <v>257</v>
      </c>
      <c r="L20" s="1">
        <f t="shared" si="1"/>
        <v>2700</v>
      </c>
      <c r="M20" s="15">
        <f t="shared" si="3"/>
        <v>29.931222222222221</v>
      </c>
      <c r="N20" s="1">
        <f t="shared" si="4"/>
        <v>15000</v>
      </c>
      <c r="O20" s="1">
        <f t="shared" si="5"/>
        <v>60000</v>
      </c>
      <c r="P20" s="1">
        <f t="shared" si="2"/>
        <v>1</v>
      </c>
      <c r="Q20" s="1">
        <f t="shared" si="2"/>
        <v>1</v>
      </c>
      <c r="R20" s="1">
        <f t="shared" si="2"/>
        <v>1</v>
      </c>
      <c r="S20" s="1">
        <f t="shared" si="2"/>
        <v>1</v>
      </c>
    </row>
    <row r="21" spans="2:19" x14ac:dyDescent="0.35">
      <c r="B21" s="2"/>
      <c r="C21">
        <v>4</v>
      </c>
      <c r="D21">
        <v>301</v>
      </c>
      <c r="E21" t="str">
        <f>INDEX(item_name,MATCH(D21,item_id,0))</f>
        <v>回退</v>
      </c>
      <c r="F21" s="2">
        <v>1</v>
      </c>
      <c r="G21" s="1">
        <f>INDEX(item_cost_mf,MATCH($D21,item_id,0),$C$10)*F21</f>
        <v>0.375</v>
      </c>
      <c r="H21" s="1"/>
      <c r="I21" s="1"/>
      <c r="J21" s="7">
        <v>14</v>
      </c>
      <c r="K21" s="1">
        <f t="shared" si="0"/>
        <v>282</v>
      </c>
      <c r="L21" s="1">
        <f t="shared" si="1"/>
        <v>2700</v>
      </c>
      <c r="M21" s="15">
        <f t="shared" si="3"/>
        <v>29.931222222222221</v>
      </c>
      <c r="N21" s="1">
        <f t="shared" si="4"/>
        <v>15000</v>
      </c>
      <c r="O21" s="1">
        <f t="shared" si="5"/>
        <v>60000</v>
      </c>
      <c r="P21" s="1">
        <f t="shared" si="2"/>
        <v>1</v>
      </c>
      <c r="Q21" s="1">
        <f t="shared" si="2"/>
        <v>1</v>
      </c>
      <c r="R21" s="1">
        <f t="shared" si="2"/>
        <v>1</v>
      </c>
      <c r="S21" s="1">
        <f t="shared" si="2"/>
        <v>1</v>
      </c>
    </row>
    <row r="22" spans="2:19" x14ac:dyDescent="0.35">
      <c r="B22" s="2"/>
      <c r="C22">
        <v>5</v>
      </c>
      <c r="D22">
        <v>303</v>
      </c>
      <c r="E22" t="str">
        <f>INDEX(item_name,MATCH(D22,item_id,0))</f>
        <v>万能牌</v>
      </c>
      <c r="F22" s="2">
        <v>1</v>
      </c>
      <c r="G22" s="1">
        <f>INDEX(item_cost_mf,MATCH($D22,item_id,0),$C$10)*F22</f>
        <v>3</v>
      </c>
      <c r="H22" s="1"/>
      <c r="J22" s="7">
        <v>15</v>
      </c>
      <c r="K22" s="1">
        <f t="shared" si="0"/>
        <v>307</v>
      </c>
      <c r="L22" s="1">
        <f t="shared" si="1"/>
        <v>2800</v>
      </c>
      <c r="M22" s="15">
        <f t="shared" si="3"/>
        <v>29.851857142857142</v>
      </c>
      <c r="N22" s="1">
        <f t="shared" si="4"/>
        <v>15000</v>
      </c>
      <c r="O22" s="1">
        <f t="shared" si="5"/>
        <v>62000</v>
      </c>
      <c r="P22" s="1">
        <f t="shared" si="2"/>
        <v>1</v>
      </c>
      <c r="Q22" s="1">
        <f t="shared" si="2"/>
        <v>1</v>
      </c>
      <c r="R22" s="1">
        <f t="shared" si="2"/>
        <v>1</v>
      </c>
      <c r="S22" s="1">
        <f t="shared" si="2"/>
        <v>1</v>
      </c>
    </row>
    <row r="23" spans="2:19" x14ac:dyDescent="0.35">
      <c r="B23" s="2"/>
      <c r="D23" s="1"/>
      <c r="F23" s="1"/>
      <c r="H23" s="1"/>
      <c r="J23" s="7">
        <v>16</v>
      </c>
      <c r="K23" s="1">
        <f t="shared" si="0"/>
        <v>332</v>
      </c>
      <c r="L23" s="1">
        <f t="shared" si="1"/>
        <v>2800</v>
      </c>
      <c r="M23" s="15">
        <f t="shared" si="3"/>
        <v>29.851857142857142</v>
      </c>
      <c r="N23" s="1">
        <f t="shared" si="4"/>
        <v>15000</v>
      </c>
      <c r="O23" s="1">
        <f t="shared" si="5"/>
        <v>62000</v>
      </c>
      <c r="P23" s="1">
        <f t="shared" si="2"/>
        <v>1</v>
      </c>
      <c r="Q23" s="1">
        <f t="shared" si="2"/>
        <v>1</v>
      </c>
      <c r="R23" s="1">
        <f t="shared" si="2"/>
        <v>1</v>
      </c>
      <c r="S23" s="1">
        <f t="shared" si="2"/>
        <v>1</v>
      </c>
    </row>
    <row r="24" spans="2:19" x14ac:dyDescent="0.35">
      <c r="B24" s="2"/>
      <c r="C24" s="5"/>
      <c r="D24" s="5"/>
      <c r="E24" s="1"/>
      <c r="G24" s="1"/>
      <c r="H24" s="1"/>
      <c r="J24" s="7">
        <v>17</v>
      </c>
      <c r="K24" s="1">
        <f t="shared" si="0"/>
        <v>357</v>
      </c>
      <c r="L24" s="1">
        <f t="shared" si="1"/>
        <v>2900</v>
      </c>
      <c r="M24" s="15">
        <f t="shared" si="3"/>
        <v>29.77796551724138</v>
      </c>
      <c r="N24" s="1">
        <f t="shared" si="4"/>
        <v>16000</v>
      </c>
      <c r="O24" s="1">
        <f t="shared" si="5"/>
        <v>64000</v>
      </c>
      <c r="P24" s="1">
        <f t="shared" si="2"/>
        <v>1</v>
      </c>
      <c r="Q24" s="1">
        <f t="shared" si="2"/>
        <v>1</v>
      </c>
      <c r="R24" s="1">
        <f t="shared" si="2"/>
        <v>1</v>
      </c>
      <c r="S24" s="1">
        <f t="shared" si="2"/>
        <v>1</v>
      </c>
    </row>
    <row r="25" spans="2:19" x14ac:dyDescent="0.35">
      <c r="J25" s="7">
        <v>18</v>
      </c>
      <c r="K25" s="1">
        <f t="shared" si="0"/>
        <v>382</v>
      </c>
      <c r="L25" s="1">
        <f t="shared" si="1"/>
        <v>2900</v>
      </c>
      <c r="M25" s="15">
        <f t="shared" si="3"/>
        <v>29.77796551724138</v>
      </c>
      <c r="N25" s="1">
        <f t="shared" si="4"/>
        <v>16000</v>
      </c>
      <c r="O25" s="1">
        <f t="shared" si="5"/>
        <v>64000</v>
      </c>
      <c r="P25" s="1">
        <f t="shared" si="2"/>
        <v>1</v>
      </c>
      <c r="Q25" s="1">
        <f t="shared" si="2"/>
        <v>1</v>
      </c>
      <c r="R25" s="1">
        <f t="shared" si="2"/>
        <v>1</v>
      </c>
      <c r="S25" s="1">
        <f t="shared" si="2"/>
        <v>1</v>
      </c>
    </row>
    <row r="26" spans="2:19" x14ac:dyDescent="0.35">
      <c r="B26" s="2"/>
      <c r="C26" s="5"/>
      <c r="D26" s="1"/>
      <c r="F26" s="1"/>
      <c r="J26" s="7">
        <v>19</v>
      </c>
      <c r="K26" s="1">
        <f t="shared" si="0"/>
        <v>407</v>
      </c>
      <c r="L26" s="1">
        <f t="shared" si="1"/>
        <v>3000</v>
      </c>
      <c r="M26" s="15">
        <f t="shared" si="3"/>
        <v>29.709</v>
      </c>
      <c r="N26" s="1">
        <f t="shared" si="4"/>
        <v>16000</v>
      </c>
      <c r="O26" s="1">
        <f t="shared" si="5"/>
        <v>66000</v>
      </c>
      <c r="P26" s="1">
        <f t="shared" si="2"/>
        <v>1</v>
      </c>
      <c r="Q26" s="1">
        <f t="shared" si="2"/>
        <v>1</v>
      </c>
      <c r="R26" s="1">
        <f t="shared" si="2"/>
        <v>1</v>
      </c>
      <c r="S26" s="1">
        <f t="shared" si="2"/>
        <v>1</v>
      </c>
    </row>
    <row r="27" spans="2:19" x14ac:dyDescent="0.35">
      <c r="B27" s="2"/>
      <c r="C27" s="5"/>
      <c r="D27" s="1"/>
      <c r="F27" s="1"/>
      <c r="J27" s="7">
        <v>20</v>
      </c>
      <c r="K27" s="1">
        <f t="shared" si="0"/>
        <v>432</v>
      </c>
      <c r="L27" s="1">
        <f t="shared" si="1"/>
        <v>3000</v>
      </c>
      <c r="M27" s="15">
        <f t="shared" si="3"/>
        <v>29.709</v>
      </c>
      <c r="N27" s="1">
        <f t="shared" si="4"/>
        <v>16000</v>
      </c>
      <c r="O27" s="1">
        <f t="shared" si="5"/>
        <v>66000</v>
      </c>
      <c r="P27" s="1">
        <f t="shared" si="2"/>
        <v>1</v>
      </c>
      <c r="Q27" s="1">
        <f t="shared" si="2"/>
        <v>1</v>
      </c>
      <c r="R27" s="1">
        <f t="shared" si="2"/>
        <v>1</v>
      </c>
      <c r="S27" s="1">
        <f t="shared" si="2"/>
        <v>1</v>
      </c>
    </row>
    <row r="28" spans="2:19" x14ac:dyDescent="0.35">
      <c r="B28" s="2"/>
      <c r="C28" s="5"/>
      <c r="D28" s="1"/>
      <c r="F28" s="1"/>
      <c r="J28" s="7">
        <v>21</v>
      </c>
      <c r="K28" s="1">
        <f t="shared" si="0"/>
        <v>457</v>
      </c>
      <c r="L28" s="1">
        <f t="shared" si="1"/>
        <v>3100</v>
      </c>
      <c r="M28" s="15">
        <f t="shared" si="3"/>
        <v>29.967064516129032</v>
      </c>
      <c r="N28" s="1">
        <f t="shared" si="4"/>
        <v>17000</v>
      </c>
      <c r="O28" s="1">
        <f t="shared" si="5"/>
        <v>69000</v>
      </c>
      <c r="P28" s="1">
        <f t="shared" si="2"/>
        <v>1</v>
      </c>
      <c r="Q28" s="1">
        <f t="shared" si="2"/>
        <v>1</v>
      </c>
      <c r="R28" s="1">
        <f t="shared" si="2"/>
        <v>1</v>
      </c>
      <c r="S28" s="1">
        <f t="shared" si="2"/>
        <v>1</v>
      </c>
    </row>
    <row r="29" spans="2:19" x14ac:dyDescent="0.35">
      <c r="J29" s="7">
        <v>22</v>
      </c>
      <c r="K29" s="1">
        <f t="shared" si="0"/>
        <v>482</v>
      </c>
      <c r="L29" s="1">
        <f t="shared" ref="L29:L47" si="6">INDEX(leve_cost_v,MATCH(K29,leve_cost_k,1))</f>
        <v>3100</v>
      </c>
      <c r="M29" s="15">
        <f t="shared" ref="M29:M47" si="7">SUMPRODUCT(P29:S29,P$6:S$6)+O29/$L29</f>
        <v>29.967064516129032</v>
      </c>
      <c r="N29" s="1">
        <f t="shared" si="4"/>
        <v>17000</v>
      </c>
      <c r="O29" s="1">
        <f t="shared" si="5"/>
        <v>69000</v>
      </c>
      <c r="P29" s="1">
        <f t="shared" si="2"/>
        <v>1</v>
      </c>
      <c r="Q29" s="1">
        <f t="shared" si="2"/>
        <v>1</v>
      </c>
      <c r="R29" s="1">
        <f t="shared" si="2"/>
        <v>1</v>
      </c>
      <c r="S29" s="1">
        <f t="shared" si="2"/>
        <v>1</v>
      </c>
    </row>
    <row r="30" spans="2:19" x14ac:dyDescent="0.35">
      <c r="J30" s="7">
        <v>23</v>
      </c>
      <c r="K30" s="1">
        <f t="shared" si="0"/>
        <v>507</v>
      </c>
      <c r="L30" s="1">
        <f t="shared" si="6"/>
        <v>3200</v>
      </c>
      <c r="M30" s="15">
        <f t="shared" si="7"/>
        <v>29.8965</v>
      </c>
      <c r="N30" s="1">
        <f t="shared" si="4"/>
        <v>17000</v>
      </c>
      <c r="O30" s="1">
        <f t="shared" si="5"/>
        <v>71000</v>
      </c>
      <c r="P30" s="1">
        <f t="shared" ref="P30:S45" si="8">IF(P$5=$D$18,_xlfn.CEILING.MATH($L30*INDEX($F$18:$F$22,P$2),500),INDEX($F$18:$F$22,P$2))</f>
        <v>1</v>
      </c>
      <c r="Q30" s="1">
        <f t="shared" si="8"/>
        <v>1</v>
      </c>
      <c r="R30" s="1">
        <f t="shared" si="8"/>
        <v>1</v>
      </c>
      <c r="S30" s="1">
        <f t="shared" si="8"/>
        <v>1</v>
      </c>
    </row>
    <row r="31" spans="2:19" x14ac:dyDescent="0.35">
      <c r="J31" s="7">
        <v>24</v>
      </c>
      <c r="K31" s="1">
        <f t="shared" si="0"/>
        <v>532</v>
      </c>
      <c r="L31" s="1">
        <f t="shared" si="6"/>
        <v>3200</v>
      </c>
      <c r="M31" s="15">
        <f t="shared" si="7"/>
        <v>29.8965</v>
      </c>
      <c r="N31" s="1">
        <f t="shared" si="4"/>
        <v>17000</v>
      </c>
      <c r="O31" s="1">
        <f t="shared" si="5"/>
        <v>71000</v>
      </c>
      <c r="P31" s="1">
        <f t="shared" si="8"/>
        <v>1</v>
      </c>
      <c r="Q31" s="1">
        <f t="shared" si="8"/>
        <v>1</v>
      </c>
      <c r="R31" s="1">
        <f t="shared" si="8"/>
        <v>1</v>
      </c>
      <c r="S31" s="1">
        <f t="shared" si="8"/>
        <v>1</v>
      </c>
    </row>
    <row r="32" spans="2:19" x14ac:dyDescent="0.35">
      <c r="J32" s="7">
        <v>25</v>
      </c>
      <c r="K32" s="1">
        <f t="shared" si="0"/>
        <v>557</v>
      </c>
      <c r="L32" s="1">
        <f t="shared" si="6"/>
        <v>3300</v>
      </c>
      <c r="M32" s="15">
        <f t="shared" si="7"/>
        <v>29.830212121212121</v>
      </c>
      <c r="N32" s="1">
        <f t="shared" si="4"/>
        <v>18000</v>
      </c>
      <c r="O32" s="1">
        <f t="shared" si="5"/>
        <v>73000</v>
      </c>
      <c r="P32" s="1">
        <f t="shared" si="8"/>
        <v>1</v>
      </c>
      <c r="Q32" s="1">
        <f t="shared" si="8"/>
        <v>1</v>
      </c>
      <c r="R32" s="1">
        <f t="shared" si="8"/>
        <v>1</v>
      </c>
      <c r="S32" s="1">
        <f t="shared" si="8"/>
        <v>1</v>
      </c>
    </row>
    <row r="33" spans="2:19" x14ac:dyDescent="0.35">
      <c r="H33"/>
      <c r="J33" s="7">
        <v>26</v>
      </c>
      <c r="K33" s="1">
        <f t="shared" si="0"/>
        <v>582</v>
      </c>
      <c r="L33" s="1">
        <f t="shared" si="6"/>
        <v>3300</v>
      </c>
      <c r="M33" s="15">
        <f t="shared" si="7"/>
        <v>29.830212121212121</v>
      </c>
      <c r="N33" s="1">
        <f t="shared" si="4"/>
        <v>18000</v>
      </c>
      <c r="O33" s="1">
        <f t="shared" si="5"/>
        <v>73000</v>
      </c>
      <c r="P33" s="1">
        <f t="shared" si="8"/>
        <v>1</v>
      </c>
      <c r="Q33" s="1">
        <f t="shared" si="8"/>
        <v>1</v>
      </c>
      <c r="R33" s="1">
        <f t="shared" si="8"/>
        <v>1</v>
      </c>
      <c r="S33" s="1">
        <f t="shared" si="8"/>
        <v>1</v>
      </c>
    </row>
    <row r="34" spans="2:19" x14ac:dyDescent="0.35">
      <c r="J34" s="7">
        <v>27</v>
      </c>
      <c r="K34" s="1">
        <f t="shared" si="0"/>
        <v>607</v>
      </c>
      <c r="L34" s="1">
        <f t="shared" si="6"/>
        <v>3400</v>
      </c>
      <c r="M34" s="15">
        <f t="shared" si="7"/>
        <v>29.767823529411764</v>
      </c>
      <c r="N34" s="1">
        <f t="shared" si="4"/>
        <v>18000</v>
      </c>
      <c r="O34" s="1">
        <f t="shared" si="5"/>
        <v>75000</v>
      </c>
      <c r="P34" s="1">
        <f t="shared" si="8"/>
        <v>1</v>
      </c>
      <c r="Q34" s="1">
        <f t="shared" si="8"/>
        <v>1</v>
      </c>
      <c r="R34" s="1">
        <f t="shared" si="8"/>
        <v>1</v>
      </c>
      <c r="S34" s="1">
        <f t="shared" si="8"/>
        <v>1</v>
      </c>
    </row>
    <row r="35" spans="2:19" s="2" customFormat="1" x14ac:dyDescent="0.35">
      <c r="B35"/>
      <c r="J35" s="7">
        <v>28</v>
      </c>
      <c r="K35" s="1">
        <f t="shared" si="0"/>
        <v>632</v>
      </c>
      <c r="L35" s="1">
        <f t="shared" si="6"/>
        <v>3400</v>
      </c>
      <c r="M35" s="15">
        <f t="shared" si="7"/>
        <v>29.767823529411764</v>
      </c>
      <c r="N35" s="1">
        <f t="shared" si="4"/>
        <v>18000</v>
      </c>
      <c r="O35" s="1">
        <f t="shared" si="5"/>
        <v>75000</v>
      </c>
      <c r="P35" s="1">
        <f t="shared" si="8"/>
        <v>1</v>
      </c>
      <c r="Q35" s="1">
        <f t="shared" si="8"/>
        <v>1</v>
      </c>
      <c r="R35" s="1">
        <f t="shared" si="8"/>
        <v>1</v>
      </c>
      <c r="S35" s="1">
        <f t="shared" si="8"/>
        <v>1</v>
      </c>
    </row>
    <row r="36" spans="2:19" s="2" customFormat="1" x14ac:dyDescent="0.35">
      <c r="J36" s="7">
        <v>29</v>
      </c>
      <c r="K36" s="1">
        <f t="shared" si="0"/>
        <v>657</v>
      </c>
      <c r="L36" s="1">
        <f t="shared" si="6"/>
        <v>3500</v>
      </c>
      <c r="M36" s="15">
        <f t="shared" si="7"/>
        <v>29.709</v>
      </c>
      <c r="N36" s="1">
        <f t="shared" si="4"/>
        <v>19000</v>
      </c>
      <c r="O36" s="1">
        <f t="shared" si="5"/>
        <v>77000</v>
      </c>
      <c r="P36" s="1">
        <f t="shared" si="8"/>
        <v>1</v>
      </c>
      <c r="Q36" s="1">
        <f t="shared" si="8"/>
        <v>1</v>
      </c>
      <c r="R36" s="1">
        <f t="shared" si="8"/>
        <v>1</v>
      </c>
      <c r="S36" s="1">
        <f t="shared" si="8"/>
        <v>1</v>
      </c>
    </row>
    <row r="37" spans="2:19" s="2" customFormat="1" x14ac:dyDescent="0.35">
      <c r="J37" s="7">
        <v>30</v>
      </c>
      <c r="K37" s="1">
        <f t="shared" si="0"/>
        <v>682</v>
      </c>
      <c r="L37" s="1">
        <f t="shared" si="6"/>
        <v>3500</v>
      </c>
      <c r="M37" s="15">
        <f t="shared" si="7"/>
        <v>29.709</v>
      </c>
      <c r="N37" s="1">
        <f t="shared" si="4"/>
        <v>19000</v>
      </c>
      <c r="O37" s="1">
        <f t="shared" si="5"/>
        <v>77000</v>
      </c>
      <c r="P37" s="1">
        <f t="shared" si="8"/>
        <v>1</v>
      </c>
      <c r="Q37" s="1">
        <f t="shared" si="8"/>
        <v>1</v>
      </c>
      <c r="R37" s="1">
        <f t="shared" si="8"/>
        <v>1</v>
      </c>
      <c r="S37" s="1">
        <f t="shared" si="8"/>
        <v>1</v>
      </c>
    </row>
    <row r="38" spans="2:19" s="2" customFormat="1" x14ac:dyDescent="0.35">
      <c r="J38" s="7">
        <v>31</v>
      </c>
      <c r="K38" s="1">
        <f t="shared" si="0"/>
        <v>707</v>
      </c>
      <c r="L38" s="1">
        <f t="shared" si="6"/>
        <v>3600</v>
      </c>
      <c r="M38" s="15">
        <f t="shared" si="7"/>
        <v>29.931222222222221</v>
      </c>
      <c r="N38" s="1">
        <f t="shared" si="4"/>
        <v>20000</v>
      </c>
      <c r="O38" s="1">
        <f t="shared" si="5"/>
        <v>80000</v>
      </c>
      <c r="P38" s="1">
        <f t="shared" si="8"/>
        <v>1</v>
      </c>
      <c r="Q38" s="1">
        <f t="shared" si="8"/>
        <v>1</v>
      </c>
      <c r="R38" s="1">
        <f t="shared" si="8"/>
        <v>1</v>
      </c>
      <c r="S38" s="1">
        <f t="shared" si="8"/>
        <v>1</v>
      </c>
    </row>
    <row r="39" spans="2:19" s="2" customFormat="1" x14ac:dyDescent="0.35">
      <c r="D39" s="1"/>
      <c r="F39" s="1"/>
      <c r="J39" s="7">
        <v>32</v>
      </c>
      <c r="K39" s="1">
        <f t="shared" si="0"/>
        <v>732</v>
      </c>
      <c r="L39" s="1">
        <f t="shared" si="6"/>
        <v>3600</v>
      </c>
      <c r="M39" s="15">
        <f t="shared" si="7"/>
        <v>29.931222222222221</v>
      </c>
      <c r="N39" s="1">
        <f t="shared" si="4"/>
        <v>20000</v>
      </c>
      <c r="O39" s="1">
        <f t="shared" si="5"/>
        <v>80000</v>
      </c>
      <c r="P39" s="1">
        <f t="shared" si="8"/>
        <v>1</v>
      </c>
      <c r="Q39" s="1">
        <f t="shared" si="8"/>
        <v>1</v>
      </c>
      <c r="R39" s="1">
        <f t="shared" si="8"/>
        <v>1</v>
      </c>
      <c r="S39" s="1">
        <f t="shared" si="8"/>
        <v>1</v>
      </c>
    </row>
    <row r="40" spans="2:19" s="2" customFormat="1" x14ac:dyDescent="0.35">
      <c r="D40" s="1"/>
      <c r="F40" s="1"/>
      <c r="J40" s="7">
        <v>33</v>
      </c>
      <c r="K40" s="1">
        <f t="shared" si="0"/>
        <v>757</v>
      </c>
      <c r="L40" s="1">
        <f t="shared" si="6"/>
        <v>3700</v>
      </c>
      <c r="M40" s="15">
        <f t="shared" si="7"/>
        <v>29.871162162162161</v>
      </c>
      <c r="N40" s="1">
        <f t="shared" si="4"/>
        <v>20000</v>
      </c>
      <c r="O40" s="1">
        <f t="shared" si="5"/>
        <v>82000</v>
      </c>
      <c r="P40" s="1">
        <f t="shared" si="8"/>
        <v>1</v>
      </c>
      <c r="Q40" s="1">
        <f t="shared" si="8"/>
        <v>1</v>
      </c>
      <c r="R40" s="1">
        <f t="shared" si="8"/>
        <v>1</v>
      </c>
      <c r="S40" s="1">
        <f t="shared" si="8"/>
        <v>1</v>
      </c>
    </row>
    <row r="41" spans="2:19" s="2" customFormat="1" x14ac:dyDescent="0.35">
      <c r="D41" s="1"/>
      <c r="F41" s="1"/>
      <c r="J41" s="7">
        <v>34</v>
      </c>
      <c r="K41" s="1">
        <f t="shared" si="0"/>
        <v>782</v>
      </c>
      <c r="L41" s="1">
        <f t="shared" si="6"/>
        <v>3700</v>
      </c>
      <c r="M41" s="15">
        <f t="shared" si="7"/>
        <v>29.871162162162161</v>
      </c>
      <c r="N41" s="1">
        <f t="shared" si="4"/>
        <v>20000</v>
      </c>
      <c r="O41" s="1">
        <f t="shared" si="5"/>
        <v>82000</v>
      </c>
      <c r="P41" s="1">
        <f t="shared" si="8"/>
        <v>1</v>
      </c>
      <c r="Q41" s="1">
        <f t="shared" si="8"/>
        <v>1</v>
      </c>
      <c r="R41" s="1">
        <f t="shared" si="8"/>
        <v>1</v>
      </c>
      <c r="S41" s="1">
        <f t="shared" si="8"/>
        <v>1</v>
      </c>
    </row>
    <row r="42" spans="2:19" s="2" customFormat="1" x14ac:dyDescent="0.35">
      <c r="D42" s="1"/>
      <c r="F42" s="1"/>
      <c r="H42"/>
      <c r="J42" s="7">
        <v>35</v>
      </c>
      <c r="K42" s="1">
        <f t="shared" si="0"/>
        <v>807</v>
      </c>
      <c r="L42" s="1">
        <f t="shared" si="6"/>
        <v>3800</v>
      </c>
      <c r="M42" s="15">
        <f t="shared" si="7"/>
        <v>29.814263157894736</v>
      </c>
      <c r="N42" s="1">
        <f t="shared" si="4"/>
        <v>21000</v>
      </c>
      <c r="O42" s="1">
        <f t="shared" si="5"/>
        <v>84000</v>
      </c>
      <c r="P42" s="1">
        <f t="shared" si="8"/>
        <v>1</v>
      </c>
      <c r="Q42" s="1">
        <f t="shared" si="8"/>
        <v>1</v>
      </c>
      <c r="R42" s="1">
        <f t="shared" si="8"/>
        <v>1</v>
      </c>
      <c r="S42" s="1">
        <f t="shared" si="8"/>
        <v>1</v>
      </c>
    </row>
    <row r="43" spans="2:19" s="2" customFormat="1" x14ac:dyDescent="0.35">
      <c r="D43" s="1"/>
      <c r="F43" s="1"/>
      <c r="I43" s="2" t="s">
        <v>312</v>
      </c>
      <c r="J43" s="7">
        <v>36</v>
      </c>
      <c r="K43" s="1">
        <f t="shared" si="0"/>
        <v>832</v>
      </c>
      <c r="L43" s="1">
        <f t="shared" si="6"/>
        <v>3800</v>
      </c>
      <c r="M43" s="15">
        <f t="shared" si="7"/>
        <v>29.814263157894736</v>
      </c>
      <c r="N43" s="1">
        <f t="shared" si="4"/>
        <v>21000</v>
      </c>
      <c r="O43" s="1">
        <f t="shared" si="5"/>
        <v>84000</v>
      </c>
      <c r="P43" s="1">
        <f t="shared" si="8"/>
        <v>1</v>
      </c>
      <c r="Q43" s="1">
        <f t="shared" si="8"/>
        <v>1</v>
      </c>
      <c r="R43" s="1">
        <f t="shared" si="8"/>
        <v>1</v>
      </c>
      <c r="S43" s="1">
        <f t="shared" si="8"/>
        <v>1</v>
      </c>
    </row>
    <row r="44" spans="2:19" s="2" customFormat="1" x14ac:dyDescent="0.35">
      <c r="J44" s="7">
        <v>37</v>
      </c>
      <c r="K44" s="1">
        <f t="shared" si="0"/>
        <v>857</v>
      </c>
      <c r="L44" s="1">
        <f t="shared" si="6"/>
        <v>3900</v>
      </c>
      <c r="M44" s="15">
        <f t="shared" si="7"/>
        <v>29.760282051282051</v>
      </c>
      <c r="N44" s="1">
        <f t="shared" si="4"/>
        <v>21000</v>
      </c>
      <c r="O44" s="1">
        <f t="shared" si="5"/>
        <v>86000</v>
      </c>
      <c r="P44" s="1">
        <f t="shared" si="8"/>
        <v>1</v>
      </c>
      <c r="Q44" s="1">
        <f t="shared" si="8"/>
        <v>1</v>
      </c>
      <c r="R44" s="1">
        <f t="shared" si="8"/>
        <v>1</v>
      </c>
      <c r="S44" s="1">
        <f t="shared" si="8"/>
        <v>1</v>
      </c>
    </row>
    <row r="45" spans="2:19" s="2" customFormat="1" x14ac:dyDescent="0.35">
      <c r="J45" s="7">
        <v>38</v>
      </c>
      <c r="K45" s="1">
        <f t="shared" si="0"/>
        <v>882</v>
      </c>
      <c r="L45" s="1">
        <f t="shared" si="6"/>
        <v>3900</v>
      </c>
      <c r="M45" s="15">
        <f t="shared" si="7"/>
        <v>29.760282051282051</v>
      </c>
      <c r="N45" s="1">
        <f t="shared" si="4"/>
        <v>21000</v>
      </c>
      <c r="O45" s="1">
        <f t="shared" si="5"/>
        <v>86000</v>
      </c>
      <c r="P45" s="1">
        <f t="shared" si="8"/>
        <v>1</v>
      </c>
      <c r="Q45" s="1">
        <f t="shared" si="8"/>
        <v>1</v>
      </c>
      <c r="R45" s="1">
        <f t="shared" si="8"/>
        <v>1</v>
      </c>
      <c r="S45" s="1">
        <f t="shared" si="8"/>
        <v>1</v>
      </c>
    </row>
    <row r="46" spans="2:19" s="2" customFormat="1" x14ac:dyDescent="0.35">
      <c r="J46" s="7">
        <v>39</v>
      </c>
      <c r="K46" s="1">
        <f t="shared" si="0"/>
        <v>907</v>
      </c>
      <c r="L46" s="1">
        <f t="shared" si="6"/>
        <v>4000</v>
      </c>
      <c r="M46" s="15">
        <f t="shared" si="7"/>
        <v>29.709</v>
      </c>
      <c r="N46" s="1">
        <f t="shared" si="4"/>
        <v>22000</v>
      </c>
      <c r="O46" s="1">
        <f t="shared" si="5"/>
        <v>88000</v>
      </c>
      <c r="P46" s="1">
        <f t="shared" ref="P46:S48" si="9">IF(P$5=$D$18,_xlfn.CEILING.MATH($L46*INDEX($F$18:$F$22,P$2),500),INDEX($F$18:$F$22,P$2))</f>
        <v>1</v>
      </c>
      <c r="Q46" s="1">
        <f t="shared" si="9"/>
        <v>1</v>
      </c>
      <c r="R46" s="1">
        <f t="shared" si="9"/>
        <v>1</v>
      </c>
      <c r="S46" s="1">
        <f t="shared" si="9"/>
        <v>1</v>
      </c>
    </row>
    <row r="47" spans="2:19" s="2" customFormat="1" x14ac:dyDescent="0.35">
      <c r="J47" s="7">
        <v>40</v>
      </c>
      <c r="K47" s="1">
        <f t="shared" si="0"/>
        <v>932</v>
      </c>
      <c r="L47" s="1">
        <f t="shared" si="6"/>
        <v>4000</v>
      </c>
      <c r="M47" s="15">
        <f t="shared" si="7"/>
        <v>29.709</v>
      </c>
      <c r="N47" s="1">
        <f t="shared" si="4"/>
        <v>22000</v>
      </c>
      <c r="O47" s="1">
        <f t="shared" si="5"/>
        <v>88000</v>
      </c>
      <c r="P47" s="1">
        <f t="shared" si="9"/>
        <v>1</v>
      </c>
      <c r="Q47" s="1">
        <f t="shared" si="9"/>
        <v>1</v>
      </c>
      <c r="R47" s="1">
        <f t="shared" si="9"/>
        <v>1</v>
      </c>
      <c r="S47" s="1">
        <f t="shared" si="9"/>
        <v>1</v>
      </c>
    </row>
    <row r="48" spans="2:19" s="2" customFormat="1" x14ac:dyDescent="0.35">
      <c r="J48" s="7">
        <v>41</v>
      </c>
      <c r="K48" s="1">
        <f t="shared" si="0"/>
        <v>957</v>
      </c>
      <c r="L48" s="1">
        <f>INDEX(leve_cost_v,MATCH(K48,leve_cost_k,1))</f>
        <v>4100</v>
      </c>
      <c r="M48" s="15">
        <f>SUMPRODUCT(P48:S48,P$6:S$6)+O48/$L48</f>
        <v>29.904121951219512</v>
      </c>
      <c r="N48" s="1">
        <f t="shared" si="4"/>
        <v>22000</v>
      </c>
      <c r="O48" s="1">
        <f t="shared" si="5"/>
        <v>91000</v>
      </c>
      <c r="P48" s="1">
        <f t="shared" si="9"/>
        <v>1</v>
      </c>
      <c r="Q48" s="1">
        <f t="shared" si="9"/>
        <v>1</v>
      </c>
      <c r="R48" s="1">
        <f t="shared" si="9"/>
        <v>1</v>
      </c>
      <c r="S48" s="1">
        <f t="shared" si="9"/>
        <v>1</v>
      </c>
    </row>
    <row r="49" spans="2:19" s="2" customFormat="1" x14ac:dyDescent="0.35">
      <c r="K49" s="1"/>
      <c r="L49" s="1"/>
      <c r="M49" s="15"/>
      <c r="N49" s="1"/>
      <c r="O49" s="1"/>
      <c r="P49" s="1"/>
      <c r="Q49" s="1"/>
      <c r="R49" s="1"/>
      <c r="S49" s="1"/>
    </row>
    <row r="50" spans="2:19" x14ac:dyDescent="0.35">
      <c r="P50" s="1"/>
      <c r="S50" s="1"/>
    </row>
    <row r="51" spans="2:19" x14ac:dyDescent="0.35">
      <c r="P51" s="1"/>
      <c r="S51" s="1"/>
    </row>
    <row r="52" spans="2:19" x14ac:dyDescent="0.35">
      <c r="P52" s="1"/>
      <c r="S52" s="1"/>
    </row>
    <row r="53" spans="2:19" x14ac:dyDescent="0.35">
      <c r="P53" s="1"/>
      <c r="S53" s="1"/>
    </row>
    <row r="54" spans="2:19" x14ac:dyDescent="0.35">
      <c r="B54" s="2"/>
      <c r="P54" s="1"/>
      <c r="S54" s="1"/>
    </row>
    <row r="55" spans="2:19" x14ac:dyDescent="0.35">
      <c r="B55" s="7"/>
      <c r="C55" s="7"/>
      <c r="D55" s="7"/>
      <c r="P55" s="1"/>
      <c r="S55" s="1"/>
    </row>
    <row r="56" spans="2:19" x14ac:dyDescent="0.35">
      <c r="B56" s="7"/>
      <c r="C56" s="7"/>
      <c r="D56" s="7"/>
      <c r="P56" s="1"/>
      <c r="S56" s="1"/>
    </row>
    <row r="57" spans="2:19" x14ac:dyDescent="0.35">
      <c r="B57" s="7"/>
      <c r="C57" s="7"/>
      <c r="D57" s="7"/>
      <c r="P57" s="1"/>
      <c r="S57" s="1"/>
    </row>
    <row r="58" spans="2:19" x14ac:dyDescent="0.35">
      <c r="B58" s="7"/>
      <c r="C58" s="7"/>
      <c r="D58" s="7"/>
      <c r="P58" s="1"/>
      <c r="S58" s="1"/>
    </row>
    <row r="59" spans="2:19" x14ac:dyDescent="0.35">
      <c r="B59" s="7"/>
      <c r="C59" s="7"/>
      <c r="D59" s="7"/>
      <c r="P59" s="1"/>
      <c r="S59" s="1"/>
    </row>
    <row r="60" spans="2:19" x14ac:dyDescent="0.35">
      <c r="B60" s="7"/>
      <c r="C60" s="7"/>
      <c r="D60" s="7"/>
      <c r="P60" s="1"/>
      <c r="S60" s="1"/>
    </row>
    <row r="61" spans="2:19" x14ac:dyDescent="0.35">
      <c r="B61" s="7"/>
      <c r="C61" s="7"/>
      <c r="D61" s="7"/>
      <c r="P61" s="1"/>
      <c r="S61" s="1"/>
    </row>
    <row r="62" spans="2:19" x14ac:dyDescent="0.35">
      <c r="B62" s="7"/>
      <c r="C62" s="7"/>
      <c r="D62" s="7"/>
      <c r="P62" s="1"/>
      <c r="S62" s="1"/>
    </row>
    <row r="63" spans="2:19" x14ac:dyDescent="0.35">
      <c r="B63" s="7"/>
      <c r="C63" s="7"/>
      <c r="D63" s="7"/>
      <c r="P63" s="1"/>
      <c r="S63" s="1"/>
    </row>
    <row r="64" spans="2:19" x14ac:dyDescent="0.35">
      <c r="P64" s="1"/>
      <c r="S64" s="1"/>
    </row>
    <row r="65" spans="2:19" x14ac:dyDescent="0.35">
      <c r="P65" s="1"/>
      <c r="S65" s="1"/>
    </row>
    <row r="66" spans="2:19" x14ac:dyDescent="0.35">
      <c r="C66" s="1"/>
      <c r="P66" s="1"/>
      <c r="S66" s="1"/>
    </row>
    <row r="67" spans="2:19" x14ac:dyDescent="0.35">
      <c r="C67" s="8"/>
      <c r="P67" s="1"/>
      <c r="S67" s="1"/>
    </row>
    <row r="68" spans="2:19" x14ac:dyDescent="0.35">
      <c r="P68" s="1"/>
      <c r="S68" s="1"/>
    </row>
    <row r="69" spans="2:19" x14ac:dyDescent="0.35">
      <c r="C69"/>
      <c r="D69"/>
      <c r="E69"/>
      <c r="F69"/>
      <c r="G69"/>
      <c r="H69"/>
      <c r="P69" s="1"/>
      <c r="S69" s="1"/>
    </row>
    <row r="70" spans="2:19" x14ac:dyDescent="0.35">
      <c r="B70" s="2"/>
      <c r="D70" s="1"/>
      <c r="F70" s="1"/>
      <c r="P70" s="1"/>
      <c r="S70" s="1"/>
    </row>
    <row r="71" spans="2:19" x14ac:dyDescent="0.35">
      <c r="B71" s="2"/>
      <c r="D71" s="1"/>
      <c r="F71" s="1"/>
      <c r="P71" s="1"/>
      <c r="S71" s="1"/>
    </row>
    <row r="72" spans="2:19" x14ac:dyDescent="0.35">
      <c r="B72" s="2"/>
      <c r="D72" s="1"/>
      <c r="F72" s="1"/>
      <c r="P72" s="1"/>
      <c r="S72" s="1"/>
    </row>
    <row r="73" spans="2:19" x14ac:dyDescent="0.35">
      <c r="B73" s="2"/>
      <c r="D73" s="1"/>
      <c r="F73" s="1"/>
      <c r="P73" s="1"/>
      <c r="S73" s="1"/>
    </row>
    <row r="74" spans="2:19" x14ac:dyDescent="0.35">
      <c r="B74" s="2"/>
      <c r="D74" s="1"/>
      <c r="F74" s="1"/>
      <c r="P74" s="1"/>
      <c r="S74" s="1"/>
    </row>
    <row r="75" spans="2:19" x14ac:dyDescent="0.35">
      <c r="B75" s="2"/>
      <c r="D75" s="1"/>
      <c r="F75" s="1"/>
      <c r="P75" s="1"/>
      <c r="S75" s="1"/>
    </row>
    <row r="76" spans="2:19" x14ac:dyDescent="0.35">
      <c r="B76" s="2"/>
      <c r="D76" s="1"/>
      <c r="F76" s="1"/>
      <c r="P76" s="1"/>
      <c r="S76" s="1"/>
    </row>
    <row r="77" spans="2:19" x14ac:dyDescent="0.35">
      <c r="B77" s="2"/>
      <c r="D77" s="1"/>
      <c r="F77" s="1"/>
      <c r="P77" s="1"/>
      <c r="S77" s="1"/>
    </row>
    <row r="78" spans="2:19" x14ac:dyDescent="0.35">
      <c r="B78" s="2"/>
      <c r="D78" s="1"/>
      <c r="F78" s="1"/>
      <c r="P78" s="1"/>
      <c r="S78" s="1"/>
    </row>
    <row r="79" spans="2:19" x14ac:dyDescent="0.35">
      <c r="B79" s="2"/>
      <c r="D79" s="1"/>
      <c r="F79" s="1"/>
      <c r="P79" s="1"/>
      <c r="S79" s="1"/>
    </row>
    <row r="80" spans="2:19" x14ac:dyDescent="0.35">
      <c r="B80" s="2"/>
      <c r="D80" s="1"/>
      <c r="F80" s="1"/>
      <c r="P80" s="1"/>
      <c r="S80" s="1"/>
    </row>
    <row r="81" spans="2:19" x14ac:dyDescent="0.35">
      <c r="B81" s="2"/>
      <c r="D81" s="1"/>
      <c r="F81" s="1"/>
      <c r="P81" s="1"/>
      <c r="S81" s="1"/>
    </row>
    <row r="82" spans="2:19" x14ac:dyDescent="0.35">
      <c r="P82" s="1"/>
      <c r="S82" s="1"/>
    </row>
    <row r="83" spans="2:19" x14ac:dyDescent="0.35">
      <c r="P83" s="1"/>
      <c r="S83" s="1"/>
    </row>
    <row r="84" spans="2:19" x14ac:dyDescent="0.35">
      <c r="B84" s="7"/>
      <c r="C84" s="7"/>
      <c r="D84" s="7"/>
      <c r="P84" s="1"/>
      <c r="S84" s="1"/>
    </row>
    <row r="85" spans="2:19" x14ac:dyDescent="0.35">
      <c r="B85" s="7"/>
      <c r="C85" s="7"/>
      <c r="D85" s="7"/>
      <c r="P85" s="1"/>
      <c r="S85" s="1"/>
    </row>
    <row r="86" spans="2:19" x14ac:dyDescent="0.35">
      <c r="B86" s="7"/>
      <c r="C86" s="7"/>
      <c r="D86" s="7"/>
      <c r="P86" s="1"/>
      <c r="S86" s="1"/>
    </row>
    <row r="87" spans="2:19" x14ac:dyDescent="0.35">
      <c r="B87" s="7"/>
      <c r="C87" s="7"/>
      <c r="D87" s="7"/>
      <c r="P87" s="1"/>
      <c r="S87" s="1"/>
    </row>
    <row r="88" spans="2:19" x14ac:dyDescent="0.35">
      <c r="B88" s="7"/>
      <c r="C88" s="7"/>
      <c r="D88" s="7"/>
      <c r="P88" s="1"/>
      <c r="S88" s="1"/>
    </row>
    <row r="89" spans="2:19" x14ac:dyDescent="0.35">
      <c r="B89" s="7"/>
      <c r="C89" s="7"/>
      <c r="D89" s="7"/>
      <c r="P89" s="1"/>
      <c r="S89" s="1"/>
    </row>
    <row r="90" spans="2:19" x14ac:dyDescent="0.35">
      <c r="B90" s="7"/>
      <c r="C90" s="7"/>
      <c r="D90" s="7"/>
      <c r="P90" s="1"/>
      <c r="S90" s="1"/>
    </row>
    <row r="91" spans="2:19" x14ac:dyDescent="0.35">
      <c r="B91" s="7"/>
      <c r="C91" s="7"/>
      <c r="D91" s="7"/>
      <c r="P91" s="1"/>
      <c r="S91" s="1"/>
    </row>
    <row r="92" spans="2:19" x14ac:dyDescent="0.35">
      <c r="B92" s="7"/>
      <c r="C92" s="7"/>
      <c r="D92" s="7"/>
      <c r="P92" s="1"/>
      <c r="S92" s="1"/>
    </row>
    <row r="93" spans="2:19" x14ac:dyDescent="0.35">
      <c r="P93" s="1"/>
      <c r="S93" s="1"/>
    </row>
    <row r="94" spans="2:19" x14ac:dyDescent="0.35">
      <c r="P94" s="1"/>
      <c r="S94" s="1"/>
    </row>
    <row r="95" spans="2:19" x14ac:dyDescent="0.35">
      <c r="P95" s="1"/>
      <c r="S95" s="1"/>
    </row>
    <row r="96" spans="2:19" x14ac:dyDescent="0.35">
      <c r="P96" s="1"/>
      <c r="S96" s="1"/>
    </row>
    <row r="97" spans="16:19" x14ac:dyDescent="0.35">
      <c r="P97" s="1"/>
      <c r="S97" s="1"/>
    </row>
    <row r="98" spans="16:19" x14ac:dyDescent="0.35">
      <c r="P98" s="1"/>
      <c r="S98" s="1"/>
    </row>
    <row r="99" spans="16:19" x14ac:dyDescent="0.35">
      <c r="P99" s="1"/>
      <c r="S99" s="1"/>
    </row>
    <row r="100" spans="16:19" x14ac:dyDescent="0.35">
      <c r="P100" s="1"/>
      <c r="S100" s="1"/>
    </row>
    <row r="101" spans="16:19" x14ac:dyDescent="0.35">
      <c r="P101" s="1"/>
      <c r="S101" s="1"/>
    </row>
    <row r="102" spans="16:19" x14ac:dyDescent="0.35">
      <c r="P102" s="1"/>
      <c r="S102" s="1"/>
    </row>
    <row r="103" spans="16:19" x14ac:dyDescent="0.35">
      <c r="P103" s="1"/>
      <c r="S103" s="1"/>
    </row>
    <row r="104" spans="16:19" x14ac:dyDescent="0.35">
      <c r="P104" s="1"/>
      <c r="S104" s="1"/>
    </row>
    <row r="105" spans="16:19" ht="12.75" customHeight="1" x14ac:dyDescent="0.35">
      <c r="P105" s="1"/>
      <c r="S105" s="1"/>
    </row>
    <row r="106" spans="16:19" x14ac:dyDescent="0.35">
      <c r="P106" s="1"/>
      <c r="S1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6F36-9FCC-47AD-84B0-77866E3E79F6}">
  <dimension ref="B1:J106"/>
  <sheetViews>
    <sheetView workbookViewId="0">
      <selection activeCell="M47" sqref="M47"/>
    </sheetView>
  </sheetViews>
  <sheetFormatPr defaultRowHeight="16.5" x14ac:dyDescent="0.35"/>
  <cols>
    <col min="2" max="2" width="18.625" bestFit="1" customWidth="1"/>
    <col min="3" max="3" width="6.125" bestFit="1" customWidth="1"/>
    <col min="4" max="4" width="9" bestFit="1" customWidth="1"/>
    <col min="5" max="5" width="8" bestFit="1" customWidth="1"/>
    <col min="6" max="6" width="11.375" bestFit="1" customWidth="1"/>
    <col min="7" max="7" width="5.375" bestFit="1" customWidth="1"/>
    <col min="8" max="8" width="15.625" bestFit="1" customWidth="1"/>
    <col min="9" max="9" width="8" bestFit="1" customWidth="1"/>
    <col min="10" max="10" width="24.375" customWidth="1"/>
    <col min="11" max="11" width="6.75" customWidth="1"/>
    <col min="12" max="12" width="11.375" bestFit="1" customWidth="1"/>
  </cols>
  <sheetData>
    <row r="1" spans="2:10" s="4" customFormat="1" ht="32.1" customHeight="1" x14ac:dyDescent="0.35">
      <c r="B1" s="4" t="s">
        <v>190</v>
      </c>
    </row>
    <row r="4" spans="2:10" x14ac:dyDescent="0.35">
      <c r="C4" s="7" t="s">
        <v>368</v>
      </c>
      <c r="D4" s="7" t="s">
        <v>368</v>
      </c>
      <c r="E4" s="7" t="s">
        <v>368</v>
      </c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</row>
    <row r="5" spans="2:10" s="13" customFormat="1" x14ac:dyDescent="0.35">
      <c r="C5" s="13" t="s">
        <v>279</v>
      </c>
      <c r="D5" s="13" t="s">
        <v>280</v>
      </c>
      <c r="E5" s="13" t="s">
        <v>198</v>
      </c>
      <c r="F5" s="13" t="s">
        <v>199</v>
      </c>
      <c r="G5" s="13" t="s">
        <v>154</v>
      </c>
      <c r="H5" s="13" t="s">
        <v>215</v>
      </c>
      <c r="I5" s="13" t="s">
        <v>4</v>
      </c>
      <c r="J5" s="13" t="s">
        <v>201</v>
      </c>
    </row>
    <row r="6" spans="2:10" x14ac:dyDescent="0.35">
      <c r="C6">
        <v>1</v>
      </c>
      <c r="D6" s="1">
        <f>商城!N7</f>
        <v>1.99</v>
      </c>
      <c r="E6" s="1" t="s">
        <v>195</v>
      </c>
      <c r="F6" s="1" t="str">
        <f>商城!E7</f>
        <v>礼包</v>
      </c>
      <c r="G6" s="1">
        <v>1</v>
      </c>
      <c r="H6" s="1">
        <f>D6*离线奖励!$C$12/G6</f>
        <v>5.97</v>
      </c>
      <c r="I6" s="1">
        <v>1</v>
      </c>
      <c r="J6" t="s">
        <v>200</v>
      </c>
    </row>
    <row r="7" spans="2:10" x14ac:dyDescent="0.35">
      <c r="C7">
        <v>2</v>
      </c>
      <c r="D7" s="1">
        <f>商城!N8</f>
        <v>4.99</v>
      </c>
      <c r="E7" s="1" t="s">
        <v>195</v>
      </c>
      <c r="F7" s="1" t="str">
        <f>商城!E8</f>
        <v>礼包</v>
      </c>
      <c r="G7" s="1">
        <v>1</v>
      </c>
      <c r="H7" s="1">
        <f>D7*离线奖励!$C$12/G7</f>
        <v>14.97</v>
      </c>
      <c r="I7" s="1">
        <v>1</v>
      </c>
      <c r="J7" t="s">
        <v>200</v>
      </c>
    </row>
    <row r="8" spans="2:10" x14ac:dyDescent="0.35">
      <c r="C8">
        <v>3</v>
      </c>
      <c r="D8" s="1">
        <f>商城!N9</f>
        <v>7.99</v>
      </c>
      <c r="E8" s="1" t="s">
        <v>195</v>
      </c>
      <c r="F8" s="1" t="str">
        <f>商城!E9</f>
        <v>礼包</v>
      </c>
      <c r="G8" s="1">
        <v>1</v>
      </c>
      <c r="H8" s="1">
        <f>D8*离线奖励!$C$12/G8</f>
        <v>23.97</v>
      </c>
      <c r="I8" s="1">
        <v>1</v>
      </c>
      <c r="J8" t="s">
        <v>200</v>
      </c>
    </row>
    <row r="9" spans="2:10" x14ac:dyDescent="0.35">
      <c r="C9">
        <v>4</v>
      </c>
      <c r="D9" s="1">
        <f>商城!N10</f>
        <v>14.99</v>
      </c>
      <c r="E9" s="1" t="s">
        <v>195</v>
      </c>
      <c r="F9" s="1" t="str">
        <f>商城!E10</f>
        <v>礼包</v>
      </c>
      <c r="G9" s="1">
        <v>1</v>
      </c>
      <c r="H9" s="1">
        <f>D9*离线奖励!$C$12/G9</f>
        <v>44.97</v>
      </c>
      <c r="I9" s="1">
        <v>1</v>
      </c>
      <c r="J9" t="s">
        <v>200</v>
      </c>
    </row>
    <row r="10" spans="2:10" x14ac:dyDescent="0.35">
      <c r="C10">
        <v>5</v>
      </c>
      <c r="D10" s="1">
        <f>商城!N11</f>
        <v>25.99</v>
      </c>
      <c r="E10" s="1" t="s">
        <v>195</v>
      </c>
      <c r="F10" s="1" t="str">
        <f>商城!E11</f>
        <v>礼包</v>
      </c>
      <c r="G10" s="1">
        <v>1</v>
      </c>
      <c r="H10" s="1">
        <f>D10*离线奖励!$C$12/G10</f>
        <v>77.97</v>
      </c>
      <c r="I10" s="1">
        <v>1</v>
      </c>
      <c r="J10" t="s">
        <v>200</v>
      </c>
    </row>
    <row r="11" spans="2:10" x14ac:dyDescent="0.35">
      <c r="C11">
        <v>6</v>
      </c>
      <c r="D11" s="1">
        <f>商城!N12</f>
        <v>35.99</v>
      </c>
      <c r="E11" s="1" t="s">
        <v>195</v>
      </c>
      <c r="F11" s="1" t="str">
        <f>商城!E12</f>
        <v>礼包</v>
      </c>
      <c r="G11" s="1">
        <v>1</v>
      </c>
      <c r="H11" s="1">
        <f>D11*离线奖励!$C$12/G11</f>
        <v>107.97</v>
      </c>
      <c r="I11" s="1">
        <v>1</v>
      </c>
      <c r="J11" t="s">
        <v>200</v>
      </c>
    </row>
    <row r="12" spans="2:10" x14ac:dyDescent="0.35">
      <c r="C12">
        <v>7</v>
      </c>
      <c r="D12" s="1">
        <f>商城!N13</f>
        <v>1.99</v>
      </c>
      <c r="E12" s="1" t="s">
        <v>195</v>
      </c>
      <c r="F12" s="1" t="str">
        <f>商城!E13</f>
        <v>金币</v>
      </c>
      <c r="G12" s="1">
        <v>1</v>
      </c>
      <c r="H12" s="1">
        <f>D12*离线奖励!$C$12/G12</f>
        <v>5.97</v>
      </c>
      <c r="I12" s="1">
        <v>1</v>
      </c>
      <c r="J12" t="s">
        <v>200</v>
      </c>
    </row>
    <row r="13" spans="2:10" x14ac:dyDescent="0.35">
      <c r="C13">
        <v>8</v>
      </c>
      <c r="D13" s="1">
        <f>商城!N14</f>
        <v>5.99</v>
      </c>
      <c r="E13" s="1" t="s">
        <v>195</v>
      </c>
      <c r="F13" s="1" t="str">
        <f>商城!E14</f>
        <v>金币</v>
      </c>
      <c r="G13" s="1">
        <v>1</v>
      </c>
      <c r="H13" s="1">
        <f>D13*离线奖励!$C$12/G13</f>
        <v>17.97</v>
      </c>
      <c r="I13" s="1">
        <v>1</v>
      </c>
      <c r="J13" t="s">
        <v>200</v>
      </c>
    </row>
    <row r="14" spans="2:10" x14ac:dyDescent="0.35">
      <c r="C14">
        <v>9</v>
      </c>
      <c r="D14" s="1">
        <f>商城!N15</f>
        <v>19.989999999999998</v>
      </c>
      <c r="E14" s="1" t="s">
        <v>195</v>
      </c>
      <c r="F14" s="1" t="str">
        <f>商城!E15</f>
        <v>金币</v>
      </c>
      <c r="G14" s="1">
        <v>1</v>
      </c>
      <c r="H14" s="1">
        <f>D14*离线奖励!$C$12/G14</f>
        <v>59.97</v>
      </c>
      <c r="I14" s="1">
        <v>1</v>
      </c>
      <c r="J14" t="s">
        <v>200</v>
      </c>
    </row>
    <row r="15" spans="2:10" x14ac:dyDescent="0.35">
      <c r="C15">
        <v>10</v>
      </c>
      <c r="D15" s="1">
        <f>商城!N16</f>
        <v>49.99</v>
      </c>
      <c r="E15" s="1" t="s">
        <v>195</v>
      </c>
      <c r="F15" s="1" t="str">
        <f>商城!E16</f>
        <v>金币</v>
      </c>
      <c r="G15" s="1">
        <v>1</v>
      </c>
      <c r="H15" s="1">
        <f>D15*离线奖励!$C$12/G15</f>
        <v>149.97</v>
      </c>
      <c r="I15" s="1">
        <v>1</v>
      </c>
      <c r="J15" t="s">
        <v>200</v>
      </c>
    </row>
    <row r="16" spans="2:10" x14ac:dyDescent="0.35">
      <c r="C16">
        <v>11</v>
      </c>
      <c r="D16" s="1">
        <f>转盘!F40</f>
        <v>2.99</v>
      </c>
      <c r="E16" s="1" t="s">
        <v>196</v>
      </c>
      <c r="F16" s="1" t="str">
        <f>转盘!B39</f>
        <v>付费转盘</v>
      </c>
      <c r="G16" s="1">
        <f>转盘!F69</f>
        <v>0.24462535439449168</v>
      </c>
      <c r="H16" s="1">
        <f>D16*离线奖励!$C$12/G16</f>
        <v>36.668316831683171</v>
      </c>
      <c r="I16" s="1">
        <f>功能开启!G11</f>
        <v>18</v>
      </c>
      <c r="J16" t="s">
        <v>386</v>
      </c>
    </row>
    <row r="17" spans="3:10" x14ac:dyDescent="0.35">
      <c r="C17">
        <v>12</v>
      </c>
      <c r="D17" s="1">
        <f>进度礼包!F32</f>
        <v>0.99</v>
      </c>
      <c r="E17" s="1" t="s">
        <v>197</v>
      </c>
      <c r="F17" s="1" t="str">
        <f>进度礼包!B31</f>
        <v>付费进度礼包</v>
      </c>
      <c r="G17" s="1">
        <f>进度礼包!F33</f>
        <v>0.2610989010989011</v>
      </c>
      <c r="H17" s="1">
        <f>D17*离线奖励!$C$12/G17</f>
        <v>11.374999999999998</v>
      </c>
      <c r="I17" s="1">
        <f>功能开启!G19</f>
        <v>67</v>
      </c>
      <c r="J17" t="s">
        <v>386</v>
      </c>
    </row>
    <row r="18" spans="3:10" x14ac:dyDescent="0.35">
      <c r="C18">
        <v>13</v>
      </c>
      <c r="D18" s="1">
        <f>限时礼包!F13</f>
        <v>3.99</v>
      </c>
      <c r="E18" s="1" t="s">
        <v>75</v>
      </c>
      <c r="F18" s="1" t="str">
        <f>限时礼包!B12</f>
        <v>付费限时礼包</v>
      </c>
      <c r="G18" s="1">
        <f>限时礼包!F14</f>
        <v>0.40290820963344443</v>
      </c>
      <c r="H18" s="1">
        <f>D18*离线奖励!$C$12/G18</f>
        <v>29.709</v>
      </c>
      <c r="I18" s="1">
        <f>功能开启!G20</f>
        <v>22</v>
      </c>
      <c r="J18">
        <f>限时礼包!B8</f>
        <v>0</v>
      </c>
    </row>
    <row r="106" ht="12.75" customHeigh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E222-1CAF-4A51-BB75-E429072E6E7E}">
  <dimension ref="B1:Z1005"/>
  <sheetViews>
    <sheetView topLeftCell="A55" workbookViewId="0">
      <selection activeCell="L153" sqref="A137:L153"/>
    </sheetView>
  </sheetViews>
  <sheetFormatPr defaultColWidth="12.25" defaultRowHeight="16.5" x14ac:dyDescent="0.35"/>
  <cols>
    <col min="4" max="4" width="12.25" style="2"/>
    <col min="5" max="7" width="12.25" customWidth="1"/>
  </cols>
  <sheetData>
    <row r="1" spans="2:11" s="4" customFormat="1" ht="21" x14ac:dyDescent="0.35">
      <c r="B1" s="4" t="s">
        <v>313</v>
      </c>
    </row>
    <row r="5" spans="2:11" x14ac:dyDescent="0.35">
      <c r="D5" s="2" t="s">
        <v>235</v>
      </c>
      <c r="E5" t="s">
        <v>145</v>
      </c>
      <c r="F5" t="s">
        <v>345</v>
      </c>
      <c r="G5" t="s">
        <v>314</v>
      </c>
      <c r="H5" t="s">
        <v>315</v>
      </c>
      <c r="I5" t="s">
        <v>316</v>
      </c>
      <c r="K5" t="s">
        <v>346</v>
      </c>
    </row>
    <row r="6" spans="2:11" x14ac:dyDescent="0.35">
      <c r="D6" s="18">
        <v>1</v>
      </c>
      <c r="E6" s="19">
        <v>1</v>
      </c>
      <c r="F6" s="19">
        <v>1</v>
      </c>
      <c r="G6" s="19">
        <v>0.2</v>
      </c>
      <c r="H6" s="19">
        <v>0.2</v>
      </c>
      <c r="I6" s="19">
        <v>0.2</v>
      </c>
      <c r="K6">
        <v>0</v>
      </c>
    </row>
    <row r="7" spans="2:11" x14ac:dyDescent="0.35">
      <c r="D7" s="18">
        <v>2</v>
      </c>
      <c r="E7" s="19">
        <v>1</v>
      </c>
      <c r="F7" s="19">
        <v>1</v>
      </c>
      <c r="G7" s="19">
        <v>0.2</v>
      </c>
      <c r="H7" s="19">
        <v>0.2</v>
      </c>
      <c r="I7" s="19">
        <v>0.2</v>
      </c>
      <c r="K7">
        <v>1</v>
      </c>
    </row>
    <row r="8" spans="2:11" x14ac:dyDescent="0.35">
      <c r="D8" s="18">
        <v>3</v>
      </c>
      <c r="E8" s="19">
        <v>1</v>
      </c>
      <c r="F8" s="19">
        <v>1</v>
      </c>
      <c r="G8" s="19">
        <v>0.2</v>
      </c>
      <c r="H8" s="19">
        <v>0.2</v>
      </c>
      <c r="I8" s="19">
        <v>0.2</v>
      </c>
      <c r="K8">
        <v>0</v>
      </c>
    </row>
    <row r="9" spans="2:11" x14ac:dyDescent="0.35">
      <c r="D9" s="18">
        <v>4</v>
      </c>
      <c r="E9" s="19">
        <v>1</v>
      </c>
      <c r="F9" s="19">
        <v>1</v>
      </c>
      <c r="G9" s="19">
        <v>0.2</v>
      </c>
      <c r="H9" s="19">
        <v>0.2</v>
      </c>
      <c r="I9" s="19">
        <v>0.2</v>
      </c>
      <c r="K9">
        <v>0</v>
      </c>
    </row>
    <row r="10" spans="2:11" x14ac:dyDescent="0.35">
      <c r="D10" s="18">
        <v>5</v>
      </c>
      <c r="E10" s="19">
        <v>1</v>
      </c>
      <c r="F10" s="19">
        <v>1</v>
      </c>
      <c r="G10" s="19">
        <v>0.2</v>
      </c>
      <c r="H10" s="19">
        <v>0.2</v>
      </c>
      <c r="I10" s="19">
        <v>0.2</v>
      </c>
      <c r="K10">
        <v>0</v>
      </c>
    </row>
    <row r="11" spans="2:11" x14ac:dyDescent="0.35">
      <c r="D11" s="18">
        <v>6</v>
      </c>
      <c r="E11" s="19">
        <v>1</v>
      </c>
      <c r="F11" s="19">
        <v>1</v>
      </c>
      <c r="G11" s="19">
        <v>0.2</v>
      </c>
      <c r="H11" s="19">
        <v>0.2</v>
      </c>
      <c r="I11" s="19">
        <v>0.2</v>
      </c>
      <c r="K11">
        <v>0</v>
      </c>
    </row>
    <row r="12" spans="2:11" x14ac:dyDescent="0.35">
      <c r="D12" s="18">
        <v>7</v>
      </c>
      <c r="E12" s="19">
        <v>1</v>
      </c>
      <c r="F12" s="19">
        <v>1</v>
      </c>
      <c r="G12" s="19">
        <v>0.2</v>
      </c>
      <c r="H12" s="19">
        <v>0.2</v>
      </c>
      <c r="I12" s="19">
        <v>0.2</v>
      </c>
      <c r="K12">
        <v>0</v>
      </c>
    </row>
    <row r="13" spans="2:11" x14ac:dyDescent="0.35">
      <c r="D13" s="18">
        <v>8</v>
      </c>
      <c r="E13" s="19">
        <v>1</v>
      </c>
      <c r="F13" s="19">
        <v>1</v>
      </c>
      <c r="G13" s="19">
        <v>0.2</v>
      </c>
      <c r="H13" s="19">
        <v>0.2</v>
      </c>
      <c r="I13" s="19">
        <v>0.2</v>
      </c>
      <c r="K13">
        <v>0</v>
      </c>
    </row>
    <row r="14" spans="2:11" x14ac:dyDescent="0.35">
      <c r="D14" s="18">
        <v>9</v>
      </c>
      <c r="E14" s="19">
        <v>1</v>
      </c>
      <c r="F14" s="19">
        <v>1</v>
      </c>
      <c r="G14" s="19">
        <v>0.2</v>
      </c>
      <c r="H14" s="19">
        <v>0.2</v>
      </c>
      <c r="I14" s="19">
        <v>0.2</v>
      </c>
      <c r="K14">
        <v>1</v>
      </c>
    </row>
    <row r="15" spans="2:11" x14ac:dyDescent="0.35">
      <c r="D15" s="18">
        <v>10</v>
      </c>
      <c r="E15" s="19">
        <v>1</v>
      </c>
      <c r="F15" s="19">
        <v>1</v>
      </c>
      <c r="G15" s="19">
        <v>0.2</v>
      </c>
      <c r="H15" s="19">
        <v>0.2</v>
      </c>
      <c r="I15" s="19">
        <v>0.2</v>
      </c>
      <c r="K15">
        <v>0</v>
      </c>
    </row>
    <row r="16" spans="2:11" x14ac:dyDescent="0.35">
      <c r="D16" s="18">
        <v>11</v>
      </c>
      <c r="E16" s="19">
        <v>0.5</v>
      </c>
      <c r="F16" s="19">
        <v>1</v>
      </c>
      <c r="G16" s="19">
        <v>0.2</v>
      </c>
      <c r="H16" s="19">
        <v>0.2</v>
      </c>
      <c r="I16" s="19">
        <v>0.2</v>
      </c>
      <c r="K16">
        <v>2</v>
      </c>
    </row>
    <row r="17" spans="4:11" x14ac:dyDescent="0.35">
      <c r="D17" s="18">
        <v>12</v>
      </c>
      <c r="E17" s="19">
        <v>0.5</v>
      </c>
      <c r="F17" s="19">
        <v>1</v>
      </c>
      <c r="G17" s="19">
        <v>0.2</v>
      </c>
      <c r="H17" s="19">
        <v>0.2</v>
      </c>
      <c r="I17" s="19">
        <v>0.2</v>
      </c>
      <c r="K17">
        <v>0</v>
      </c>
    </row>
    <row r="18" spans="4:11" x14ac:dyDescent="0.35">
      <c r="D18" s="18">
        <v>13</v>
      </c>
      <c r="E18" s="19">
        <v>0.5</v>
      </c>
      <c r="F18" s="19">
        <v>1</v>
      </c>
      <c r="G18" s="19">
        <v>0.2</v>
      </c>
      <c r="H18" s="19">
        <v>0.2</v>
      </c>
      <c r="I18" s="19">
        <v>0.2</v>
      </c>
      <c r="K18">
        <v>1</v>
      </c>
    </row>
    <row r="19" spans="4:11" x14ac:dyDescent="0.35">
      <c r="D19" s="18">
        <v>14</v>
      </c>
      <c r="E19" s="19">
        <v>0.5</v>
      </c>
      <c r="F19" s="19">
        <v>1</v>
      </c>
      <c r="G19" s="19">
        <v>0.2</v>
      </c>
      <c r="H19" s="19">
        <v>0.2</v>
      </c>
      <c r="I19" s="19">
        <v>0.2</v>
      </c>
      <c r="K19">
        <v>1</v>
      </c>
    </row>
    <row r="20" spans="4:11" x14ac:dyDescent="0.35">
      <c r="D20" s="18">
        <v>15</v>
      </c>
      <c r="E20" s="19">
        <v>0.5</v>
      </c>
      <c r="F20" s="19">
        <v>1</v>
      </c>
      <c r="G20" s="19">
        <v>0.2</v>
      </c>
      <c r="H20" s="19">
        <v>0.2</v>
      </c>
      <c r="I20" s="19">
        <v>0.2</v>
      </c>
      <c r="K20">
        <v>0</v>
      </c>
    </row>
    <row r="21" spans="4:11" x14ac:dyDescent="0.35">
      <c r="D21" s="18">
        <v>16</v>
      </c>
      <c r="E21" s="19">
        <v>0.5</v>
      </c>
      <c r="F21" s="19">
        <v>1</v>
      </c>
      <c r="G21" s="19">
        <v>0.2</v>
      </c>
      <c r="H21" s="19">
        <v>0.2</v>
      </c>
      <c r="I21" s="19">
        <v>0.2</v>
      </c>
      <c r="K21">
        <v>1</v>
      </c>
    </row>
    <row r="22" spans="4:11" x14ac:dyDescent="0.35">
      <c r="D22" s="18">
        <v>17</v>
      </c>
      <c r="E22" s="19">
        <v>0.5</v>
      </c>
      <c r="F22" s="19">
        <v>1</v>
      </c>
      <c r="G22" s="19">
        <v>0.2</v>
      </c>
      <c r="H22" s="19">
        <v>0.2</v>
      </c>
      <c r="I22" s="19">
        <v>0.2</v>
      </c>
      <c r="K22">
        <v>0</v>
      </c>
    </row>
    <row r="23" spans="4:11" x14ac:dyDescent="0.35">
      <c r="D23" s="18">
        <v>18</v>
      </c>
      <c r="E23" s="19">
        <v>0.5</v>
      </c>
      <c r="F23" s="19">
        <v>1</v>
      </c>
      <c r="G23" s="19">
        <v>0.2</v>
      </c>
      <c r="H23" s="19">
        <v>0.2</v>
      </c>
      <c r="I23" s="19">
        <v>0.2</v>
      </c>
      <c r="K23">
        <v>1</v>
      </c>
    </row>
    <row r="24" spans="4:11" x14ac:dyDescent="0.35">
      <c r="D24" s="18">
        <v>19</v>
      </c>
      <c r="E24" s="19">
        <v>0.5</v>
      </c>
      <c r="F24" s="19">
        <v>1</v>
      </c>
      <c r="G24" s="19">
        <v>0.2</v>
      </c>
      <c r="H24" s="19">
        <v>0.2</v>
      </c>
      <c r="I24" s="19">
        <v>0.2</v>
      </c>
      <c r="K24">
        <v>3</v>
      </c>
    </row>
    <row r="25" spans="4:11" x14ac:dyDescent="0.35">
      <c r="D25" s="18">
        <v>20</v>
      </c>
      <c r="E25" s="19">
        <v>0.5</v>
      </c>
      <c r="F25" s="19">
        <v>1</v>
      </c>
      <c r="G25" s="19">
        <v>0.2</v>
      </c>
      <c r="H25" s="19">
        <v>0.2</v>
      </c>
      <c r="I25" s="19">
        <v>0.2</v>
      </c>
      <c r="K25">
        <v>0</v>
      </c>
    </row>
    <row r="26" spans="4:11" x14ac:dyDescent="0.35">
      <c r="D26" s="18">
        <v>21</v>
      </c>
      <c r="E26" s="19">
        <v>0.5</v>
      </c>
      <c r="F26" s="19">
        <v>1</v>
      </c>
      <c r="G26" s="19">
        <v>0.2</v>
      </c>
      <c r="H26" s="19">
        <v>0.2</v>
      </c>
      <c r="I26" s="19">
        <v>0.2</v>
      </c>
      <c r="K26">
        <v>3</v>
      </c>
    </row>
    <row r="27" spans="4:11" x14ac:dyDescent="0.35">
      <c r="D27" s="18">
        <v>22</v>
      </c>
      <c r="E27" s="19">
        <v>0.5</v>
      </c>
      <c r="F27" s="19">
        <v>1</v>
      </c>
      <c r="G27" s="19">
        <v>0.2</v>
      </c>
      <c r="H27" s="19">
        <v>0.2</v>
      </c>
      <c r="I27" s="19">
        <v>0.2</v>
      </c>
      <c r="K27">
        <v>0</v>
      </c>
    </row>
    <row r="28" spans="4:11" x14ac:dyDescent="0.35">
      <c r="D28" s="18">
        <v>23</v>
      </c>
      <c r="E28" s="19">
        <v>0.5</v>
      </c>
      <c r="F28" s="19">
        <v>1</v>
      </c>
      <c r="G28" s="19">
        <v>0.2</v>
      </c>
      <c r="H28" s="19">
        <v>0.2</v>
      </c>
      <c r="I28" s="19">
        <v>0.2</v>
      </c>
      <c r="K28">
        <v>0</v>
      </c>
    </row>
    <row r="29" spans="4:11" ht="17.25" customHeight="1" x14ac:dyDescent="0.35">
      <c r="D29" s="18">
        <v>24</v>
      </c>
      <c r="E29" s="19">
        <v>0.5</v>
      </c>
      <c r="F29" s="19">
        <v>1</v>
      </c>
      <c r="G29" s="19">
        <v>0.2</v>
      </c>
      <c r="H29" s="19">
        <v>0.2</v>
      </c>
      <c r="I29" s="19">
        <v>0.2</v>
      </c>
      <c r="K29">
        <v>2</v>
      </c>
    </row>
    <row r="30" spans="4:11" x14ac:dyDescent="0.35">
      <c r="D30" s="18">
        <v>25</v>
      </c>
      <c r="E30" s="19">
        <v>0.5</v>
      </c>
      <c r="F30" s="19">
        <v>1</v>
      </c>
      <c r="G30" s="19">
        <v>0.2</v>
      </c>
      <c r="H30" s="19">
        <v>0.2</v>
      </c>
      <c r="I30" s="19">
        <v>0.2</v>
      </c>
      <c r="K30">
        <v>2</v>
      </c>
    </row>
    <row r="31" spans="4:11" x14ac:dyDescent="0.35">
      <c r="D31" s="18">
        <v>26</v>
      </c>
      <c r="E31" s="19">
        <v>0.5</v>
      </c>
      <c r="F31" s="19">
        <v>1</v>
      </c>
      <c r="G31" s="19">
        <v>0.2</v>
      </c>
      <c r="H31" s="19">
        <v>0.2</v>
      </c>
      <c r="I31" s="19">
        <v>0.2</v>
      </c>
      <c r="K31">
        <v>3</v>
      </c>
    </row>
    <row r="32" spans="4:11" x14ac:dyDescent="0.35">
      <c r="D32" s="18">
        <v>27</v>
      </c>
      <c r="E32" s="19">
        <v>0.5</v>
      </c>
      <c r="F32" s="19">
        <v>1</v>
      </c>
      <c r="G32" s="19">
        <v>0.2</v>
      </c>
      <c r="H32" s="19">
        <v>0.2</v>
      </c>
      <c r="I32" s="19">
        <v>0.2</v>
      </c>
      <c r="K32">
        <v>3</v>
      </c>
    </row>
    <row r="33" spans="4:11" x14ac:dyDescent="0.35">
      <c r="D33" s="18">
        <v>28</v>
      </c>
      <c r="E33" s="19">
        <v>0.5</v>
      </c>
      <c r="F33" s="19">
        <v>1</v>
      </c>
      <c r="G33" s="19">
        <v>0.2</v>
      </c>
      <c r="H33" s="19">
        <v>0.2</v>
      </c>
      <c r="I33" s="19">
        <v>0.2</v>
      </c>
      <c r="K33">
        <v>1</v>
      </c>
    </row>
    <row r="34" spans="4:11" x14ac:dyDescent="0.35">
      <c r="D34" s="18">
        <v>29</v>
      </c>
      <c r="E34" s="19">
        <v>0.5</v>
      </c>
      <c r="F34" s="19">
        <v>1</v>
      </c>
      <c r="G34" s="19">
        <v>0.2</v>
      </c>
      <c r="H34" s="19">
        <v>0.2</v>
      </c>
      <c r="I34" s="19">
        <v>0.2</v>
      </c>
      <c r="K34">
        <v>1</v>
      </c>
    </row>
    <row r="35" spans="4:11" x14ac:dyDescent="0.35">
      <c r="D35" s="18">
        <v>30</v>
      </c>
      <c r="E35" s="19">
        <v>0.5</v>
      </c>
      <c r="F35" s="19">
        <v>1</v>
      </c>
      <c r="G35" s="19">
        <v>0.2</v>
      </c>
      <c r="H35" s="19">
        <v>0.2</v>
      </c>
      <c r="I35" s="19">
        <v>0.2</v>
      </c>
      <c r="K35">
        <v>4</v>
      </c>
    </row>
    <row r="36" spans="4:11" x14ac:dyDescent="0.35">
      <c r="D36" s="18">
        <v>31</v>
      </c>
      <c r="E36" s="19">
        <v>0.5</v>
      </c>
      <c r="F36" s="19">
        <v>1</v>
      </c>
      <c r="G36" s="19">
        <v>0.2</v>
      </c>
      <c r="H36" s="19">
        <v>0.2</v>
      </c>
      <c r="I36" s="19">
        <v>0.2</v>
      </c>
      <c r="K36">
        <v>3</v>
      </c>
    </row>
    <row r="37" spans="4:11" x14ac:dyDescent="0.35">
      <c r="D37" s="18">
        <v>32</v>
      </c>
      <c r="E37" s="19">
        <v>0.5</v>
      </c>
      <c r="F37" s="19">
        <v>1</v>
      </c>
      <c r="G37" s="19">
        <v>0.2</v>
      </c>
      <c r="H37" s="19">
        <v>0.2</v>
      </c>
      <c r="I37" s="19">
        <v>0.2</v>
      </c>
      <c r="K37">
        <v>1</v>
      </c>
    </row>
    <row r="38" spans="4:11" x14ac:dyDescent="0.35">
      <c r="D38" s="18">
        <v>33</v>
      </c>
      <c r="E38" s="19">
        <v>0.5</v>
      </c>
      <c r="F38" s="19">
        <v>1</v>
      </c>
      <c r="G38" s="19">
        <v>0.2</v>
      </c>
      <c r="H38" s="19">
        <v>0.2</v>
      </c>
      <c r="I38" s="19">
        <v>0.2</v>
      </c>
      <c r="K38">
        <v>0</v>
      </c>
    </row>
    <row r="39" spans="4:11" x14ac:dyDescent="0.35">
      <c r="D39" s="18">
        <v>34</v>
      </c>
      <c r="E39" s="19">
        <v>0.5</v>
      </c>
      <c r="F39" s="19">
        <v>1</v>
      </c>
      <c r="G39" s="19">
        <v>0.2</v>
      </c>
      <c r="H39" s="19">
        <v>0.2</v>
      </c>
      <c r="I39" s="19">
        <v>0.2</v>
      </c>
      <c r="K39">
        <v>1</v>
      </c>
    </row>
    <row r="40" spans="4:11" x14ac:dyDescent="0.35">
      <c r="D40" s="18">
        <v>35</v>
      </c>
      <c r="E40" s="19">
        <v>0.5</v>
      </c>
      <c r="F40" s="19">
        <v>1</v>
      </c>
      <c r="G40" s="19">
        <v>0.2</v>
      </c>
      <c r="H40" s="19">
        <v>0.2</v>
      </c>
      <c r="I40" s="19">
        <v>0.2</v>
      </c>
      <c r="K40">
        <v>2</v>
      </c>
    </row>
    <row r="41" spans="4:11" x14ac:dyDescent="0.35">
      <c r="D41" s="18">
        <v>36</v>
      </c>
      <c r="E41" s="19">
        <v>0.5</v>
      </c>
      <c r="F41" s="19">
        <v>1</v>
      </c>
      <c r="G41" s="19">
        <v>0.2</v>
      </c>
      <c r="H41" s="19">
        <v>0.2</v>
      </c>
      <c r="I41" s="19">
        <v>0.2</v>
      </c>
      <c r="K41">
        <v>2</v>
      </c>
    </row>
    <row r="42" spans="4:11" x14ac:dyDescent="0.35">
      <c r="D42" s="18">
        <v>37</v>
      </c>
      <c r="E42" s="19">
        <v>0.5</v>
      </c>
      <c r="F42" s="19">
        <v>1</v>
      </c>
      <c r="G42" s="19">
        <v>0.2</v>
      </c>
      <c r="H42" s="19">
        <v>0.2</v>
      </c>
      <c r="I42" s="19">
        <v>0.2</v>
      </c>
      <c r="K42">
        <v>2</v>
      </c>
    </row>
    <row r="43" spans="4:11" x14ac:dyDescent="0.35">
      <c r="D43" s="18">
        <v>38</v>
      </c>
      <c r="E43" s="19">
        <v>0.5</v>
      </c>
      <c r="F43" s="19">
        <v>1</v>
      </c>
      <c r="G43" s="19">
        <v>0.2</v>
      </c>
      <c r="H43" s="19">
        <v>0.2</v>
      </c>
      <c r="I43" s="19">
        <v>0.2</v>
      </c>
      <c r="K43">
        <v>3</v>
      </c>
    </row>
    <row r="44" spans="4:11" x14ac:dyDescent="0.35">
      <c r="D44" s="18">
        <v>39</v>
      </c>
      <c r="E44" s="19">
        <v>0.5</v>
      </c>
      <c r="F44" s="19">
        <v>1</v>
      </c>
      <c r="G44" s="19">
        <v>0.2</v>
      </c>
      <c r="H44" s="19">
        <v>0.2</v>
      </c>
      <c r="I44" s="19">
        <v>0.2</v>
      </c>
      <c r="K44">
        <v>0</v>
      </c>
    </row>
    <row r="45" spans="4:11" x14ac:dyDescent="0.35">
      <c r="D45" s="18">
        <v>40</v>
      </c>
      <c r="E45" s="19">
        <v>0.5</v>
      </c>
      <c r="F45" s="19">
        <v>1</v>
      </c>
      <c r="G45" s="19">
        <v>0.2</v>
      </c>
      <c r="H45" s="19">
        <v>0.2</v>
      </c>
      <c r="I45" s="19">
        <v>0.2</v>
      </c>
      <c r="K45">
        <v>4</v>
      </c>
    </row>
    <row r="46" spans="4:11" x14ac:dyDescent="0.35">
      <c r="D46" s="18">
        <v>41</v>
      </c>
      <c r="E46" s="19">
        <v>0.5</v>
      </c>
      <c r="F46" s="19">
        <v>1</v>
      </c>
      <c r="G46" s="19">
        <v>0.2</v>
      </c>
      <c r="H46" s="19">
        <v>0.2</v>
      </c>
      <c r="I46" s="19">
        <v>0.2</v>
      </c>
      <c r="K46">
        <v>1</v>
      </c>
    </row>
    <row r="47" spans="4:11" x14ac:dyDescent="0.35">
      <c r="D47" s="18">
        <v>42</v>
      </c>
      <c r="E47" s="19">
        <v>0.5</v>
      </c>
      <c r="F47" s="19">
        <v>1</v>
      </c>
      <c r="G47" s="19">
        <v>0.2</v>
      </c>
      <c r="H47" s="19">
        <v>0.2</v>
      </c>
      <c r="I47" s="19">
        <v>0.2</v>
      </c>
      <c r="K47">
        <v>0</v>
      </c>
    </row>
    <row r="48" spans="4:11" x14ac:dyDescent="0.35">
      <c r="D48" s="18">
        <v>43</v>
      </c>
      <c r="E48" s="19">
        <v>0.5</v>
      </c>
      <c r="F48" s="19">
        <v>1</v>
      </c>
      <c r="G48" s="19">
        <v>0.2</v>
      </c>
      <c r="H48" s="19">
        <v>0.2</v>
      </c>
      <c r="I48" s="19">
        <v>0.2</v>
      </c>
      <c r="K48">
        <v>2</v>
      </c>
    </row>
    <row r="49" spans="4:11" x14ac:dyDescent="0.35">
      <c r="D49" s="18">
        <v>44</v>
      </c>
      <c r="E49" s="19">
        <v>0.5</v>
      </c>
      <c r="F49" s="19">
        <v>1</v>
      </c>
      <c r="G49" s="19">
        <v>0.2</v>
      </c>
      <c r="H49" s="19">
        <v>0.2</v>
      </c>
      <c r="I49" s="19">
        <v>0.2</v>
      </c>
      <c r="K49">
        <v>2</v>
      </c>
    </row>
    <row r="50" spans="4:11" x14ac:dyDescent="0.35">
      <c r="D50" s="18">
        <v>45</v>
      </c>
      <c r="E50" s="19">
        <v>0.5</v>
      </c>
      <c r="F50" s="19">
        <v>1</v>
      </c>
      <c r="G50" s="19">
        <v>0.2</v>
      </c>
      <c r="H50" s="19">
        <v>0.2</v>
      </c>
      <c r="I50" s="19">
        <v>0.2</v>
      </c>
      <c r="K50">
        <v>3</v>
      </c>
    </row>
    <row r="51" spans="4:11" x14ac:dyDescent="0.35">
      <c r="D51" s="18">
        <v>46</v>
      </c>
      <c r="E51" s="19">
        <v>0.5</v>
      </c>
      <c r="F51" s="19">
        <v>1</v>
      </c>
      <c r="G51" s="19">
        <v>0.2</v>
      </c>
      <c r="H51" s="19">
        <v>0.2</v>
      </c>
      <c r="I51" s="19">
        <v>0.2</v>
      </c>
      <c r="K51">
        <v>0</v>
      </c>
    </row>
    <row r="52" spans="4:11" x14ac:dyDescent="0.35">
      <c r="D52" s="18">
        <v>47</v>
      </c>
      <c r="E52" s="19">
        <v>0.5</v>
      </c>
      <c r="F52" s="19">
        <v>1</v>
      </c>
      <c r="G52" s="19">
        <v>0.2</v>
      </c>
      <c r="H52" s="19">
        <v>0.2</v>
      </c>
      <c r="I52" s="19">
        <v>0.2</v>
      </c>
      <c r="K52">
        <v>0</v>
      </c>
    </row>
    <row r="53" spans="4:11" x14ac:dyDescent="0.35">
      <c r="D53" s="18">
        <v>48</v>
      </c>
      <c r="E53" s="19">
        <v>0.5</v>
      </c>
      <c r="F53" s="19">
        <v>1</v>
      </c>
      <c r="G53" s="19">
        <v>0.2</v>
      </c>
      <c r="H53" s="19">
        <v>0.2</v>
      </c>
      <c r="I53" s="19">
        <v>0.2</v>
      </c>
      <c r="K53">
        <v>0</v>
      </c>
    </row>
    <row r="54" spans="4:11" x14ac:dyDescent="0.35">
      <c r="D54" s="18">
        <v>49</v>
      </c>
      <c r="E54" s="19">
        <v>0.2</v>
      </c>
      <c r="F54" s="19">
        <v>1</v>
      </c>
      <c r="G54" s="19">
        <v>0.2</v>
      </c>
      <c r="H54" s="19">
        <v>0.2</v>
      </c>
      <c r="I54" s="19">
        <v>0.2</v>
      </c>
      <c r="K54">
        <v>3</v>
      </c>
    </row>
    <row r="55" spans="4:11" x14ac:dyDescent="0.35">
      <c r="D55" s="18">
        <v>50</v>
      </c>
      <c r="E55" s="19">
        <v>0.5</v>
      </c>
      <c r="F55" s="19">
        <v>1</v>
      </c>
      <c r="G55" s="19">
        <v>0.2</v>
      </c>
      <c r="H55" s="19">
        <v>0.2</v>
      </c>
      <c r="I55" s="19">
        <v>0.2</v>
      </c>
      <c r="K55">
        <v>1</v>
      </c>
    </row>
    <row r="56" spans="4:11" x14ac:dyDescent="0.35">
      <c r="D56" s="18">
        <v>51</v>
      </c>
      <c r="E56" s="19">
        <v>0.5</v>
      </c>
      <c r="F56" s="19">
        <v>1</v>
      </c>
      <c r="G56" s="19">
        <v>0.2</v>
      </c>
      <c r="H56" s="19">
        <v>0.2</v>
      </c>
      <c r="I56" s="19">
        <v>0.2</v>
      </c>
      <c r="K56">
        <v>4</v>
      </c>
    </row>
    <row r="57" spans="4:11" x14ac:dyDescent="0.35">
      <c r="D57" s="18">
        <v>52</v>
      </c>
      <c r="E57" s="19">
        <v>0.5</v>
      </c>
      <c r="F57" s="19">
        <v>1</v>
      </c>
      <c r="G57" s="19">
        <v>0.2</v>
      </c>
      <c r="H57" s="19">
        <v>0.2</v>
      </c>
      <c r="I57" s="19">
        <v>0.2</v>
      </c>
      <c r="K57">
        <v>1</v>
      </c>
    </row>
    <row r="58" spans="4:11" x14ac:dyDescent="0.35">
      <c r="D58" s="18">
        <v>53</v>
      </c>
      <c r="E58" s="19">
        <v>0.5</v>
      </c>
      <c r="F58" s="19">
        <v>1</v>
      </c>
      <c r="G58" s="19">
        <v>0.2</v>
      </c>
      <c r="H58" s="19">
        <v>0.2</v>
      </c>
      <c r="I58" s="19">
        <v>0.2</v>
      </c>
      <c r="K58">
        <v>1</v>
      </c>
    </row>
    <row r="59" spans="4:11" x14ac:dyDescent="0.35">
      <c r="D59" s="18">
        <v>54</v>
      </c>
      <c r="E59" s="19">
        <v>0.2</v>
      </c>
      <c r="F59" s="19">
        <v>1</v>
      </c>
      <c r="G59" s="19">
        <v>0.2</v>
      </c>
      <c r="H59" s="19">
        <v>0.2</v>
      </c>
      <c r="I59" s="19">
        <v>0.2</v>
      </c>
      <c r="K59">
        <v>0</v>
      </c>
    </row>
    <row r="60" spans="4:11" x14ac:dyDescent="0.35">
      <c r="D60" s="18">
        <v>55</v>
      </c>
      <c r="E60" s="19">
        <v>0.5</v>
      </c>
      <c r="F60" s="19">
        <v>1</v>
      </c>
      <c r="G60" s="19">
        <v>0.2</v>
      </c>
      <c r="H60" s="19">
        <v>0.2</v>
      </c>
      <c r="I60" s="19">
        <v>0.2</v>
      </c>
      <c r="K60">
        <v>0</v>
      </c>
    </row>
    <row r="61" spans="4:11" x14ac:dyDescent="0.35">
      <c r="D61" s="18">
        <v>56</v>
      </c>
      <c r="E61" s="19">
        <v>0.5</v>
      </c>
      <c r="F61" s="19">
        <v>1</v>
      </c>
      <c r="G61" s="19">
        <v>0.2</v>
      </c>
      <c r="H61" s="19">
        <v>0.2</v>
      </c>
      <c r="I61" s="19">
        <v>0.2</v>
      </c>
      <c r="K61">
        <v>1</v>
      </c>
    </row>
    <row r="62" spans="4:11" x14ac:dyDescent="0.35">
      <c r="D62" s="18">
        <v>57</v>
      </c>
      <c r="E62" s="19">
        <v>0.5</v>
      </c>
      <c r="F62" s="19">
        <v>1</v>
      </c>
      <c r="G62" s="19">
        <v>0.2</v>
      </c>
      <c r="H62" s="19">
        <v>0.2</v>
      </c>
      <c r="I62" s="19">
        <v>0.2</v>
      </c>
      <c r="K62">
        <v>1</v>
      </c>
    </row>
    <row r="63" spans="4:11" x14ac:dyDescent="0.35">
      <c r="D63" s="18">
        <v>58</v>
      </c>
      <c r="E63" s="19">
        <v>0.5</v>
      </c>
      <c r="F63" s="19">
        <v>1</v>
      </c>
      <c r="G63" s="19">
        <v>0.2</v>
      </c>
      <c r="H63" s="19">
        <v>0.2</v>
      </c>
      <c r="I63" s="19">
        <v>0.2</v>
      </c>
      <c r="K63">
        <v>2</v>
      </c>
    </row>
    <row r="64" spans="4:11" x14ac:dyDescent="0.35">
      <c r="D64" s="18">
        <v>59</v>
      </c>
      <c r="E64" s="19">
        <v>0.2</v>
      </c>
      <c r="F64" s="19">
        <v>1</v>
      </c>
      <c r="G64" s="19">
        <v>0.2</v>
      </c>
      <c r="H64" s="19">
        <v>0.2</v>
      </c>
      <c r="I64" s="19">
        <v>0.2</v>
      </c>
      <c r="K64">
        <v>0</v>
      </c>
    </row>
    <row r="65" spans="4:11" x14ac:dyDescent="0.35">
      <c r="D65" s="18">
        <v>60</v>
      </c>
      <c r="E65" s="19">
        <v>0.5</v>
      </c>
      <c r="F65" s="19">
        <v>1</v>
      </c>
      <c r="G65" s="19">
        <v>0.2</v>
      </c>
      <c r="H65" s="19">
        <v>0.2</v>
      </c>
      <c r="I65" s="19">
        <v>0.2</v>
      </c>
      <c r="K65">
        <v>3</v>
      </c>
    </row>
    <row r="66" spans="4:11" x14ac:dyDescent="0.35">
      <c r="D66" s="18">
        <v>61</v>
      </c>
      <c r="E66" s="19">
        <v>0.5</v>
      </c>
      <c r="F66" s="19">
        <v>1</v>
      </c>
      <c r="G66" s="19">
        <v>0.2</v>
      </c>
      <c r="H66" s="19">
        <v>0.2</v>
      </c>
      <c r="I66" s="19">
        <v>0.2</v>
      </c>
      <c r="K66">
        <v>3</v>
      </c>
    </row>
    <row r="67" spans="4:11" x14ac:dyDescent="0.35">
      <c r="D67" s="18">
        <v>62</v>
      </c>
      <c r="E67" s="19">
        <v>0.5</v>
      </c>
      <c r="F67" s="19">
        <v>1</v>
      </c>
      <c r="G67" s="19">
        <v>0.2</v>
      </c>
      <c r="H67" s="19">
        <v>0.2</v>
      </c>
      <c r="I67" s="19">
        <v>0.2</v>
      </c>
      <c r="K67">
        <v>1</v>
      </c>
    </row>
    <row r="68" spans="4:11" x14ac:dyDescent="0.35">
      <c r="D68" s="18">
        <v>63</v>
      </c>
      <c r="E68" s="19">
        <v>0.5</v>
      </c>
      <c r="F68" s="19">
        <v>1</v>
      </c>
      <c r="G68" s="19">
        <v>0.2</v>
      </c>
      <c r="H68" s="19">
        <v>0.2</v>
      </c>
      <c r="I68" s="19">
        <v>0.2</v>
      </c>
      <c r="K68">
        <v>5</v>
      </c>
    </row>
    <row r="69" spans="4:11" x14ac:dyDescent="0.35">
      <c r="D69" s="18">
        <v>64</v>
      </c>
      <c r="E69" s="19">
        <v>0.2</v>
      </c>
      <c r="F69" s="19">
        <v>1</v>
      </c>
      <c r="G69" s="19">
        <v>0.2</v>
      </c>
      <c r="H69" s="19">
        <v>0.2</v>
      </c>
      <c r="I69" s="19">
        <v>0.2</v>
      </c>
      <c r="K69">
        <v>1</v>
      </c>
    </row>
    <row r="70" spans="4:11" x14ac:dyDescent="0.35">
      <c r="D70" s="18">
        <v>65</v>
      </c>
      <c r="E70" s="19">
        <v>0.5</v>
      </c>
      <c r="F70" s="19">
        <v>1</v>
      </c>
      <c r="G70" s="19">
        <v>0.2</v>
      </c>
      <c r="H70" s="19">
        <v>0.2</v>
      </c>
      <c r="I70" s="19">
        <v>0.2</v>
      </c>
      <c r="K70">
        <v>1</v>
      </c>
    </row>
    <row r="71" spans="4:11" x14ac:dyDescent="0.35">
      <c r="D71" s="18">
        <v>66</v>
      </c>
      <c r="E71" s="19">
        <v>0.5</v>
      </c>
      <c r="F71" s="19">
        <v>1</v>
      </c>
      <c r="G71" s="19">
        <v>0.2</v>
      </c>
      <c r="H71" s="19">
        <v>0.2</v>
      </c>
      <c r="I71" s="19">
        <v>0.2</v>
      </c>
      <c r="K71">
        <v>3</v>
      </c>
    </row>
    <row r="72" spans="4:11" x14ac:dyDescent="0.35">
      <c r="D72" s="18">
        <v>67</v>
      </c>
      <c r="E72" s="19">
        <v>0.5</v>
      </c>
      <c r="F72" s="19">
        <v>1</v>
      </c>
      <c r="G72" s="19">
        <v>0.2</v>
      </c>
      <c r="H72" s="19">
        <v>0.2</v>
      </c>
      <c r="I72" s="19">
        <v>0.2</v>
      </c>
      <c r="K72">
        <v>2</v>
      </c>
    </row>
    <row r="73" spans="4:11" x14ac:dyDescent="0.35">
      <c r="D73" s="18">
        <v>68</v>
      </c>
      <c r="E73" s="19">
        <v>0.5</v>
      </c>
      <c r="F73" s="19">
        <v>1</v>
      </c>
      <c r="G73" s="19">
        <v>0.2</v>
      </c>
      <c r="H73" s="19">
        <v>0.2</v>
      </c>
      <c r="I73" s="19">
        <v>0.2</v>
      </c>
      <c r="K73">
        <v>3</v>
      </c>
    </row>
    <row r="74" spans="4:11" x14ac:dyDescent="0.35">
      <c r="D74" s="18">
        <v>69</v>
      </c>
      <c r="E74" s="19">
        <v>0.2</v>
      </c>
      <c r="F74" s="19">
        <v>1</v>
      </c>
      <c r="G74" s="19">
        <v>0.2</v>
      </c>
      <c r="H74" s="19">
        <v>0.2</v>
      </c>
      <c r="I74" s="19">
        <v>0.2</v>
      </c>
      <c r="K74">
        <v>2</v>
      </c>
    </row>
    <row r="75" spans="4:11" x14ac:dyDescent="0.35">
      <c r="D75" s="18">
        <v>70</v>
      </c>
      <c r="E75" s="19">
        <v>0.5</v>
      </c>
      <c r="F75" s="19">
        <v>1</v>
      </c>
      <c r="G75" s="19">
        <v>0.2</v>
      </c>
      <c r="H75" s="19">
        <v>0.2</v>
      </c>
      <c r="I75" s="19">
        <v>0.2</v>
      </c>
      <c r="K75">
        <v>0</v>
      </c>
    </row>
    <row r="76" spans="4:11" x14ac:dyDescent="0.35">
      <c r="D76" s="18">
        <v>71</v>
      </c>
      <c r="E76" s="19">
        <v>0.5</v>
      </c>
      <c r="F76" s="19">
        <v>1</v>
      </c>
      <c r="G76" s="19">
        <v>0.2</v>
      </c>
      <c r="H76" s="19">
        <v>0.2</v>
      </c>
      <c r="I76" s="19">
        <v>0.2</v>
      </c>
      <c r="K76">
        <v>1</v>
      </c>
    </row>
    <row r="77" spans="4:11" x14ac:dyDescent="0.35">
      <c r="D77" s="18">
        <v>72</v>
      </c>
      <c r="E77" s="19">
        <v>0.5</v>
      </c>
      <c r="F77" s="19">
        <v>1</v>
      </c>
      <c r="G77" s="19">
        <v>0.2</v>
      </c>
      <c r="H77" s="19">
        <v>0.2</v>
      </c>
      <c r="I77" s="19">
        <v>0.2</v>
      </c>
      <c r="K77">
        <v>1</v>
      </c>
    </row>
    <row r="78" spans="4:11" x14ac:dyDescent="0.35">
      <c r="D78" s="18">
        <v>73</v>
      </c>
      <c r="E78" s="19">
        <v>0.5</v>
      </c>
      <c r="F78" s="19">
        <v>1</v>
      </c>
      <c r="G78" s="19">
        <v>0.2</v>
      </c>
      <c r="H78" s="19">
        <v>0.2</v>
      </c>
      <c r="I78" s="19">
        <v>0.2</v>
      </c>
      <c r="K78">
        <v>0</v>
      </c>
    </row>
    <row r="79" spans="4:11" x14ac:dyDescent="0.35">
      <c r="D79" s="18">
        <v>74</v>
      </c>
      <c r="E79" s="19">
        <v>0.2</v>
      </c>
      <c r="F79" s="19">
        <v>1</v>
      </c>
      <c r="G79" s="19">
        <v>0.2</v>
      </c>
      <c r="H79" s="19">
        <v>0.2</v>
      </c>
      <c r="I79" s="19">
        <v>0.2</v>
      </c>
      <c r="K79">
        <v>1</v>
      </c>
    </row>
    <row r="80" spans="4:11" x14ac:dyDescent="0.35">
      <c r="D80" s="18">
        <v>75</v>
      </c>
      <c r="E80" s="19">
        <v>0.5</v>
      </c>
      <c r="F80" s="19">
        <v>1</v>
      </c>
      <c r="G80" s="19">
        <v>0.2</v>
      </c>
      <c r="H80" s="19">
        <v>0.2</v>
      </c>
      <c r="I80" s="19">
        <v>0.2</v>
      </c>
      <c r="K80">
        <v>1</v>
      </c>
    </row>
    <row r="81" spans="4:11" x14ac:dyDescent="0.35">
      <c r="D81" s="18">
        <v>76</v>
      </c>
      <c r="E81" s="19">
        <v>0.5</v>
      </c>
      <c r="F81" s="19">
        <v>1</v>
      </c>
      <c r="G81" s="19">
        <v>0.2</v>
      </c>
      <c r="H81" s="19">
        <v>0.2</v>
      </c>
      <c r="I81" s="19">
        <v>0.2</v>
      </c>
      <c r="K81">
        <v>1</v>
      </c>
    </row>
    <row r="82" spans="4:11" x14ac:dyDescent="0.35">
      <c r="D82" s="18">
        <v>77</v>
      </c>
      <c r="E82" s="19">
        <v>0.5</v>
      </c>
      <c r="F82" s="19">
        <v>1</v>
      </c>
      <c r="G82" s="19">
        <v>0.2</v>
      </c>
      <c r="H82" s="19">
        <v>0.2</v>
      </c>
      <c r="I82" s="19">
        <v>0.2</v>
      </c>
      <c r="K82">
        <v>0</v>
      </c>
    </row>
    <row r="83" spans="4:11" x14ac:dyDescent="0.35">
      <c r="D83" s="18">
        <v>78</v>
      </c>
      <c r="E83" s="19">
        <v>0.5</v>
      </c>
      <c r="F83" s="19">
        <v>1</v>
      </c>
      <c r="G83" s="19">
        <v>0.2</v>
      </c>
      <c r="H83" s="19">
        <v>0.2</v>
      </c>
      <c r="I83" s="19">
        <v>0.2</v>
      </c>
      <c r="K83">
        <v>2</v>
      </c>
    </row>
    <row r="84" spans="4:11" x14ac:dyDescent="0.35">
      <c r="D84" s="18">
        <v>79</v>
      </c>
      <c r="E84" s="19">
        <v>0.2</v>
      </c>
      <c r="F84" s="19">
        <v>1</v>
      </c>
      <c r="G84" s="19">
        <v>0.2</v>
      </c>
      <c r="H84" s="19">
        <v>0.2</v>
      </c>
      <c r="I84" s="19">
        <v>0.2</v>
      </c>
      <c r="K84">
        <v>3</v>
      </c>
    </row>
    <row r="85" spans="4:11" x14ac:dyDescent="0.35">
      <c r="D85" s="18">
        <v>80</v>
      </c>
      <c r="E85" s="19">
        <v>0.5</v>
      </c>
      <c r="F85" s="19">
        <v>1</v>
      </c>
      <c r="G85" s="19">
        <v>0.2</v>
      </c>
      <c r="H85" s="19">
        <v>0.2</v>
      </c>
      <c r="I85" s="19">
        <v>0.2</v>
      </c>
      <c r="K85">
        <v>2</v>
      </c>
    </row>
    <row r="86" spans="4:11" x14ac:dyDescent="0.35">
      <c r="D86" s="18">
        <v>81</v>
      </c>
      <c r="E86" s="19">
        <v>0.5</v>
      </c>
      <c r="F86" s="19">
        <v>1</v>
      </c>
      <c r="G86" s="19">
        <v>0.2</v>
      </c>
      <c r="H86" s="19">
        <v>0.2</v>
      </c>
      <c r="I86" s="19">
        <v>0.2</v>
      </c>
      <c r="K86">
        <v>2</v>
      </c>
    </row>
    <row r="87" spans="4:11" x14ac:dyDescent="0.35">
      <c r="D87" s="18">
        <v>82</v>
      </c>
      <c r="E87" s="19">
        <v>0.5</v>
      </c>
      <c r="F87" s="19">
        <v>1</v>
      </c>
      <c r="G87" s="19">
        <v>0.2</v>
      </c>
      <c r="H87" s="19">
        <v>0.2</v>
      </c>
      <c r="I87" s="19">
        <v>0.2</v>
      </c>
      <c r="K87">
        <v>0</v>
      </c>
    </row>
    <row r="88" spans="4:11" x14ac:dyDescent="0.35">
      <c r="D88" s="18">
        <v>83</v>
      </c>
      <c r="E88" s="19">
        <v>0.5</v>
      </c>
      <c r="F88" s="19">
        <v>1</v>
      </c>
      <c r="G88" s="19">
        <v>0.2</v>
      </c>
      <c r="H88" s="19">
        <v>0.2</v>
      </c>
      <c r="I88" s="19">
        <v>0.2</v>
      </c>
      <c r="K88">
        <v>2</v>
      </c>
    </row>
    <row r="89" spans="4:11" x14ac:dyDescent="0.35">
      <c r="D89" s="18">
        <v>84</v>
      </c>
      <c r="E89" s="19">
        <v>0.2</v>
      </c>
      <c r="F89" s="19">
        <v>1</v>
      </c>
      <c r="G89" s="19">
        <v>0.2</v>
      </c>
      <c r="H89" s="19">
        <v>0.2</v>
      </c>
      <c r="I89" s="19">
        <v>0.2</v>
      </c>
      <c r="K89">
        <v>1</v>
      </c>
    </row>
    <row r="90" spans="4:11" x14ac:dyDescent="0.35">
      <c r="D90" s="18">
        <v>85</v>
      </c>
      <c r="E90" s="19">
        <v>0.5</v>
      </c>
      <c r="F90" s="19">
        <v>1</v>
      </c>
      <c r="G90" s="19">
        <v>0.2</v>
      </c>
      <c r="H90" s="19">
        <v>0.2</v>
      </c>
      <c r="I90" s="19">
        <v>0.2</v>
      </c>
      <c r="K90">
        <v>0</v>
      </c>
    </row>
    <row r="91" spans="4:11" x14ac:dyDescent="0.35">
      <c r="D91" s="18">
        <v>86</v>
      </c>
      <c r="E91" s="19">
        <v>0.5</v>
      </c>
      <c r="F91" s="19">
        <v>1</v>
      </c>
      <c r="G91" s="19">
        <v>0.2</v>
      </c>
      <c r="H91" s="19">
        <v>0.2</v>
      </c>
      <c r="I91" s="19">
        <v>0.2</v>
      </c>
      <c r="K91">
        <v>3</v>
      </c>
    </row>
    <row r="92" spans="4:11" x14ac:dyDescent="0.35">
      <c r="D92" s="18">
        <v>87</v>
      </c>
      <c r="E92" s="19">
        <v>0.5</v>
      </c>
      <c r="F92" s="19">
        <v>1</v>
      </c>
      <c r="G92" s="19">
        <v>0.2</v>
      </c>
      <c r="H92" s="19">
        <v>0.2</v>
      </c>
      <c r="I92" s="19">
        <v>0.2</v>
      </c>
      <c r="K92">
        <v>1</v>
      </c>
    </row>
    <row r="93" spans="4:11" x14ac:dyDescent="0.35">
      <c r="D93" s="18">
        <v>88</v>
      </c>
      <c r="E93" s="19">
        <v>0.5</v>
      </c>
      <c r="F93" s="19">
        <v>1</v>
      </c>
      <c r="G93" s="19">
        <v>0.2</v>
      </c>
      <c r="H93" s="19">
        <v>0.2</v>
      </c>
      <c r="I93" s="19">
        <v>0.2</v>
      </c>
      <c r="K93">
        <v>1</v>
      </c>
    </row>
    <row r="94" spans="4:11" x14ac:dyDescent="0.35">
      <c r="D94" s="18">
        <v>89</v>
      </c>
      <c r="E94" s="19">
        <v>0.2</v>
      </c>
      <c r="F94" s="19">
        <v>1</v>
      </c>
      <c r="G94" s="19">
        <v>0.2</v>
      </c>
      <c r="H94" s="19">
        <v>0.2</v>
      </c>
      <c r="I94" s="19">
        <v>0.2</v>
      </c>
      <c r="K94">
        <v>7</v>
      </c>
    </row>
    <row r="95" spans="4:11" x14ac:dyDescent="0.35">
      <c r="D95" s="18">
        <v>90</v>
      </c>
      <c r="E95" s="19">
        <v>0.5</v>
      </c>
      <c r="F95" s="19">
        <v>1</v>
      </c>
      <c r="G95" s="19">
        <v>0.2</v>
      </c>
      <c r="H95" s="19">
        <v>0.2</v>
      </c>
      <c r="I95" s="19">
        <v>0.2</v>
      </c>
      <c r="K95">
        <v>0</v>
      </c>
    </row>
    <row r="96" spans="4:11" x14ac:dyDescent="0.35">
      <c r="D96" s="18">
        <v>91</v>
      </c>
      <c r="E96" s="19">
        <v>0.5</v>
      </c>
      <c r="F96" s="19">
        <v>1</v>
      </c>
      <c r="G96" s="19">
        <v>0.2</v>
      </c>
      <c r="H96" s="19">
        <v>0.2</v>
      </c>
      <c r="I96" s="19">
        <v>0.2</v>
      </c>
      <c r="K96">
        <v>2</v>
      </c>
    </row>
    <row r="97" spans="4:11" x14ac:dyDescent="0.35">
      <c r="D97" s="18">
        <v>92</v>
      </c>
      <c r="E97" s="19">
        <v>0.5</v>
      </c>
      <c r="F97" s="19">
        <v>1</v>
      </c>
      <c r="G97" s="19">
        <v>0.2</v>
      </c>
      <c r="H97" s="19">
        <v>0.2</v>
      </c>
      <c r="I97" s="19">
        <v>0.2</v>
      </c>
      <c r="K97">
        <v>0</v>
      </c>
    </row>
    <row r="98" spans="4:11" x14ac:dyDescent="0.35">
      <c r="D98" s="18">
        <v>93</v>
      </c>
      <c r="E98" s="19">
        <v>0.5</v>
      </c>
      <c r="F98" s="19">
        <v>1</v>
      </c>
      <c r="G98" s="19">
        <v>0.2</v>
      </c>
      <c r="H98" s="19">
        <v>0.2</v>
      </c>
      <c r="I98" s="19">
        <v>0.2</v>
      </c>
      <c r="K98">
        <v>0</v>
      </c>
    </row>
    <row r="99" spans="4:11" x14ac:dyDescent="0.35">
      <c r="D99" s="18">
        <v>94</v>
      </c>
      <c r="E99" s="19">
        <v>0.2</v>
      </c>
      <c r="F99" s="19">
        <v>1</v>
      </c>
      <c r="G99" s="19">
        <v>0.2</v>
      </c>
      <c r="H99" s="19">
        <v>0.2</v>
      </c>
      <c r="I99" s="19">
        <v>0.2</v>
      </c>
      <c r="K99">
        <v>2</v>
      </c>
    </row>
    <row r="100" spans="4:11" x14ac:dyDescent="0.35">
      <c r="D100" s="18">
        <v>95</v>
      </c>
      <c r="E100" s="19">
        <v>0.5</v>
      </c>
      <c r="F100" s="19">
        <v>1</v>
      </c>
      <c r="G100" s="19">
        <v>0.2</v>
      </c>
      <c r="H100" s="19">
        <v>0.2</v>
      </c>
      <c r="I100" s="19">
        <v>0.2</v>
      </c>
      <c r="K100">
        <v>1</v>
      </c>
    </row>
    <row r="101" spans="4:11" x14ac:dyDescent="0.35">
      <c r="D101" s="18">
        <v>96</v>
      </c>
      <c r="E101" s="19">
        <v>0.5</v>
      </c>
      <c r="F101" s="19">
        <v>1</v>
      </c>
      <c r="G101" s="19">
        <v>0.2</v>
      </c>
      <c r="H101" s="19">
        <v>0.2</v>
      </c>
      <c r="I101" s="19">
        <v>0.2</v>
      </c>
      <c r="K101">
        <v>1</v>
      </c>
    </row>
    <row r="102" spans="4:11" x14ac:dyDescent="0.35">
      <c r="D102" s="18">
        <v>97</v>
      </c>
      <c r="E102" s="19">
        <v>0.5</v>
      </c>
      <c r="F102" s="19">
        <v>1</v>
      </c>
      <c r="G102" s="19">
        <v>0.2</v>
      </c>
      <c r="H102" s="19">
        <v>0.2</v>
      </c>
      <c r="I102" s="19">
        <v>0.2</v>
      </c>
      <c r="K102">
        <v>3</v>
      </c>
    </row>
    <row r="103" spans="4:11" x14ac:dyDescent="0.35">
      <c r="D103" s="18">
        <v>98</v>
      </c>
      <c r="E103" s="19">
        <v>0.5</v>
      </c>
      <c r="F103" s="19">
        <v>1</v>
      </c>
      <c r="G103" s="19">
        <v>0.2</v>
      </c>
      <c r="H103" s="19">
        <v>0.2</v>
      </c>
      <c r="I103" s="19">
        <v>0.2</v>
      </c>
      <c r="K103">
        <v>2</v>
      </c>
    </row>
    <row r="104" spans="4:11" x14ac:dyDescent="0.35">
      <c r="D104" s="18">
        <v>99</v>
      </c>
      <c r="E104" s="19">
        <v>0.2</v>
      </c>
      <c r="F104" s="19">
        <v>1</v>
      </c>
      <c r="G104" s="19">
        <v>0.2</v>
      </c>
      <c r="H104" s="19">
        <v>0.2</v>
      </c>
      <c r="I104" s="19">
        <v>0.2</v>
      </c>
      <c r="K104">
        <v>3</v>
      </c>
    </row>
    <row r="105" spans="4:11" x14ac:dyDescent="0.35">
      <c r="D105" s="18">
        <v>100</v>
      </c>
      <c r="E105" s="19">
        <v>0.5</v>
      </c>
      <c r="F105" s="19">
        <v>1</v>
      </c>
      <c r="G105" s="19">
        <v>0.2</v>
      </c>
      <c r="H105" s="19">
        <v>0.2</v>
      </c>
      <c r="I105" s="19">
        <v>0.2</v>
      </c>
      <c r="K105">
        <v>2</v>
      </c>
    </row>
    <row r="106" spans="4:11" ht="12.75" customHeight="1" x14ac:dyDescent="0.35">
      <c r="D106" s="18">
        <v>101</v>
      </c>
      <c r="E106" s="19">
        <v>0.5</v>
      </c>
      <c r="F106" s="19">
        <f>E106</f>
        <v>0.5</v>
      </c>
      <c r="G106" s="19">
        <v>0.2</v>
      </c>
      <c r="H106" s="19">
        <v>0.2</v>
      </c>
      <c r="I106" s="19">
        <v>0.2</v>
      </c>
      <c r="K106">
        <v>0</v>
      </c>
    </row>
    <row r="107" spans="4:11" x14ac:dyDescent="0.35">
      <c r="D107" s="18">
        <v>102</v>
      </c>
      <c r="E107" s="19">
        <v>0.5</v>
      </c>
      <c r="F107" s="19">
        <f t="shared" ref="F107:F170" si="0">E107</f>
        <v>0.5</v>
      </c>
      <c r="G107" s="19">
        <v>0.2</v>
      </c>
      <c r="H107" s="19">
        <v>0.2</v>
      </c>
      <c r="I107" s="19">
        <v>0.2</v>
      </c>
      <c r="K107">
        <v>0</v>
      </c>
    </row>
    <row r="108" spans="4:11" x14ac:dyDescent="0.35">
      <c r="D108" s="18">
        <v>103</v>
      </c>
      <c r="E108" s="19">
        <v>0.5</v>
      </c>
      <c r="F108" s="19">
        <f t="shared" si="0"/>
        <v>0.5</v>
      </c>
      <c r="G108" s="19">
        <v>0.2</v>
      </c>
      <c r="H108" s="19">
        <v>0.2</v>
      </c>
      <c r="I108" s="19">
        <v>0.2</v>
      </c>
      <c r="K108">
        <v>0</v>
      </c>
    </row>
    <row r="109" spans="4:11" x14ac:dyDescent="0.35">
      <c r="D109" s="18">
        <v>104</v>
      </c>
      <c r="E109" s="19">
        <v>0.2</v>
      </c>
      <c r="F109" s="19">
        <f t="shared" si="0"/>
        <v>0.2</v>
      </c>
      <c r="G109" s="19">
        <v>0.2</v>
      </c>
      <c r="H109" s="19">
        <v>0.2</v>
      </c>
      <c r="I109" s="19">
        <v>0.2</v>
      </c>
      <c r="K109">
        <v>0</v>
      </c>
    </row>
    <row r="110" spans="4:11" x14ac:dyDescent="0.35">
      <c r="D110" s="18">
        <v>105</v>
      </c>
      <c r="E110" s="19">
        <v>0.5</v>
      </c>
      <c r="F110" s="19">
        <f t="shared" si="0"/>
        <v>0.5</v>
      </c>
      <c r="G110" s="19">
        <v>0.2</v>
      </c>
      <c r="H110" s="19">
        <v>0.2</v>
      </c>
      <c r="I110" s="19">
        <v>0.2</v>
      </c>
      <c r="K110">
        <v>0</v>
      </c>
    </row>
    <row r="111" spans="4:11" x14ac:dyDescent="0.35">
      <c r="D111" s="18">
        <v>106</v>
      </c>
      <c r="E111" s="19">
        <v>0.5</v>
      </c>
      <c r="F111" s="19">
        <f t="shared" si="0"/>
        <v>0.5</v>
      </c>
      <c r="G111" s="19">
        <v>0.2</v>
      </c>
      <c r="H111" s="19">
        <v>0.2</v>
      </c>
      <c r="I111" s="19">
        <v>0.2</v>
      </c>
      <c r="K111">
        <v>0</v>
      </c>
    </row>
    <row r="112" spans="4:11" x14ac:dyDescent="0.35">
      <c r="D112" s="18">
        <v>107</v>
      </c>
      <c r="E112" s="19">
        <v>0.5</v>
      </c>
      <c r="F112" s="19">
        <f t="shared" si="0"/>
        <v>0.5</v>
      </c>
      <c r="G112" s="19">
        <v>0.2</v>
      </c>
      <c r="H112" s="19">
        <v>0.2</v>
      </c>
      <c r="I112" s="19">
        <v>0.2</v>
      </c>
      <c r="K112">
        <v>0</v>
      </c>
    </row>
    <row r="113" spans="4:11" x14ac:dyDescent="0.35">
      <c r="D113" s="18">
        <v>108</v>
      </c>
      <c r="E113" s="19">
        <v>0.5</v>
      </c>
      <c r="F113" s="19">
        <f t="shared" si="0"/>
        <v>0.5</v>
      </c>
      <c r="G113" s="19">
        <v>0.2</v>
      </c>
      <c r="H113" s="19">
        <v>0.2</v>
      </c>
      <c r="I113" s="19">
        <v>0.2</v>
      </c>
      <c r="K113">
        <v>0</v>
      </c>
    </row>
    <row r="114" spans="4:11" x14ac:dyDescent="0.35">
      <c r="D114" s="18">
        <v>109</v>
      </c>
      <c r="E114" s="19">
        <v>0.2</v>
      </c>
      <c r="F114" s="19">
        <f t="shared" si="0"/>
        <v>0.2</v>
      </c>
      <c r="G114" s="19">
        <v>0.2</v>
      </c>
      <c r="H114" s="19">
        <v>0.2</v>
      </c>
      <c r="I114" s="19">
        <v>0.2</v>
      </c>
      <c r="K114">
        <v>0</v>
      </c>
    </row>
    <row r="115" spans="4:11" x14ac:dyDescent="0.35">
      <c r="D115" s="18">
        <v>110</v>
      </c>
      <c r="E115" s="19">
        <v>0.5</v>
      </c>
      <c r="F115" s="19">
        <f t="shared" si="0"/>
        <v>0.5</v>
      </c>
      <c r="G115" s="19">
        <v>0.2</v>
      </c>
      <c r="H115" s="19">
        <v>0.2</v>
      </c>
      <c r="I115" s="19">
        <v>0.2</v>
      </c>
      <c r="K115">
        <v>0</v>
      </c>
    </row>
    <row r="116" spans="4:11" x14ac:dyDescent="0.35">
      <c r="D116" s="18">
        <v>111</v>
      </c>
      <c r="E116" s="19">
        <v>0.5</v>
      </c>
      <c r="F116" s="19">
        <f t="shared" si="0"/>
        <v>0.5</v>
      </c>
      <c r="G116" s="19">
        <v>0.2</v>
      </c>
      <c r="H116" s="19">
        <v>0.2</v>
      </c>
      <c r="I116" s="19">
        <v>0.2</v>
      </c>
      <c r="K116">
        <v>0</v>
      </c>
    </row>
    <row r="117" spans="4:11" x14ac:dyDescent="0.35">
      <c r="D117" s="18">
        <v>112</v>
      </c>
      <c r="E117" s="19">
        <v>0.5</v>
      </c>
      <c r="F117" s="19">
        <f t="shared" si="0"/>
        <v>0.5</v>
      </c>
      <c r="G117" s="19">
        <v>0.2</v>
      </c>
      <c r="H117" s="19">
        <v>0.2</v>
      </c>
      <c r="I117" s="19">
        <v>0.2</v>
      </c>
      <c r="K117">
        <v>0</v>
      </c>
    </row>
    <row r="118" spans="4:11" x14ac:dyDescent="0.35">
      <c r="D118" s="18">
        <v>113</v>
      </c>
      <c r="E118" s="19">
        <v>0.5</v>
      </c>
      <c r="F118" s="19">
        <f t="shared" si="0"/>
        <v>0.5</v>
      </c>
      <c r="G118" s="19">
        <v>0.2</v>
      </c>
      <c r="H118" s="19">
        <v>0.2</v>
      </c>
      <c r="I118" s="19">
        <v>0.2</v>
      </c>
      <c r="K118">
        <v>0</v>
      </c>
    </row>
    <row r="119" spans="4:11" x14ac:dyDescent="0.35">
      <c r="D119" s="18">
        <v>114</v>
      </c>
      <c r="E119" s="19">
        <v>0.2</v>
      </c>
      <c r="F119" s="19">
        <f t="shared" si="0"/>
        <v>0.2</v>
      </c>
      <c r="G119" s="19">
        <v>0.2</v>
      </c>
      <c r="H119" s="19">
        <v>0.2</v>
      </c>
      <c r="I119" s="19">
        <v>0.2</v>
      </c>
      <c r="K119">
        <v>0</v>
      </c>
    </row>
    <row r="120" spans="4:11" x14ac:dyDescent="0.35">
      <c r="D120" s="18">
        <v>115</v>
      </c>
      <c r="E120" s="19">
        <v>0.5</v>
      </c>
      <c r="F120" s="19">
        <f t="shared" si="0"/>
        <v>0.5</v>
      </c>
      <c r="G120" s="19">
        <v>0.2</v>
      </c>
      <c r="H120" s="19">
        <v>0.2</v>
      </c>
      <c r="I120" s="19">
        <v>0.2</v>
      </c>
      <c r="K120">
        <v>0</v>
      </c>
    </row>
    <row r="121" spans="4:11" x14ac:dyDescent="0.35">
      <c r="D121" s="18">
        <v>116</v>
      </c>
      <c r="E121" s="19">
        <v>0.5</v>
      </c>
      <c r="F121" s="19">
        <f t="shared" si="0"/>
        <v>0.5</v>
      </c>
      <c r="G121" s="19">
        <v>0.2</v>
      </c>
      <c r="H121" s="19">
        <v>0.2</v>
      </c>
      <c r="I121" s="19">
        <v>0.2</v>
      </c>
      <c r="K121">
        <v>0</v>
      </c>
    </row>
    <row r="122" spans="4:11" x14ac:dyDescent="0.35">
      <c r="D122" s="18">
        <v>117</v>
      </c>
      <c r="E122" s="19">
        <v>0.5</v>
      </c>
      <c r="F122" s="19">
        <f t="shared" si="0"/>
        <v>0.5</v>
      </c>
      <c r="G122" s="19">
        <v>0.2</v>
      </c>
      <c r="H122" s="19">
        <v>0.2</v>
      </c>
      <c r="I122" s="19">
        <v>0.2</v>
      </c>
      <c r="K122">
        <v>0</v>
      </c>
    </row>
    <row r="123" spans="4:11" x14ac:dyDescent="0.35">
      <c r="D123" s="18">
        <v>118</v>
      </c>
      <c r="E123" s="19">
        <v>0.5</v>
      </c>
      <c r="F123" s="19">
        <f t="shared" si="0"/>
        <v>0.5</v>
      </c>
      <c r="G123" s="19">
        <v>0.2</v>
      </c>
      <c r="H123" s="19">
        <v>0.2</v>
      </c>
      <c r="I123" s="19">
        <v>0.2</v>
      </c>
      <c r="K123">
        <v>0</v>
      </c>
    </row>
    <row r="124" spans="4:11" x14ac:dyDescent="0.35">
      <c r="D124" s="18">
        <v>119</v>
      </c>
      <c r="E124" s="19">
        <v>0.2</v>
      </c>
      <c r="F124" s="19">
        <f t="shared" si="0"/>
        <v>0.2</v>
      </c>
      <c r="G124" s="19">
        <v>0.2</v>
      </c>
      <c r="H124" s="19">
        <v>0.2</v>
      </c>
      <c r="I124" s="19">
        <v>0.2</v>
      </c>
      <c r="K124">
        <v>0</v>
      </c>
    </row>
    <row r="125" spans="4:11" x14ac:dyDescent="0.35">
      <c r="D125" s="18">
        <v>120</v>
      </c>
      <c r="E125" s="19">
        <v>0.5</v>
      </c>
      <c r="F125" s="19">
        <f t="shared" si="0"/>
        <v>0.5</v>
      </c>
      <c r="G125" s="19">
        <v>0.2</v>
      </c>
      <c r="H125" s="19">
        <v>0.2</v>
      </c>
      <c r="I125" s="19">
        <v>0.2</v>
      </c>
      <c r="K125">
        <v>0</v>
      </c>
    </row>
    <row r="126" spans="4:11" x14ac:dyDescent="0.35">
      <c r="D126" s="18">
        <v>121</v>
      </c>
      <c r="E126" s="19">
        <v>0.5</v>
      </c>
      <c r="F126" s="19">
        <f t="shared" si="0"/>
        <v>0.5</v>
      </c>
      <c r="G126" s="19">
        <v>0.2</v>
      </c>
      <c r="H126" s="19">
        <v>0.2</v>
      </c>
      <c r="I126" s="19">
        <v>0.2</v>
      </c>
      <c r="K126">
        <v>0</v>
      </c>
    </row>
    <row r="127" spans="4:11" x14ac:dyDescent="0.35">
      <c r="D127" s="18">
        <v>122</v>
      </c>
      <c r="E127" s="19">
        <v>0.5</v>
      </c>
      <c r="F127" s="19">
        <f t="shared" si="0"/>
        <v>0.5</v>
      </c>
      <c r="G127" s="19">
        <v>0.2</v>
      </c>
      <c r="H127" s="19">
        <v>0.2</v>
      </c>
      <c r="I127" s="19">
        <v>0.2</v>
      </c>
      <c r="K127">
        <v>0</v>
      </c>
    </row>
    <row r="128" spans="4:11" x14ac:dyDescent="0.35">
      <c r="D128" s="18">
        <v>123</v>
      </c>
      <c r="E128" s="19">
        <v>0.5</v>
      </c>
      <c r="F128" s="19">
        <f t="shared" si="0"/>
        <v>0.5</v>
      </c>
      <c r="G128" s="19">
        <v>0.2</v>
      </c>
      <c r="H128" s="19">
        <v>0.2</v>
      </c>
      <c r="I128" s="19">
        <v>0.2</v>
      </c>
      <c r="K128">
        <v>0</v>
      </c>
    </row>
    <row r="129" spans="4:11" x14ac:dyDescent="0.35">
      <c r="D129" s="18">
        <v>124</v>
      </c>
      <c r="E129" s="19">
        <v>0.2</v>
      </c>
      <c r="F129" s="19">
        <f t="shared" si="0"/>
        <v>0.2</v>
      </c>
      <c r="G129" s="19">
        <v>0.2</v>
      </c>
      <c r="H129" s="19">
        <v>0.2</v>
      </c>
      <c r="I129" s="19">
        <v>0.2</v>
      </c>
      <c r="K129">
        <v>0</v>
      </c>
    </row>
    <row r="130" spans="4:11" x14ac:dyDescent="0.35">
      <c r="D130" s="18">
        <v>125</v>
      </c>
      <c r="E130" s="19">
        <v>0.5</v>
      </c>
      <c r="F130" s="19">
        <f t="shared" si="0"/>
        <v>0.5</v>
      </c>
      <c r="G130" s="19">
        <v>0.2</v>
      </c>
      <c r="H130" s="19">
        <v>0.2</v>
      </c>
      <c r="I130" s="19">
        <v>0.2</v>
      </c>
      <c r="K130">
        <v>0</v>
      </c>
    </row>
    <row r="131" spans="4:11" x14ac:dyDescent="0.35">
      <c r="D131" s="18">
        <v>126</v>
      </c>
      <c r="E131" s="19">
        <v>0.5</v>
      </c>
      <c r="F131" s="19">
        <f t="shared" si="0"/>
        <v>0.5</v>
      </c>
      <c r="G131" s="19">
        <v>0.2</v>
      </c>
      <c r="H131" s="19">
        <v>0.2</v>
      </c>
      <c r="I131" s="19">
        <v>0.2</v>
      </c>
      <c r="K131">
        <v>0</v>
      </c>
    </row>
    <row r="132" spans="4:11" x14ac:dyDescent="0.35">
      <c r="D132" s="18">
        <v>127</v>
      </c>
      <c r="E132" s="19">
        <v>0.5</v>
      </c>
      <c r="F132" s="19">
        <f t="shared" si="0"/>
        <v>0.5</v>
      </c>
      <c r="G132" s="19">
        <v>0.2</v>
      </c>
      <c r="H132" s="19">
        <v>0.2</v>
      </c>
      <c r="I132" s="19">
        <v>0.2</v>
      </c>
      <c r="K132">
        <v>0</v>
      </c>
    </row>
    <row r="133" spans="4:11" x14ac:dyDescent="0.35">
      <c r="D133" s="18">
        <v>128</v>
      </c>
      <c r="E133" s="19">
        <v>0.5</v>
      </c>
      <c r="F133" s="19">
        <f t="shared" si="0"/>
        <v>0.5</v>
      </c>
      <c r="G133" s="19">
        <v>0.2</v>
      </c>
      <c r="H133" s="19">
        <v>0.2</v>
      </c>
      <c r="I133" s="19">
        <v>0.2</v>
      </c>
      <c r="K133">
        <v>0</v>
      </c>
    </row>
    <row r="134" spans="4:11" x14ac:dyDescent="0.35">
      <c r="D134" s="18">
        <v>129</v>
      </c>
      <c r="E134" s="19">
        <v>0.2</v>
      </c>
      <c r="F134" s="19">
        <f t="shared" si="0"/>
        <v>0.2</v>
      </c>
      <c r="G134" s="19">
        <v>0.2</v>
      </c>
      <c r="H134" s="19">
        <v>0.2</v>
      </c>
      <c r="I134" s="19">
        <v>0.2</v>
      </c>
      <c r="K134">
        <v>0</v>
      </c>
    </row>
    <row r="135" spans="4:11" x14ac:dyDescent="0.35">
      <c r="D135" s="18">
        <v>130</v>
      </c>
      <c r="E135" s="19">
        <v>0.5</v>
      </c>
      <c r="F135" s="19">
        <f t="shared" si="0"/>
        <v>0.5</v>
      </c>
      <c r="G135" s="19">
        <v>0.2</v>
      </c>
      <c r="H135" s="19">
        <v>0.2</v>
      </c>
      <c r="I135" s="19">
        <v>0.2</v>
      </c>
      <c r="K135">
        <v>0</v>
      </c>
    </row>
    <row r="136" spans="4:11" x14ac:dyDescent="0.35">
      <c r="D136" s="18">
        <v>131</v>
      </c>
      <c r="E136" s="19">
        <v>0.5</v>
      </c>
      <c r="F136" s="19">
        <f t="shared" si="0"/>
        <v>0.5</v>
      </c>
      <c r="G136" s="19">
        <v>0.2</v>
      </c>
      <c r="H136" s="19">
        <v>0.2</v>
      </c>
      <c r="I136" s="19">
        <v>0.2</v>
      </c>
      <c r="K136">
        <v>0</v>
      </c>
    </row>
    <row r="137" spans="4:11" x14ac:dyDescent="0.35">
      <c r="D137" s="18">
        <v>132</v>
      </c>
      <c r="E137" s="19">
        <v>0.5</v>
      </c>
      <c r="F137" s="19">
        <f t="shared" si="0"/>
        <v>0.5</v>
      </c>
      <c r="G137" s="19">
        <v>0.2</v>
      </c>
      <c r="H137" s="19">
        <v>0.2</v>
      </c>
      <c r="I137" s="19">
        <v>0.2</v>
      </c>
      <c r="K137">
        <v>0</v>
      </c>
    </row>
    <row r="138" spans="4:11" x14ac:dyDescent="0.35">
      <c r="D138" s="18">
        <v>133</v>
      </c>
      <c r="E138" s="19">
        <v>0.5</v>
      </c>
      <c r="F138" s="19">
        <f t="shared" si="0"/>
        <v>0.5</v>
      </c>
      <c r="G138" s="19">
        <v>0.2</v>
      </c>
      <c r="H138" s="19">
        <v>0.2</v>
      </c>
      <c r="I138" s="19">
        <v>0.2</v>
      </c>
      <c r="K138">
        <v>0</v>
      </c>
    </row>
    <row r="139" spans="4:11" x14ac:dyDescent="0.35">
      <c r="D139" s="18">
        <v>134</v>
      </c>
      <c r="E139" s="19">
        <v>0.2</v>
      </c>
      <c r="F139" s="19">
        <f t="shared" si="0"/>
        <v>0.2</v>
      </c>
      <c r="G139" s="19">
        <v>0.2</v>
      </c>
      <c r="H139" s="19">
        <v>0.2</v>
      </c>
      <c r="I139" s="19">
        <v>0.2</v>
      </c>
      <c r="K139">
        <v>0</v>
      </c>
    </row>
    <row r="140" spans="4:11" x14ac:dyDescent="0.35">
      <c r="D140" s="18">
        <v>135</v>
      </c>
      <c r="E140" s="19">
        <v>0.5</v>
      </c>
      <c r="F140" s="19">
        <f t="shared" si="0"/>
        <v>0.5</v>
      </c>
      <c r="G140" s="19">
        <v>0.2</v>
      </c>
      <c r="H140" s="19">
        <v>0.2</v>
      </c>
      <c r="I140" s="19">
        <v>0.2</v>
      </c>
      <c r="K140">
        <v>0</v>
      </c>
    </row>
    <row r="141" spans="4:11" x14ac:dyDescent="0.35">
      <c r="D141" s="18">
        <v>136</v>
      </c>
      <c r="E141" s="19">
        <v>0.5</v>
      </c>
      <c r="F141" s="19">
        <f t="shared" si="0"/>
        <v>0.5</v>
      </c>
      <c r="G141" s="19">
        <v>0.2</v>
      </c>
      <c r="H141" s="19">
        <v>0.2</v>
      </c>
      <c r="I141" s="19">
        <v>0.2</v>
      </c>
      <c r="K141">
        <v>0</v>
      </c>
    </row>
    <row r="142" spans="4:11" x14ac:dyDescent="0.35">
      <c r="D142" s="18">
        <v>137</v>
      </c>
      <c r="E142" s="19">
        <v>0.5</v>
      </c>
      <c r="F142" s="19">
        <f t="shared" si="0"/>
        <v>0.5</v>
      </c>
      <c r="G142" s="19">
        <v>0.2</v>
      </c>
      <c r="H142" s="19">
        <v>0.2</v>
      </c>
      <c r="I142" s="19">
        <v>0.2</v>
      </c>
      <c r="K142">
        <v>0</v>
      </c>
    </row>
    <row r="143" spans="4:11" x14ac:dyDescent="0.35">
      <c r="D143" s="18">
        <v>138</v>
      </c>
      <c r="E143" s="19">
        <v>0.5</v>
      </c>
      <c r="F143" s="19">
        <f t="shared" si="0"/>
        <v>0.5</v>
      </c>
      <c r="G143" s="19">
        <v>0.2</v>
      </c>
      <c r="H143" s="19">
        <v>0.2</v>
      </c>
      <c r="I143" s="19">
        <v>0.2</v>
      </c>
      <c r="K143">
        <v>0</v>
      </c>
    </row>
    <row r="144" spans="4:11" x14ac:dyDescent="0.35">
      <c r="D144" s="18">
        <v>139</v>
      </c>
      <c r="E144" s="19">
        <v>0.2</v>
      </c>
      <c r="F144" s="19">
        <f t="shared" si="0"/>
        <v>0.2</v>
      </c>
      <c r="G144" s="19">
        <v>0.2</v>
      </c>
      <c r="H144" s="19">
        <v>0.2</v>
      </c>
      <c r="I144" s="19">
        <v>0.2</v>
      </c>
      <c r="K144">
        <v>0</v>
      </c>
    </row>
    <row r="145" spans="4:11" x14ac:dyDescent="0.35">
      <c r="D145" s="18">
        <v>140</v>
      </c>
      <c r="E145" s="19">
        <v>0.5</v>
      </c>
      <c r="F145" s="19">
        <f t="shared" si="0"/>
        <v>0.5</v>
      </c>
      <c r="G145" s="19">
        <v>0.2</v>
      </c>
      <c r="H145" s="19">
        <v>0.2</v>
      </c>
      <c r="I145" s="19">
        <v>0.2</v>
      </c>
      <c r="K145">
        <v>0</v>
      </c>
    </row>
    <row r="146" spans="4:11" x14ac:dyDescent="0.35">
      <c r="D146" s="18">
        <v>141</v>
      </c>
      <c r="E146" s="19">
        <v>0.5</v>
      </c>
      <c r="F146" s="19">
        <f t="shared" si="0"/>
        <v>0.5</v>
      </c>
      <c r="G146" s="19">
        <v>0.2</v>
      </c>
      <c r="H146" s="19">
        <v>0.2</v>
      </c>
      <c r="I146" s="19">
        <v>0.2</v>
      </c>
      <c r="K146">
        <v>0</v>
      </c>
    </row>
    <row r="147" spans="4:11" x14ac:dyDescent="0.35">
      <c r="D147" s="18">
        <v>142</v>
      </c>
      <c r="E147" s="19">
        <v>0.5</v>
      </c>
      <c r="F147" s="19">
        <f t="shared" si="0"/>
        <v>0.5</v>
      </c>
      <c r="G147" s="19">
        <v>0.2</v>
      </c>
      <c r="H147" s="19">
        <v>0.2</v>
      </c>
      <c r="I147" s="19">
        <v>0.2</v>
      </c>
      <c r="K147">
        <v>0</v>
      </c>
    </row>
    <row r="148" spans="4:11" x14ac:dyDescent="0.35">
      <c r="D148" s="18">
        <v>143</v>
      </c>
      <c r="E148" s="19">
        <v>0.5</v>
      </c>
      <c r="F148" s="19">
        <f t="shared" si="0"/>
        <v>0.5</v>
      </c>
      <c r="G148" s="19">
        <v>0.2</v>
      </c>
      <c r="H148" s="19">
        <v>0.2</v>
      </c>
      <c r="I148" s="19">
        <v>0.2</v>
      </c>
      <c r="K148">
        <v>0</v>
      </c>
    </row>
    <row r="149" spans="4:11" x14ac:dyDescent="0.35">
      <c r="D149" s="18">
        <v>144</v>
      </c>
      <c r="E149" s="19">
        <v>0.5</v>
      </c>
      <c r="F149" s="19">
        <f t="shared" si="0"/>
        <v>0.5</v>
      </c>
      <c r="G149" s="19">
        <v>0.2</v>
      </c>
      <c r="H149" s="19">
        <v>0.2</v>
      </c>
      <c r="I149" s="19">
        <v>0.2</v>
      </c>
      <c r="K149">
        <v>0</v>
      </c>
    </row>
    <row r="150" spans="4:11" x14ac:dyDescent="0.35">
      <c r="D150" s="18">
        <v>145</v>
      </c>
      <c r="E150" s="19">
        <v>0.5</v>
      </c>
      <c r="F150" s="19">
        <f t="shared" si="0"/>
        <v>0.5</v>
      </c>
      <c r="G150" s="19">
        <v>0.2</v>
      </c>
      <c r="H150" s="19">
        <v>0.2</v>
      </c>
      <c r="I150" s="19">
        <v>0.2</v>
      </c>
      <c r="K150">
        <v>0</v>
      </c>
    </row>
    <row r="151" spans="4:11" x14ac:dyDescent="0.35">
      <c r="D151" s="18">
        <v>146</v>
      </c>
      <c r="E151" s="19">
        <v>0.5</v>
      </c>
      <c r="F151" s="19">
        <f t="shared" si="0"/>
        <v>0.5</v>
      </c>
      <c r="G151" s="19">
        <v>0.2</v>
      </c>
      <c r="H151" s="19">
        <v>0.2</v>
      </c>
      <c r="I151" s="19">
        <v>0.2</v>
      </c>
      <c r="K151">
        <v>0</v>
      </c>
    </row>
    <row r="152" spans="4:11" x14ac:dyDescent="0.35">
      <c r="D152" s="18">
        <v>147</v>
      </c>
      <c r="E152" s="19">
        <v>0.5</v>
      </c>
      <c r="F152" s="19">
        <f t="shared" si="0"/>
        <v>0.5</v>
      </c>
      <c r="G152" s="19">
        <v>0.2</v>
      </c>
      <c r="H152" s="19">
        <v>0.2</v>
      </c>
      <c r="I152" s="19">
        <v>0.2</v>
      </c>
      <c r="K152">
        <v>0</v>
      </c>
    </row>
    <row r="153" spans="4:11" x14ac:dyDescent="0.35">
      <c r="D153" s="18">
        <v>148</v>
      </c>
      <c r="E153" s="19">
        <v>0.5</v>
      </c>
      <c r="F153" s="19">
        <f t="shared" si="0"/>
        <v>0.5</v>
      </c>
      <c r="G153" s="19">
        <v>0.2</v>
      </c>
      <c r="H153" s="19">
        <v>0.2</v>
      </c>
      <c r="I153" s="19">
        <v>0.2</v>
      </c>
      <c r="K153">
        <v>0</v>
      </c>
    </row>
    <row r="154" spans="4:11" x14ac:dyDescent="0.35">
      <c r="D154" s="18">
        <v>149</v>
      </c>
      <c r="E154" s="19">
        <v>0.5</v>
      </c>
      <c r="F154" s="19">
        <f t="shared" si="0"/>
        <v>0.5</v>
      </c>
      <c r="G154" s="19">
        <v>0.2</v>
      </c>
      <c r="H154" s="19">
        <v>0.2</v>
      </c>
      <c r="I154" s="19">
        <v>0.2</v>
      </c>
      <c r="K154">
        <v>0</v>
      </c>
    </row>
    <row r="155" spans="4:11" x14ac:dyDescent="0.35">
      <c r="D155" s="18">
        <v>150</v>
      </c>
      <c r="E155" s="19">
        <v>0.5</v>
      </c>
      <c r="F155" s="19">
        <f t="shared" si="0"/>
        <v>0.5</v>
      </c>
      <c r="G155" s="19">
        <v>0.2</v>
      </c>
      <c r="H155" s="19">
        <v>0.2</v>
      </c>
      <c r="I155" s="19">
        <v>0.2</v>
      </c>
      <c r="K155">
        <v>0</v>
      </c>
    </row>
    <row r="156" spans="4:11" x14ac:dyDescent="0.35">
      <c r="D156" s="18">
        <v>151</v>
      </c>
      <c r="E156" s="19">
        <v>0.5</v>
      </c>
      <c r="F156" s="19">
        <f t="shared" si="0"/>
        <v>0.5</v>
      </c>
      <c r="G156" s="19">
        <v>0.2</v>
      </c>
      <c r="H156" s="19">
        <v>0.2</v>
      </c>
      <c r="I156" s="19">
        <v>0.2</v>
      </c>
      <c r="K156">
        <v>0</v>
      </c>
    </row>
    <row r="157" spans="4:11" x14ac:dyDescent="0.35">
      <c r="D157" s="18">
        <v>152</v>
      </c>
      <c r="E157" s="19">
        <v>0.5</v>
      </c>
      <c r="F157" s="19">
        <f t="shared" si="0"/>
        <v>0.5</v>
      </c>
      <c r="G157" s="19">
        <v>0.2</v>
      </c>
      <c r="H157" s="19">
        <v>0.2</v>
      </c>
      <c r="I157" s="19">
        <v>0.2</v>
      </c>
      <c r="K157">
        <v>0</v>
      </c>
    </row>
    <row r="158" spans="4:11" x14ac:dyDescent="0.35">
      <c r="D158" s="18">
        <v>153</v>
      </c>
      <c r="E158" s="19">
        <v>0.5</v>
      </c>
      <c r="F158" s="19">
        <f t="shared" si="0"/>
        <v>0.5</v>
      </c>
      <c r="G158" s="19">
        <v>0.2</v>
      </c>
      <c r="H158" s="19">
        <v>0.2</v>
      </c>
      <c r="I158" s="19">
        <v>0.2</v>
      </c>
      <c r="K158">
        <v>0</v>
      </c>
    </row>
    <row r="159" spans="4:11" x14ac:dyDescent="0.35">
      <c r="D159" s="18">
        <v>154</v>
      </c>
      <c r="E159" s="19">
        <v>0.5</v>
      </c>
      <c r="F159" s="19">
        <f t="shared" si="0"/>
        <v>0.5</v>
      </c>
      <c r="G159" s="19">
        <v>0.2</v>
      </c>
      <c r="H159" s="19">
        <v>0.2</v>
      </c>
      <c r="I159" s="19">
        <v>0.2</v>
      </c>
      <c r="K159">
        <v>0</v>
      </c>
    </row>
    <row r="160" spans="4:11" x14ac:dyDescent="0.35">
      <c r="D160" s="18">
        <v>155</v>
      </c>
      <c r="E160" s="19">
        <v>0.5</v>
      </c>
      <c r="F160" s="19">
        <f t="shared" si="0"/>
        <v>0.5</v>
      </c>
      <c r="G160" s="19">
        <v>0.2</v>
      </c>
      <c r="H160" s="19">
        <v>0.2</v>
      </c>
      <c r="I160" s="19">
        <v>0.2</v>
      </c>
      <c r="K160">
        <v>0</v>
      </c>
    </row>
    <row r="161" spans="4:11" x14ac:dyDescent="0.35">
      <c r="D161" s="18">
        <v>156</v>
      </c>
      <c r="E161" s="19">
        <v>0.5</v>
      </c>
      <c r="F161" s="19">
        <f t="shared" si="0"/>
        <v>0.5</v>
      </c>
      <c r="G161" s="19">
        <v>0.2</v>
      </c>
      <c r="H161" s="19">
        <v>0.2</v>
      </c>
      <c r="I161" s="19">
        <v>0.2</v>
      </c>
      <c r="K161">
        <v>0</v>
      </c>
    </row>
    <row r="162" spans="4:11" x14ac:dyDescent="0.35">
      <c r="D162" s="18">
        <v>157</v>
      </c>
      <c r="E162" s="19">
        <v>0.5</v>
      </c>
      <c r="F162" s="19">
        <f t="shared" si="0"/>
        <v>0.5</v>
      </c>
      <c r="G162" s="19">
        <v>0.2</v>
      </c>
      <c r="H162" s="19">
        <v>0.2</v>
      </c>
      <c r="I162" s="19">
        <v>0.2</v>
      </c>
      <c r="K162">
        <v>0</v>
      </c>
    </row>
    <row r="163" spans="4:11" x14ac:dyDescent="0.35">
      <c r="D163" s="18">
        <v>158</v>
      </c>
      <c r="E163" s="19">
        <v>0.5</v>
      </c>
      <c r="F163" s="19">
        <f t="shared" si="0"/>
        <v>0.5</v>
      </c>
      <c r="G163" s="19">
        <v>0.2</v>
      </c>
      <c r="H163" s="19">
        <v>0.2</v>
      </c>
      <c r="I163" s="19">
        <v>0.2</v>
      </c>
      <c r="K163">
        <v>0</v>
      </c>
    </row>
    <row r="164" spans="4:11" x14ac:dyDescent="0.35">
      <c r="D164" s="18">
        <v>159</v>
      </c>
      <c r="E164" s="19">
        <v>0.5</v>
      </c>
      <c r="F164" s="19">
        <f t="shared" si="0"/>
        <v>0.5</v>
      </c>
      <c r="G164" s="19">
        <v>0.2</v>
      </c>
      <c r="H164" s="19">
        <v>0.2</v>
      </c>
      <c r="I164" s="19">
        <v>0.2</v>
      </c>
      <c r="K164">
        <v>0</v>
      </c>
    </row>
    <row r="165" spans="4:11" x14ac:dyDescent="0.35">
      <c r="D165" s="18">
        <v>160</v>
      </c>
      <c r="E165" s="19">
        <v>0.5</v>
      </c>
      <c r="F165" s="19">
        <f t="shared" si="0"/>
        <v>0.5</v>
      </c>
      <c r="G165" s="19">
        <v>0.2</v>
      </c>
      <c r="H165" s="19">
        <v>0.2</v>
      </c>
      <c r="I165" s="19">
        <v>0.2</v>
      </c>
      <c r="K165">
        <v>0</v>
      </c>
    </row>
    <row r="166" spans="4:11" x14ac:dyDescent="0.35">
      <c r="D166" s="18">
        <v>161</v>
      </c>
      <c r="E166" s="19">
        <v>0.5</v>
      </c>
      <c r="F166" s="19">
        <f t="shared" si="0"/>
        <v>0.5</v>
      </c>
      <c r="G166" s="19">
        <v>0.2</v>
      </c>
      <c r="H166" s="19">
        <v>0.2</v>
      </c>
      <c r="I166" s="19">
        <v>0.2</v>
      </c>
      <c r="K166">
        <v>0</v>
      </c>
    </row>
    <row r="167" spans="4:11" x14ac:dyDescent="0.35">
      <c r="D167" s="18">
        <v>162</v>
      </c>
      <c r="E167" s="19">
        <v>0.5</v>
      </c>
      <c r="F167" s="19">
        <f t="shared" si="0"/>
        <v>0.5</v>
      </c>
      <c r="G167" s="19">
        <v>0.2</v>
      </c>
      <c r="H167" s="19">
        <v>0.2</v>
      </c>
      <c r="I167" s="19">
        <v>0.2</v>
      </c>
      <c r="K167">
        <v>0</v>
      </c>
    </row>
    <row r="168" spans="4:11" x14ac:dyDescent="0.35">
      <c r="D168" s="18">
        <v>163</v>
      </c>
      <c r="E168" s="19">
        <v>0.5</v>
      </c>
      <c r="F168" s="19">
        <f t="shared" si="0"/>
        <v>0.5</v>
      </c>
      <c r="G168" s="19">
        <v>0.2</v>
      </c>
      <c r="H168" s="19">
        <v>0.2</v>
      </c>
      <c r="I168" s="19">
        <v>0.2</v>
      </c>
      <c r="K168">
        <v>0</v>
      </c>
    </row>
    <row r="169" spans="4:11" x14ac:dyDescent="0.35">
      <c r="D169" s="18">
        <v>164</v>
      </c>
      <c r="E169" s="19">
        <v>0.5</v>
      </c>
      <c r="F169" s="19">
        <f t="shared" si="0"/>
        <v>0.5</v>
      </c>
      <c r="G169" s="19">
        <v>0.2</v>
      </c>
      <c r="H169" s="19">
        <v>0.2</v>
      </c>
      <c r="I169" s="19">
        <v>0.2</v>
      </c>
      <c r="K169">
        <v>0</v>
      </c>
    </row>
    <row r="170" spans="4:11" x14ac:dyDescent="0.35">
      <c r="D170" s="18">
        <v>165</v>
      </c>
      <c r="E170" s="19">
        <v>0.5</v>
      </c>
      <c r="F170" s="19">
        <f t="shared" si="0"/>
        <v>0.5</v>
      </c>
      <c r="G170" s="19">
        <v>0.2</v>
      </c>
      <c r="H170" s="19">
        <v>0.2</v>
      </c>
      <c r="I170" s="19">
        <v>0.2</v>
      </c>
      <c r="K170">
        <v>0</v>
      </c>
    </row>
    <row r="171" spans="4:11" x14ac:dyDescent="0.35">
      <c r="D171" s="18">
        <v>166</v>
      </c>
      <c r="E171" s="19">
        <v>0.5</v>
      </c>
      <c r="F171" s="19">
        <f t="shared" ref="F171:F234" si="1">E171</f>
        <v>0.5</v>
      </c>
      <c r="G171" s="19">
        <v>0.2</v>
      </c>
      <c r="H171" s="19">
        <v>0.2</v>
      </c>
      <c r="I171" s="19">
        <v>0.2</v>
      </c>
      <c r="K171">
        <v>0</v>
      </c>
    </row>
    <row r="172" spans="4:11" x14ac:dyDescent="0.35">
      <c r="D172" s="18">
        <v>167</v>
      </c>
      <c r="E172" s="19">
        <v>0.5</v>
      </c>
      <c r="F172" s="19">
        <f t="shared" si="1"/>
        <v>0.5</v>
      </c>
      <c r="G172" s="19">
        <v>0.2</v>
      </c>
      <c r="H172" s="19">
        <v>0.2</v>
      </c>
      <c r="I172" s="19">
        <v>0.2</v>
      </c>
      <c r="K172">
        <v>0</v>
      </c>
    </row>
    <row r="173" spans="4:11" x14ac:dyDescent="0.35">
      <c r="D173" s="18">
        <v>168</v>
      </c>
      <c r="E173" s="19">
        <v>0.5</v>
      </c>
      <c r="F173" s="19">
        <f t="shared" si="1"/>
        <v>0.5</v>
      </c>
      <c r="G173" s="19">
        <v>0.2</v>
      </c>
      <c r="H173" s="19">
        <v>0.2</v>
      </c>
      <c r="I173" s="19">
        <v>0.2</v>
      </c>
      <c r="K173">
        <v>0</v>
      </c>
    </row>
    <row r="174" spans="4:11" x14ac:dyDescent="0.35">
      <c r="D174" s="18">
        <v>169</v>
      </c>
      <c r="E174" s="19">
        <v>0.5</v>
      </c>
      <c r="F174" s="19">
        <f t="shared" si="1"/>
        <v>0.5</v>
      </c>
      <c r="G174" s="19">
        <v>0.2</v>
      </c>
      <c r="H174" s="19">
        <v>0.2</v>
      </c>
      <c r="I174" s="19">
        <v>0.2</v>
      </c>
      <c r="K174">
        <v>0</v>
      </c>
    </row>
    <row r="175" spans="4:11" x14ac:dyDescent="0.35">
      <c r="D175" s="18">
        <v>170</v>
      </c>
      <c r="E175" s="19">
        <v>0.5</v>
      </c>
      <c r="F175" s="19">
        <f t="shared" si="1"/>
        <v>0.5</v>
      </c>
      <c r="G175" s="19">
        <v>0.2</v>
      </c>
      <c r="H175" s="19">
        <v>0.2</v>
      </c>
      <c r="I175" s="19">
        <v>0.2</v>
      </c>
      <c r="K175">
        <v>0</v>
      </c>
    </row>
    <row r="176" spans="4:11" x14ac:dyDescent="0.35">
      <c r="D176" s="18">
        <v>171</v>
      </c>
      <c r="E176" s="19">
        <v>0.5</v>
      </c>
      <c r="F176" s="19">
        <f t="shared" si="1"/>
        <v>0.5</v>
      </c>
      <c r="G176" s="19">
        <v>0.2</v>
      </c>
      <c r="H176" s="19">
        <v>0.2</v>
      </c>
      <c r="I176" s="19">
        <v>0.2</v>
      </c>
      <c r="K176">
        <v>0</v>
      </c>
    </row>
    <row r="177" spans="4:11" x14ac:dyDescent="0.35">
      <c r="D177" s="18">
        <v>172</v>
      </c>
      <c r="E177" s="19">
        <v>0.5</v>
      </c>
      <c r="F177" s="19">
        <f t="shared" si="1"/>
        <v>0.5</v>
      </c>
      <c r="G177" s="19">
        <v>0.2</v>
      </c>
      <c r="H177" s="19">
        <v>0.2</v>
      </c>
      <c r="I177" s="19">
        <v>0.2</v>
      </c>
      <c r="K177">
        <v>0</v>
      </c>
    </row>
    <row r="178" spans="4:11" x14ac:dyDescent="0.35">
      <c r="D178" s="18">
        <v>173</v>
      </c>
      <c r="E178" s="19">
        <v>0.5</v>
      </c>
      <c r="F178" s="19">
        <f t="shared" si="1"/>
        <v>0.5</v>
      </c>
      <c r="G178" s="19">
        <v>0.2</v>
      </c>
      <c r="H178" s="19">
        <v>0.2</v>
      </c>
      <c r="I178" s="19">
        <v>0.2</v>
      </c>
      <c r="K178">
        <v>0</v>
      </c>
    </row>
    <row r="179" spans="4:11" x14ac:dyDescent="0.35">
      <c r="D179" s="18">
        <v>174</v>
      </c>
      <c r="E179" s="19">
        <v>0.5</v>
      </c>
      <c r="F179" s="19">
        <f t="shared" si="1"/>
        <v>0.5</v>
      </c>
      <c r="G179" s="19">
        <v>0.2</v>
      </c>
      <c r="H179" s="19">
        <v>0.2</v>
      </c>
      <c r="I179" s="19">
        <v>0.2</v>
      </c>
      <c r="K179">
        <v>0</v>
      </c>
    </row>
    <row r="180" spans="4:11" x14ac:dyDescent="0.35">
      <c r="D180" s="18">
        <v>175</v>
      </c>
      <c r="E180" s="19">
        <v>0.5</v>
      </c>
      <c r="F180" s="19">
        <f t="shared" si="1"/>
        <v>0.5</v>
      </c>
      <c r="G180" s="19">
        <v>0.2</v>
      </c>
      <c r="H180" s="19">
        <v>0.2</v>
      </c>
      <c r="I180" s="19">
        <v>0.2</v>
      </c>
      <c r="K180">
        <v>0</v>
      </c>
    </row>
    <row r="181" spans="4:11" x14ac:dyDescent="0.35">
      <c r="D181" s="18">
        <v>176</v>
      </c>
      <c r="E181" s="19">
        <v>0.5</v>
      </c>
      <c r="F181" s="19">
        <f t="shared" si="1"/>
        <v>0.5</v>
      </c>
      <c r="G181" s="19">
        <v>0.2</v>
      </c>
      <c r="H181" s="19">
        <v>0.2</v>
      </c>
      <c r="I181" s="19">
        <v>0.2</v>
      </c>
      <c r="K181">
        <v>0</v>
      </c>
    </row>
    <row r="182" spans="4:11" x14ac:dyDescent="0.35">
      <c r="D182" s="18">
        <v>177</v>
      </c>
      <c r="E182" s="19">
        <v>0.5</v>
      </c>
      <c r="F182" s="19">
        <f t="shared" si="1"/>
        <v>0.5</v>
      </c>
      <c r="G182" s="19">
        <v>0.2</v>
      </c>
      <c r="H182" s="19">
        <v>0.2</v>
      </c>
      <c r="I182" s="19">
        <v>0.2</v>
      </c>
      <c r="K182">
        <v>0</v>
      </c>
    </row>
    <row r="183" spans="4:11" x14ac:dyDescent="0.35">
      <c r="D183" s="18">
        <v>178</v>
      </c>
      <c r="E183" s="19">
        <v>0.5</v>
      </c>
      <c r="F183" s="19">
        <f t="shared" si="1"/>
        <v>0.5</v>
      </c>
      <c r="G183" s="19">
        <v>0.2</v>
      </c>
      <c r="H183" s="19">
        <v>0.2</v>
      </c>
      <c r="I183" s="19">
        <v>0.2</v>
      </c>
      <c r="K183">
        <v>0</v>
      </c>
    </row>
    <row r="184" spans="4:11" x14ac:dyDescent="0.35">
      <c r="D184" s="18">
        <v>179</v>
      </c>
      <c r="E184" s="19">
        <v>0.5</v>
      </c>
      <c r="F184" s="19">
        <f t="shared" si="1"/>
        <v>0.5</v>
      </c>
      <c r="G184" s="19">
        <v>0.2</v>
      </c>
      <c r="H184" s="19">
        <v>0.2</v>
      </c>
      <c r="I184" s="19">
        <v>0.2</v>
      </c>
      <c r="K184">
        <v>0</v>
      </c>
    </row>
    <row r="185" spans="4:11" x14ac:dyDescent="0.35">
      <c r="D185" s="18">
        <v>180</v>
      </c>
      <c r="E185" s="19">
        <v>0.5</v>
      </c>
      <c r="F185" s="19">
        <f t="shared" si="1"/>
        <v>0.5</v>
      </c>
      <c r="G185" s="19">
        <v>0.2</v>
      </c>
      <c r="H185" s="19">
        <v>0.2</v>
      </c>
      <c r="I185" s="19">
        <v>0.2</v>
      </c>
      <c r="K185">
        <v>0</v>
      </c>
    </row>
    <row r="186" spans="4:11" x14ac:dyDescent="0.35">
      <c r="D186" s="18">
        <v>181</v>
      </c>
      <c r="E186" s="19">
        <v>0.5</v>
      </c>
      <c r="F186" s="19">
        <f t="shared" si="1"/>
        <v>0.5</v>
      </c>
      <c r="G186" s="19">
        <v>0.2</v>
      </c>
      <c r="H186" s="19">
        <v>0.2</v>
      </c>
      <c r="I186" s="19">
        <v>0.2</v>
      </c>
      <c r="K186">
        <v>0</v>
      </c>
    </row>
    <row r="187" spans="4:11" x14ac:dyDescent="0.35">
      <c r="D187" s="18">
        <v>182</v>
      </c>
      <c r="E187" s="19">
        <v>0.5</v>
      </c>
      <c r="F187" s="19">
        <f t="shared" si="1"/>
        <v>0.5</v>
      </c>
      <c r="G187" s="19">
        <v>0.2</v>
      </c>
      <c r="H187" s="19">
        <v>0.2</v>
      </c>
      <c r="I187" s="19">
        <v>0.2</v>
      </c>
      <c r="K187">
        <v>0</v>
      </c>
    </row>
    <row r="188" spans="4:11" x14ac:dyDescent="0.35">
      <c r="D188" s="18">
        <v>183</v>
      </c>
      <c r="E188" s="19">
        <v>0.5</v>
      </c>
      <c r="F188" s="19">
        <f t="shared" si="1"/>
        <v>0.5</v>
      </c>
      <c r="G188" s="19">
        <v>0.2</v>
      </c>
      <c r="H188" s="19">
        <v>0.2</v>
      </c>
      <c r="I188" s="19">
        <v>0.2</v>
      </c>
      <c r="K188">
        <v>0</v>
      </c>
    </row>
    <row r="189" spans="4:11" x14ac:dyDescent="0.35">
      <c r="D189" s="18">
        <v>184</v>
      </c>
      <c r="E189" s="19">
        <v>0.5</v>
      </c>
      <c r="F189" s="19">
        <f t="shared" si="1"/>
        <v>0.5</v>
      </c>
      <c r="G189" s="19">
        <v>0.2</v>
      </c>
      <c r="H189" s="19">
        <v>0.2</v>
      </c>
      <c r="I189" s="19">
        <v>0.2</v>
      </c>
      <c r="K189">
        <v>0</v>
      </c>
    </row>
    <row r="190" spans="4:11" x14ac:dyDescent="0.35">
      <c r="D190" s="18">
        <v>185</v>
      </c>
      <c r="E190" s="19">
        <v>0.5</v>
      </c>
      <c r="F190" s="19">
        <f t="shared" si="1"/>
        <v>0.5</v>
      </c>
      <c r="G190" s="19">
        <v>0.2</v>
      </c>
      <c r="H190" s="19">
        <v>0.2</v>
      </c>
      <c r="I190" s="19">
        <v>0.2</v>
      </c>
      <c r="K190">
        <v>0</v>
      </c>
    </row>
    <row r="191" spans="4:11" x14ac:dyDescent="0.35">
      <c r="D191" s="18">
        <v>186</v>
      </c>
      <c r="E191" s="19">
        <v>0.5</v>
      </c>
      <c r="F191" s="19">
        <f t="shared" si="1"/>
        <v>0.5</v>
      </c>
      <c r="G191" s="19">
        <v>0.2</v>
      </c>
      <c r="H191" s="19">
        <v>0.2</v>
      </c>
      <c r="I191" s="19">
        <v>0.2</v>
      </c>
      <c r="K191">
        <v>0</v>
      </c>
    </row>
    <row r="192" spans="4:11" x14ac:dyDescent="0.35">
      <c r="D192" s="18">
        <v>187</v>
      </c>
      <c r="E192" s="19">
        <v>0.5</v>
      </c>
      <c r="F192" s="19">
        <f t="shared" si="1"/>
        <v>0.5</v>
      </c>
      <c r="G192" s="19">
        <v>0.2</v>
      </c>
      <c r="H192" s="19">
        <v>0.2</v>
      </c>
      <c r="I192" s="19">
        <v>0.2</v>
      </c>
      <c r="K192">
        <v>0</v>
      </c>
    </row>
    <row r="193" spans="4:11" x14ac:dyDescent="0.35">
      <c r="D193" s="18">
        <v>188</v>
      </c>
      <c r="E193" s="19">
        <v>0.5</v>
      </c>
      <c r="F193" s="19">
        <f t="shared" si="1"/>
        <v>0.5</v>
      </c>
      <c r="G193" s="19">
        <v>0.2</v>
      </c>
      <c r="H193" s="19">
        <v>0.2</v>
      </c>
      <c r="I193" s="19">
        <v>0.2</v>
      </c>
      <c r="K193">
        <v>0</v>
      </c>
    </row>
    <row r="194" spans="4:11" x14ac:dyDescent="0.35">
      <c r="D194" s="18">
        <v>189</v>
      </c>
      <c r="E194" s="19">
        <v>0.5</v>
      </c>
      <c r="F194" s="19">
        <f t="shared" si="1"/>
        <v>0.5</v>
      </c>
      <c r="G194" s="19">
        <v>0.2</v>
      </c>
      <c r="H194" s="19">
        <v>0.2</v>
      </c>
      <c r="I194" s="19">
        <v>0.2</v>
      </c>
      <c r="K194">
        <v>0</v>
      </c>
    </row>
    <row r="195" spans="4:11" x14ac:dyDescent="0.35">
      <c r="D195" s="18">
        <v>190</v>
      </c>
      <c r="E195" s="19">
        <v>0.5</v>
      </c>
      <c r="F195" s="19">
        <f t="shared" si="1"/>
        <v>0.5</v>
      </c>
      <c r="G195" s="19">
        <v>0.2</v>
      </c>
      <c r="H195" s="19">
        <v>0.2</v>
      </c>
      <c r="I195" s="19">
        <v>0.2</v>
      </c>
      <c r="K195">
        <v>0</v>
      </c>
    </row>
    <row r="196" spans="4:11" x14ac:dyDescent="0.35">
      <c r="D196" s="18">
        <v>191</v>
      </c>
      <c r="E196" s="19">
        <v>0.5</v>
      </c>
      <c r="F196" s="19">
        <f t="shared" si="1"/>
        <v>0.5</v>
      </c>
      <c r="G196" s="19">
        <v>0.2</v>
      </c>
      <c r="H196" s="19">
        <v>0.2</v>
      </c>
      <c r="I196" s="19">
        <v>0.2</v>
      </c>
      <c r="K196">
        <v>0</v>
      </c>
    </row>
    <row r="197" spans="4:11" x14ac:dyDescent="0.35">
      <c r="D197" s="18">
        <v>192</v>
      </c>
      <c r="E197" s="19">
        <v>0.5</v>
      </c>
      <c r="F197" s="19">
        <f t="shared" si="1"/>
        <v>0.5</v>
      </c>
      <c r="G197" s="19">
        <v>0.2</v>
      </c>
      <c r="H197" s="19">
        <v>0.2</v>
      </c>
      <c r="I197" s="19">
        <v>0.2</v>
      </c>
      <c r="K197">
        <v>0</v>
      </c>
    </row>
    <row r="198" spans="4:11" x14ac:dyDescent="0.35">
      <c r="D198" s="18">
        <v>193</v>
      </c>
      <c r="E198" s="19">
        <v>0.5</v>
      </c>
      <c r="F198" s="19">
        <f t="shared" si="1"/>
        <v>0.5</v>
      </c>
      <c r="G198" s="19">
        <v>0.2</v>
      </c>
      <c r="H198" s="19">
        <v>0.2</v>
      </c>
      <c r="I198" s="19">
        <v>0.2</v>
      </c>
      <c r="K198">
        <v>0</v>
      </c>
    </row>
    <row r="199" spans="4:11" x14ac:dyDescent="0.35">
      <c r="D199" s="18">
        <v>194</v>
      </c>
      <c r="E199" s="19">
        <v>0.5</v>
      </c>
      <c r="F199" s="19">
        <f t="shared" si="1"/>
        <v>0.5</v>
      </c>
      <c r="G199" s="19">
        <v>0.2</v>
      </c>
      <c r="H199" s="19">
        <v>0.2</v>
      </c>
      <c r="I199" s="19">
        <v>0.2</v>
      </c>
      <c r="K199">
        <v>0</v>
      </c>
    </row>
    <row r="200" spans="4:11" x14ac:dyDescent="0.35">
      <c r="D200" s="18">
        <v>195</v>
      </c>
      <c r="E200" s="19">
        <v>0.5</v>
      </c>
      <c r="F200" s="19">
        <f t="shared" si="1"/>
        <v>0.5</v>
      </c>
      <c r="G200" s="19">
        <v>0.2</v>
      </c>
      <c r="H200" s="19">
        <v>0.2</v>
      </c>
      <c r="I200" s="19">
        <v>0.2</v>
      </c>
      <c r="K200">
        <v>0</v>
      </c>
    </row>
    <row r="201" spans="4:11" x14ac:dyDescent="0.35">
      <c r="D201" s="18">
        <v>196</v>
      </c>
      <c r="E201" s="19">
        <v>0.5</v>
      </c>
      <c r="F201" s="19">
        <f t="shared" si="1"/>
        <v>0.5</v>
      </c>
      <c r="G201" s="19">
        <v>0.2</v>
      </c>
      <c r="H201" s="19">
        <v>0.2</v>
      </c>
      <c r="I201" s="19">
        <v>0.2</v>
      </c>
      <c r="K201">
        <v>0</v>
      </c>
    </row>
    <row r="202" spans="4:11" x14ac:dyDescent="0.35">
      <c r="D202" s="18">
        <v>197</v>
      </c>
      <c r="E202" s="19">
        <v>0.5</v>
      </c>
      <c r="F202" s="19">
        <f t="shared" si="1"/>
        <v>0.5</v>
      </c>
      <c r="G202" s="19">
        <v>0.2</v>
      </c>
      <c r="H202" s="19">
        <v>0.2</v>
      </c>
      <c r="I202" s="19">
        <v>0.2</v>
      </c>
      <c r="K202">
        <v>0</v>
      </c>
    </row>
    <row r="203" spans="4:11" x14ac:dyDescent="0.35">
      <c r="D203" s="18">
        <v>198</v>
      </c>
      <c r="E203" s="19">
        <v>0.5</v>
      </c>
      <c r="F203" s="19">
        <f t="shared" si="1"/>
        <v>0.5</v>
      </c>
      <c r="G203" s="19">
        <v>0.2</v>
      </c>
      <c r="H203" s="19">
        <v>0.2</v>
      </c>
      <c r="I203" s="19">
        <v>0.2</v>
      </c>
      <c r="K203">
        <v>0</v>
      </c>
    </row>
    <row r="204" spans="4:11" x14ac:dyDescent="0.35">
      <c r="D204" s="18">
        <v>199</v>
      </c>
      <c r="E204" s="19">
        <v>0.5</v>
      </c>
      <c r="F204" s="19">
        <f t="shared" si="1"/>
        <v>0.5</v>
      </c>
      <c r="G204" s="19">
        <v>0.2</v>
      </c>
      <c r="H204" s="19">
        <v>0.2</v>
      </c>
      <c r="I204" s="19">
        <v>0.2</v>
      </c>
      <c r="K204">
        <v>0</v>
      </c>
    </row>
    <row r="205" spans="4:11" x14ac:dyDescent="0.35">
      <c r="D205" s="18">
        <v>200</v>
      </c>
      <c r="E205" s="19">
        <v>0.5</v>
      </c>
      <c r="F205" s="19">
        <f t="shared" si="1"/>
        <v>0.5</v>
      </c>
      <c r="G205" s="19">
        <v>0.2</v>
      </c>
      <c r="H205" s="19">
        <v>0.2</v>
      </c>
      <c r="I205" s="19">
        <v>0.2</v>
      </c>
      <c r="K205">
        <v>0</v>
      </c>
    </row>
    <row r="206" spans="4:11" x14ac:dyDescent="0.35">
      <c r="D206" s="18">
        <v>201</v>
      </c>
      <c r="E206" s="19">
        <v>0.5</v>
      </c>
      <c r="F206" s="19">
        <f t="shared" si="1"/>
        <v>0.5</v>
      </c>
      <c r="G206" s="19">
        <v>0.2</v>
      </c>
      <c r="H206" s="19">
        <v>0.2</v>
      </c>
      <c r="I206" s="19">
        <v>0.2</v>
      </c>
      <c r="K206">
        <v>0</v>
      </c>
    </row>
    <row r="207" spans="4:11" x14ac:dyDescent="0.35">
      <c r="D207" s="18">
        <v>202</v>
      </c>
      <c r="E207" s="19">
        <v>0.5</v>
      </c>
      <c r="F207" s="19">
        <f t="shared" si="1"/>
        <v>0.5</v>
      </c>
      <c r="G207" s="19">
        <v>0.2</v>
      </c>
      <c r="H207" s="19">
        <v>0.2</v>
      </c>
      <c r="I207" s="19">
        <v>0.2</v>
      </c>
      <c r="K207">
        <v>0</v>
      </c>
    </row>
    <row r="208" spans="4:11" x14ac:dyDescent="0.35">
      <c r="D208" s="18">
        <v>203</v>
      </c>
      <c r="E208" s="19">
        <v>0.5</v>
      </c>
      <c r="F208" s="19">
        <f t="shared" si="1"/>
        <v>0.5</v>
      </c>
      <c r="G208" s="19">
        <v>0.2</v>
      </c>
      <c r="H208" s="19">
        <v>0.2</v>
      </c>
      <c r="I208" s="19">
        <v>0.2</v>
      </c>
      <c r="K208">
        <v>0</v>
      </c>
    </row>
    <row r="209" spans="4:11" x14ac:dyDescent="0.35">
      <c r="D209" s="18">
        <v>204</v>
      </c>
      <c r="E209" s="19">
        <v>0.5</v>
      </c>
      <c r="F209" s="19">
        <f t="shared" si="1"/>
        <v>0.5</v>
      </c>
      <c r="G209" s="19">
        <v>0.2</v>
      </c>
      <c r="H209" s="19">
        <v>0.2</v>
      </c>
      <c r="I209" s="19">
        <v>0.2</v>
      </c>
      <c r="K209">
        <v>0</v>
      </c>
    </row>
    <row r="210" spans="4:11" x14ac:dyDescent="0.35">
      <c r="D210" s="18">
        <v>205</v>
      </c>
      <c r="E210" s="19">
        <v>0.5</v>
      </c>
      <c r="F210" s="19">
        <f t="shared" si="1"/>
        <v>0.5</v>
      </c>
      <c r="G210" s="19">
        <v>0.2</v>
      </c>
      <c r="H210" s="19">
        <v>0.2</v>
      </c>
      <c r="I210" s="19">
        <v>0.2</v>
      </c>
      <c r="K210">
        <v>0</v>
      </c>
    </row>
    <row r="211" spans="4:11" x14ac:dyDescent="0.35">
      <c r="D211" s="18">
        <v>206</v>
      </c>
      <c r="E211" s="19">
        <v>0.5</v>
      </c>
      <c r="F211" s="19">
        <f t="shared" si="1"/>
        <v>0.5</v>
      </c>
      <c r="G211" s="19">
        <v>0.2</v>
      </c>
      <c r="H211" s="19">
        <v>0.2</v>
      </c>
      <c r="I211" s="19">
        <v>0.2</v>
      </c>
      <c r="K211">
        <v>0</v>
      </c>
    </row>
    <row r="212" spans="4:11" x14ac:dyDescent="0.35">
      <c r="D212" s="18">
        <v>207</v>
      </c>
      <c r="E212" s="19">
        <v>0.5</v>
      </c>
      <c r="F212" s="19">
        <f t="shared" si="1"/>
        <v>0.5</v>
      </c>
      <c r="G212" s="19">
        <v>0.2</v>
      </c>
      <c r="H212" s="19">
        <v>0.2</v>
      </c>
      <c r="I212" s="19">
        <v>0.2</v>
      </c>
      <c r="K212">
        <v>0</v>
      </c>
    </row>
    <row r="213" spans="4:11" x14ac:dyDescent="0.35">
      <c r="D213" s="18">
        <v>208</v>
      </c>
      <c r="E213" s="19">
        <v>0.5</v>
      </c>
      <c r="F213" s="19">
        <f t="shared" si="1"/>
        <v>0.5</v>
      </c>
      <c r="G213" s="19">
        <v>0.2</v>
      </c>
      <c r="H213" s="19">
        <v>0.2</v>
      </c>
      <c r="I213" s="19">
        <v>0.2</v>
      </c>
      <c r="K213">
        <v>0</v>
      </c>
    </row>
    <row r="214" spans="4:11" x14ac:dyDescent="0.35">
      <c r="D214" s="18">
        <v>209</v>
      </c>
      <c r="E214" s="19">
        <v>0.5</v>
      </c>
      <c r="F214" s="19">
        <f t="shared" si="1"/>
        <v>0.5</v>
      </c>
      <c r="G214" s="19">
        <v>0.2</v>
      </c>
      <c r="H214" s="19">
        <v>0.2</v>
      </c>
      <c r="I214" s="19">
        <v>0.2</v>
      </c>
      <c r="K214">
        <v>0</v>
      </c>
    </row>
    <row r="215" spans="4:11" x14ac:dyDescent="0.35">
      <c r="D215" s="18">
        <v>210</v>
      </c>
      <c r="E215" s="19">
        <v>0.5</v>
      </c>
      <c r="F215" s="19">
        <f t="shared" si="1"/>
        <v>0.5</v>
      </c>
      <c r="G215" s="19">
        <v>0.2</v>
      </c>
      <c r="H215" s="19">
        <v>0.2</v>
      </c>
      <c r="I215" s="19">
        <v>0.2</v>
      </c>
      <c r="K215">
        <v>0</v>
      </c>
    </row>
    <row r="216" spans="4:11" x14ac:dyDescent="0.35">
      <c r="D216" s="18">
        <v>211</v>
      </c>
      <c r="E216" s="19">
        <v>0.5</v>
      </c>
      <c r="F216" s="19">
        <f t="shared" si="1"/>
        <v>0.5</v>
      </c>
      <c r="G216" s="19">
        <v>0.2</v>
      </c>
      <c r="H216" s="19">
        <v>0.2</v>
      </c>
      <c r="I216" s="19">
        <v>0.2</v>
      </c>
      <c r="K216">
        <v>0</v>
      </c>
    </row>
    <row r="217" spans="4:11" x14ac:dyDescent="0.35">
      <c r="D217" s="18">
        <v>212</v>
      </c>
      <c r="E217" s="19">
        <v>0.5</v>
      </c>
      <c r="F217" s="19">
        <f t="shared" si="1"/>
        <v>0.5</v>
      </c>
      <c r="G217" s="19">
        <v>0.2</v>
      </c>
      <c r="H217" s="19">
        <v>0.2</v>
      </c>
      <c r="I217" s="19">
        <v>0.2</v>
      </c>
      <c r="K217">
        <v>0</v>
      </c>
    </row>
    <row r="218" spans="4:11" x14ac:dyDescent="0.35">
      <c r="D218" s="18">
        <v>213</v>
      </c>
      <c r="E218" s="19">
        <v>0.5</v>
      </c>
      <c r="F218" s="19">
        <f t="shared" si="1"/>
        <v>0.5</v>
      </c>
      <c r="G218" s="19">
        <v>0.2</v>
      </c>
      <c r="H218" s="19">
        <v>0.2</v>
      </c>
      <c r="I218" s="19">
        <v>0.2</v>
      </c>
      <c r="K218">
        <v>0</v>
      </c>
    </row>
    <row r="219" spans="4:11" x14ac:dyDescent="0.35">
      <c r="D219" s="18">
        <v>214</v>
      </c>
      <c r="E219" s="19">
        <v>0.5</v>
      </c>
      <c r="F219" s="19">
        <f t="shared" si="1"/>
        <v>0.5</v>
      </c>
      <c r="G219" s="19">
        <v>0.2</v>
      </c>
      <c r="H219" s="19">
        <v>0.2</v>
      </c>
      <c r="I219" s="19">
        <v>0.2</v>
      </c>
      <c r="K219">
        <v>0</v>
      </c>
    </row>
    <row r="220" spans="4:11" x14ac:dyDescent="0.35">
      <c r="D220" s="18">
        <v>215</v>
      </c>
      <c r="E220" s="19">
        <v>0.5</v>
      </c>
      <c r="F220" s="19">
        <f t="shared" si="1"/>
        <v>0.5</v>
      </c>
      <c r="G220" s="19">
        <v>0.2</v>
      </c>
      <c r="H220" s="19">
        <v>0.2</v>
      </c>
      <c r="I220" s="19">
        <v>0.2</v>
      </c>
      <c r="K220">
        <v>0</v>
      </c>
    </row>
    <row r="221" spans="4:11" x14ac:dyDescent="0.35">
      <c r="D221" s="18">
        <v>216</v>
      </c>
      <c r="E221" s="19">
        <v>0.5</v>
      </c>
      <c r="F221" s="19">
        <f t="shared" si="1"/>
        <v>0.5</v>
      </c>
      <c r="G221" s="19">
        <v>0.2</v>
      </c>
      <c r="H221" s="19">
        <v>0.2</v>
      </c>
      <c r="I221" s="19">
        <v>0.2</v>
      </c>
      <c r="K221">
        <v>0</v>
      </c>
    </row>
    <row r="222" spans="4:11" x14ac:dyDescent="0.35">
      <c r="D222" s="18">
        <v>217</v>
      </c>
      <c r="E222" s="19">
        <v>0.5</v>
      </c>
      <c r="F222" s="19">
        <f t="shared" si="1"/>
        <v>0.5</v>
      </c>
      <c r="G222" s="19">
        <v>0.2</v>
      </c>
      <c r="H222" s="19">
        <v>0.2</v>
      </c>
      <c r="I222" s="19">
        <v>0.2</v>
      </c>
      <c r="K222">
        <v>0</v>
      </c>
    </row>
    <row r="223" spans="4:11" x14ac:dyDescent="0.35">
      <c r="D223" s="18">
        <v>218</v>
      </c>
      <c r="E223" s="19">
        <v>0.5</v>
      </c>
      <c r="F223" s="19">
        <f t="shared" si="1"/>
        <v>0.5</v>
      </c>
      <c r="G223" s="19">
        <v>0.2</v>
      </c>
      <c r="H223" s="19">
        <v>0.2</v>
      </c>
      <c r="I223" s="19">
        <v>0.2</v>
      </c>
      <c r="K223">
        <v>0</v>
      </c>
    </row>
    <row r="224" spans="4:11" x14ac:dyDescent="0.35">
      <c r="D224" s="18">
        <v>219</v>
      </c>
      <c r="E224" s="19">
        <v>0.5</v>
      </c>
      <c r="F224" s="19">
        <f t="shared" si="1"/>
        <v>0.5</v>
      </c>
      <c r="G224" s="19">
        <v>0.2</v>
      </c>
      <c r="H224" s="19">
        <v>0.2</v>
      </c>
      <c r="I224" s="19">
        <v>0.2</v>
      </c>
      <c r="K224">
        <v>0</v>
      </c>
    </row>
    <row r="225" spans="4:11" x14ac:dyDescent="0.35">
      <c r="D225" s="18">
        <v>220</v>
      </c>
      <c r="E225" s="19">
        <v>0.5</v>
      </c>
      <c r="F225" s="19">
        <f t="shared" si="1"/>
        <v>0.5</v>
      </c>
      <c r="G225" s="19">
        <v>0.2</v>
      </c>
      <c r="H225" s="19">
        <v>0.2</v>
      </c>
      <c r="I225" s="19">
        <v>0.2</v>
      </c>
      <c r="K225">
        <v>0</v>
      </c>
    </row>
    <row r="226" spans="4:11" x14ac:dyDescent="0.35">
      <c r="D226" s="18">
        <v>221</v>
      </c>
      <c r="E226" s="19">
        <v>0.5</v>
      </c>
      <c r="F226" s="19">
        <f t="shared" si="1"/>
        <v>0.5</v>
      </c>
      <c r="G226" s="19">
        <v>0.2</v>
      </c>
      <c r="H226" s="19">
        <v>0.2</v>
      </c>
      <c r="I226" s="19">
        <v>0.2</v>
      </c>
      <c r="K226">
        <v>0</v>
      </c>
    </row>
    <row r="227" spans="4:11" x14ac:dyDescent="0.35">
      <c r="D227" s="18">
        <v>222</v>
      </c>
      <c r="E227" s="19">
        <v>0.5</v>
      </c>
      <c r="F227" s="19">
        <f t="shared" si="1"/>
        <v>0.5</v>
      </c>
      <c r="G227" s="19">
        <v>0.2</v>
      </c>
      <c r="H227" s="19">
        <v>0.2</v>
      </c>
      <c r="I227" s="19">
        <v>0.2</v>
      </c>
      <c r="K227">
        <v>0</v>
      </c>
    </row>
    <row r="228" spans="4:11" x14ac:dyDescent="0.35">
      <c r="D228" s="18">
        <v>223</v>
      </c>
      <c r="E228" s="19">
        <v>0.5</v>
      </c>
      <c r="F228" s="19">
        <f t="shared" si="1"/>
        <v>0.5</v>
      </c>
      <c r="G228" s="19">
        <v>0.2</v>
      </c>
      <c r="H228" s="19">
        <v>0.2</v>
      </c>
      <c r="I228" s="19">
        <v>0.2</v>
      </c>
      <c r="K228">
        <v>0</v>
      </c>
    </row>
    <row r="229" spans="4:11" x14ac:dyDescent="0.35">
      <c r="D229" s="18">
        <v>224</v>
      </c>
      <c r="E229" s="19">
        <v>0.5</v>
      </c>
      <c r="F229" s="19">
        <f t="shared" si="1"/>
        <v>0.5</v>
      </c>
      <c r="G229" s="19">
        <v>0.2</v>
      </c>
      <c r="H229" s="19">
        <v>0.2</v>
      </c>
      <c r="I229" s="19">
        <v>0.2</v>
      </c>
      <c r="K229">
        <v>0</v>
      </c>
    </row>
    <row r="230" spans="4:11" x14ac:dyDescent="0.35">
      <c r="D230" s="18">
        <v>225</v>
      </c>
      <c r="E230" s="19">
        <v>0.5</v>
      </c>
      <c r="F230" s="19">
        <f t="shared" si="1"/>
        <v>0.5</v>
      </c>
      <c r="G230" s="19">
        <v>0.2</v>
      </c>
      <c r="H230" s="19">
        <v>0.2</v>
      </c>
      <c r="I230" s="19">
        <v>0.2</v>
      </c>
      <c r="K230">
        <v>0</v>
      </c>
    </row>
    <row r="231" spans="4:11" x14ac:dyDescent="0.35">
      <c r="D231" s="18">
        <v>226</v>
      </c>
      <c r="E231" s="19">
        <v>0.5</v>
      </c>
      <c r="F231" s="19">
        <f t="shared" si="1"/>
        <v>0.5</v>
      </c>
      <c r="G231" s="19">
        <v>0.2</v>
      </c>
      <c r="H231" s="19">
        <v>0.2</v>
      </c>
      <c r="I231" s="19">
        <v>0.2</v>
      </c>
      <c r="K231">
        <v>0</v>
      </c>
    </row>
    <row r="232" spans="4:11" x14ac:dyDescent="0.35">
      <c r="D232" s="18">
        <v>227</v>
      </c>
      <c r="E232" s="19">
        <v>0.5</v>
      </c>
      <c r="F232" s="19">
        <f t="shared" si="1"/>
        <v>0.5</v>
      </c>
      <c r="G232" s="19">
        <v>0.2</v>
      </c>
      <c r="H232" s="19">
        <v>0.2</v>
      </c>
      <c r="I232" s="19">
        <v>0.2</v>
      </c>
      <c r="K232">
        <v>0</v>
      </c>
    </row>
    <row r="233" spans="4:11" x14ac:dyDescent="0.35">
      <c r="D233" s="18">
        <v>228</v>
      </c>
      <c r="E233" s="19">
        <v>0.5</v>
      </c>
      <c r="F233" s="19">
        <f t="shared" si="1"/>
        <v>0.5</v>
      </c>
      <c r="G233" s="19">
        <v>0.2</v>
      </c>
      <c r="H233" s="19">
        <v>0.2</v>
      </c>
      <c r="I233" s="19">
        <v>0.2</v>
      </c>
      <c r="K233">
        <v>0</v>
      </c>
    </row>
    <row r="234" spans="4:11" x14ac:dyDescent="0.35">
      <c r="D234" s="18">
        <v>229</v>
      </c>
      <c r="E234" s="19">
        <v>0.5</v>
      </c>
      <c r="F234" s="19">
        <f t="shared" si="1"/>
        <v>0.5</v>
      </c>
      <c r="G234" s="19">
        <v>0.2</v>
      </c>
      <c r="H234" s="19">
        <v>0.2</v>
      </c>
      <c r="I234" s="19">
        <v>0.2</v>
      </c>
      <c r="K234">
        <v>0</v>
      </c>
    </row>
    <row r="235" spans="4:11" x14ac:dyDescent="0.35">
      <c r="D235" s="18">
        <v>230</v>
      </c>
      <c r="E235" s="19">
        <v>0.5</v>
      </c>
      <c r="F235" s="19">
        <f t="shared" ref="F235:F298" si="2">E235</f>
        <v>0.5</v>
      </c>
      <c r="G235" s="19">
        <v>0.2</v>
      </c>
      <c r="H235" s="19">
        <v>0.2</v>
      </c>
      <c r="I235" s="19">
        <v>0.2</v>
      </c>
      <c r="K235">
        <v>0</v>
      </c>
    </row>
    <row r="236" spans="4:11" x14ac:dyDescent="0.35">
      <c r="D236" s="18">
        <v>231</v>
      </c>
      <c r="E236" s="19">
        <v>0.5</v>
      </c>
      <c r="F236" s="19">
        <f t="shared" si="2"/>
        <v>0.5</v>
      </c>
      <c r="G236" s="19">
        <v>0.2</v>
      </c>
      <c r="H236" s="19">
        <v>0.2</v>
      </c>
      <c r="I236" s="19">
        <v>0.2</v>
      </c>
      <c r="K236">
        <v>0</v>
      </c>
    </row>
    <row r="237" spans="4:11" x14ac:dyDescent="0.35">
      <c r="D237" s="18">
        <v>232</v>
      </c>
      <c r="E237" s="19">
        <v>0.5</v>
      </c>
      <c r="F237" s="19">
        <f t="shared" si="2"/>
        <v>0.5</v>
      </c>
      <c r="G237" s="19">
        <v>0.2</v>
      </c>
      <c r="H237" s="19">
        <v>0.2</v>
      </c>
      <c r="I237" s="19">
        <v>0.2</v>
      </c>
      <c r="K237">
        <v>0</v>
      </c>
    </row>
    <row r="238" spans="4:11" x14ac:dyDescent="0.35">
      <c r="D238" s="18">
        <v>233</v>
      </c>
      <c r="E238" s="19">
        <v>0.5</v>
      </c>
      <c r="F238" s="19">
        <f t="shared" si="2"/>
        <v>0.5</v>
      </c>
      <c r="G238" s="19">
        <v>0.2</v>
      </c>
      <c r="H238" s="19">
        <v>0.2</v>
      </c>
      <c r="I238" s="19">
        <v>0.2</v>
      </c>
      <c r="K238">
        <v>0</v>
      </c>
    </row>
    <row r="239" spans="4:11" x14ac:dyDescent="0.35">
      <c r="D239" s="18">
        <v>234</v>
      </c>
      <c r="E239" s="19">
        <v>0.5</v>
      </c>
      <c r="F239" s="19">
        <f t="shared" si="2"/>
        <v>0.5</v>
      </c>
      <c r="G239" s="19">
        <v>0.2</v>
      </c>
      <c r="H239" s="19">
        <v>0.2</v>
      </c>
      <c r="I239" s="19">
        <v>0.2</v>
      </c>
      <c r="K239">
        <v>0</v>
      </c>
    </row>
    <row r="240" spans="4:11" x14ac:dyDescent="0.35">
      <c r="D240" s="18">
        <v>235</v>
      </c>
      <c r="E240" s="19">
        <v>0.5</v>
      </c>
      <c r="F240" s="19">
        <f t="shared" si="2"/>
        <v>0.5</v>
      </c>
      <c r="G240" s="19">
        <v>0.2</v>
      </c>
      <c r="H240" s="19">
        <v>0.2</v>
      </c>
      <c r="I240" s="19">
        <v>0.2</v>
      </c>
      <c r="K240">
        <v>0</v>
      </c>
    </row>
    <row r="241" spans="4:11" x14ac:dyDescent="0.35">
      <c r="D241" s="18">
        <v>236</v>
      </c>
      <c r="E241" s="19">
        <v>0.5</v>
      </c>
      <c r="F241" s="19">
        <f t="shared" si="2"/>
        <v>0.5</v>
      </c>
      <c r="G241" s="19">
        <v>0.2</v>
      </c>
      <c r="H241" s="19">
        <v>0.2</v>
      </c>
      <c r="I241" s="19">
        <v>0.2</v>
      </c>
      <c r="K241">
        <v>0</v>
      </c>
    </row>
    <row r="242" spans="4:11" x14ac:dyDescent="0.35">
      <c r="D242" s="18">
        <v>237</v>
      </c>
      <c r="E242" s="19">
        <v>0.5</v>
      </c>
      <c r="F242" s="19">
        <f t="shared" si="2"/>
        <v>0.5</v>
      </c>
      <c r="G242" s="19">
        <v>0.2</v>
      </c>
      <c r="H242" s="19">
        <v>0.2</v>
      </c>
      <c r="I242" s="19">
        <v>0.2</v>
      </c>
      <c r="K242">
        <v>0</v>
      </c>
    </row>
    <row r="243" spans="4:11" x14ac:dyDescent="0.35">
      <c r="D243" s="18">
        <v>238</v>
      </c>
      <c r="E243" s="19">
        <v>0.5</v>
      </c>
      <c r="F243" s="19">
        <f t="shared" si="2"/>
        <v>0.5</v>
      </c>
      <c r="G243" s="19">
        <v>0.2</v>
      </c>
      <c r="H243" s="19">
        <v>0.2</v>
      </c>
      <c r="I243" s="19">
        <v>0.2</v>
      </c>
      <c r="K243">
        <v>0</v>
      </c>
    </row>
    <row r="244" spans="4:11" x14ac:dyDescent="0.35">
      <c r="D244" s="18">
        <v>239</v>
      </c>
      <c r="E244" s="19">
        <v>0.5</v>
      </c>
      <c r="F244" s="19">
        <f t="shared" si="2"/>
        <v>0.5</v>
      </c>
      <c r="G244" s="19">
        <v>0.2</v>
      </c>
      <c r="H244" s="19">
        <v>0.2</v>
      </c>
      <c r="I244" s="19">
        <v>0.2</v>
      </c>
      <c r="K244">
        <v>0</v>
      </c>
    </row>
    <row r="245" spans="4:11" x14ac:dyDescent="0.35">
      <c r="D245" s="18">
        <v>240</v>
      </c>
      <c r="E245" s="19">
        <v>0.5</v>
      </c>
      <c r="F245" s="19">
        <f t="shared" si="2"/>
        <v>0.5</v>
      </c>
      <c r="G245" s="19">
        <v>0.2</v>
      </c>
      <c r="H245" s="19">
        <v>0.2</v>
      </c>
      <c r="I245" s="19">
        <v>0.2</v>
      </c>
      <c r="K245">
        <v>0</v>
      </c>
    </row>
    <row r="246" spans="4:11" x14ac:dyDescent="0.35">
      <c r="D246" s="18">
        <v>241</v>
      </c>
      <c r="E246" s="19">
        <v>0.5</v>
      </c>
      <c r="F246" s="19">
        <f t="shared" si="2"/>
        <v>0.5</v>
      </c>
      <c r="G246" s="19">
        <v>0.2</v>
      </c>
      <c r="H246" s="19">
        <v>0.2</v>
      </c>
      <c r="I246" s="19">
        <v>0.2</v>
      </c>
      <c r="K246">
        <v>0</v>
      </c>
    </row>
    <row r="247" spans="4:11" x14ac:dyDescent="0.35">
      <c r="D247" s="18">
        <v>242</v>
      </c>
      <c r="E247" s="19">
        <v>0.5</v>
      </c>
      <c r="F247" s="19">
        <f t="shared" si="2"/>
        <v>0.5</v>
      </c>
      <c r="G247" s="19">
        <v>0.2</v>
      </c>
      <c r="H247" s="19">
        <v>0.2</v>
      </c>
      <c r="I247" s="19">
        <v>0.2</v>
      </c>
      <c r="K247">
        <v>0</v>
      </c>
    </row>
    <row r="248" spans="4:11" x14ac:dyDescent="0.35">
      <c r="D248" s="18">
        <v>243</v>
      </c>
      <c r="E248" s="19">
        <v>0.5</v>
      </c>
      <c r="F248" s="19">
        <f t="shared" si="2"/>
        <v>0.5</v>
      </c>
      <c r="G248" s="19">
        <v>0.2</v>
      </c>
      <c r="H248" s="19">
        <v>0.2</v>
      </c>
      <c r="I248" s="19">
        <v>0.2</v>
      </c>
      <c r="K248">
        <v>0</v>
      </c>
    </row>
    <row r="249" spans="4:11" x14ac:dyDescent="0.35">
      <c r="D249" s="18">
        <v>244</v>
      </c>
      <c r="E249" s="19">
        <v>0.5</v>
      </c>
      <c r="F249" s="19">
        <f t="shared" si="2"/>
        <v>0.5</v>
      </c>
      <c r="G249" s="19">
        <v>0.2</v>
      </c>
      <c r="H249" s="19">
        <v>0.2</v>
      </c>
      <c r="I249" s="19">
        <v>0.2</v>
      </c>
      <c r="K249">
        <v>0</v>
      </c>
    </row>
    <row r="250" spans="4:11" x14ac:dyDescent="0.35">
      <c r="D250" s="18">
        <v>245</v>
      </c>
      <c r="E250" s="19">
        <v>0.5</v>
      </c>
      <c r="F250" s="19">
        <f t="shared" si="2"/>
        <v>0.5</v>
      </c>
      <c r="G250" s="19">
        <v>0.2</v>
      </c>
      <c r="H250" s="19">
        <v>0.2</v>
      </c>
      <c r="I250" s="19">
        <v>0.2</v>
      </c>
      <c r="K250">
        <v>0</v>
      </c>
    </row>
    <row r="251" spans="4:11" x14ac:dyDescent="0.35">
      <c r="D251" s="18">
        <v>246</v>
      </c>
      <c r="E251" s="19">
        <v>0.5</v>
      </c>
      <c r="F251" s="19">
        <f t="shared" si="2"/>
        <v>0.5</v>
      </c>
      <c r="G251" s="19">
        <v>0.2</v>
      </c>
      <c r="H251" s="19">
        <v>0.2</v>
      </c>
      <c r="I251" s="19">
        <v>0.2</v>
      </c>
      <c r="K251">
        <v>0</v>
      </c>
    </row>
    <row r="252" spans="4:11" x14ac:dyDescent="0.35">
      <c r="D252" s="18">
        <v>247</v>
      </c>
      <c r="E252" s="19">
        <v>0.5</v>
      </c>
      <c r="F252" s="19">
        <f t="shared" si="2"/>
        <v>0.5</v>
      </c>
      <c r="G252" s="19">
        <v>0.2</v>
      </c>
      <c r="H252" s="19">
        <v>0.2</v>
      </c>
      <c r="I252" s="19">
        <v>0.2</v>
      </c>
      <c r="K252">
        <v>0</v>
      </c>
    </row>
    <row r="253" spans="4:11" x14ac:dyDescent="0.35">
      <c r="D253" s="18">
        <v>248</v>
      </c>
      <c r="E253" s="19">
        <v>0.5</v>
      </c>
      <c r="F253" s="19">
        <f t="shared" si="2"/>
        <v>0.5</v>
      </c>
      <c r="G253" s="19">
        <v>0.2</v>
      </c>
      <c r="H253" s="19">
        <v>0.2</v>
      </c>
      <c r="I253" s="19">
        <v>0.2</v>
      </c>
      <c r="K253">
        <v>0</v>
      </c>
    </row>
    <row r="254" spans="4:11" x14ac:dyDescent="0.35">
      <c r="D254" s="18">
        <v>249</v>
      </c>
      <c r="E254" s="19">
        <v>0.5</v>
      </c>
      <c r="F254" s="19">
        <f t="shared" si="2"/>
        <v>0.5</v>
      </c>
      <c r="G254" s="19">
        <v>0.2</v>
      </c>
      <c r="H254" s="19">
        <v>0.2</v>
      </c>
      <c r="I254" s="19">
        <v>0.2</v>
      </c>
      <c r="K254">
        <v>0</v>
      </c>
    </row>
    <row r="255" spans="4:11" x14ac:dyDescent="0.35">
      <c r="D255" s="18">
        <v>250</v>
      </c>
      <c r="E255" s="19">
        <v>0.5</v>
      </c>
      <c r="F255" s="19">
        <f t="shared" si="2"/>
        <v>0.5</v>
      </c>
      <c r="G255" s="19">
        <v>0.2</v>
      </c>
      <c r="H255" s="19">
        <v>0.2</v>
      </c>
      <c r="I255" s="19">
        <v>0.2</v>
      </c>
      <c r="K255">
        <v>0</v>
      </c>
    </row>
    <row r="256" spans="4:11" x14ac:dyDescent="0.35">
      <c r="D256" s="18">
        <v>251</v>
      </c>
      <c r="E256" s="19">
        <v>0.5</v>
      </c>
      <c r="F256" s="19">
        <f t="shared" si="2"/>
        <v>0.5</v>
      </c>
      <c r="G256" s="19">
        <v>0.2</v>
      </c>
      <c r="H256" s="19">
        <v>0.2</v>
      </c>
      <c r="I256" s="19">
        <v>0.2</v>
      </c>
      <c r="K256">
        <v>0</v>
      </c>
    </row>
    <row r="257" spans="4:11" x14ac:dyDescent="0.35">
      <c r="D257" s="18">
        <v>252</v>
      </c>
      <c r="E257" s="19">
        <v>0.5</v>
      </c>
      <c r="F257" s="19">
        <f t="shared" si="2"/>
        <v>0.5</v>
      </c>
      <c r="G257" s="19">
        <v>0.2</v>
      </c>
      <c r="H257" s="19">
        <v>0.2</v>
      </c>
      <c r="I257" s="19">
        <v>0.2</v>
      </c>
      <c r="K257">
        <v>0</v>
      </c>
    </row>
    <row r="258" spans="4:11" x14ac:dyDescent="0.35">
      <c r="D258" s="18">
        <v>253</v>
      </c>
      <c r="E258" s="19">
        <v>0.5</v>
      </c>
      <c r="F258" s="19">
        <f t="shared" si="2"/>
        <v>0.5</v>
      </c>
      <c r="G258" s="19">
        <v>0.2</v>
      </c>
      <c r="H258" s="19">
        <v>0.2</v>
      </c>
      <c r="I258" s="19">
        <v>0.2</v>
      </c>
      <c r="K258">
        <v>0</v>
      </c>
    </row>
    <row r="259" spans="4:11" x14ac:dyDescent="0.35">
      <c r="D259" s="18">
        <v>254</v>
      </c>
      <c r="E259" s="19">
        <v>0.5</v>
      </c>
      <c r="F259" s="19">
        <f t="shared" si="2"/>
        <v>0.5</v>
      </c>
      <c r="G259" s="19">
        <v>0.2</v>
      </c>
      <c r="H259" s="19">
        <v>0.2</v>
      </c>
      <c r="I259" s="19">
        <v>0.2</v>
      </c>
      <c r="K259">
        <v>0</v>
      </c>
    </row>
    <row r="260" spans="4:11" x14ac:dyDescent="0.35">
      <c r="D260" s="18">
        <v>255</v>
      </c>
      <c r="E260" s="19">
        <v>0.5</v>
      </c>
      <c r="F260" s="19">
        <f t="shared" si="2"/>
        <v>0.5</v>
      </c>
      <c r="G260" s="19">
        <v>0.2</v>
      </c>
      <c r="H260" s="19">
        <v>0.2</v>
      </c>
      <c r="I260" s="19">
        <v>0.2</v>
      </c>
      <c r="K260">
        <v>0</v>
      </c>
    </row>
    <row r="261" spans="4:11" x14ac:dyDescent="0.35">
      <c r="D261" s="18">
        <v>256</v>
      </c>
      <c r="E261" s="19">
        <v>0.5</v>
      </c>
      <c r="F261" s="19">
        <f t="shared" si="2"/>
        <v>0.5</v>
      </c>
      <c r="G261" s="19">
        <v>0.2</v>
      </c>
      <c r="H261" s="19">
        <v>0.2</v>
      </c>
      <c r="I261" s="19">
        <v>0.2</v>
      </c>
      <c r="K261">
        <v>0</v>
      </c>
    </row>
    <row r="262" spans="4:11" x14ac:dyDescent="0.35">
      <c r="D262" s="18">
        <v>257</v>
      </c>
      <c r="E262" s="19">
        <v>0.5</v>
      </c>
      <c r="F262" s="19">
        <f t="shared" si="2"/>
        <v>0.5</v>
      </c>
      <c r="G262" s="19">
        <v>0.2</v>
      </c>
      <c r="H262" s="19">
        <v>0.2</v>
      </c>
      <c r="I262" s="19">
        <v>0.2</v>
      </c>
      <c r="K262">
        <v>0</v>
      </c>
    </row>
    <row r="263" spans="4:11" x14ac:dyDescent="0.35">
      <c r="D263" s="18">
        <v>258</v>
      </c>
      <c r="E263" s="19">
        <v>0.5</v>
      </c>
      <c r="F263" s="19">
        <f t="shared" si="2"/>
        <v>0.5</v>
      </c>
      <c r="G263" s="19">
        <v>0.2</v>
      </c>
      <c r="H263" s="19">
        <v>0.2</v>
      </c>
      <c r="I263" s="19">
        <v>0.2</v>
      </c>
      <c r="K263">
        <v>0</v>
      </c>
    </row>
    <row r="264" spans="4:11" x14ac:dyDescent="0.35">
      <c r="D264" s="18">
        <v>259</v>
      </c>
      <c r="E264" s="19">
        <v>0.5</v>
      </c>
      <c r="F264" s="19">
        <f t="shared" si="2"/>
        <v>0.5</v>
      </c>
      <c r="G264" s="19">
        <v>0.2</v>
      </c>
      <c r="H264" s="19">
        <v>0.2</v>
      </c>
      <c r="I264" s="19">
        <v>0.2</v>
      </c>
      <c r="K264">
        <v>0</v>
      </c>
    </row>
    <row r="265" spans="4:11" x14ac:dyDescent="0.35">
      <c r="D265" s="18">
        <v>260</v>
      </c>
      <c r="E265" s="19">
        <v>0.5</v>
      </c>
      <c r="F265" s="19">
        <f t="shared" si="2"/>
        <v>0.5</v>
      </c>
      <c r="G265" s="19">
        <v>0.2</v>
      </c>
      <c r="H265" s="19">
        <v>0.2</v>
      </c>
      <c r="I265" s="19">
        <v>0.2</v>
      </c>
      <c r="K265">
        <v>0</v>
      </c>
    </row>
    <row r="266" spans="4:11" x14ac:dyDescent="0.35">
      <c r="D266" s="18">
        <v>261</v>
      </c>
      <c r="E266" s="19">
        <v>0.5</v>
      </c>
      <c r="F266" s="19">
        <f t="shared" si="2"/>
        <v>0.5</v>
      </c>
      <c r="G266" s="19">
        <v>0.2</v>
      </c>
      <c r="H266" s="19">
        <v>0.2</v>
      </c>
      <c r="I266" s="19">
        <v>0.2</v>
      </c>
      <c r="K266">
        <v>0</v>
      </c>
    </row>
    <row r="267" spans="4:11" x14ac:dyDescent="0.35">
      <c r="D267" s="18">
        <v>262</v>
      </c>
      <c r="E267" s="19">
        <v>0.5</v>
      </c>
      <c r="F267" s="19">
        <f t="shared" si="2"/>
        <v>0.5</v>
      </c>
      <c r="G267" s="19">
        <v>0.2</v>
      </c>
      <c r="H267" s="19">
        <v>0.2</v>
      </c>
      <c r="I267" s="19">
        <v>0.2</v>
      </c>
      <c r="K267">
        <v>0</v>
      </c>
    </row>
    <row r="268" spans="4:11" x14ac:dyDescent="0.35">
      <c r="D268" s="18">
        <v>263</v>
      </c>
      <c r="E268" s="19">
        <v>0.5</v>
      </c>
      <c r="F268" s="19">
        <f t="shared" si="2"/>
        <v>0.5</v>
      </c>
      <c r="G268" s="19">
        <v>0.2</v>
      </c>
      <c r="H268" s="19">
        <v>0.2</v>
      </c>
      <c r="I268" s="19">
        <v>0.2</v>
      </c>
      <c r="K268">
        <v>0</v>
      </c>
    </row>
    <row r="269" spans="4:11" x14ac:dyDescent="0.35">
      <c r="D269" s="18">
        <v>264</v>
      </c>
      <c r="E269" s="19">
        <v>0.5</v>
      </c>
      <c r="F269" s="19">
        <f t="shared" si="2"/>
        <v>0.5</v>
      </c>
      <c r="G269" s="19">
        <v>0.2</v>
      </c>
      <c r="H269" s="19">
        <v>0.2</v>
      </c>
      <c r="I269" s="19">
        <v>0.2</v>
      </c>
      <c r="K269">
        <v>0</v>
      </c>
    </row>
    <row r="270" spans="4:11" x14ac:dyDescent="0.35">
      <c r="D270" s="18">
        <v>265</v>
      </c>
      <c r="E270" s="19">
        <v>0.5</v>
      </c>
      <c r="F270" s="19">
        <f t="shared" si="2"/>
        <v>0.5</v>
      </c>
      <c r="G270" s="19">
        <v>0.2</v>
      </c>
      <c r="H270" s="19">
        <v>0.2</v>
      </c>
      <c r="I270" s="19">
        <v>0.2</v>
      </c>
      <c r="K270">
        <v>0</v>
      </c>
    </row>
    <row r="271" spans="4:11" x14ac:dyDescent="0.35">
      <c r="D271" s="18">
        <v>266</v>
      </c>
      <c r="E271" s="19">
        <v>0.5</v>
      </c>
      <c r="F271" s="19">
        <f t="shared" si="2"/>
        <v>0.5</v>
      </c>
      <c r="G271" s="19">
        <v>0.2</v>
      </c>
      <c r="H271" s="19">
        <v>0.2</v>
      </c>
      <c r="I271" s="19">
        <v>0.2</v>
      </c>
      <c r="K271">
        <v>0</v>
      </c>
    </row>
    <row r="272" spans="4:11" x14ac:dyDescent="0.35">
      <c r="D272" s="18">
        <v>267</v>
      </c>
      <c r="E272" s="19">
        <v>0.5</v>
      </c>
      <c r="F272" s="19">
        <f t="shared" si="2"/>
        <v>0.5</v>
      </c>
      <c r="G272" s="19">
        <v>0.2</v>
      </c>
      <c r="H272" s="19">
        <v>0.2</v>
      </c>
      <c r="I272" s="19">
        <v>0.2</v>
      </c>
      <c r="K272">
        <v>0</v>
      </c>
    </row>
    <row r="273" spans="4:11" x14ac:dyDescent="0.35">
      <c r="D273" s="18">
        <v>268</v>
      </c>
      <c r="E273" s="19">
        <v>0.5</v>
      </c>
      <c r="F273" s="19">
        <f t="shared" si="2"/>
        <v>0.5</v>
      </c>
      <c r="G273" s="19">
        <v>0.2</v>
      </c>
      <c r="H273" s="19">
        <v>0.2</v>
      </c>
      <c r="I273" s="19">
        <v>0.2</v>
      </c>
      <c r="K273">
        <v>0</v>
      </c>
    </row>
    <row r="274" spans="4:11" x14ac:dyDescent="0.35">
      <c r="D274" s="18">
        <v>269</v>
      </c>
      <c r="E274" s="19">
        <v>0.5</v>
      </c>
      <c r="F274" s="19">
        <f t="shared" si="2"/>
        <v>0.5</v>
      </c>
      <c r="G274" s="19">
        <v>0.2</v>
      </c>
      <c r="H274" s="19">
        <v>0.2</v>
      </c>
      <c r="I274" s="19">
        <v>0.2</v>
      </c>
      <c r="K274">
        <v>0</v>
      </c>
    </row>
    <row r="275" spans="4:11" x14ac:dyDescent="0.35">
      <c r="D275" s="18">
        <v>270</v>
      </c>
      <c r="E275" s="19">
        <v>0.5</v>
      </c>
      <c r="F275" s="19">
        <f t="shared" si="2"/>
        <v>0.5</v>
      </c>
      <c r="G275" s="19">
        <v>0.2</v>
      </c>
      <c r="H275" s="19">
        <v>0.2</v>
      </c>
      <c r="I275" s="19">
        <v>0.2</v>
      </c>
      <c r="K275">
        <v>0</v>
      </c>
    </row>
    <row r="276" spans="4:11" x14ac:dyDescent="0.35">
      <c r="D276" s="18">
        <v>271</v>
      </c>
      <c r="E276" s="19">
        <v>0.5</v>
      </c>
      <c r="F276" s="19">
        <f t="shared" si="2"/>
        <v>0.5</v>
      </c>
      <c r="G276" s="19">
        <v>0.2</v>
      </c>
      <c r="H276" s="19">
        <v>0.2</v>
      </c>
      <c r="I276" s="19">
        <v>0.2</v>
      </c>
      <c r="K276">
        <v>0</v>
      </c>
    </row>
    <row r="277" spans="4:11" x14ac:dyDescent="0.35">
      <c r="D277" s="18">
        <v>272</v>
      </c>
      <c r="E277" s="19">
        <v>0.5</v>
      </c>
      <c r="F277" s="19">
        <f t="shared" si="2"/>
        <v>0.5</v>
      </c>
      <c r="G277" s="19">
        <v>0.2</v>
      </c>
      <c r="H277" s="19">
        <v>0.2</v>
      </c>
      <c r="I277" s="19">
        <v>0.2</v>
      </c>
      <c r="K277">
        <v>0</v>
      </c>
    </row>
    <row r="278" spans="4:11" x14ac:dyDescent="0.35">
      <c r="D278" s="18">
        <v>273</v>
      </c>
      <c r="E278" s="19">
        <v>0.5</v>
      </c>
      <c r="F278" s="19">
        <f t="shared" si="2"/>
        <v>0.5</v>
      </c>
      <c r="G278" s="19">
        <v>0.2</v>
      </c>
      <c r="H278" s="19">
        <v>0.2</v>
      </c>
      <c r="I278" s="19">
        <v>0.2</v>
      </c>
      <c r="K278">
        <v>0</v>
      </c>
    </row>
    <row r="279" spans="4:11" x14ac:dyDescent="0.35">
      <c r="D279" s="18">
        <v>274</v>
      </c>
      <c r="E279" s="19">
        <v>0.5</v>
      </c>
      <c r="F279" s="19">
        <f t="shared" si="2"/>
        <v>0.5</v>
      </c>
      <c r="G279" s="19">
        <v>0.2</v>
      </c>
      <c r="H279" s="19">
        <v>0.2</v>
      </c>
      <c r="I279" s="19">
        <v>0.2</v>
      </c>
      <c r="K279">
        <v>0</v>
      </c>
    </row>
    <row r="280" spans="4:11" x14ac:dyDescent="0.35">
      <c r="D280" s="18">
        <v>275</v>
      </c>
      <c r="E280" s="19">
        <v>0.5</v>
      </c>
      <c r="F280" s="19">
        <f t="shared" si="2"/>
        <v>0.5</v>
      </c>
      <c r="G280" s="19">
        <v>0.2</v>
      </c>
      <c r="H280" s="19">
        <v>0.2</v>
      </c>
      <c r="I280" s="19">
        <v>0.2</v>
      </c>
      <c r="K280">
        <v>0</v>
      </c>
    </row>
    <row r="281" spans="4:11" x14ac:dyDescent="0.35">
      <c r="D281" s="18">
        <v>276</v>
      </c>
      <c r="E281" s="19">
        <v>0.5</v>
      </c>
      <c r="F281" s="19">
        <f t="shared" si="2"/>
        <v>0.5</v>
      </c>
      <c r="G281" s="19">
        <v>0.2</v>
      </c>
      <c r="H281" s="19">
        <v>0.2</v>
      </c>
      <c r="I281" s="19">
        <v>0.2</v>
      </c>
      <c r="K281">
        <v>0</v>
      </c>
    </row>
    <row r="282" spans="4:11" x14ac:dyDescent="0.35">
      <c r="D282" s="18">
        <v>277</v>
      </c>
      <c r="E282" s="19">
        <v>0.5</v>
      </c>
      <c r="F282" s="19">
        <f t="shared" si="2"/>
        <v>0.5</v>
      </c>
      <c r="G282" s="19">
        <v>0.2</v>
      </c>
      <c r="H282" s="19">
        <v>0.2</v>
      </c>
      <c r="I282" s="19">
        <v>0.2</v>
      </c>
      <c r="K282">
        <v>0</v>
      </c>
    </row>
    <row r="283" spans="4:11" x14ac:dyDescent="0.35">
      <c r="D283" s="18">
        <v>278</v>
      </c>
      <c r="E283" s="19">
        <v>0.5</v>
      </c>
      <c r="F283" s="19">
        <f t="shared" si="2"/>
        <v>0.5</v>
      </c>
      <c r="G283" s="19">
        <v>0.2</v>
      </c>
      <c r="H283" s="19">
        <v>0.2</v>
      </c>
      <c r="I283" s="19">
        <v>0.2</v>
      </c>
      <c r="K283">
        <v>0</v>
      </c>
    </row>
    <row r="284" spans="4:11" x14ac:dyDescent="0.35">
      <c r="D284" s="18">
        <v>279</v>
      </c>
      <c r="E284" s="19">
        <v>0.5</v>
      </c>
      <c r="F284" s="19">
        <f t="shared" si="2"/>
        <v>0.5</v>
      </c>
      <c r="G284" s="19">
        <v>0.2</v>
      </c>
      <c r="H284" s="19">
        <v>0.2</v>
      </c>
      <c r="I284" s="19">
        <v>0.2</v>
      </c>
      <c r="K284">
        <v>0</v>
      </c>
    </row>
    <row r="285" spans="4:11" x14ac:dyDescent="0.35">
      <c r="D285" s="18">
        <v>280</v>
      </c>
      <c r="E285" s="19">
        <v>0.5</v>
      </c>
      <c r="F285" s="19">
        <f t="shared" si="2"/>
        <v>0.5</v>
      </c>
      <c r="G285" s="19">
        <v>0.2</v>
      </c>
      <c r="H285" s="19">
        <v>0.2</v>
      </c>
      <c r="I285" s="19">
        <v>0.2</v>
      </c>
      <c r="K285">
        <v>0</v>
      </c>
    </row>
    <row r="286" spans="4:11" x14ac:dyDescent="0.35">
      <c r="D286" s="18">
        <v>281</v>
      </c>
      <c r="E286" s="19">
        <v>0.5</v>
      </c>
      <c r="F286" s="19">
        <f t="shared" si="2"/>
        <v>0.5</v>
      </c>
      <c r="G286" s="19">
        <v>0.2</v>
      </c>
      <c r="H286" s="19">
        <v>0.2</v>
      </c>
      <c r="I286" s="19">
        <v>0.2</v>
      </c>
      <c r="K286">
        <v>0</v>
      </c>
    </row>
    <row r="287" spans="4:11" x14ac:dyDescent="0.35">
      <c r="D287" s="18">
        <v>282</v>
      </c>
      <c r="E287" s="19">
        <v>0.5</v>
      </c>
      <c r="F287" s="19">
        <f t="shared" si="2"/>
        <v>0.5</v>
      </c>
      <c r="G287" s="19">
        <v>0.2</v>
      </c>
      <c r="H287" s="19">
        <v>0.2</v>
      </c>
      <c r="I287" s="19">
        <v>0.2</v>
      </c>
      <c r="K287">
        <v>0</v>
      </c>
    </row>
    <row r="288" spans="4:11" x14ac:dyDescent="0.35">
      <c r="D288" s="18">
        <v>283</v>
      </c>
      <c r="E288" s="19">
        <v>0.5</v>
      </c>
      <c r="F288" s="19">
        <f t="shared" si="2"/>
        <v>0.5</v>
      </c>
      <c r="G288" s="19">
        <v>0.2</v>
      </c>
      <c r="H288" s="19">
        <v>0.2</v>
      </c>
      <c r="I288" s="19">
        <v>0.2</v>
      </c>
      <c r="K288">
        <v>0</v>
      </c>
    </row>
    <row r="289" spans="4:11" x14ac:dyDescent="0.35">
      <c r="D289" s="18">
        <v>284</v>
      </c>
      <c r="E289" s="19">
        <v>0.5</v>
      </c>
      <c r="F289" s="19">
        <f t="shared" si="2"/>
        <v>0.5</v>
      </c>
      <c r="G289" s="19">
        <v>0.2</v>
      </c>
      <c r="H289" s="19">
        <v>0.2</v>
      </c>
      <c r="I289" s="19">
        <v>0.2</v>
      </c>
      <c r="K289">
        <v>0</v>
      </c>
    </row>
    <row r="290" spans="4:11" x14ac:dyDescent="0.35">
      <c r="D290" s="18">
        <v>285</v>
      </c>
      <c r="E290" s="19">
        <v>0.5</v>
      </c>
      <c r="F290" s="19">
        <f t="shared" si="2"/>
        <v>0.5</v>
      </c>
      <c r="G290" s="19">
        <v>0.2</v>
      </c>
      <c r="H290" s="19">
        <v>0.2</v>
      </c>
      <c r="I290" s="19">
        <v>0.2</v>
      </c>
      <c r="K290">
        <v>0</v>
      </c>
    </row>
    <row r="291" spans="4:11" x14ac:dyDescent="0.35">
      <c r="D291" s="18">
        <v>286</v>
      </c>
      <c r="E291" s="19">
        <v>0.5</v>
      </c>
      <c r="F291" s="19">
        <f t="shared" si="2"/>
        <v>0.5</v>
      </c>
      <c r="G291" s="19">
        <v>0.2</v>
      </c>
      <c r="H291" s="19">
        <v>0.2</v>
      </c>
      <c r="I291" s="19">
        <v>0.2</v>
      </c>
      <c r="K291">
        <v>0</v>
      </c>
    </row>
    <row r="292" spans="4:11" x14ac:dyDescent="0.35">
      <c r="D292" s="18">
        <v>287</v>
      </c>
      <c r="E292" s="19">
        <v>0.5</v>
      </c>
      <c r="F292" s="19">
        <f t="shared" si="2"/>
        <v>0.5</v>
      </c>
      <c r="G292" s="19">
        <v>0.2</v>
      </c>
      <c r="H292" s="19">
        <v>0.2</v>
      </c>
      <c r="I292" s="19">
        <v>0.2</v>
      </c>
      <c r="K292">
        <v>0</v>
      </c>
    </row>
    <row r="293" spans="4:11" x14ac:dyDescent="0.35">
      <c r="D293" s="18">
        <v>288</v>
      </c>
      <c r="E293" s="19">
        <v>0.5</v>
      </c>
      <c r="F293" s="19">
        <f t="shared" si="2"/>
        <v>0.5</v>
      </c>
      <c r="G293" s="19">
        <v>0.2</v>
      </c>
      <c r="H293" s="19">
        <v>0.2</v>
      </c>
      <c r="I293" s="19">
        <v>0.2</v>
      </c>
      <c r="K293">
        <v>0</v>
      </c>
    </row>
    <row r="294" spans="4:11" x14ac:dyDescent="0.35">
      <c r="D294" s="18">
        <v>289</v>
      </c>
      <c r="E294" s="19">
        <v>0.5</v>
      </c>
      <c r="F294" s="19">
        <f t="shared" si="2"/>
        <v>0.5</v>
      </c>
      <c r="G294" s="19">
        <v>0.2</v>
      </c>
      <c r="H294" s="19">
        <v>0.2</v>
      </c>
      <c r="I294" s="19">
        <v>0.2</v>
      </c>
      <c r="K294">
        <v>0</v>
      </c>
    </row>
    <row r="295" spans="4:11" x14ac:dyDescent="0.35">
      <c r="D295" s="18">
        <v>290</v>
      </c>
      <c r="E295" s="19">
        <v>0.5</v>
      </c>
      <c r="F295" s="19">
        <f t="shared" si="2"/>
        <v>0.5</v>
      </c>
      <c r="G295" s="19">
        <v>0.2</v>
      </c>
      <c r="H295" s="19">
        <v>0.2</v>
      </c>
      <c r="I295" s="19">
        <v>0.2</v>
      </c>
      <c r="K295">
        <v>0</v>
      </c>
    </row>
    <row r="296" spans="4:11" x14ac:dyDescent="0.35">
      <c r="D296" s="18">
        <v>291</v>
      </c>
      <c r="E296" s="19">
        <v>0.5</v>
      </c>
      <c r="F296" s="19">
        <f t="shared" si="2"/>
        <v>0.5</v>
      </c>
      <c r="G296" s="19">
        <v>0.2</v>
      </c>
      <c r="H296" s="19">
        <v>0.2</v>
      </c>
      <c r="I296" s="19">
        <v>0.2</v>
      </c>
      <c r="K296">
        <v>0</v>
      </c>
    </row>
    <row r="297" spans="4:11" x14ac:dyDescent="0.35">
      <c r="D297" s="18">
        <v>292</v>
      </c>
      <c r="E297" s="19">
        <v>0.5</v>
      </c>
      <c r="F297" s="19">
        <f t="shared" si="2"/>
        <v>0.5</v>
      </c>
      <c r="G297" s="19">
        <v>0.2</v>
      </c>
      <c r="H297" s="19">
        <v>0.2</v>
      </c>
      <c r="I297" s="19">
        <v>0.2</v>
      </c>
      <c r="K297">
        <v>0</v>
      </c>
    </row>
    <row r="298" spans="4:11" x14ac:dyDescent="0.35">
      <c r="D298" s="18">
        <v>293</v>
      </c>
      <c r="E298" s="19">
        <v>0.5</v>
      </c>
      <c r="F298" s="19">
        <f t="shared" si="2"/>
        <v>0.5</v>
      </c>
      <c r="G298" s="19">
        <v>0.2</v>
      </c>
      <c r="H298" s="19">
        <v>0.2</v>
      </c>
      <c r="I298" s="19">
        <v>0.2</v>
      </c>
      <c r="K298">
        <v>0</v>
      </c>
    </row>
    <row r="299" spans="4:11" x14ac:dyDescent="0.35">
      <c r="D299" s="18">
        <v>294</v>
      </c>
      <c r="E299" s="19">
        <v>0.5</v>
      </c>
      <c r="F299" s="19">
        <f t="shared" ref="F299:F362" si="3">E299</f>
        <v>0.5</v>
      </c>
      <c r="G299" s="19">
        <v>0.2</v>
      </c>
      <c r="H299" s="19">
        <v>0.2</v>
      </c>
      <c r="I299" s="19">
        <v>0.2</v>
      </c>
      <c r="K299">
        <v>0</v>
      </c>
    </row>
    <row r="300" spans="4:11" x14ac:dyDescent="0.35">
      <c r="D300" s="18">
        <v>295</v>
      </c>
      <c r="E300" s="19">
        <v>0.5</v>
      </c>
      <c r="F300" s="19">
        <f t="shared" si="3"/>
        <v>0.5</v>
      </c>
      <c r="G300" s="19">
        <v>0.2</v>
      </c>
      <c r="H300" s="19">
        <v>0.2</v>
      </c>
      <c r="I300" s="19">
        <v>0.2</v>
      </c>
      <c r="K300">
        <v>0</v>
      </c>
    </row>
    <row r="301" spans="4:11" x14ac:dyDescent="0.35">
      <c r="D301" s="18">
        <v>296</v>
      </c>
      <c r="E301" s="19">
        <v>0.5</v>
      </c>
      <c r="F301" s="19">
        <f t="shared" si="3"/>
        <v>0.5</v>
      </c>
      <c r="G301" s="19">
        <v>0.2</v>
      </c>
      <c r="H301" s="19">
        <v>0.2</v>
      </c>
      <c r="I301" s="19">
        <v>0.2</v>
      </c>
      <c r="K301">
        <v>0</v>
      </c>
    </row>
    <row r="302" spans="4:11" x14ac:dyDescent="0.35">
      <c r="D302" s="18">
        <v>297</v>
      </c>
      <c r="E302" s="19">
        <v>0.5</v>
      </c>
      <c r="F302" s="19">
        <f t="shared" si="3"/>
        <v>0.5</v>
      </c>
      <c r="G302" s="19">
        <v>0.2</v>
      </c>
      <c r="H302" s="19">
        <v>0.2</v>
      </c>
      <c r="I302" s="19">
        <v>0.2</v>
      </c>
      <c r="K302">
        <v>0</v>
      </c>
    </row>
    <row r="303" spans="4:11" x14ac:dyDescent="0.35">
      <c r="D303" s="18">
        <v>298</v>
      </c>
      <c r="E303" s="19">
        <v>0.5</v>
      </c>
      <c r="F303" s="19">
        <f t="shared" si="3"/>
        <v>0.5</v>
      </c>
      <c r="G303" s="19">
        <v>0.2</v>
      </c>
      <c r="H303" s="19">
        <v>0.2</v>
      </c>
      <c r="I303" s="19">
        <v>0.2</v>
      </c>
      <c r="K303">
        <v>0</v>
      </c>
    </row>
    <row r="304" spans="4:11" x14ac:dyDescent="0.35">
      <c r="D304" s="18">
        <v>299</v>
      </c>
      <c r="E304" s="19">
        <v>0.5</v>
      </c>
      <c r="F304" s="19">
        <f t="shared" si="3"/>
        <v>0.5</v>
      </c>
      <c r="G304" s="19">
        <v>0.2</v>
      </c>
      <c r="H304" s="19">
        <v>0.2</v>
      </c>
      <c r="I304" s="19">
        <v>0.2</v>
      </c>
      <c r="K304">
        <v>0</v>
      </c>
    </row>
    <row r="305" spans="4:11" x14ac:dyDescent="0.35">
      <c r="D305" s="18">
        <v>300</v>
      </c>
      <c r="E305" s="19">
        <v>0.5</v>
      </c>
      <c r="F305" s="19">
        <f t="shared" si="3"/>
        <v>0.5</v>
      </c>
      <c r="G305" s="19">
        <v>0.2</v>
      </c>
      <c r="H305" s="19">
        <v>0.2</v>
      </c>
      <c r="I305" s="19">
        <v>0.2</v>
      </c>
      <c r="K305">
        <v>0</v>
      </c>
    </row>
    <row r="306" spans="4:11" x14ac:dyDescent="0.35">
      <c r="D306" s="18">
        <v>301</v>
      </c>
      <c r="E306" s="19">
        <v>0.5</v>
      </c>
      <c r="F306" s="19">
        <f t="shared" si="3"/>
        <v>0.5</v>
      </c>
      <c r="G306" s="19">
        <v>0.2</v>
      </c>
      <c r="H306" s="19">
        <v>0.2</v>
      </c>
      <c r="I306" s="19">
        <v>0.2</v>
      </c>
      <c r="K306">
        <v>0</v>
      </c>
    </row>
    <row r="307" spans="4:11" x14ac:dyDescent="0.35">
      <c r="D307" s="18">
        <v>302</v>
      </c>
      <c r="E307" s="19">
        <v>0.5</v>
      </c>
      <c r="F307" s="19">
        <f t="shared" si="3"/>
        <v>0.5</v>
      </c>
      <c r="G307" s="19">
        <v>0.2</v>
      </c>
      <c r="H307" s="19">
        <v>0.2</v>
      </c>
      <c r="I307" s="19">
        <v>0.2</v>
      </c>
      <c r="K307">
        <v>0</v>
      </c>
    </row>
    <row r="308" spans="4:11" x14ac:dyDescent="0.35">
      <c r="D308" s="18">
        <v>303</v>
      </c>
      <c r="E308" s="19">
        <v>0.5</v>
      </c>
      <c r="F308" s="19">
        <f t="shared" si="3"/>
        <v>0.5</v>
      </c>
      <c r="G308" s="19">
        <v>0.2</v>
      </c>
      <c r="H308" s="19">
        <v>0.2</v>
      </c>
      <c r="I308" s="19">
        <v>0.2</v>
      </c>
      <c r="K308">
        <v>0</v>
      </c>
    </row>
    <row r="309" spans="4:11" x14ac:dyDescent="0.35">
      <c r="D309" s="18">
        <v>304</v>
      </c>
      <c r="E309" s="19">
        <v>0.5</v>
      </c>
      <c r="F309" s="19">
        <f t="shared" si="3"/>
        <v>0.5</v>
      </c>
      <c r="G309" s="19">
        <v>0.2</v>
      </c>
      <c r="H309" s="19">
        <v>0.2</v>
      </c>
      <c r="I309" s="19">
        <v>0.2</v>
      </c>
      <c r="K309">
        <v>0</v>
      </c>
    </row>
    <row r="310" spans="4:11" x14ac:dyDescent="0.35">
      <c r="D310" s="18">
        <v>305</v>
      </c>
      <c r="E310" s="19">
        <v>0.5</v>
      </c>
      <c r="F310" s="19">
        <f t="shared" si="3"/>
        <v>0.5</v>
      </c>
      <c r="G310" s="19">
        <v>0.2</v>
      </c>
      <c r="H310" s="19">
        <v>0.2</v>
      </c>
      <c r="I310" s="19">
        <v>0.2</v>
      </c>
      <c r="K310">
        <v>0</v>
      </c>
    </row>
    <row r="311" spans="4:11" x14ac:dyDescent="0.35">
      <c r="D311" s="18">
        <v>306</v>
      </c>
      <c r="E311" s="19">
        <v>0.5</v>
      </c>
      <c r="F311" s="19">
        <f t="shared" si="3"/>
        <v>0.5</v>
      </c>
      <c r="G311" s="19">
        <v>0.2</v>
      </c>
      <c r="H311" s="19">
        <v>0.2</v>
      </c>
      <c r="I311" s="19">
        <v>0.2</v>
      </c>
      <c r="K311">
        <v>0</v>
      </c>
    </row>
    <row r="312" spans="4:11" x14ac:dyDescent="0.35">
      <c r="D312" s="18">
        <v>307</v>
      </c>
      <c r="E312" s="19">
        <v>0.5</v>
      </c>
      <c r="F312" s="19">
        <f t="shared" si="3"/>
        <v>0.5</v>
      </c>
      <c r="G312" s="19">
        <v>0.2</v>
      </c>
      <c r="H312" s="19">
        <v>0.2</v>
      </c>
      <c r="I312" s="19">
        <v>0.2</v>
      </c>
      <c r="K312">
        <v>0</v>
      </c>
    </row>
    <row r="313" spans="4:11" x14ac:dyDescent="0.35">
      <c r="D313" s="18">
        <v>308</v>
      </c>
      <c r="E313" s="19">
        <v>0.5</v>
      </c>
      <c r="F313" s="19">
        <f t="shared" si="3"/>
        <v>0.5</v>
      </c>
      <c r="G313" s="19">
        <v>0.2</v>
      </c>
      <c r="H313" s="19">
        <v>0.2</v>
      </c>
      <c r="I313" s="19">
        <v>0.2</v>
      </c>
      <c r="K313">
        <v>0</v>
      </c>
    </row>
    <row r="314" spans="4:11" x14ac:dyDescent="0.35">
      <c r="D314" s="18">
        <v>309</v>
      </c>
      <c r="E314" s="19">
        <v>0.5</v>
      </c>
      <c r="F314" s="19">
        <f t="shared" si="3"/>
        <v>0.5</v>
      </c>
      <c r="G314" s="19">
        <v>0.2</v>
      </c>
      <c r="H314" s="19">
        <v>0.2</v>
      </c>
      <c r="I314" s="19">
        <v>0.2</v>
      </c>
      <c r="K314">
        <v>0</v>
      </c>
    </row>
    <row r="315" spans="4:11" x14ac:dyDescent="0.35">
      <c r="D315" s="18">
        <v>310</v>
      </c>
      <c r="E315" s="19">
        <v>0.5</v>
      </c>
      <c r="F315" s="19">
        <f t="shared" si="3"/>
        <v>0.5</v>
      </c>
      <c r="G315" s="19">
        <v>0.2</v>
      </c>
      <c r="H315" s="19">
        <v>0.2</v>
      </c>
      <c r="I315" s="19">
        <v>0.2</v>
      </c>
      <c r="K315">
        <v>0</v>
      </c>
    </row>
    <row r="316" spans="4:11" x14ac:dyDescent="0.35">
      <c r="D316" s="18">
        <v>311</v>
      </c>
      <c r="E316" s="19">
        <v>0.5</v>
      </c>
      <c r="F316" s="19">
        <f t="shared" si="3"/>
        <v>0.5</v>
      </c>
      <c r="G316" s="19">
        <v>0.2</v>
      </c>
      <c r="H316" s="19">
        <v>0.2</v>
      </c>
      <c r="I316" s="19">
        <v>0.2</v>
      </c>
      <c r="K316">
        <v>0</v>
      </c>
    </row>
    <row r="317" spans="4:11" x14ac:dyDescent="0.35">
      <c r="D317" s="18">
        <v>312</v>
      </c>
      <c r="E317" s="19">
        <v>0.5</v>
      </c>
      <c r="F317" s="19">
        <f t="shared" si="3"/>
        <v>0.5</v>
      </c>
      <c r="G317" s="19">
        <v>0.2</v>
      </c>
      <c r="H317" s="19">
        <v>0.2</v>
      </c>
      <c r="I317" s="19">
        <v>0.2</v>
      </c>
      <c r="K317">
        <v>0</v>
      </c>
    </row>
    <row r="318" spans="4:11" x14ac:dyDescent="0.35">
      <c r="D318" s="18">
        <v>313</v>
      </c>
      <c r="E318" s="19">
        <v>0.5</v>
      </c>
      <c r="F318" s="19">
        <f t="shared" si="3"/>
        <v>0.5</v>
      </c>
      <c r="G318" s="19">
        <v>0.2</v>
      </c>
      <c r="H318" s="19">
        <v>0.2</v>
      </c>
      <c r="I318" s="19">
        <v>0.2</v>
      </c>
      <c r="K318">
        <v>0</v>
      </c>
    </row>
    <row r="319" spans="4:11" x14ac:dyDescent="0.35">
      <c r="D319" s="18">
        <v>314</v>
      </c>
      <c r="E319" s="19">
        <v>0.5</v>
      </c>
      <c r="F319" s="19">
        <f t="shared" si="3"/>
        <v>0.5</v>
      </c>
      <c r="G319" s="19">
        <v>0.2</v>
      </c>
      <c r="H319" s="19">
        <v>0.2</v>
      </c>
      <c r="I319" s="19">
        <v>0.2</v>
      </c>
      <c r="K319">
        <v>0</v>
      </c>
    </row>
    <row r="320" spans="4:11" x14ac:dyDescent="0.35">
      <c r="D320" s="18">
        <v>315</v>
      </c>
      <c r="E320" s="19">
        <v>0.5</v>
      </c>
      <c r="F320" s="19">
        <f t="shared" si="3"/>
        <v>0.5</v>
      </c>
      <c r="G320" s="19">
        <v>0.2</v>
      </c>
      <c r="H320" s="19">
        <v>0.2</v>
      </c>
      <c r="I320" s="19">
        <v>0.2</v>
      </c>
      <c r="K320">
        <v>0</v>
      </c>
    </row>
    <row r="321" spans="4:11" x14ac:dyDescent="0.35">
      <c r="D321" s="18">
        <v>316</v>
      </c>
      <c r="E321" s="19">
        <v>0.5</v>
      </c>
      <c r="F321" s="19">
        <f t="shared" si="3"/>
        <v>0.5</v>
      </c>
      <c r="G321" s="19">
        <v>0.2</v>
      </c>
      <c r="H321" s="19">
        <v>0.2</v>
      </c>
      <c r="I321" s="19">
        <v>0.2</v>
      </c>
      <c r="K321">
        <v>0</v>
      </c>
    </row>
    <row r="322" spans="4:11" x14ac:dyDescent="0.35">
      <c r="D322" s="18">
        <v>317</v>
      </c>
      <c r="E322" s="19">
        <v>0.5</v>
      </c>
      <c r="F322" s="19">
        <f t="shared" si="3"/>
        <v>0.5</v>
      </c>
      <c r="G322" s="19">
        <v>0.2</v>
      </c>
      <c r="H322" s="19">
        <v>0.2</v>
      </c>
      <c r="I322" s="19">
        <v>0.2</v>
      </c>
      <c r="K322">
        <v>0</v>
      </c>
    </row>
    <row r="323" spans="4:11" x14ac:dyDescent="0.35">
      <c r="D323" s="18">
        <v>318</v>
      </c>
      <c r="E323" s="19">
        <v>0.5</v>
      </c>
      <c r="F323" s="19">
        <f t="shared" si="3"/>
        <v>0.5</v>
      </c>
      <c r="G323" s="19">
        <v>0.2</v>
      </c>
      <c r="H323" s="19">
        <v>0.2</v>
      </c>
      <c r="I323" s="19">
        <v>0.2</v>
      </c>
      <c r="K323">
        <v>0</v>
      </c>
    </row>
    <row r="324" spans="4:11" x14ac:dyDescent="0.35">
      <c r="D324" s="18">
        <v>319</v>
      </c>
      <c r="E324" s="19">
        <v>0.5</v>
      </c>
      <c r="F324" s="19">
        <f t="shared" si="3"/>
        <v>0.5</v>
      </c>
      <c r="G324" s="19">
        <v>0.2</v>
      </c>
      <c r="H324" s="19">
        <v>0.2</v>
      </c>
      <c r="I324" s="19">
        <v>0.2</v>
      </c>
      <c r="K324">
        <v>0</v>
      </c>
    </row>
    <row r="325" spans="4:11" x14ac:dyDescent="0.35">
      <c r="D325" s="18">
        <v>320</v>
      </c>
      <c r="E325" s="19">
        <v>0.5</v>
      </c>
      <c r="F325" s="19">
        <f t="shared" si="3"/>
        <v>0.5</v>
      </c>
      <c r="G325" s="19">
        <v>0.2</v>
      </c>
      <c r="H325" s="19">
        <v>0.2</v>
      </c>
      <c r="I325" s="19">
        <v>0.2</v>
      </c>
      <c r="K325">
        <v>0</v>
      </c>
    </row>
    <row r="326" spans="4:11" x14ac:dyDescent="0.35">
      <c r="D326" s="18">
        <v>321</v>
      </c>
      <c r="E326" s="19">
        <v>0.5</v>
      </c>
      <c r="F326" s="19">
        <f t="shared" si="3"/>
        <v>0.5</v>
      </c>
      <c r="G326" s="19">
        <v>0.2</v>
      </c>
      <c r="H326" s="19">
        <v>0.2</v>
      </c>
      <c r="I326" s="19">
        <v>0.2</v>
      </c>
      <c r="K326">
        <v>0</v>
      </c>
    </row>
    <row r="327" spans="4:11" x14ac:dyDescent="0.35">
      <c r="D327" s="18">
        <v>322</v>
      </c>
      <c r="E327" s="19">
        <v>0.5</v>
      </c>
      <c r="F327" s="19">
        <f t="shared" si="3"/>
        <v>0.5</v>
      </c>
      <c r="G327" s="19">
        <v>0.2</v>
      </c>
      <c r="H327" s="19">
        <v>0.2</v>
      </c>
      <c r="I327" s="19">
        <v>0.2</v>
      </c>
      <c r="K327">
        <v>0</v>
      </c>
    </row>
    <row r="328" spans="4:11" x14ac:dyDescent="0.35">
      <c r="D328" s="18">
        <v>323</v>
      </c>
      <c r="E328" s="19">
        <v>0.5</v>
      </c>
      <c r="F328" s="19">
        <f t="shared" si="3"/>
        <v>0.5</v>
      </c>
      <c r="G328" s="19">
        <v>0.2</v>
      </c>
      <c r="H328" s="19">
        <v>0.2</v>
      </c>
      <c r="I328" s="19">
        <v>0.2</v>
      </c>
      <c r="K328">
        <v>0</v>
      </c>
    </row>
    <row r="329" spans="4:11" x14ac:dyDescent="0.35">
      <c r="D329" s="18">
        <v>324</v>
      </c>
      <c r="E329" s="19">
        <v>0.5</v>
      </c>
      <c r="F329" s="19">
        <f t="shared" si="3"/>
        <v>0.5</v>
      </c>
      <c r="G329" s="19">
        <v>0.2</v>
      </c>
      <c r="H329" s="19">
        <v>0.2</v>
      </c>
      <c r="I329" s="19">
        <v>0.2</v>
      </c>
      <c r="K329">
        <v>0</v>
      </c>
    </row>
    <row r="330" spans="4:11" x14ac:dyDescent="0.35">
      <c r="D330" s="18">
        <v>325</v>
      </c>
      <c r="E330" s="19">
        <v>0.5</v>
      </c>
      <c r="F330" s="19">
        <f t="shared" si="3"/>
        <v>0.5</v>
      </c>
      <c r="G330" s="19">
        <v>0.2</v>
      </c>
      <c r="H330" s="19">
        <v>0.2</v>
      </c>
      <c r="I330" s="19">
        <v>0.2</v>
      </c>
      <c r="K330">
        <v>0</v>
      </c>
    </row>
    <row r="331" spans="4:11" x14ac:dyDescent="0.35">
      <c r="D331" s="18">
        <v>326</v>
      </c>
      <c r="E331" s="19">
        <v>0.5</v>
      </c>
      <c r="F331" s="19">
        <f t="shared" si="3"/>
        <v>0.5</v>
      </c>
      <c r="G331" s="19">
        <v>0.2</v>
      </c>
      <c r="H331" s="19">
        <v>0.2</v>
      </c>
      <c r="I331" s="19">
        <v>0.2</v>
      </c>
      <c r="K331">
        <v>0</v>
      </c>
    </row>
    <row r="332" spans="4:11" x14ac:dyDescent="0.35">
      <c r="D332" s="18">
        <v>327</v>
      </c>
      <c r="E332" s="19">
        <v>0.5</v>
      </c>
      <c r="F332" s="19">
        <f t="shared" si="3"/>
        <v>0.5</v>
      </c>
      <c r="G332" s="19">
        <v>0.2</v>
      </c>
      <c r="H332" s="19">
        <v>0.2</v>
      </c>
      <c r="I332" s="19">
        <v>0.2</v>
      </c>
      <c r="K332">
        <v>0</v>
      </c>
    </row>
    <row r="333" spans="4:11" x14ac:dyDescent="0.35">
      <c r="D333" s="18">
        <v>328</v>
      </c>
      <c r="E333" s="19">
        <v>0.5</v>
      </c>
      <c r="F333" s="19">
        <f t="shared" si="3"/>
        <v>0.5</v>
      </c>
      <c r="G333" s="19">
        <v>0.2</v>
      </c>
      <c r="H333" s="19">
        <v>0.2</v>
      </c>
      <c r="I333" s="19">
        <v>0.2</v>
      </c>
      <c r="K333">
        <v>0</v>
      </c>
    </row>
    <row r="334" spans="4:11" x14ac:dyDescent="0.35">
      <c r="D334" s="18">
        <v>329</v>
      </c>
      <c r="E334" s="19">
        <v>0.5</v>
      </c>
      <c r="F334" s="19">
        <f t="shared" si="3"/>
        <v>0.5</v>
      </c>
      <c r="G334" s="19">
        <v>0.2</v>
      </c>
      <c r="H334" s="19">
        <v>0.2</v>
      </c>
      <c r="I334" s="19">
        <v>0.2</v>
      </c>
      <c r="K334">
        <v>0</v>
      </c>
    </row>
    <row r="335" spans="4:11" x14ac:dyDescent="0.35">
      <c r="D335" s="18">
        <v>330</v>
      </c>
      <c r="E335" s="19">
        <v>0.5</v>
      </c>
      <c r="F335" s="19">
        <f t="shared" si="3"/>
        <v>0.5</v>
      </c>
      <c r="G335" s="19">
        <v>0.2</v>
      </c>
      <c r="H335" s="19">
        <v>0.2</v>
      </c>
      <c r="I335" s="19">
        <v>0.2</v>
      </c>
      <c r="K335">
        <v>0</v>
      </c>
    </row>
    <row r="336" spans="4:11" x14ac:dyDescent="0.35">
      <c r="D336" s="18">
        <v>331</v>
      </c>
      <c r="E336" s="19">
        <v>0.5</v>
      </c>
      <c r="F336" s="19">
        <f t="shared" si="3"/>
        <v>0.5</v>
      </c>
      <c r="G336" s="19">
        <v>0.2</v>
      </c>
      <c r="H336" s="19">
        <v>0.2</v>
      </c>
      <c r="I336" s="19">
        <v>0.2</v>
      </c>
      <c r="K336">
        <v>0</v>
      </c>
    </row>
    <row r="337" spans="4:11" x14ac:dyDescent="0.35">
      <c r="D337" s="18">
        <v>332</v>
      </c>
      <c r="E337" s="19">
        <v>0.5</v>
      </c>
      <c r="F337" s="19">
        <f t="shared" si="3"/>
        <v>0.5</v>
      </c>
      <c r="G337" s="19">
        <v>0.2</v>
      </c>
      <c r="H337" s="19">
        <v>0.2</v>
      </c>
      <c r="I337" s="19">
        <v>0.2</v>
      </c>
      <c r="K337">
        <v>0</v>
      </c>
    </row>
    <row r="338" spans="4:11" x14ac:dyDescent="0.35">
      <c r="D338" s="18">
        <v>333</v>
      </c>
      <c r="E338" s="19">
        <v>0.5</v>
      </c>
      <c r="F338" s="19">
        <f t="shared" si="3"/>
        <v>0.5</v>
      </c>
      <c r="G338" s="19">
        <v>0.2</v>
      </c>
      <c r="H338" s="19">
        <v>0.2</v>
      </c>
      <c r="I338" s="19">
        <v>0.2</v>
      </c>
      <c r="K338">
        <v>0</v>
      </c>
    </row>
    <row r="339" spans="4:11" x14ac:dyDescent="0.35">
      <c r="D339" s="18">
        <v>334</v>
      </c>
      <c r="E339" s="19">
        <v>0.5</v>
      </c>
      <c r="F339" s="19">
        <f t="shared" si="3"/>
        <v>0.5</v>
      </c>
      <c r="G339" s="19">
        <v>0.2</v>
      </c>
      <c r="H339" s="19">
        <v>0.2</v>
      </c>
      <c r="I339" s="19">
        <v>0.2</v>
      </c>
      <c r="K339">
        <v>0</v>
      </c>
    </row>
    <row r="340" spans="4:11" x14ac:dyDescent="0.35">
      <c r="D340" s="18">
        <v>335</v>
      </c>
      <c r="E340" s="19">
        <v>0.5</v>
      </c>
      <c r="F340" s="19">
        <f t="shared" si="3"/>
        <v>0.5</v>
      </c>
      <c r="G340" s="19">
        <v>0.2</v>
      </c>
      <c r="H340" s="19">
        <v>0.2</v>
      </c>
      <c r="I340" s="19">
        <v>0.2</v>
      </c>
      <c r="K340">
        <v>0</v>
      </c>
    </row>
    <row r="341" spans="4:11" x14ac:dyDescent="0.35">
      <c r="D341" s="18">
        <v>336</v>
      </c>
      <c r="E341" s="19">
        <v>0.5</v>
      </c>
      <c r="F341" s="19">
        <f t="shared" si="3"/>
        <v>0.5</v>
      </c>
      <c r="G341" s="19">
        <v>0.2</v>
      </c>
      <c r="H341" s="19">
        <v>0.2</v>
      </c>
      <c r="I341" s="19">
        <v>0.2</v>
      </c>
      <c r="K341">
        <v>0</v>
      </c>
    </row>
    <row r="342" spans="4:11" x14ac:dyDescent="0.35">
      <c r="D342" s="18">
        <v>337</v>
      </c>
      <c r="E342" s="19">
        <v>0.5</v>
      </c>
      <c r="F342" s="19">
        <f t="shared" si="3"/>
        <v>0.5</v>
      </c>
      <c r="G342" s="19">
        <v>0.2</v>
      </c>
      <c r="H342" s="19">
        <v>0.2</v>
      </c>
      <c r="I342" s="19">
        <v>0.2</v>
      </c>
      <c r="K342">
        <v>0</v>
      </c>
    </row>
    <row r="343" spans="4:11" x14ac:dyDescent="0.35">
      <c r="D343" s="18">
        <v>338</v>
      </c>
      <c r="E343" s="19">
        <v>0.5</v>
      </c>
      <c r="F343" s="19">
        <f t="shared" si="3"/>
        <v>0.5</v>
      </c>
      <c r="G343" s="19">
        <v>0.2</v>
      </c>
      <c r="H343" s="19">
        <v>0.2</v>
      </c>
      <c r="I343" s="19">
        <v>0.2</v>
      </c>
      <c r="K343">
        <v>0</v>
      </c>
    </row>
    <row r="344" spans="4:11" x14ac:dyDescent="0.35">
      <c r="D344" s="18">
        <v>339</v>
      </c>
      <c r="E344" s="19">
        <v>0.5</v>
      </c>
      <c r="F344" s="19">
        <f t="shared" si="3"/>
        <v>0.5</v>
      </c>
      <c r="G344" s="19">
        <v>0.2</v>
      </c>
      <c r="H344" s="19">
        <v>0.2</v>
      </c>
      <c r="I344" s="19">
        <v>0.2</v>
      </c>
      <c r="K344">
        <v>0</v>
      </c>
    </row>
    <row r="345" spans="4:11" x14ac:dyDescent="0.35">
      <c r="D345" s="18">
        <v>340</v>
      </c>
      <c r="E345" s="19">
        <v>0.5</v>
      </c>
      <c r="F345" s="19">
        <f t="shared" si="3"/>
        <v>0.5</v>
      </c>
      <c r="G345" s="19">
        <v>0.2</v>
      </c>
      <c r="H345" s="19">
        <v>0.2</v>
      </c>
      <c r="I345" s="19">
        <v>0.2</v>
      </c>
      <c r="K345">
        <v>0</v>
      </c>
    </row>
    <row r="346" spans="4:11" x14ac:dyDescent="0.35">
      <c r="D346" s="18">
        <v>341</v>
      </c>
      <c r="E346" s="19">
        <v>0.5</v>
      </c>
      <c r="F346" s="19">
        <f t="shared" si="3"/>
        <v>0.5</v>
      </c>
      <c r="G346" s="19">
        <v>0.2</v>
      </c>
      <c r="H346" s="19">
        <v>0.2</v>
      </c>
      <c r="I346" s="19">
        <v>0.2</v>
      </c>
      <c r="K346">
        <v>0</v>
      </c>
    </row>
    <row r="347" spans="4:11" x14ac:dyDescent="0.35">
      <c r="D347" s="18">
        <v>342</v>
      </c>
      <c r="E347" s="19">
        <v>0.5</v>
      </c>
      <c r="F347" s="19">
        <f t="shared" si="3"/>
        <v>0.5</v>
      </c>
      <c r="G347" s="19">
        <v>0.2</v>
      </c>
      <c r="H347" s="19">
        <v>0.2</v>
      </c>
      <c r="I347" s="19">
        <v>0.2</v>
      </c>
      <c r="K347">
        <v>0</v>
      </c>
    </row>
    <row r="348" spans="4:11" x14ac:dyDescent="0.35">
      <c r="D348" s="18">
        <v>343</v>
      </c>
      <c r="E348" s="19">
        <v>0.5</v>
      </c>
      <c r="F348" s="19">
        <f t="shared" si="3"/>
        <v>0.5</v>
      </c>
      <c r="G348" s="19">
        <v>0.2</v>
      </c>
      <c r="H348" s="19">
        <v>0.2</v>
      </c>
      <c r="I348" s="19">
        <v>0.2</v>
      </c>
      <c r="K348">
        <v>0</v>
      </c>
    </row>
    <row r="349" spans="4:11" x14ac:dyDescent="0.35">
      <c r="D349" s="18">
        <v>344</v>
      </c>
      <c r="E349" s="19">
        <v>0.5</v>
      </c>
      <c r="F349" s="19">
        <f t="shared" si="3"/>
        <v>0.5</v>
      </c>
      <c r="G349" s="19">
        <v>0.2</v>
      </c>
      <c r="H349" s="19">
        <v>0.2</v>
      </c>
      <c r="I349" s="19">
        <v>0.2</v>
      </c>
      <c r="K349">
        <v>0</v>
      </c>
    </row>
    <row r="350" spans="4:11" x14ac:dyDescent="0.35">
      <c r="D350" s="18">
        <v>345</v>
      </c>
      <c r="E350" s="19">
        <v>0.5</v>
      </c>
      <c r="F350" s="19">
        <f t="shared" si="3"/>
        <v>0.5</v>
      </c>
      <c r="G350" s="19">
        <v>0.2</v>
      </c>
      <c r="H350" s="19">
        <v>0.2</v>
      </c>
      <c r="I350" s="19">
        <v>0.2</v>
      </c>
      <c r="K350">
        <v>0</v>
      </c>
    </row>
    <row r="351" spans="4:11" x14ac:dyDescent="0.35">
      <c r="D351" s="18">
        <v>346</v>
      </c>
      <c r="E351" s="19">
        <v>0.5</v>
      </c>
      <c r="F351" s="19">
        <f t="shared" si="3"/>
        <v>0.5</v>
      </c>
      <c r="G351" s="19">
        <v>0.2</v>
      </c>
      <c r="H351" s="19">
        <v>0.2</v>
      </c>
      <c r="I351" s="19">
        <v>0.2</v>
      </c>
      <c r="K351">
        <v>0</v>
      </c>
    </row>
    <row r="352" spans="4:11" x14ac:dyDescent="0.35">
      <c r="D352" s="18">
        <v>347</v>
      </c>
      <c r="E352" s="19">
        <v>0.5</v>
      </c>
      <c r="F352" s="19">
        <f t="shared" si="3"/>
        <v>0.5</v>
      </c>
      <c r="G352" s="19">
        <v>0.2</v>
      </c>
      <c r="H352" s="19">
        <v>0.2</v>
      </c>
      <c r="I352" s="19">
        <v>0.2</v>
      </c>
      <c r="K352">
        <v>0</v>
      </c>
    </row>
    <row r="353" spans="4:11" x14ac:dyDescent="0.35">
      <c r="D353" s="18">
        <v>348</v>
      </c>
      <c r="E353" s="19">
        <v>0.5</v>
      </c>
      <c r="F353" s="19">
        <f t="shared" si="3"/>
        <v>0.5</v>
      </c>
      <c r="G353" s="19">
        <v>0.2</v>
      </c>
      <c r="H353" s="19">
        <v>0.2</v>
      </c>
      <c r="I353" s="19">
        <v>0.2</v>
      </c>
      <c r="K353">
        <v>0</v>
      </c>
    </row>
    <row r="354" spans="4:11" x14ac:dyDescent="0.35">
      <c r="D354" s="18">
        <v>349</v>
      </c>
      <c r="E354" s="19">
        <v>0.5</v>
      </c>
      <c r="F354" s="19">
        <f t="shared" si="3"/>
        <v>0.5</v>
      </c>
      <c r="G354" s="19">
        <v>0.2</v>
      </c>
      <c r="H354" s="19">
        <v>0.2</v>
      </c>
      <c r="I354" s="19">
        <v>0.2</v>
      </c>
      <c r="K354">
        <v>0</v>
      </c>
    </row>
    <row r="355" spans="4:11" x14ac:dyDescent="0.35">
      <c r="D355" s="18">
        <v>350</v>
      </c>
      <c r="E355" s="19">
        <v>0.5</v>
      </c>
      <c r="F355" s="19">
        <f t="shared" si="3"/>
        <v>0.5</v>
      </c>
      <c r="G355" s="19">
        <v>0.2</v>
      </c>
      <c r="H355" s="19">
        <v>0.2</v>
      </c>
      <c r="I355" s="19">
        <v>0.2</v>
      </c>
      <c r="K355">
        <v>0</v>
      </c>
    </row>
    <row r="356" spans="4:11" x14ac:dyDescent="0.35">
      <c r="D356" s="18">
        <v>351</v>
      </c>
      <c r="E356" s="19">
        <v>0.5</v>
      </c>
      <c r="F356" s="19">
        <f t="shared" si="3"/>
        <v>0.5</v>
      </c>
      <c r="G356" s="19">
        <v>0.2</v>
      </c>
      <c r="H356" s="19">
        <v>0.2</v>
      </c>
      <c r="I356" s="19">
        <v>0.2</v>
      </c>
      <c r="K356">
        <v>0</v>
      </c>
    </row>
    <row r="357" spans="4:11" x14ac:dyDescent="0.35">
      <c r="D357" s="18">
        <v>352</v>
      </c>
      <c r="E357" s="19">
        <v>0.5</v>
      </c>
      <c r="F357" s="19">
        <f t="shared" si="3"/>
        <v>0.5</v>
      </c>
      <c r="G357" s="19">
        <v>0.2</v>
      </c>
      <c r="H357" s="19">
        <v>0.2</v>
      </c>
      <c r="I357" s="19">
        <v>0.2</v>
      </c>
      <c r="K357">
        <v>0</v>
      </c>
    </row>
    <row r="358" spans="4:11" x14ac:dyDescent="0.35">
      <c r="D358" s="18">
        <v>353</v>
      </c>
      <c r="E358" s="19">
        <v>0.5</v>
      </c>
      <c r="F358" s="19">
        <f t="shared" si="3"/>
        <v>0.5</v>
      </c>
      <c r="G358" s="19">
        <v>0.2</v>
      </c>
      <c r="H358" s="19">
        <v>0.2</v>
      </c>
      <c r="I358" s="19">
        <v>0.2</v>
      </c>
      <c r="K358">
        <v>0</v>
      </c>
    </row>
    <row r="359" spans="4:11" x14ac:dyDescent="0.35">
      <c r="D359" s="18">
        <v>354</v>
      </c>
      <c r="E359" s="19">
        <v>0.5</v>
      </c>
      <c r="F359" s="19">
        <f t="shared" si="3"/>
        <v>0.5</v>
      </c>
      <c r="G359" s="19">
        <v>0.2</v>
      </c>
      <c r="H359" s="19">
        <v>0.2</v>
      </c>
      <c r="I359" s="19">
        <v>0.2</v>
      </c>
      <c r="K359">
        <v>0</v>
      </c>
    </row>
    <row r="360" spans="4:11" x14ac:dyDescent="0.35">
      <c r="D360" s="18">
        <v>355</v>
      </c>
      <c r="E360" s="19">
        <v>0.5</v>
      </c>
      <c r="F360" s="19">
        <f t="shared" si="3"/>
        <v>0.5</v>
      </c>
      <c r="G360" s="19">
        <v>0.2</v>
      </c>
      <c r="H360" s="19">
        <v>0.2</v>
      </c>
      <c r="I360" s="19">
        <v>0.2</v>
      </c>
      <c r="K360">
        <v>0</v>
      </c>
    </row>
    <row r="361" spans="4:11" x14ac:dyDescent="0.35">
      <c r="D361" s="18">
        <v>356</v>
      </c>
      <c r="E361" s="19">
        <v>0.5</v>
      </c>
      <c r="F361" s="19">
        <f t="shared" si="3"/>
        <v>0.5</v>
      </c>
      <c r="G361" s="19">
        <v>0.2</v>
      </c>
      <c r="H361" s="19">
        <v>0.2</v>
      </c>
      <c r="I361" s="19">
        <v>0.2</v>
      </c>
      <c r="K361">
        <v>0</v>
      </c>
    </row>
    <row r="362" spans="4:11" x14ac:dyDescent="0.35">
      <c r="D362" s="18">
        <v>357</v>
      </c>
      <c r="E362" s="19">
        <v>0.5</v>
      </c>
      <c r="F362" s="19">
        <f t="shared" si="3"/>
        <v>0.5</v>
      </c>
      <c r="G362" s="19">
        <v>0.2</v>
      </c>
      <c r="H362" s="19">
        <v>0.2</v>
      </c>
      <c r="I362" s="19">
        <v>0.2</v>
      </c>
      <c r="K362">
        <v>0</v>
      </c>
    </row>
    <row r="363" spans="4:11" x14ac:dyDescent="0.35">
      <c r="D363" s="18">
        <v>358</v>
      </c>
      <c r="E363" s="19">
        <v>0.5</v>
      </c>
      <c r="F363" s="19">
        <f t="shared" ref="F363:F426" si="4">E363</f>
        <v>0.5</v>
      </c>
      <c r="G363" s="19">
        <v>0.2</v>
      </c>
      <c r="H363" s="19">
        <v>0.2</v>
      </c>
      <c r="I363" s="19">
        <v>0.2</v>
      </c>
      <c r="K363">
        <v>0</v>
      </c>
    </row>
    <row r="364" spans="4:11" x14ac:dyDescent="0.35">
      <c r="D364" s="18">
        <v>359</v>
      </c>
      <c r="E364" s="19">
        <v>0.5</v>
      </c>
      <c r="F364" s="19">
        <f t="shared" si="4"/>
        <v>0.5</v>
      </c>
      <c r="G364" s="19">
        <v>0.2</v>
      </c>
      <c r="H364" s="19">
        <v>0.2</v>
      </c>
      <c r="I364" s="19">
        <v>0.2</v>
      </c>
      <c r="K364">
        <v>0</v>
      </c>
    </row>
    <row r="365" spans="4:11" x14ac:dyDescent="0.35">
      <c r="D365" s="18">
        <v>360</v>
      </c>
      <c r="E365" s="19">
        <v>0.5</v>
      </c>
      <c r="F365" s="19">
        <f t="shared" si="4"/>
        <v>0.5</v>
      </c>
      <c r="G365" s="19">
        <v>0.2</v>
      </c>
      <c r="H365" s="19">
        <v>0.2</v>
      </c>
      <c r="I365" s="19">
        <v>0.2</v>
      </c>
      <c r="K365">
        <v>0</v>
      </c>
    </row>
    <row r="366" spans="4:11" x14ac:dyDescent="0.35">
      <c r="D366" s="18">
        <v>361</v>
      </c>
      <c r="E366" s="19">
        <v>0.5</v>
      </c>
      <c r="F366" s="19">
        <f t="shared" si="4"/>
        <v>0.5</v>
      </c>
      <c r="G366" s="19">
        <v>0.2</v>
      </c>
      <c r="H366" s="19">
        <v>0.2</v>
      </c>
      <c r="I366" s="19">
        <v>0.2</v>
      </c>
      <c r="K366">
        <v>0</v>
      </c>
    </row>
    <row r="367" spans="4:11" x14ac:dyDescent="0.35">
      <c r="D367" s="18">
        <v>362</v>
      </c>
      <c r="E367" s="19">
        <v>0.5</v>
      </c>
      <c r="F367" s="19">
        <f t="shared" si="4"/>
        <v>0.5</v>
      </c>
      <c r="G367" s="19">
        <v>0.2</v>
      </c>
      <c r="H367" s="19">
        <v>0.2</v>
      </c>
      <c r="I367" s="19">
        <v>0.2</v>
      </c>
      <c r="K367">
        <v>0</v>
      </c>
    </row>
    <row r="368" spans="4:11" x14ac:dyDescent="0.35">
      <c r="D368" s="18">
        <v>363</v>
      </c>
      <c r="E368" s="19">
        <v>0.5</v>
      </c>
      <c r="F368" s="19">
        <f t="shared" si="4"/>
        <v>0.5</v>
      </c>
      <c r="G368" s="19">
        <v>0.2</v>
      </c>
      <c r="H368" s="19">
        <v>0.2</v>
      </c>
      <c r="I368" s="19">
        <v>0.2</v>
      </c>
      <c r="K368">
        <v>0</v>
      </c>
    </row>
    <row r="369" spans="4:11" x14ac:dyDescent="0.35">
      <c r="D369" s="18">
        <v>364</v>
      </c>
      <c r="E369" s="19">
        <v>0.5</v>
      </c>
      <c r="F369" s="19">
        <f t="shared" si="4"/>
        <v>0.5</v>
      </c>
      <c r="G369" s="19">
        <v>0.2</v>
      </c>
      <c r="H369" s="19">
        <v>0.2</v>
      </c>
      <c r="I369" s="19">
        <v>0.2</v>
      </c>
      <c r="K369">
        <v>0</v>
      </c>
    </row>
    <row r="370" spans="4:11" x14ac:dyDescent="0.35">
      <c r="D370" s="18">
        <v>365</v>
      </c>
      <c r="E370" s="19">
        <v>0.5</v>
      </c>
      <c r="F370" s="19">
        <f t="shared" si="4"/>
        <v>0.5</v>
      </c>
      <c r="G370" s="19">
        <v>0.2</v>
      </c>
      <c r="H370" s="19">
        <v>0.2</v>
      </c>
      <c r="I370" s="19">
        <v>0.2</v>
      </c>
      <c r="K370">
        <v>0</v>
      </c>
    </row>
    <row r="371" spans="4:11" x14ac:dyDescent="0.35">
      <c r="D371" s="18">
        <v>366</v>
      </c>
      <c r="E371" s="19">
        <v>0.5</v>
      </c>
      <c r="F371" s="19">
        <f t="shared" si="4"/>
        <v>0.5</v>
      </c>
      <c r="G371" s="19">
        <v>0.2</v>
      </c>
      <c r="H371" s="19">
        <v>0.2</v>
      </c>
      <c r="I371" s="19">
        <v>0.2</v>
      </c>
      <c r="K371">
        <v>0</v>
      </c>
    </row>
    <row r="372" spans="4:11" x14ac:dyDescent="0.35">
      <c r="D372" s="18">
        <v>367</v>
      </c>
      <c r="E372" s="19">
        <v>0.5</v>
      </c>
      <c r="F372" s="19">
        <f t="shared" si="4"/>
        <v>0.5</v>
      </c>
      <c r="G372" s="19">
        <v>0.2</v>
      </c>
      <c r="H372" s="19">
        <v>0.2</v>
      </c>
      <c r="I372" s="19">
        <v>0.2</v>
      </c>
      <c r="K372">
        <v>0</v>
      </c>
    </row>
    <row r="373" spans="4:11" x14ac:dyDescent="0.35">
      <c r="D373" s="18">
        <v>368</v>
      </c>
      <c r="E373" s="19">
        <v>0.5</v>
      </c>
      <c r="F373" s="19">
        <f t="shared" si="4"/>
        <v>0.5</v>
      </c>
      <c r="G373" s="19">
        <v>0.2</v>
      </c>
      <c r="H373" s="19">
        <v>0.2</v>
      </c>
      <c r="I373" s="19">
        <v>0.2</v>
      </c>
      <c r="K373">
        <v>0</v>
      </c>
    </row>
    <row r="374" spans="4:11" x14ac:dyDescent="0.35">
      <c r="D374" s="18">
        <v>369</v>
      </c>
      <c r="E374" s="19">
        <v>0.5</v>
      </c>
      <c r="F374" s="19">
        <f t="shared" si="4"/>
        <v>0.5</v>
      </c>
      <c r="G374" s="19">
        <v>0.2</v>
      </c>
      <c r="H374" s="19">
        <v>0.2</v>
      </c>
      <c r="I374" s="19">
        <v>0.2</v>
      </c>
      <c r="K374">
        <v>0</v>
      </c>
    </row>
    <row r="375" spans="4:11" x14ac:dyDescent="0.35">
      <c r="D375" s="18">
        <v>370</v>
      </c>
      <c r="E375" s="19">
        <v>0.5</v>
      </c>
      <c r="F375" s="19">
        <f t="shared" si="4"/>
        <v>0.5</v>
      </c>
      <c r="G375" s="19">
        <v>0.2</v>
      </c>
      <c r="H375" s="19">
        <v>0.2</v>
      </c>
      <c r="I375" s="19">
        <v>0.2</v>
      </c>
      <c r="K375">
        <v>0</v>
      </c>
    </row>
    <row r="376" spans="4:11" x14ac:dyDescent="0.35">
      <c r="D376" s="18">
        <v>371</v>
      </c>
      <c r="E376" s="19">
        <v>0.5</v>
      </c>
      <c r="F376" s="19">
        <f t="shared" si="4"/>
        <v>0.5</v>
      </c>
      <c r="G376" s="19">
        <v>0.2</v>
      </c>
      <c r="H376" s="19">
        <v>0.2</v>
      </c>
      <c r="I376" s="19">
        <v>0.2</v>
      </c>
      <c r="K376">
        <v>0</v>
      </c>
    </row>
    <row r="377" spans="4:11" x14ac:dyDescent="0.35">
      <c r="D377" s="18">
        <v>372</v>
      </c>
      <c r="E377" s="19">
        <v>0.5</v>
      </c>
      <c r="F377" s="19">
        <f t="shared" si="4"/>
        <v>0.5</v>
      </c>
      <c r="G377" s="19">
        <v>0.2</v>
      </c>
      <c r="H377" s="19">
        <v>0.2</v>
      </c>
      <c r="I377" s="19">
        <v>0.2</v>
      </c>
      <c r="K377">
        <v>0</v>
      </c>
    </row>
    <row r="378" spans="4:11" x14ac:dyDescent="0.35">
      <c r="D378" s="18">
        <v>373</v>
      </c>
      <c r="E378" s="19">
        <v>0.5</v>
      </c>
      <c r="F378" s="19">
        <f t="shared" si="4"/>
        <v>0.5</v>
      </c>
      <c r="G378" s="19">
        <v>0.2</v>
      </c>
      <c r="H378" s="19">
        <v>0.2</v>
      </c>
      <c r="I378" s="19">
        <v>0.2</v>
      </c>
      <c r="K378">
        <v>0</v>
      </c>
    </row>
    <row r="379" spans="4:11" x14ac:dyDescent="0.35">
      <c r="D379" s="18">
        <v>374</v>
      </c>
      <c r="E379" s="19">
        <v>0.5</v>
      </c>
      <c r="F379" s="19">
        <f t="shared" si="4"/>
        <v>0.5</v>
      </c>
      <c r="G379" s="19">
        <v>0.2</v>
      </c>
      <c r="H379" s="19">
        <v>0.2</v>
      </c>
      <c r="I379" s="19">
        <v>0.2</v>
      </c>
      <c r="K379">
        <v>0</v>
      </c>
    </row>
    <row r="380" spans="4:11" x14ac:dyDescent="0.35">
      <c r="D380" s="18">
        <v>375</v>
      </c>
      <c r="E380" s="19">
        <v>0.5</v>
      </c>
      <c r="F380" s="19">
        <f t="shared" si="4"/>
        <v>0.5</v>
      </c>
      <c r="G380" s="19">
        <v>0.2</v>
      </c>
      <c r="H380" s="19">
        <v>0.2</v>
      </c>
      <c r="I380" s="19">
        <v>0.2</v>
      </c>
      <c r="K380">
        <v>0</v>
      </c>
    </row>
    <row r="381" spans="4:11" x14ac:dyDescent="0.35">
      <c r="D381" s="18">
        <v>376</v>
      </c>
      <c r="E381" s="19">
        <v>0.5</v>
      </c>
      <c r="F381" s="19">
        <f t="shared" si="4"/>
        <v>0.5</v>
      </c>
      <c r="G381" s="19">
        <v>0.2</v>
      </c>
      <c r="H381" s="19">
        <v>0.2</v>
      </c>
      <c r="I381" s="19">
        <v>0.2</v>
      </c>
      <c r="K381">
        <v>0</v>
      </c>
    </row>
    <row r="382" spans="4:11" x14ac:dyDescent="0.35">
      <c r="D382" s="18">
        <v>377</v>
      </c>
      <c r="E382" s="19">
        <v>0.5</v>
      </c>
      <c r="F382" s="19">
        <f t="shared" si="4"/>
        <v>0.5</v>
      </c>
      <c r="G382" s="19">
        <v>0.2</v>
      </c>
      <c r="H382" s="19">
        <v>0.2</v>
      </c>
      <c r="I382" s="19">
        <v>0.2</v>
      </c>
      <c r="K382">
        <v>0</v>
      </c>
    </row>
    <row r="383" spans="4:11" x14ac:dyDescent="0.35">
      <c r="D383" s="18">
        <v>378</v>
      </c>
      <c r="E383" s="19">
        <v>0.5</v>
      </c>
      <c r="F383" s="19">
        <f t="shared" si="4"/>
        <v>0.5</v>
      </c>
      <c r="G383" s="19">
        <v>0.2</v>
      </c>
      <c r="H383" s="19">
        <v>0.2</v>
      </c>
      <c r="I383" s="19">
        <v>0.2</v>
      </c>
      <c r="K383">
        <v>0</v>
      </c>
    </row>
    <row r="384" spans="4:11" x14ac:dyDescent="0.35">
      <c r="D384" s="18">
        <v>379</v>
      </c>
      <c r="E384" s="19">
        <v>0.5</v>
      </c>
      <c r="F384" s="19">
        <f t="shared" si="4"/>
        <v>0.5</v>
      </c>
      <c r="G384" s="19">
        <v>0.2</v>
      </c>
      <c r="H384" s="19">
        <v>0.2</v>
      </c>
      <c r="I384" s="19">
        <v>0.2</v>
      </c>
      <c r="K384">
        <v>0</v>
      </c>
    </row>
    <row r="385" spans="2:26" s="2" customFormat="1" x14ac:dyDescent="0.35">
      <c r="B385"/>
      <c r="C385"/>
      <c r="D385" s="18">
        <v>380</v>
      </c>
      <c r="E385" s="19">
        <v>0.5</v>
      </c>
      <c r="F385" s="19">
        <f t="shared" si="4"/>
        <v>0.5</v>
      </c>
      <c r="G385" s="19">
        <v>0.2</v>
      </c>
      <c r="H385" s="19">
        <v>0.2</v>
      </c>
      <c r="I385" s="19">
        <v>0.2</v>
      </c>
      <c r="J385"/>
      <c r="K385">
        <v>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2:26" s="2" customFormat="1" x14ac:dyDescent="0.35">
      <c r="B386"/>
      <c r="C386"/>
      <c r="D386" s="18">
        <v>381</v>
      </c>
      <c r="E386" s="19">
        <v>0.5</v>
      </c>
      <c r="F386" s="19">
        <f t="shared" si="4"/>
        <v>0.5</v>
      </c>
      <c r="G386" s="19">
        <v>0.2</v>
      </c>
      <c r="H386" s="19">
        <v>0.2</v>
      </c>
      <c r="I386" s="19">
        <v>0.2</v>
      </c>
      <c r="J386"/>
      <c r="K386">
        <v>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2:26" s="2" customFormat="1" x14ac:dyDescent="0.35">
      <c r="B387"/>
      <c r="C387"/>
      <c r="D387" s="18">
        <v>382</v>
      </c>
      <c r="E387" s="19">
        <v>0.5</v>
      </c>
      <c r="F387" s="19">
        <f t="shared" si="4"/>
        <v>0.5</v>
      </c>
      <c r="G387" s="19">
        <v>0.2</v>
      </c>
      <c r="H387" s="19">
        <v>0.2</v>
      </c>
      <c r="I387" s="19">
        <v>0.2</v>
      </c>
      <c r="J387"/>
      <c r="K387">
        <v>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2:26" s="2" customFormat="1" x14ac:dyDescent="0.35">
      <c r="B388"/>
      <c r="C388"/>
      <c r="D388" s="18">
        <v>383</v>
      </c>
      <c r="E388" s="19">
        <v>0.5</v>
      </c>
      <c r="F388" s="19">
        <f t="shared" si="4"/>
        <v>0.5</v>
      </c>
      <c r="G388" s="19">
        <v>0.2</v>
      </c>
      <c r="H388" s="19">
        <v>0.2</v>
      </c>
      <c r="I388" s="19">
        <v>0.2</v>
      </c>
      <c r="J388"/>
      <c r="K388">
        <v>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2:26" s="2" customFormat="1" x14ac:dyDescent="0.35">
      <c r="B389"/>
      <c r="C389"/>
      <c r="D389" s="18">
        <v>384</v>
      </c>
      <c r="E389" s="19">
        <v>0.5</v>
      </c>
      <c r="F389" s="19">
        <f t="shared" si="4"/>
        <v>0.5</v>
      </c>
      <c r="G389" s="19">
        <v>0.2</v>
      </c>
      <c r="H389" s="19">
        <v>0.2</v>
      </c>
      <c r="I389" s="19">
        <v>0.2</v>
      </c>
      <c r="J389"/>
      <c r="K389">
        <v>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2:26" s="2" customFormat="1" x14ac:dyDescent="0.35">
      <c r="B390"/>
      <c r="C390"/>
      <c r="D390" s="18">
        <v>385</v>
      </c>
      <c r="E390" s="19">
        <v>0.5</v>
      </c>
      <c r="F390" s="19">
        <f t="shared" si="4"/>
        <v>0.5</v>
      </c>
      <c r="G390" s="19">
        <v>0.2</v>
      </c>
      <c r="H390" s="19">
        <v>0.2</v>
      </c>
      <c r="I390" s="19">
        <v>0.2</v>
      </c>
      <c r="J390"/>
      <c r="K390">
        <v>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2:26" s="2" customFormat="1" x14ac:dyDescent="0.35">
      <c r="B391"/>
      <c r="C391"/>
      <c r="D391" s="18">
        <v>386</v>
      </c>
      <c r="E391" s="19">
        <v>0.5</v>
      </c>
      <c r="F391" s="19">
        <f t="shared" si="4"/>
        <v>0.5</v>
      </c>
      <c r="G391" s="19">
        <v>0.2</v>
      </c>
      <c r="H391" s="19">
        <v>0.2</v>
      </c>
      <c r="I391" s="19">
        <v>0.2</v>
      </c>
      <c r="J391"/>
      <c r="K391">
        <v>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2:26" s="2" customFormat="1" x14ac:dyDescent="0.35">
      <c r="B392"/>
      <c r="C392"/>
      <c r="D392" s="18">
        <v>387</v>
      </c>
      <c r="E392" s="19">
        <v>0.5</v>
      </c>
      <c r="F392" s="19">
        <f t="shared" si="4"/>
        <v>0.5</v>
      </c>
      <c r="G392" s="19">
        <v>0.2</v>
      </c>
      <c r="H392" s="19">
        <v>0.2</v>
      </c>
      <c r="I392" s="19">
        <v>0.2</v>
      </c>
      <c r="J392"/>
      <c r="K392">
        <v>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2:26" s="2" customFormat="1" x14ac:dyDescent="0.35">
      <c r="B393"/>
      <c r="C393"/>
      <c r="D393" s="18">
        <v>388</v>
      </c>
      <c r="E393" s="19">
        <v>0.5</v>
      </c>
      <c r="F393" s="19">
        <f t="shared" si="4"/>
        <v>0.5</v>
      </c>
      <c r="G393" s="19">
        <v>0.2</v>
      </c>
      <c r="H393" s="19">
        <v>0.2</v>
      </c>
      <c r="I393" s="19">
        <v>0.2</v>
      </c>
      <c r="J393"/>
      <c r="K393">
        <v>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2:26" s="2" customFormat="1" x14ac:dyDescent="0.35">
      <c r="B394"/>
      <c r="C394"/>
      <c r="D394" s="18">
        <v>389</v>
      </c>
      <c r="E394" s="19">
        <v>0.5</v>
      </c>
      <c r="F394" s="19">
        <f t="shared" si="4"/>
        <v>0.5</v>
      </c>
      <c r="G394" s="19">
        <v>0.2</v>
      </c>
      <c r="H394" s="19">
        <v>0.2</v>
      </c>
      <c r="I394" s="19">
        <v>0.2</v>
      </c>
      <c r="J394"/>
      <c r="K394">
        <v>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2:26" s="2" customFormat="1" x14ac:dyDescent="0.35">
      <c r="B395"/>
      <c r="C395"/>
      <c r="D395" s="18">
        <v>390</v>
      </c>
      <c r="E395" s="19">
        <v>0.5</v>
      </c>
      <c r="F395" s="19">
        <f t="shared" si="4"/>
        <v>0.5</v>
      </c>
      <c r="G395" s="19">
        <v>0.2</v>
      </c>
      <c r="H395" s="19">
        <v>0.2</v>
      </c>
      <c r="I395" s="19">
        <v>0.2</v>
      </c>
      <c r="J395"/>
      <c r="K395">
        <v>0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2:26" s="2" customFormat="1" x14ac:dyDescent="0.35">
      <c r="B396"/>
      <c r="C396"/>
      <c r="D396" s="18">
        <v>391</v>
      </c>
      <c r="E396" s="19">
        <v>0.5</v>
      </c>
      <c r="F396" s="19">
        <f t="shared" si="4"/>
        <v>0.5</v>
      </c>
      <c r="G396" s="19">
        <v>0.2</v>
      </c>
      <c r="H396" s="19">
        <v>0.2</v>
      </c>
      <c r="I396" s="19">
        <v>0.2</v>
      </c>
      <c r="J396"/>
      <c r="K396">
        <v>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2:26" s="2" customFormat="1" x14ac:dyDescent="0.35">
      <c r="B397"/>
      <c r="C397"/>
      <c r="D397" s="18">
        <v>392</v>
      </c>
      <c r="E397" s="19">
        <v>0.5</v>
      </c>
      <c r="F397" s="19">
        <f t="shared" si="4"/>
        <v>0.5</v>
      </c>
      <c r="G397" s="19">
        <v>0.2</v>
      </c>
      <c r="H397" s="19">
        <v>0.2</v>
      </c>
      <c r="I397" s="19">
        <v>0.2</v>
      </c>
      <c r="J397"/>
      <c r="K397">
        <v>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2:26" s="2" customFormat="1" x14ac:dyDescent="0.35">
      <c r="B398"/>
      <c r="C398"/>
      <c r="D398" s="18">
        <v>393</v>
      </c>
      <c r="E398" s="19">
        <v>0.5</v>
      </c>
      <c r="F398" s="19">
        <f t="shared" si="4"/>
        <v>0.5</v>
      </c>
      <c r="G398" s="19">
        <v>0.2</v>
      </c>
      <c r="H398" s="19">
        <v>0.2</v>
      </c>
      <c r="I398" s="19">
        <v>0.2</v>
      </c>
      <c r="J398"/>
      <c r="K398">
        <v>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2:26" s="2" customFormat="1" x14ac:dyDescent="0.35">
      <c r="B399"/>
      <c r="C399"/>
      <c r="D399" s="18">
        <v>394</v>
      </c>
      <c r="E399" s="19">
        <v>0.5</v>
      </c>
      <c r="F399" s="19">
        <f t="shared" si="4"/>
        <v>0.5</v>
      </c>
      <c r="G399" s="19">
        <v>0.2</v>
      </c>
      <c r="H399" s="19">
        <v>0.2</v>
      </c>
      <c r="I399" s="19">
        <v>0.2</v>
      </c>
      <c r="J399"/>
      <c r="K399">
        <v>0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2:26" s="2" customFormat="1" x14ac:dyDescent="0.35">
      <c r="B400"/>
      <c r="C400"/>
      <c r="D400" s="18">
        <v>395</v>
      </c>
      <c r="E400" s="19">
        <v>0.5</v>
      </c>
      <c r="F400" s="19">
        <f t="shared" si="4"/>
        <v>0.5</v>
      </c>
      <c r="G400" s="19">
        <v>0.2</v>
      </c>
      <c r="H400" s="19">
        <v>0.2</v>
      </c>
      <c r="I400" s="19">
        <v>0.2</v>
      </c>
      <c r="J400"/>
      <c r="K400">
        <v>0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2:26" s="2" customFormat="1" x14ac:dyDescent="0.35">
      <c r="B401"/>
      <c r="C401"/>
      <c r="D401" s="18">
        <v>396</v>
      </c>
      <c r="E401" s="19">
        <v>0.5</v>
      </c>
      <c r="F401" s="19">
        <f t="shared" si="4"/>
        <v>0.5</v>
      </c>
      <c r="G401" s="19">
        <v>0.2</v>
      </c>
      <c r="H401" s="19">
        <v>0.2</v>
      </c>
      <c r="I401" s="19">
        <v>0.2</v>
      </c>
      <c r="J401"/>
      <c r="K401">
        <v>0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2:26" s="2" customFormat="1" x14ac:dyDescent="0.35">
      <c r="B402"/>
      <c r="C402"/>
      <c r="D402" s="18">
        <v>397</v>
      </c>
      <c r="E402" s="19">
        <v>0.5</v>
      </c>
      <c r="F402" s="19">
        <f t="shared" si="4"/>
        <v>0.5</v>
      </c>
      <c r="G402" s="19">
        <v>0.2</v>
      </c>
      <c r="H402" s="19">
        <v>0.2</v>
      </c>
      <c r="I402" s="19">
        <v>0.2</v>
      </c>
      <c r="J402"/>
      <c r="K402">
        <v>0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2:26" s="2" customFormat="1" x14ac:dyDescent="0.35">
      <c r="B403"/>
      <c r="C403"/>
      <c r="D403" s="18">
        <v>398</v>
      </c>
      <c r="E403" s="19">
        <v>0.5</v>
      </c>
      <c r="F403" s="19">
        <f t="shared" si="4"/>
        <v>0.5</v>
      </c>
      <c r="G403" s="19">
        <v>0.2</v>
      </c>
      <c r="H403" s="19">
        <v>0.2</v>
      </c>
      <c r="I403" s="19">
        <v>0.2</v>
      </c>
      <c r="J403"/>
      <c r="K403">
        <v>0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2:26" s="2" customFormat="1" x14ac:dyDescent="0.35">
      <c r="B404"/>
      <c r="C404"/>
      <c r="D404" s="18">
        <v>399</v>
      </c>
      <c r="E404" s="19">
        <v>0.5</v>
      </c>
      <c r="F404" s="19">
        <f t="shared" si="4"/>
        <v>0.5</v>
      </c>
      <c r="G404" s="19">
        <v>0.2</v>
      </c>
      <c r="H404" s="19">
        <v>0.2</v>
      </c>
      <c r="I404" s="19">
        <v>0.2</v>
      </c>
      <c r="J404"/>
      <c r="K404">
        <v>0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2:26" s="2" customFormat="1" x14ac:dyDescent="0.35">
      <c r="B405"/>
      <c r="C405"/>
      <c r="D405" s="18">
        <v>400</v>
      </c>
      <c r="E405" s="19">
        <v>0.5</v>
      </c>
      <c r="F405" s="19">
        <f t="shared" si="4"/>
        <v>0.5</v>
      </c>
      <c r="G405" s="19">
        <v>0.2</v>
      </c>
      <c r="H405" s="19">
        <v>0.2</v>
      </c>
      <c r="I405" s="19">
        <v>0.2</v>
      </c>
      <c r="J405"/>
      <c r="K405">
        <v>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2:26" s="2" customFormat="1" x14ac:dyDescent="0.35">
      <c r="B406"/>
      <c r="C406"/>
      <c r="D406" s="18">
        <v>401</v>
      </c>
      <c r="E406" s="19">
        <v>0.5</v>
      </c>
      <c r="F406" s="19">
        <f t="shared" si="4"/>
        <v>0.5</v>
      </c>
      <c r="G406" s="19">
        <v>0.2</v>
      </c>
      <c r="H406" s="19">
        <v>0.2</v>
      </c>
      <c r="I406" s="19">
        <v>0.2</v>
      </c>
      <c r="J406"/>
      <c r="K406">
        <v>0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2:26" s="2" customFormat="1" x14ac:dyDescent="0.35">
      <c r="B407"/>
      <c r="C407"/>
      <c r="D407" s="18">
        <v>402</v>
      </c>
      <c r="E407" s="19">
        <v>0.5</v>
      </c>
      <c r="F407" s="19">
        <f t="shared" si="4"/>
        <v>0.5</v>
      </c>
      <c r="G407" s="19">
        <v>0.2</v>
      </c>
      <c r="H407" s="19">
        <v>0.2</v>
      </c>
      <c r="I407" s="19">
        <v>0.2</v>
      </c>
      <c r="J407"/>
      <c r="K407">
        <v>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2:26" s="2" customFormat="1" x14ac:dyDescent="0.35">
      <c r="B408"/>
      <c r="C408"/>
      <c r="D408" s="18">
        <v>403</v>
      </c>
      <c r="E408" s="19">
        <v>0.5</v>
      </c>
      <c r="F408" s="19">
        <f t="shared" si="4"/>
        <v>0.5</v>
      </c>
      <c r="G408" s="19">
        <v>0.2</v>
      </c>
      <c r="H408" s="19">
        <v>0.2</v>
      </c>
      <c r="I408" s="19">
        <v>0.2</v>
      </c>
      <c r="J408"/>
      <c r="K408">
        <v>0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2:26" s="2" customFormat="1" x14ac:dyDescent="0.35">
      <c r="B409"/>
      <c r="C409"/>
      <c r="D409" s="18">
        <v>404</v>
      </c>
      <c r="E409" s="19">
        <v>0.5</v>
      </c>
      <c r="F409" s="19">
        <f t="shared" si="4"/>
        <v>0.5</v>
      </c>
      <c r="G409" s="19">
        <v>0.2</v>
      </c>
      <c r="H409" s="19">
        <v>0.2</v>
      </c>
      <c r="I409" s="19">
        <v>0.2</v>
      </c>
      <c r="J409"/>
      <c r="K409">
        <v>0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2:26" s="2" customFormat="1" x14ac:dyDescent="0.35">
      <c r="B410"/>
      <c r="C410"/>
      <c r="D410" s="18">
        <v>405</v>
      </c>
      <c r="E410" s="19">
        <v>0.5</v>
      </c>
      <c r="F410" s="19">
        <f t="shared" si="4"/>
        <v>0.5</v>
      </c>
      <c r="G410" s="19">
        <v>0.2</v>
      </c>
      <c r="H410" s="19">
        <v>0.2</v>
      </c>
      <c r="I410" s="19">
        <v>0.2</v>
      </c>
      <c r="J410"/>
      <c r="K410">
        <v>0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2:26" s="2" customFormat="1" x14ac:dyDescent="0.35">
      <c r="B411"/>
      <c r="C411"/>
      <c r="D411" s="18">
        <v>406</v>
      </c>
      <c r="E411" s="19">
        <v>0.5</v>
      </c>
      <c r="F411" s="19">
        <f t="shared" si="4"/>
        <v>0.5</v>
      </c>
      <c r="G411" s="19">
        <v>0.2</v>
      </c>
      <c r="H411" s="19">
        <v>0.2</v>
      </c>
      <c r="I411" s="19">
        <v>0.2</v>
      </c>
      <c r="J411"/>
      <c r="K411">
        <v>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2:26" s="2" customFormat="1" x14ac:dyDescent="0.35">
      <c r="B412"/>
      <c r="C412"/>
      <c r="D412" s="18">
        <v>407</v>
      </c>
      <c r="E412" s="19">
        <v>0.5</v>
      </c>
      <c r="F412" s="19">
        <f t="shared" si="4"/>
        <v>0.5</v>
      </c>
      <c r="G412" s="19">
        <v>0.2</v>
      </c>
      <c r="H412" s="19">
        <v>0.2</v>
      </c>
      <c r="I412" s="19">
        <v>0.2</v>
      </c>
      <c r="J412"/>
      <c r="K412">
        <v>0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2:26" s="2" customFormat="1" x14ac:dyDescent="0.35">
      <c r="B413"/>
      <c r="C413"/>
      <c r="D413" s="18">
        <v>408</v>
      </c>
      <c r="E413" s="19">
        <v>0.5</v>
      </c>
      <c r="F413" s="19">
        <f t="shared" si="4"/>
        <v>0.5</v>
      </c>
      <c r="G413" s="19">
        <v>0.2</v>
      </c>
      <c r="H413" s="19">
        <v>0.2</v>
      </c>
      <c r="I413" s="19">
        <v>0.2</v>
      </c>
      <c r="J413"/>
      <c r="K413">
        <v>0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2:26" s="2" customFormat="1" x14ac:dyDescent="0.35">
      <c r="B414"/>
      <c r="C414"/>
      <c r="D414" s="18">
        <v>409</v>
      </c>
      <c r="E414" s="19">
        <v>0.5</v>
      </c>
      <c r="F414" s="19">
        <f t="shared" si="4"/>
        <v>0.5</v>
      </c>
      <c r="G414" s="19">
        <v>0.2</v>
      </c>
      <c r="H414" s="19">
        <v>0.2</v>
      </c>
      <c r="I414" s="19">
        <v>0.2</v>
      </c>
      <c r="J414"/>
      <c r="K414">
        <v>0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2:26" s="2" customFormat="1" x14ac:dyDescent="0.35">
      <c r="B415"/>
      <c r="C415"/>
      <c r="D415" s="18">
        <v>410</v>
      </c>
      <c r="E415" s="19">
        <v>0.5</v>
      </c>
      <c r="F415" s="19">
        <f t="shared" si="4"/>
        <v>0.5</v>
      </c>
      <c r="G415" s="19">
        <v>0.2</v>
      </c>
      <c r="H415" s="19">
        <v>0.2</v>
      </c>
      <c r="I415" s="19">
        <v>0.2</v>
      </c>
      <c r="J415"/>
      <c r="K415">
        <v>0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2:26" s="2" customFormat="1" x14ac:dyDescent="0.35">
      <c r="B416"/>
      <c r="C416"/>
      <c r="D416" s="18">
        <v>411</v>
      </c>
      <c r="E416" s="19">
        <v>0.5</v>
      </c>
      <c r="F416" s="19">
        <f t="shared" si="4"/>
        <v>0.5</v>
      </c>
      <c r="G416" s="19">
        <v>0.2</v>
      </c>
      <c r="H416" s="19">
        <v>0.2</v>
      </c>
      <c r="I416" s="19">
        <v>0.2</v>
      </c>
      <c r="J416"/>
      <c r="K416">
        <v>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2:26" s="2" customFormat="1" x14ac:dyDescent="0.35">
      <c r="B417"/>
      <c r="C417"/>
      <c r="D417" s="18">
        <v>412</v>
      </c>
      <c r="E417" s="19">
        <v>0.5</v>
      </c>
      <c r="F417" s="19">
        <f t="shared" si="4"/>
        <v>0.5</v>
      </c>
      <c r="G417" s="19">
        <v>0.2</v>
      </c>
      <c r="H417" s="19">
        <v>0.2</v>
      </c>
      <c r="I417" s="19">
        <v>0.2</v>
      </c>
      <c r="J417"/>
      <c r="K417">
        <v>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2:26" s="2" customFormat="1" x14ac:dyDescent="0.35">
      <c r="B418"/>
      <c r="C418"/>
      <c r="D418" s="18">
        <v>413</v>
      </c>
      <c r="E418" s="19">
        <v>0.5</v>
      </c>
      <c r="F418" s="19">
        <f t="shared" si="4"/>
        <v>0.5</v>
      </c>
      <c r="G418" s="19">
        <v>0.2</v>
      </c>
      <c r="H418" s="19">
        <v>0.2</v>
      </c>
      <c r="I418" s="19">
        <v>0.2</v>
      </c>
      <c r="J418"/>
      <c r="K418">
        <v>0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2:26" s="2" customFormat="1" x14ac:dyDescent="0.35">
      <c r="B419"/>
      <c r="C419"/>
      <c r="D419" s="18">
        <v>414</v>
      </c>
      <c r="E419" s="19">
        <v>0.5</v>
      </c>
      <c r="F419" s="19">
        <f t="shared" si="4"/>
        <v>0.5</v>
      </c>
      <c r="G419" s="19">
        <v>0.2</v>
      </c>
      <c r="H419" s="19">
        <v>0.2</v>
      </c>
      <c r="I419" s="19">
        <v>0.2</v>
      </c>
      <c r="J419"/>
      <c r="K419">
        <v>0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2:26" s="2" customFormat="1" x14ac:dyDescent="0.35">
      <c r="B420"/>
      <c r="C420"/>
      <c r="D420" s="18">
        <v>415</v>
      </c>
      <c r="E420" s="19">
        <v>0.5</v>
      </c>
      <c r="F420" s="19">
        <f t="shared" si="4"/>
        <v>0.5</v>
      </c>
      <c r="G420" s="19">
        <v>0.2</v>
      </c>
      <c r="H420" s="19">
        <v>0.2</v>
      </c>
      <c r="I420" s="19">
        <v>0.2</v>
      </c>
      <c r="J420"/>
      <c r="K420">
        <v>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2:26" s="2" customFormat="1" x14ac:dyDescent="0.35">
      <c r="B421"/>
      <c r="C421"/>
      <c r="D421" s="18">
        <v>416</v>
      </c>
      <c r="E421" s="19">
        <v>0.5</v>
      </c>
      <c r="F421" s="19">
        <f t="shared" si="4"/>
        <v>0.5</v>
      </c>
      <c r="G421" s="19">
        <v>0.2</v>
      </c>
      <c r="H421" s="19">
        <v>0.2</v>
      </c>
      <c r="I421" s="19">
        <v>0.2</v>
      </c>
      <c r="J421"/>
      <c r="K421">
        <v>0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2:26" s="2" customFormat="1" x14ac:dyDescent="0.35">
      <c r="B422"/>
      <c r="C422"/>
      <c r="D422" s="18">
        <v>417</v>
      </c>
      <c r="E422" s="19">
        <v>0.5</v>
      </c>
      <c r="F422" s="19">
        <f t="shared" si="4"/>
        <v>0.5</v>
      </c>
      <c r="G422" s="19">
        <v>0.2</v>
      </c>
      <c r="H422" s="19">
        <v>0.2</v>
      </c>
      <c r="I422" s="19">
        <v>0.2</v>
      </c>
      <c r="J422"/>
      <c r="K422">
        <v>0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2:26" s="2" customFormat="1" x14ac:dyDescent="0.35">
      <c r="B423"/>
      <c r="C423"/>
      <c r="D423" s="18">
        <v>418</v>
      </c>
      <c r="E423" s="19">
        <v>0.5</v>
      </c>
      <c r="F423" s="19">
        <f t="shared" si="4"/>
        <v>0.5</v>
      </c>
      <c r="G423" s="19">
        <v>0.2</v>
      </c>
      <c r="H423" s="19">
        <v>0.2</v>
      </c>
      <c r="I423" s="19">
        <v>0.2</v>
      </c>
      <c r="J423"/>
      <c r="K423">
        <v>0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2:26" s="2" customFormat="1" x14ac:dyDescent="0.35">
      <c r="B424"/>
      <c r="C424"/>
      <c r="D424" s="18">
        <v>419</v>
      </c>
      <c r="E424" s="19">
        <v>0.5</v>
      </c>
      <c r="F424" s="19">
        <f t="shared" si="4"/>
        <v>0.5</v>
      </c>
      <c r="G424" s="19">
        <v>0.2</v>
      </c>
      <c r="H424" s="19">
        <v>0.2</v>
      </c>
      <c r="I424" s="19">
        <v>0.2</v>
      </c>
      <c r="J424"/>
      <c r="K424">
        <v>0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2:26" s="2" customFormat="1" x14ac:dyDescent="0.35">
      <c r="B425"/>
      <c r="C425"/>
      <c r="D425" s="18">
        <v>420</v>
      </c>
      <c r="E425" s="19">
        <v>0.5</v>
      </c>
      <c r="F425" s="19">
        <f t="shared" si="4"/>
        <v>0.5</v>
      </c>
      <c r="G425" s="19">
        <v>0.2</v>
      </c>
      <c r="H425" s="19">
        <v>0.2</v>
      </c>
      <c r="I425" s="19">
        <v>0.2</v>
      </c>
      <c r="J425"/>
      <c r="K425">
        <v>0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2:26" s="2" customFormat="1" x14ac:dyDescent="0.35">
      <c r="B426"/>
      <c r="C426"/>
      <c r="D426" s="18">
        <v>421</v>
      </c>
      <c r="E426" s="19">
        <v>0.5</v>
      </c>
      <c r="F426" s="19">
        <f t="shared" si="4"/>
        <v>0.5</v>
      </c>
      <c r="G426" s="19">
        <v>0.2</v>
      </c>
      <c r="H426" s="19">
        <v>0.2</v>
      </c>
      <c r="I426" s="19">
        <v>0.2</v>
      </c>
      <c r="J426"/>
      <c r="K426">
        <v>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2:26" s="2" customFormat="1" x14ac:dyDescent="0.35">
      <c r="B427"/>
      <c r="C427"/>
      <c r="D427" s="18">
        <v>422</v>
      </c>
      <c r="E427" s="19">
        <v>0.5</v>
      </c>
      <c r="F427" s="19">
        <f t="shared" ref="F427:F490" si="5">E427</f>
        <v>0.5</v>
      </c>
      <c r="G427" s="19">
        <v>0.2</v>
      </c>
      <c r="H427" s="19">
        <v>0.2</v>
      </c>
      <c r="I427" s="19">
        <v>0.2</v>
      </c>
      <c r="J427"/>
      <c r="K427">
        <v>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2:26" s="2" customFormat="1" x14ac:dyDescent="0.35">
      <c r="B428"/>
      <c r="C428"/>
      <c r="D428" s="18">
        <v>423</v>
      </c>
      <c r="E428" s="19">
        <v>0.5</v>
      </c>
      <c r="F428" s="19">
        <f t="shared" si="5"/>
        <v>0.5</v>
      </c>
      <c r="G428" s="19">
        <v>0.2</v>
      </c>
      <c r="H428" s="19">
        <v>0.2</v>
      </c>
      <c r="I428" s="19">
        <v>0.2</v>
      </c>
      <c r="J428"/>
      <c r="K428">
        <v>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2:26" s="2" customFormat="1" x14ac:dyDescent="0.35">
      <c r="B429"/>
      <c r="C429"/>
      <c r="D429" s="18">
        <v>424</v>
      </c>
      <c r="E429" s="19">
        <v>0.5</v>
      </c>
      <c r="F429" s="19">
        <f t="shared" si="5"/>
        <v>0.5</v>
      </c>
      <c r="G429" s="19">
        <v>0.2</v>
      </c>
      <c r="H429" s="19">
        <v>0.2</v>
      </c>
      <c r="I429" s="19">
        <v>0.2</v>
      </c>
      <c r="J429"/>
      <c r="K429">
        <v>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2:26" s="2" customFormat="1" x14ac:dyDescent="0.35">
      <c r="B430"/>
      <c r="C430"/>
      <c r="D430" s="18">
        <v>425</v>
      </c>
      <c r="E430" s="19">
        <v>0.5</v>
      </c>
      <c r="F430" s="19">
        <f t="shared" si="5"/>
        <v>0.5</v>
      </c>
      <c r="G430" s="19">
        <v>0.2</v>
      </c>
      <c r="H430" s="19">
        <v>0.2</v>
      </c>
      <c r="I430" s="19">
        <v>0.2</v>
      </c>
      <c r="J430"/>
      <c r="K430">
        <v>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2:26" s="2" customFormat="1" x14ac:dyDescent="0.35">
      <c r="B431"/>
      <c r="C431"/>
      <c r="D431" s="18">
        <v>426</v>
      </c>
      <c r="E431" s="19">
        <v>0.5</v>
      </c>
      <c r="F431" s="19">
        <f t="shared" si="5"/>
        <v>0.5</v>
      </c>
      <c r="G431" s="19">
        <v>0.2</v>
      </c>
      <c r="H431" s="19">
        <v>0.2</v>
      </c>
      <c r="I431" s="19">
        <v>0.2</v>
      </c>
      <c r="J431"/>
      <c r="K431">
        <v>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2:26" s="2" customFormat="1" x14ac:dyDescent="0.35">
      <c r="B432"/>
      <c r="C432"/>
      <c r="D432" s="18">
        <v>427</v>
      </c>
      <c r="E432" s="19">
        <v>0.5</v>
      </c>
      <c r="F432" s="19">
        <f t="shared" si="5"/>
        <v>0.5</v>
      </c>
      <c r="G432" s="19">
        <v>0.2</v>
      </c>
      <c r="H432" s="19">
        <v>0.2</v>
      </c>
      <c r="I432" s="19">
        <v>0.2</v>
      </c>
      <c r="J432"/>
      <c r="K432">
        <v>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2:26" s="2" customFormat="1" x14ac:dyDescent="0.35">
      <c r="B433"/>
      <c r="C433"/>
      <c r="D433" s="18">
        <v>428</v>
      </c>
      <c r="E433" s="19">
        <v>0.5</v>
      </c>
      <c r="F433" s="19">
        <f t="shared" si="5"/>
        <v>0.5</v>
      </c>
      <c r="G433" s="19">
        <v>0.2</v>
      </c>
      <c r="H433" s="19">
        <v>0.2</v>
      </c>
      <c r="I433" s="19">
        <v>0.2</v>
      </c>
      <c r="J433"/>
      <c r="K433">
        <v>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2:26" s="2" customFormat="1" x14ac:dyDescent="0.35">
      <c r="B434"/>
      <c r="C434"/>
      <c r="D434" s="18">
        <v>429</v>
      </c>
      <c r="E434" s="19">
        <v>0.5</v>
      </c>
      <c r="F434" s="19">
        <f t="shared" si="5"/>
        <v>0.5</v>
      </c>
      <c r="G434" s="19">
        <v>0.2</v>
      </c>
      <c r="H434" s="19">
        <v>0.2</v>
      </c>
      <c r="I434" s="19">
        <v>0.2</v>
      </c>
      <c r="J434"/>
      <c r="K434">
        <v>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2:26" s="2" customFormat="1" x14ac:dyDescent="0.35">
      <c r="B435"/>
      <c r="C435"/>
      <c r="D435" s="18">
        <v>430</v>
      </c>
      <c r="E435" s="19">
        <v>0.5</v>
      </c>
      <c r="F435" s="19">
        <f t="shared" si="5"/>
        <v>0.5</v>
      </c>
      <c r="G435" s="19">
        <v>0.2</v>
      </c>
      <c r="H435" s="19">
        <v>0.2</v>
      </c>
      <c r="I435" s="19">
        <v>0.2</v>
      </c>
      <c r="J435"/>
      <c r="K435">
        <v>0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2:26" s="2" customFormat="1" x14ac:dyDescent="0.35">
      <c r="B436"/>
      <c r="C436"/>
      <c r="D436" s="18">
        <v>431</v>
      </c>
      <c r="E436" s="19">
        <v>0.5</v>
      </c>
      <c r="F436" s="19">
        <f t="shared" si="5"/>
        <v>0.5</v>
      </c>
      <c r="G436" s="19">
        <v>0.2</v>
      </c>
      <c r="H436" s="19">
        <v>0.2</v>
      </c>
      <c r="I436" s="19">
        <v>0.2</v>
      </c>
      <c r="J436"/>
      <c r="K436">
        <v>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2:26" s="2" customFormat="1" x14ac:dyDescent="0.35">
      <c r="B437"/>
      <c r="C437"/>
      <c r="D437" s="18">
        <v>432</v>
      </c>
      <c r="E437" s="19">
        <v>0.5</v>
      </c>
      <c r="F437" s="19">
        <f t="shared" si="5"/>
        <v>0.5</v>
      </c>
      <c r="G437" s="19">
        <v>0.2</v>
      </c>
      <c r="H437" s="19">
        <v>0.2</v>
      </c>
      <c r="I437" s="19">
        <v>0.2</v>
      </c>
      <c r="J437"/>
      <c r="K437">
        <v>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2:26" s="2" customFormat="1" x14ac:dyDescent="0.35">
      <c r="B438"/>
      <c r="C438"/>
      <c r="D438" s="18">
        <v>433</v>
      </c>
      <c r="E438" s="19">
        <v>0.5</v>
      </c>
      <c r="F438" s="19">
        <f t="shared" si="5"/>
        <v>0.5</v>
      </c>
      <c r="G438" s="19">
        <v>0.2</v>
      </c>
      <c r="H438" s="19">
        <v>0.2</v>
      </c>
      <c r="I438" s="19">
        <v>0.2</v>
      </c>
      <c r="J438"/>
      <c r="K438">
        <v>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2:26" s="2" customFormat="1" x14ac:dyDescent="0.35">
      <c r="B439"/>
      <c r="C439"/>
      <c r="D439" s="18">
        <v>434</v>
      </c>
      <c r="E439" s="19">
        <v>0.5</v>
      </c>
      <c r="F439" s="19">
        <f t="shared" si="5"/>
        <v>0.5</v>
      </c>
      <c r="G439" s="19">
        <v>0.2</v>
      </c>
      <c r="H439" s="19">
        <v>0.2</v>
      </c>
      <c r="I439" s="19">
        <v>0.2</v>
      </c>
      <c r="J439"/>
      <c r="K439">
        <v>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2:26" s="2" customFormat="1" x14ac:dyDescent="0.35">
      <c r="B440"/>
      <c r="C440"/>
      <c r="D440" s="18">
        <v>435</v>
      </c>
      <c r="E440" s="19">
        <v>0.5</v>
      </c>
      <c r="F440" s="19">
        <f t="shared" si="5"/>
        <v>0.5</v>
      </c>
      <c r="G440" s="19">
        <v>0.2</v>
      </c>
      <c r="H440" s="19">
        <v>0.2</v>
      </c>
      <c r="I440" s="19">
        <v>0.2</v>
      </c>
      <c r="J440"/>
      <c r="K440">
        <v>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2:26" s="2" customFormat="1" x14ac:dyDescent="0.35">
      <c r="B441"/>
      <c r="C441"/>
      <c r="D441" s="18">
        <v>436</v>
      </c>
      <c r="E441" s="19">
        <v>0.5</v>
      </c>
      <c r="F441" s="19">
        <f t="shared" si="5"/>
        <v>0.5</v>
      </c>
      <c r="G441" s="19">
        <v>0.2</v>
      </c>
      <c r="H441" s="19">
        <v>0.2</v>
      </c>
      <c r="I441" s="19">
        <v>0.2</v>
      </c>
      <c r="J441"/>
      <c r="K441">
        <v>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2:26" s="2" customFormat="1" x14ac:dyDescent="0.35">
      <c r="B442"/>
      <c r="C442"/>
      <c r="D442" s="18">
        <v>437</v>
      </c>
      <c r="E442" s="19">
        <v>0.5</v>
      </c>
      <c r="F442" s="19">
        <f t="shared" si="5"/>
        <v>0.5</v>
      </c>
      <c r="G442" s="19">
        <v>0.2</v>
      </c>
      <c r="H442" s="19">
        <v>0.2</v>
      </c>
      <c r="I442" s="19">
        <v>0.2</v>
      </c>
      <c r="J442"/>
      <c r="K442">
        <v>0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2:26" s="2" customFormat="1" x14ac:dyDescent="0.35">
      <c r="B443"/>
      <c r="C443"/>
      <c r="D443" s="18">
        <v>438</v>
      </c>
      <c r="E443" s="19">
        <v>0.5</v>
      </c>
      <c r="F443" s="19">
        <f t="shared" si="5"/>
        <v>0.5</v>
      </c>
      <c r="G443" s="19">
        <v>0.2</v>
      </c>
      <c r="H443" s="19">
        <v>0.2</v>
      </c>
      <c r="I443" s="19">
        <v>0.2</v>
      </c>
      <c r="J443"/>
      <c r="K443">
        <v>0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2:26" s="2" customFormat="1" x14ac:dyDescent="0.35">
      <c r="B444"/>
      <c r="C444"/>
      <c r="D444" s="18">
        <v>439</v>
      </c>
      <c r="E444" s="19">
        <v>0.5</v>
      </c>
      <c r="F444" s="19">
        <f t="shared" si="5"/>
        <v>0.5</v>
      </c>
      <c r="G444" s="19">
        <v>0.2</v>
      </c>
      <c r="H444" s="19">
        <v>0.2</v>
      </c>
      <c r="I444" s="19">
        <v>0.2</v>
      </c>
      <c r="J444"/>
      <c r="K444">
        <v>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2:26" s="2" customFormat="1" x14ac:dyDescent="0.35">
      <c r="B445"/>
      <c r="C445"/>
      <c r="D445" s="18">
        <v>440</v>
      </c>
      <c r="E445" s="19">
        <v>0.5</v>
      </c>
      <c r="F445" s="19">
        <f t="shared" si="5"/>
        <v>0.5</v>
      </c>
      <c r="G445" s="19">
        <v>0.2</v>
      </c>
      <c r="H445" s="19">
        <v>0.2</v>
      </c>
      <c r="I445" s="19">
        <v>0.2</v>
      </c>
      <c r="J445"/>
      <c r="K445">
        <v>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2:26" s="2" customFormat="1" x14ac:dyDescent="0.35">
      <c r="B446"/>
      <c r="C446"/>
      <c r="D446" s="18">
        <v>441</v>
      </c>
      <c r="E446" s="19">
        <v>0.5</v>
      </c>
      <c r="F446" s="19">
        <f t="shared" si="5"/>
        <v>0.5</v>
      </c>
      <c r="G446" s="19">
        <v>0.2</v>
      </c>
      <c r="H446" s="19">
        <v>0.2</v>
      </c>
      <c r="I446" s="19">
        <v>0.2</v>
      </c>
      <c r="J446"/>
      <c r="K446">
        <v>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2:26" s="2" customFormat="1" x14ac:dyDescent="0.35">
      <c r="B447"/>
      <c r="C447"/>
      <c r="D447" s="18">
        <v>442</v>
      </c>
      <c r="E447" s="19">
        <v>0.5</v>
      </c>
      <c r="F447" s="19">
        <f t="shared" si="5"/>
        <v>0.5</v>
      </c>
      <c r="G447" s="19">
        <v>0.2</v>
      </c>
      <c r="H447" s="19">
        <v>0.2</v>
      </c>
      <c r="I447" s="19">
        <v>0.2</v>
      </c>
      <c r="J447"/>
      <c r="K447">
        <v>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2:26" s="2" customFormat="1" x14ac:dyDescent="0.35">
      <c r="B448"/>
      <c r="C448"/>
      <c r="D448" s="18">
        <v>443</v>
      </c>
      <c r="E448" s="19">
        <v>0.5</v>
      </c>
      <c r="F448" s="19">
        <f t="shared" si="5"/>
        <v>0.5</v>
      </c>
      <c r="G448" s="19">
        <v>0.2</v>
      </c>
      <c r="H448" s="19">
        <v>0.2</v>
      </c>
      <c r="I448" s="19">
        <v>0.2</v>
      </c>
      <c r="J448"/>
      <c r="K448">
        <v>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2:26" s="2" customFormat="1" x14ac:dyDescent="0.35">
      <c r="B449"/>
      <c r="C449"/>
      <c r="D449" s="18">
        <v>444</v>
      </c>
      <c r="E449" s="19">
        <v>0.5</v>
      </c>
      <c r="F449" s="19">
        <f t="shared" si="5"/>
        <v>0.5</v>
      </c>
      <c r="G449" s="19">
        <v>0.2</v>
      </c>
      <c r="H449" s="19">
        <v>0.2</v>
      </c>
      <c r="I449" s="19">
        <v>0.2</v>
      </c>
      <c r="J449"/>
      <c r="K449">
        <v>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2:26" s="2" customFormat="1" x14ac:dyDescent="0.35">
      <c r="B450"/>
      <c r="C450"/>
      <c r="D450" s="18">
        <v>445</v>
      </c>
      <c r="E450" s="19">
        <v>0.5</v>
      </c>
      <c r="F450" s="19">
        <f t="shared" si="5"/>
        <v>0.5</v>
      </c>
      <c r="G450" s="19">
        <v>0.2</v>
      </c>
      <c r="H450" s="19">
        <v>0.2</v>
      </c>
      <c r="I450" s="19">
        <v>0.2</v>
      </c>
      <c r="J450"/>
      <c r="K450">
        <v>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2:26" s="2" customFormat="1" x14ac:dyDescent="0.35">
      <c r="B451"/>
      <c r="C451"/>
      <c r="D451" s="18">
        <v>446</v>
      </c>
      <c r="E451" s="19">
        <v>0.5</v>
      </c>
      <c r="F451" s="19">
        <f t="shared" si="5"/>
        <v>0.5</v>
      </c>
      <c r="G451" s="19">
        <v>0.2</v>
      </c>
      <c r="H451" s="19">
        <v>0.2</v>
      </c>
      <c r="I451" s="19">
        <v>0.2</v>
      </c>
      <c r="J451"/>
      <c r="K451">
        <v>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2:26" s="2" customFormat="1" x14ac:dyDescent="0.35">
      <c r="B452"/>
      <c r="C452"/>
      <c r="D452" s="18">
        <v>447</v>
      </c>
      <c r="E452" s="19">
        <v>0.5</v>
      </c>
      <c r="F452" s="19">
        <f t="shared" si="5"/>
        <v>0.5</v>
      </c>
      <c r="G452" s="19">
        <v>0.2</v>
      </c>
      <c r="H452" s="19">
        <v>0.2</v>
      </c>
      <c r="I452" s="19">
        <v>0.2</v>
      </c>
      <c r="J452"/>
      <c r="K452">
        <v>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2:26" s="2" customFormat="1" x14ac:dyDescent="0.35">
      <c r="B453"/>
      <c r="C453"/>
      <c r="D453" s="18">
        <v>448</v>
      </c>
      <c r="E453" s="19">
        <v>0.5</v>
      </c>
      <c r="F453" s="19">
        <f t="shared" si="5"/>
        <v>0.5</v>
      </c>
      <c r="G453" s="19">
        <v>0.2</v>
      </c>
      <c r="H453" s="19">
        <v>0.2</v>
      </c>
      <c r="I453" s="19">
        <v>0.2</v>
      </c>
      <c r="J453"/>
      <c r="K453">
        <v>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2:26" s="2" customFormat="1" x14ac:dyDescent="0.35">
      <c r="B454"/>
      <c r="C454"/>
      <c r="D454" s="18">
        <v>449</v>
      </c>
      <c r="E454" s="19">
        <v>0.5</v>
      </c>
      <c r="F454" s="19">
        <f t="shared" si="5"/>
        <v>0.5</v>
      </c>
      <c r="G454" s="19">
        <v>0.2</v>
      </c>
      <c r="H454" s="19">
        <v>0.2</v>
      </c>
      <c r="I454" s="19">
        <v>0.2</v>
      </c>
      <c r="J454"/>
      <c r="K454">
        <v>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2:26" s="2" customFormat="1" x14ac:dyDescent="0.35">
      <c r="B455"/>
      <c r="C455"/>
      <c r="D455" s="18">
        <v>450</v>
      </c>
      <c r="E455" s="19">
        <v>0.5</v>
      </c>
      <c r="F455" s="19">
        <f t="shared" si="5"/>
        <v>0.5</v>
      </c>
      <c r="G455" s="19">
        <v>0.2</v>
      </c>
      <c r="H455" s="19">
        <v>0.2</v>
      </c>
      <c r="I455" s="19">
        <v>0.2</v>
      </c>
      <c r="J455"/>
      <c r="K455">
        <v>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2:26" s="2" customFormat="1" x14ac:dyDescent="0.35">
      <c r="B456"/>
      <c r="C456"/>
      <c r="D456" s="18">
        <v>451</v>
      </c>
      <c r="E456" s="19">
        <v>0.5</v>
      </c>
      <c r="F456" s="19">
        <f t="shared" si="5"/>
        <v>0.5</v>
      </c>
      <c r="G456" s="19">
        <v>0.2</v>
      </c>
      <c r="H456" s="19">
        <v>0.2</v>
      </c>
      <c r="I456" s="19">
        <v>0.2</v>
      </c>
      <c r="J456"/>
      <c r="K456">
        <v>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2:26" s="2" customFormat="1" x14ac:dyDescent="0.35">
      <c r="B457"/>
      <c r="C457"/>
      <c r="D457" s="18">
        <v>452</v>
      </c>
      <c r="E457" s="19">
        <v>0.5</v>
      </c>
      <c r="F457" s="19">
        <f t="shared" si="5"/>
        <v>0.5</v>
      </c>
      <c r="G457" s="19">
        <v>0.2</v>
      </c>
      <c r="H457" s="19">
        <v>0.2</v>
      </c>
      <c r="I457" s="19">
        <v>0.2</v>
      </c>
      <c r="J457"/>
      <c r="K457">
        <v>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2:26" s="2" customFormat="1" x14ac:dyDescent="0.35">
      <c r="B458"/>
      <c r="C458"/>
      <c r="D458" s="18">
        <v>453</v>
      </c>
      <c r="E458" s="19">
        <v>0.5</v>
      </c>
      <c r="F458" s="19">
        <f t="shared" si="5"/>
        <v>0.5</v>
      </c>
      <c r="G458" s="19">
        <v>0.2</v>
      </c>
      <c r="H458" s="19">
        <v>0.2</v>
      </c>
      <c r="I458" s="19">
        <v>0.2</v>
      </c>
      <c r="J458"/>
      <c r="K458">
        <v>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2:26" s="2" customFormat="1" x14ac:dyDescent="0.35">
      <c r="B459"/>
      <c r="C459"/>
      <c r="D459" s="18">
        <v>454</v>
      </c>
      <c r="E459" s="19">
        <v>0.5</v>
      </c>
      <c r="F459" s="19">
        <f t="shared" si="5"/>
        <v>0.5</v>
      </c>
      <c r="G459" s="19">
        <v>0.2</v>
      </c>
      <c r="H459" s="19">
        <v>0.2</v>
      </c>
      <c r="I459" s="19">
        <v>0.2</v>
      </c>
      <c r="J459"/>
      <c r="K459">
        <v>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2:26" s="2" customFormat="1" x14ac:dyDescent="0.35">
      <c r="B460"/>
      <c r="C460"/>
      <c r="D460" s="18">
        <v>455</v>
      </c>
      <c r="E460" s="19">
        <v>0.5</v>
      </c>
      <c r="F460" s="19">
        <f t="shared" si="5"/>
        <v>0.5</v>
      </c>
      <c r="G460" s="19">
        <v>0.2</v>
      </c>
      <c r="H460" s="19">
        <v>0.2</v>
      </c>
      <c r="I460" s="19">
        <v>0.2</v>
      </c>
      <c r="J460"/>
      <c r="K460">
        <v>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2:26" s="2" customFormat="1" x14ac:dyDescent="0.35">
      <c r="B461"/>
      <c r="C461"/>
      <c r="D461" s="18">
        <v>456</v>
      </c>
      <c r="E461" s="19">
        <v>0.5</v>
      </c>
      <c r="F461" s="19">
        <f t="shared" si="5"/>
        <v>0.5</v>
      </c>
      <c r="G461" s="19">
        <v>0.2</v>
      </c>
      <c r="H461" s="19">
        <v>0.2</v>
      </c>
      <c r="I461" s="19">
        <v>0.2</v>
      </c>
      <c r="J461"/>
      <c r="K461">
        <v>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2:26" s="2" customFormat="1" x14ac:dyDescent="0.35">
      <c r="B462"/>
      <c r="C462"/>
      <c r="D462" s="18">
        <v>457</v>
      </c>
      <c r="E462" s="19">
        <v>0.5</v>
      </c>
      <c r="F462" s="19">
        <f t="shared" si="5"/>
        <v>0.5</v>
      </c>
      <c r="G462" s="19">
        <v>0.2</v>
      </c>
      <c r="H462" s="19">
        <v>0.2</v>
      </c>
      <c r="I462" s="19">
        <v>0.2</v>
      </c>
      <c r="J462"/>
      <c r="K462">
        <v>0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2:26" s="2" customFormat="1" x14ac:dyDescent="0.35">
      <c r="B463"/>
      <c r="C463"/>
      <c r="D463" s="18">
        <v>458</v>
      </c>
      <c r="E463" s="19">
        <v>0.5</v>
      </c>
      <c r="F463" s="19">
        <f t="shared" si="5"/>
        <v>0.5</v>
      </c>
      <c r="G463" s="19">
        <v>0.2</v>
      </c>
      <c r="H463" s="19">
        <v>0.2</v>
      </c>
      <c r="I463" s="19">
        <v>0.2</v>
      </c>
      <c r="J463"/>
      <c r="K463">
        <v>0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2:26" s="2" customFormat="1" x14ac:dyDescent="0.35">
      <c r="B464"/>
      <c r="C464"/>
      <c r="D464" s="18">
        <v>459</v>
      </c>
      <c r="E464" s="19">
        <v>0.5</v>
      </c>
      <c r="F464" s="19">
        <f t="shared" si="5"/>
        <v>0.5</v>
      </c>
      <c r="G464" s="19">
        <v>0.2</v>
      </c>
      <c r="H464" s="19">
        <v>0.2</v>
      </c>
      <c r="I464" s="19">
        <v>0.2</v>
      </c>
      <c r="J464"/>
      <c r="K464">
        <v>0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2:26" s="2" customFormat="1" x14ac:dyDescent="0.35">
      <c r="B465"/>
      <c r="C465"/>
      <c r="D465" s="18">
        <v>460</v>
      </c>
      <c r="E465" s="19">
        <v>0.5</v>
      </c>
      <c r="F465" s="19">
        <f t="shared" si="5"/>
        <v>0.5</v>
      </c>
      <c r="G465" s="19">
        <v>0.2</v>
      </c>
      <c r="H465" s="19">
        <v>0.2</v>
      </c>
      <c r="I465" s="19">
        <v>0.2</v>
      </c>
      <c r="J465"/>
      <c r="K465">
        <v>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2:26" s="2" customFormat="1" x14ac:dyDescent="0.35">
      <c r="B466"/>
      <c r="C466"/>
      <c r="D466" s="18">
        <v>461</v>
      </c>
      <c r="E466" s="19">
        <v>0.5</v>
      </c>
      <c r="F466" s="19">
        <f t="shared" si="5"/>
        <v>0.5</v>
      </c>
      <c r="G466" s="19">
        <v>0.2</v>
      </c>
      <c r="H466" s="19">
        <v>0.2</v>
      </c>
      <c r="I466" s="19">
        <v>0.2</v>
      </c>
      <c r="J466"/>
      <c r="K466">
        <v>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2:26" s="2" customFormat="1" x14ac:dyDescent="0.35">
      <c r="B467"/>
      <c r="C467"/>
      <c r="D467" s="18">
        <v>462</v>
      </c>
      <c r="E467" s="19">
        <v>0.5</v>
      </c>
      <c r="F467" s="19">
        <f t="shared" si="5"/>
        <v>0.5</v>
      </c>
      <c r="G467" s="19">
        <v>0.2</v>
      </c>
      <c r="H467" s="19">
        <v>0.2</v>
      </c>
      <c r="I467" s="19">
        <v>0.2</v>
      </c>
      <c r="J467"/>
      <c r="K467">
        <v>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2:26" s="2" customFormat="1" x14ac:dyDescent="0.35">
      <c r="B468"/>
      <c r="C468"/>
      <c r="D468" s="18">
        <v>463</v>
      </c>
      <c r="E468" s="19">
        <v>0.5</v>
      </c>
      <c r="F468" s="19">
        <f t="shared" si="5"/>
        <v>0.5</v>
      </c>
      <c r="G468" s="19">
        <v>0.2</v>
      </c>
      <c r="H468" s="19">
        <v>0.2</v>
      </c>
      <c r="I468" s="19">
        <v>0.2</v>
      </c>
      <c r="J468"/>
      <c r="K468">
        <v>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2:26" s="2" customFormat="1" x14ac:dyDescent="0.35">
      <c r="B469"/>
      <c r="C469"/>
      <c r="D469" s="18">
        <v>464</v>
      </c>
      <c r="E469" s="19">
        <v>0.5</v>
      </c>
      <c r="F469" s="19">
        <f t="shared" si="5"/>
        <v>0.5</v>
      </c>
      <c r="G469" s="19">
        <v>0.2</v>
      </c>
      <c r="H469" s="19">
        <v>0.2</v>
      </c>
      <c r="I469" s="19">
        <v>0.2</v>
      </c>
      <c r="J469"/>
      <c r="K469">
        <v>0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2:26" s="2" customFormat="1" x14ac:dyDescent="0.35">
      <c r="B470"/>
      <c r="C470"/>
      <c r="D470" s="18">
        <v>465</v>
      </c>
      <c r="E470" s="19">
        <v>0.5</v>
      </c>
      <c r="F470" s="19">
        <f t="shared" si="5"/>
        <v>0.5</v>
      </c>
      <c r="G470" s="19">
        <v>0.2</v>
      </c>
      <c r="H470" s="19">
        <v>0.2</v>
      </c>
      <c r="I470" s="19">
        <v>0.2</v>
      </c>
      <c r="J470"/>
      <c r="K470">
        <v>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2:26" s="2" customFormat="1" x14ac:dyDescent="0.35">
      <c r="B471"/>
      <c r="C471"/>
      <c r="D471" s="18">
        <v>466</v>
      </c>
      <c r="E471" s="19">
        <v>0.5</v>
      </c>
      <c r="F471" s="19">
        <f t="shared" si="5"/>
        <v>0.5</v>
      </c>
      <c r="G471" s="19">
        <v>0.2</v>
      </c>
      <c r="H471" s="19">
        <v>0.2</v>
      </c>
      <c r="I471" s="19">
        <v>0.2</v>
      </c>
      <c r="J471"/>
      <c r="K471">
        <v>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2:26" s="2" customFormat="1" x14ac:dyDescent="0.35">
      <c r="B472"/>
      <c r="C472"/>
      <c r="D472" s="18">
        <v>467</v>
      </c>
      <c r="E472" s="19">
        <v>0.5</v>
      </c>
      <c r="F472" s="19">
        <f t="shared" si="5"/>
        <v>0.5</v>
      </c>
      <c r="G472" s="19">
        <v>0.2</v>
      </c>
      <c r="H472" s="19">
        <v>0.2</v>
      </c>
      <c r="I472" s="19">
        <v>0.2</v>
      </c>
      <c r="J472"/>
      <c r="K472">
        <v>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2:26" s="2" customFormat="1" x14ac:dyDescent="0.35">
      <c r="B473"/>
      <c r="C473"/>
      <c r="D473" s="18">
        <v>468</v>
      </c>
      <c r="E473" s="19">
        <v>0.5</v>
      </c>
      <c r="F473" s="19">
        <f t="shared" si="5"/>
        <v>0.5</v>
      </c>
      <c r="G473" s="19">
        <v>0.2</v>
      </c>
      <c r="H473" s="19">
        <v>0.2</v>
      </c>
      <c r="I473" s="19">
        <v>0.2</v>
      </c>
      <c r="J473"/>
      <c r="K473">
        <v>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2:26" s="2" customFormat="1" x14ac:dyDescent="0.35">
      <c r="B474"/>
      <c r="C474"/>
      <c r="D474" s="18">
        <v>469</v>
      </c>
      <c r="E474" s="19">
        <v>0.5</v>
      </c>
      <c r="F474" s="19">
        <f t="shared" si="5"/>
        <v>0.5</v>
      </c>
      <c r="G474" s="19">
        <v>0.2</v>
      </c>
      <c r="H474" s="19">
        <v>0.2</v>
      </c>
      <c r="I474" s="19">
        <v>0.2</v>
      </c>
      <c r="J474"/>
      <c r="K474">
        <v>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2:26" s="2" customFormat="1" x14ac:dyDescent="0.35">
      <c r="B475"/>
      <c r="C475"/>
      <c r="D475" s="18">
        <v>470</v>
      </c>
      <c r="E475" s="19">
        <v>0.5</v>
      </c>
      <c r="F475" s="19">
        <f t="shared" si="5"/>
        <v>0.5</v>
      </c>
      <c r="G475" s="19">
        <v>0.2</v>
      </c>
      <c r="H475" s="19">
        <v>0.2</v>
      </c>
      <c r="I475" s="19">
        <v>0.2</v>
      </c>
      <c r="J475"/>
      <c r="K475">
        <v>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2:26" s="2" customFormat="1" x14ac:dyDescent="0.35">
      <c r="B476"/>
      <c r="C476"/>
      <c r="D476" s="18">
        <v>471</v>
      </c>
      <c r="E476" s="19">
        <v>0.5</v>
      </c>
      <c r="F476" s="19">
        <f t="shared" si="5"/>
        <v>0.5</v>
      </c>
      <c r="G476" s="19">
        <v>0.2</v>
      </c>
      <c r="H476" s="19">
        <v>0.2</v>
      </c>
      <c r="I476" s="19">
        <v>0.2</v>
      </c>
      <c r="J476"/>
      <c r="K476">
        <v>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2:26" s="2" customFormat="1" x14ac:dyDescent="0.35">
      <c r="B477"/>
      <c r="C477"/>
      <c r="D477" s="18">
        <v>472</v>
      </c>
      <c r="E477" s="19">
        <v>0.5</v>
      </c>
      <c r="F477" s="19">
        <f t="shared" si="5"/>
        <v>0.5</v>
      </c>
      <c r="G477" s="19">
        <v>0.2</v>
      </c>
      <c r="H477" s="19">
        <v>0.2</v>
      </c>
      <c r="I477" s="19">
        <v>0.2</v>
      </c>
      <c r="J477"/>
      <c r="K477">
        <v>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2:26" s="2" customFormat="1" x14ac:dyDescent="0.35">
      <c r="B478"/>
      <c r="C478"/>
      <c r="D478" s="18">
        <v>473</v>
      </c>
      <c r="E478" s="19">
        <v>0.5</v>
      </c>
      <c r="F478" s="19">
        <f t="shared" si="5"/>
        <v>0.5</v>
      </c>
      <c r="G478" s="19">
        <v>0.2</v>
      </c>
      <c r="H478" s="19">
        <v>0.2</v>
      </c>
      <c r="I478" s="19">
        <v>0.2</v>
      </c>
      <c r="J478"/>
      <c r="K478">
        <v>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2:26" s="2" customFormat="1" x14ac:dyDescent="0.35">
      <c r="B479"/>
      <c r="C479"/>
      <c r="D479" s="18">
        <v>474</v>
      </c>
      <c r="E479" s="19">
        <v>0.5</v>
      </c>
      <c r="F479" s="19">
        <f t="shared" si="5"/>
        <v>0.5</v>
      </c>
      <c r="G479" s="19">
        <v>0.2</v>
      </c>
      <c r="H479" s="19">
        <v>0.2</v>
      </c>
      <c r="I479" s="19">
        <v>0.2</v>
      </c>
      <c r="J479"/>
      <c r="K479">
        <v>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2:26" s="2" customFormat="1" x14ac:dyDescent="0.35">
      <c r="B480"/>
      <c r="C480"/>
      <c r="D480" s="18">
        <v>475</v>
      </c>
      <c r="E480" s="19">
        <v>0.5</v>
      </c>
      <c r="F480" s="19">
        <f t="shared" si="5"/>
        <v>0.5</v>
      </c>
      <c r="G480" s="19">
        <v>0.2</v>
      </c>
      <c r="H480" s="19">
        <v>0.2</v>
      </c>
      <c r="I480" s="19">
        <v>0.2</v>
      </c>
      <c r="J480"/>
      <c r="K480">
        <v>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2:26" s="2" customFormat="1" x14ac:dyDescent="0.35">
      <c r="B481"/>
      <c r="C481"/>
      <c r="D481" s="18">
        <v>476</v>
      </c>
      <c r="E481" s="19">
        <v>0.5</v>
      </c>
      <c r="F481" s="19">
        <f t="shared" si="5"/>
        <v>0.5</v>
      </c>
      <c r="G481" s="19">
        <v>0.2</v>
      </c>
      <c r="H481" s="19">
        <v>0.2</v>
      </c>
      <c r="I481" s="19">
        <v>0.2</v>
      </c>
      <c r="J481"/>
      <c r="K481">
        <v>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2:26" s="2" customFormat="1" x14ac:dyDescent="0.35">
      <c r="B482"/>
      <c r="C482"/>
      <c r="D482" s="18">
        <v>477</v>
      </c>
      <c r="E482" s="19">
        <v>0.5</v>
      </c>
      <c r="F482" s="19">
        <f t="shared" si="5"/>
        <v>0.5</v>
      </c>
      <c r="G482" s="19">
        <v>0.2</v>
      </c>
      <c r="H482" s="19">
        <v>0.2</v>
      </c>
      <c r="I482" s="19">
        <v>0.2</v>
      </c>
      <c r="J482"/>
      <c r="K482">
        <v>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2:26" s="2" customFormat="1" x14ac:dyDescent="0.35">
      <c r="B483"/>
      <c r="C483"/>
      <c r="D483" s="18">
        <v>478</v>
      </c>
      <c r="E483" s="19">
        <v>0.5</v>
      </c>
      <c r="F483" s="19">
        <f t="shared" si="5"/>
        <v>0.5</v>
      </c>
      <c r="G483" s="19">
        <v>0.2</v>
      </c>
      <c r="H483" s="19">
        <v>0.2</v>
      </c>
      <c r="I483" s="19">
        <v>0.2</v>
      </c>
      <c r="J483"/>
      <c r="K483">
        <v>0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2:26" s="2" customFormat="1" x14ac:dyDescent="0.35">
      <c r="B484"/>
      <c r="C484"/>
      <c r="D484" s="18">
        <v>479</v>
      </c>
      <c r="E484" s="19">
        <v>0.5</v>
      </c>
      <c r="F484" s="19">
        <f t="shared" si="5"/>
        <v>0.5</v>
      </c>
      <c r="G484" s="19">
        <v>0.2</v>
      </c>
      <c r="H484" s="19">
        <v>0.2</v>
      </c>
      <c r="I484" s="19">
        <v>0.2</v>
      </c>
      <c r="J484"/>
      <c r="K484">
        <v>0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2:26" s="2" customFormat="1" x14ac:dyDescent="0.35">
      <c r="B485"/>
      <c r="C485"/>
      <c r="D485" s="18">
        <v>480</v>
      </c>
      <c r="E485" s="19">
        <v>0.5</v>
      </c>
      <c r="F485" s="19">
        <f t="shared" si="5"/>
        <v>0.5</v>
      </c>
      <c r="G485" s="19">
        <v>0.2</v>
      </c>
      <c r="H485" s="19">
        <v>0.2</v>
      </c>
      <c r="I485" s="19">
        <v>0.2</v>
      </c>
      <c r="J485"/>
      <c r="K485">
        <v>0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2:26" s="2" customFormat="1" x14ac:dyDescent="0.35">
      <c r="B486"/>
      <c r="C486"/>
      <c r="D486" s="18">
        <v>481</v>
      </c>
      <c r="E486" s="19">
        <v>0.5</v>
      </c>
      <c r="F486" s="19">
        <f t="shared" si="5"/>
        <v>0.5</v>
      </c>
      <c r="G486" s="19">
        <v>0.2</v>
      </c>
      <c r="H486" s="19">
        <v>0.2</v>
      </c>
      <c r="I486" s="19">
        <v>0.2</v>
      </c>
      <c r="J486"/>
      <c r="K486">
        <v>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2:26" s="2" customFormat="1" x14ac:dyDescent="0.35">
      <c r="B487"/>
      <c r="C487"/>
      <c r="D487" s="18">
        <v>482</v>
      </c>
      <c r="E487" s="19">
        <v>0.5</v>
      </c>
      <c r="F487" s="19">
        <f t="shared" si="5"/>
        <v>0.5</v>
      </c>
      <c r="G487" s="19">
        <v>0.2</v>
      </c>
      <c r="H487" s="19">
        <v>0.2</v>
      </c>
      <c r="I487" s="19">
        <v>0.2</v>
      </c>
      <c r="J487"/>
      <c r="K487">
        <v>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2:26" s="2" customFormat="1" x14ac:dyDescent="0.35">
      <c r="B488"/>
      <c r="C488"/>
      <c r="D488" s="18">
        <v>483</v>
      </c>
      <c r="E488" s="19">
        <v>0.5</v>
      </c>
      <c r="F488" s="19">
        <f t="shared" si="5"/>
        <v>0.5</v>
      </c>
      <c r="G488" s="19">
        <v>0.2</v>
      </c>
      <c r="H488" s="19">
        <v>0.2</v>
      </c>
      <c r="I488" s="19">
        <v>0.2</v>
      </c>
      <c r="J488"/>
      <c r="K488">
        <v>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2:26" s="2" customFormat="1" x14ac:dyDescent="0.35">
      <c r="B489"/>
      <c r="C489"/>
      <c r="D489" s="18">
        <v>484</v>
      </c>
      <c r="E489" s="19">
        <v>0.5</v>
      </c>
      <c r="F489" s="19">
        <f t="shared" si="5"/>
        <v>0.5</v>
      </c>
      <c r="G489" s="19">
        <v>0.2</v>
      </c>
      <c r="H489" s="19">
        <v>0.2</v>
      </c>
      <c r="I489" s="19">
        <v>0.2</v>
      </c>
      <c r="J489"/>
      <c r="K489">
        <v>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2:26" s="2" customFormat="1" x14ac:dyDescent="0.35">
      <c r="B490"/>
      <c r="C490"/>
      <c r="D490" s="18">
        <v>485</v>
      </c>
      <c r="E490" s="19">
        <v>0.5</v>
      </c>
      <c r="F490" s="19">
        <f t="shared" si="5"/>
        <v>0.5</v>
      </c>
      <c r="G490" s="19">
        <v>0.2</v>
      </c>
      <c r="H490" s="19">
        <v>0.2</v>
      </c>
      <c r="I490" s="19">
        <v>0.2</v>
      </c>
      <c r="J490"/>
      <c r="K490">
        <v>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2:26" s="2" customFormat="1" x14ac:dyDescent="0.35">
      <c r="B491"/>
      <c r="C491"/>
      <c r="D491" s="18">
        <v>486</v>
      </c>
      <c r="E491" s="19">
        <v>0.5</v>
      </c>
      <c r="F491" s="19">
        <f t="shared" ref="F491:F554" si="6">E491</f>
        <v>0.5</v>
      </c>
      <c r="G491" s="19">
        <v>0.2</v>
      </c>
      <c r="H491" s="19">
        <v>0.2</v>
      </c>
      <c r="I491" s="19">
        <v>0.2</v>
      </c>
      <c r="J491"/>
      <c r="K491">
        <v>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2:26" s="2" customFormat="1" x14ac:dyDescent="0.35">
      <c r="B492"/>
      <c r="C492"/>
      <c r="D492" s="18">
        <v>487</v>
      </c>
      <c r="E492" s="19">
        <v>0.5</v>
      </c>
      <c r="F492" s="19">
        <f t="shared" si="6"/>
        <v>0.5</v>
      </c>
      <c r="G492" s="19">
        <v>0.2</v>
      </c>
      <c r="H492" s="19">
        <v>0.2</v>
      </c>
      <c r="I492" s="19">
        <v>0.2</v>
      </c>
      <c r="J492"/>
      <c r="K492">
        <v>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2:26" s="2" customFormat="1" x14ac:dyDescent="0.35">
      <c r="B493"/>
      <c r="C493"/>
      <c r="D493" s="18">
        <v>488</v>
      </c>
      <c r="E493" s="19">
        <v>0.5</v>
      </c>
      <c r="F493" s="19">
        <f t="shared" si="6"/>
        <v>0.5</v>
      </c>
      <c r="G493" s="19">
        <v>0.2</v>
      </c>
      <c r="H493" s="19">
        <v>0.2</v>
      </c>
      <c r="I493" s="19">
        <v>0.2</v>
      </c>
      <c r="J493"/>
      <c r="K493">
        <v>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2:26" s="2" customFormat="1" x14ac:dyDescent="0.35">
      <c r="B494"/>
      <c r="C494"/>
      <c r="D494" s="18">
        <v>489</v>
      </c>
      <c r="E494" s="19">
        <v>0.5</v>
      </c>
      <c r="F494" s="19">
        <f t="shared" si="6"/>
        <v>0.5</v>
      </c>
      <c r="G494" s="19">
        <v>0.2</v>
      </c>
      <c r="H494" s="19">
        <v>0.2</v>
      </c>
      <c r="I494" s="19">
        <v>0.2</v>
      </c>
      <c r="J494"/>
      <c r="K494">
        <v>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2:26" s="2" customFormat="1" x14ac:dyDescent="0.35">
      <c r="B495"/>
      <c r="C495"/>
      <c r="D495" s="18">
        <v>490</v>
      </c>
      <c r="E495" s="19">
        <v>0.5</v>
      </c>
      <c r="F495" s="19">
        <f t="shared" si="6"/>
        <v>0.5</v>
      </c>
      <c r="G495" s="19">
        <v>0.2</v>
      </c>
      <c r="H495" s="19">
        <v>0.2</v>
      </c>
      <c r="I495" s="19">
        <v>0.2</v>
      </c>
      <c r="J495"/>
      <c r="K495">
        <v>0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2:26" s="2" customFormat="1" x14ac:dyDescent="0.35">
      <c r="B496"/>
      <c r="C496"/>
      <c r="D496" s="18">
        <v>491</v>
      </c>
      <c r="E496" s="19">
        <v>0.5</v>
      </c>
      <c r="F496" s="19">
        <f t="shared" si="6"/>
        <v>0.5</v>
      </c>
      <c r="G496" s="19">
        <v>0.2</v>
      </c>
      <c r="H496" s="19">
        <v>0.2</v>
      </c>
      <c r="I496" s="19">
        <v>0.2</v>
      </c>
      <c r="J496"/>
      <c r="K496">
        <v>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2:26" s="2" customFormat="1" x14ac:dyDescent="0.35">
      <c r="B497"/>
      <c r="C497"/>
      <c r="D497" s="18">
        <v>492</v>
      </c>
      <c r="E497" s="19">
        <v>0.5</v>
      </c>
      <c r="F497" s="19">
        <f t="shared" si="6"/>
        <v>0.5</v>
      </c>
      <c r="G497" s="19">
        <v>0.2</v>
      </c>
      <c r="H497" s="19">
        <v>0.2</v>
      </c>
      <c r="I497" s="19">
        <v>0.2</v>
      </c>
      <c r="J497"/>
      <c r="K497">
        <v>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2:26" s="2" customFormat="1" x14ac:dyDescent="0.35">
      <c r="B498"/>
      <c r="C498"/>
      <c r="D498" s="18">
        <v>493</v>
      </c>
      <c r="E498" s="19">
        <v>0.5</v>
      </c>
      <c r="F498" s="19">
        <f t="shared" si="6"/>
        <v>0.5</v>
      </c>
      <c r="G498" s="19">
        <v>0.2</v>
      </c>
      <c r="H498" s="19">
        <v>0.2</v>
      </c>
      <c r="I498" s="19">
        <v>0.2</v>
      </c>
      <c r="J498"/>
      <c r="K498">
        <v>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2:26" s="2" customFormat="1" x14ac:dyDescent="0.35">
      <c r="B499"/>
      <c r="C499"/>
      <c r="D499" s="18">
        <v>494</v>
      </c>
      <c r="E499" s="19">
        <v>0.5</v>
      </c>
      <c r="F499" s="19">
        <f t="shared" si="6"/>
        <v>0.5</v>
      </c>
      <c r="G499" s="19">
        <v>0.2</v>
      </c>
      <c r="H499" s="19">
        <v>0.2</v>
      </c>
      <c r="I499" s="19">
        <v>0.2</v>
      </c>
      <c r="J499"/>
      <c r="K499">
        <v>0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2:26" s="2" customFormat="1" x14ac:dyDescent="0.35">
      <c r="B500"/>
      <c r="C500"/>
      <c r="D500" s="18">
        <v>495</v>
      </c>
      <c r="E500" s="19">
        <v>0.5</v>
      </c>
      <c r="F500" s="19">
        <f t="shared" si="6"/>
        <v>0.5</v>
      </c>
      <c r="G500" s="19">
        <v>0.2</v>
      </c>
      <c r="H500" s="19">
        <v>0.2</v>
      </c>
      <c r="I500" s="19">
        <v>0.2</v>
      </c>
      <c r="J500"/>
      <c r="K500">
        <v>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2:26" s="2" customFormat="1" x14ac:dyDescent="0.35">
      <c r="B501"/>
      <c r="C501"/>
      <c r="D501" s="18">
        <v>496</v>
      </c>
      <c r="E501" s="19">
        <v>0.5</v>
      </c>
      <c r="F501" s="19">
        <f t="shared" si="6"/>
        <v>0.5</v>
      </c>
      <c r="G501" s="19">
        <v>0.2</v>
      </c>
      <c r="H501" s="19">
        <v>0.2</v>
      </c>
      <c r="I501" s="19">
        <v>0.2</v>
      </c>
      <c r="J501"/>
      <c r="K501">
        <v>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2:26" s="2" customFormat="1" x14ac:dyDescent="0.35">
      <c r="B502"/>
      <c r="C502"/>
      <c r="D502" s="18">
        <v>497</v>
      </c>
      <c r="E502" s="19">
        <v>0.5</v>
      </c>
      <c r="F502" s="19">
        <f t="shared" si="6"/>
        <v>0.5</v>
      </c>
      <c r="G502" s="19">
        <v>0.2</v>
      </c>
      <c r="H502" s="19">
        <v>0.2</v>
      </c>
      <c r="I502" s="19">
        <v>0.2</v>
      </c>
      <c r="J502"/>
      <c r="K502">
        <v>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2:26" s="2" customFormat="1" x14ac:dyDescent="0.35">
      <c r="B503"/>
      <c r="C503"/>
      <c r="D503" s="18">
        <v>498</v>
      </c>
      <c r="E503" s="19">
        <v>0.5</v>
      </c>
      <c r="F503" s="19">
        <f t="shared" si="6"/>
        <v>0.5</v>
      </c>
      <c r="G503" s="19">
        <v>0.2</v>
      </c>
      <c r="H503" s="19">
        <v>0.2</v>
      </c>
      <c r="I503" s="19">
        <v>0.2</v>
      </c>
      <c r="J503"/>
      <c r="K503">
        <v>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2:26" s="2" customFormat="1" x14ac:dyDescent="0.35">
      <c r="B504"/>
      <c r="C504"/>
      <c r="D504" s="18">
        <v>499</v>
      </c>
      <c r="E504" s="19">
        <v>0.5</v>
      </c>
      <c r="F504" s="19">
        <f t="shared" si="6"/>
        <v>0.5</v>
      </c>
      <c r="G504" s="19">
        <v>0.2</v>
      </c>
      <c r="H504" s="19">
        <v>0.2</v>
      </c>
      <c r="I504" s="19">
        <v>0.2</v>
      </c>
      <c r="J504"/>
      <c r="K504">
        <v>0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2:26" s="2" customFormat="1" x14ac:dyDescent="0.35">
      <c r="B505"/>
      <c r="C505"/>
      <c r="D505" s="18">
        <v>500</v>
      </c>
      <c r="E505" s="19">
        <v>0.5</v>
      </c>
      <c r="F505" s="19">
        <f t="shared" si="6"/>
        <v>0.5</v>
      </c>
      <c r="G505" s="19">
        <v>0.2</v>
      </c>
      <c r="H505" s="19">
        <v>0.2</v>
      </c>
      <c r="I505" s="19">
        <v>0.2</v>
      </c>
      <c r="J505"/>
      <c r="K505">
        <v>0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2:26" s="2" customFormat="1" x14ac:dyDescent="0.35">
      <c r="B506"/>
      <c r="C506"/>
      <c r="D506" s="18">
        <v>501</v>
      </c>
      <c r="E506" s="19">
        <v>0.5</v>
      </c>
      <c r="F506" s="19">
        <f t="shared" si="6"/>
        <v>0.5</v>
      </c>
      <c r="G506" s="19">
        <v>0.2</v>
      </c>
      <c r="H506" s="19">
        <v>0.2</v>
      </c>
      <c r="I506" s="19">
        <v>0.2</v>
      </c>
      <c r="J506"/>
      <c r="K506">
        <v>0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2:26" s="2" customFormat="1" x14ac:dyDescent="0.35">
      <c r="B507"/>
      <c r="C507"/>
      <c r="D507" s="18">
        <v>502</v>
      </c>
      <c r="E507" s="19">
        <v>0.5</v>
      </c>
      <c r="F507" s="19">
        <f t="shared" si="6"/>
        <v>0.5</v>
      </c>
      <c r="G507" s="19">
        <v>0.2</v>
      </c>
      <c r="H507" s="19">
        <v>0.2</v>
      </c>
      <c r="I507" s="19">
        <v>0.2</v>
      </c>
      <c r="J507"/>
      <c r="K507">
        <v>0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2:26" s="2" customFormat="1" x14ac:dyDescent="0.35">
      <c r="B508"/>
      <c r="C508"/>
      <c r="D508" s="18">
        <v>503</v>
      </c>
      <c r="E508" s="19">
        <v>0.5</v>
      </c>
      <c r="F508" s="19">
        <f t="shared" si="6"/>
        <v>0.5</v>
      </c>
      <c r="G508" s="19">
        <v>0.2</v>
      </c>
      <c r="H508" s="19">
        <v>0.2</v>
      </c>
      <c r="I508" s="19">
        <v>0.2</v>
      </c>
      <c r="J508"/>
      <c r="K508">
        <v>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2:26" s="2" customFormat="1" x14ac:dyDescent="0.35">
      <c r="B509"/>
      <c r="C509"/>
      <c r="D509" s="18">
        <v>504</v>
      </c>
      <c r="E509" s="19">
        <v>0.5</v>
      </c>
      <c r="F509" s="19">
        <f t="shared" si="6"/>
        <v>0.5</v>
      </c>
      <c r="G509" s="19">
        <v>0.2</v>
      </c>
      <c r="H509" s="19">
        <v>0.2</v>
      </c>
      <c r="I509" s="19">
        <v>0.2</v>
      </c>
      <c r="J509"/>
      <c r="K509">
        <v>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2:26" s="2" customFormat="1" x14ac:dyDescent="0.35">
      <c r="B510"/>
      <c r="C510"/>
      <c r="D510" s="18">
        <v>505</v>
      </c>
      <c r="E510" s="19">
        <v>0.5</v>
      </c>
      <c r="F510" s="19">
        <f t="shared" si="6"/>
        <v>0.5</v>
      </c>
      <c r="G510" s="19">
        <v>0.2</v>
      </c>
      <c r="H510" s="19">
        <v>0.2</v>
      </c>
      <c r="I510" s="19">
        <v>0.2</v>
      </c>
      <c r="J510"/>
      <c r="K510">
        <v>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2:26" s="2" customFormat="1" x14ac:dyDescent="0.35">
      <c r="B511"/>
      <c r="C511"/>
      <c r="D511" s="18">
        <v>506</v>
      </c>
      <c r="E511" s="19">
        <v>0.5</v>
      </c>
      <c r="F511" s="19">
        <f t="shared" si="6"/>
        <v>0.5</v>
      </c>
      <c r="G511" s="19">
        <v>0.2</v>
      </c>
      <c r="H511" s="19">
        <v>0.2</v>
      </c>
      <c r="I511" s="19">
        <v>0.2</v>
      </c>
      <c r="J511"/>
      <c r="K511">
        <v>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2:26" s="2" customFormat="1" x14ac:dyDescent="0.35">
      <c r="B512"/>
      <c r="C512"/>
      <c r="D512" s="18">
        <v>507</v>
      </c>
      <c r="E512" s="19">
        <v>0.5</v>
      </c>
      <c r="F512" s="19">
        <f t="shared" si="6"/>
        <v>0.5</v>
      </c>
      <c r="G512" s="19">
        <v>0.2</v>
      </c>
      <c r="H512" s="19">
        <v>0.2</v>
      </c>
      <c r="I512" s="19">
        <v>0.2</v>
      </c>
      <c r="J512"/>
      <c r="K512">
        <v>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2:26" s="2" customFormat="1" x14ac:dyDescent="0.35">
      <c r="B513"/>
      <c r="C513"/>
      <c r="D513" s="18">
        <v>508</v>
      </c>
      <c r="E513" s="19">
        <v>0.5</v>
      </c>
      <c r="F513" s="19">
        <f t="shared" si="6"/>
        <v>0.5</v>
      </c>
      <c r="G513" s="19">
        <v>0.2</v>
      </c>
      <c r="H513" s="19">
        <v>0.2</v>
      </c>
      <c r="I513" s="19">
        <v>0.2</v>
      </c>
      <c r="J513"/>
      <c r="K513">
        <v>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2:26" s="2" customFormat="1" x14ac:dyDescent="0.35">
      <c r="B514"/>
      <c r="C514"/>
      <c r="D514" s="18">
        <v>509</v>
      </c>
      <c r="E514" s="19">
        <v>0.5</v>
      </c>
      <c r="F514" s="19">
        <f t="shared" si="6"/>
        <v>0.5</v>
      </c>
      <c r="G514" s="19">
        <v>0.2</v>
      </c>
      <c r="H514" s="19">
        <v>0.2</v>
      </c>
      <c r="I514" s="19">
        <v>0.2</v>
      </c>
      <c r="J514"/>
      <c r="K514">
        <v>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2:26" s="2" customFormat="1" x14ac:dyDescent="0.35">
      <c r="B515"/>
      <c r="C515"/>
      <c r="D515" s="18">
        <v>510</v>
      </c>
      <c r="E515" s="19">
        <v>0.5</v>
      </c>
      <c r="F515" s="19">
        <f t="shared" si="6"/>
        <v>0.5</v>
      </c>
      <c r="G515" s="19">
        <v>0.2</v>
      </c>
      <c r="H515" s="19">
        <v>0.2</v>
      </c>
      <c r="I515" s="19">
        <v>0.2</v>
      </c>
      <c r="J515"/>
      <c r="K515">
        <v>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2:26" s="2" customFormat="1" x14ac:dyDescent="0.35">
      <c r="B516"/>
      <c r="C516"/>
      <c r="D516" s="18">
        <v>511</v>
      </c>
      <c r="E516" s="19">
        <v>0.5</v>
      </c>
      <c r="F516" s="19">
        <f t="shared" si="6"/>
        <v>0.5</v>
      </c>
      <c r="G516" s="19">
        <v>0.2</v>
      </c>
      <c r="H516" s="19">
        <v>0.2</v>
      </c>
      <c r="I516" s="19">
        <v>0.2</v>
      </c>
      <c r="J516"/>
      <c r="K516">
        <v>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2:26" s="2" customFormat="1" x14ac:dyDescent="0.35">
      <c r="B517"/>
      <c r="C517"/>
      <c r="D517" s="18">
        <v>512</v>
      </c>
      <c r="E517" s="19">
        <v>0.5</v>
      </c>
      <c r="F517" s="19">
        <f t="shared" si="6"/>
        <v>0.5</v>
      </c>
      <c r="G517" s="19">
        <v>0.2</v>
      </c>
      <c r="H517" s="19">
        <v>0.2</v>
      </c>
      <c r="I517" s="19">
        <v>0.2</v>
      </c>
      <c r="J517"/>
      <c r="K517">
        <v>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2:26" s="2" customFormat="1" x14ac:dyDescent="0.35">
      <c r="B518"/>
      <c r="C518"/>
      <c r="D518" s="18">
        <v>513</v>
      </c>
      <c r="E518" s="19">
        <v>0.5</v>
      </c>
      <c r="F518" s="19">
        <f t="shared" si="6"/>
        <v>0.5</v>
      </c>
      <c r="G518" s="19">
        <v>0.2</v>
      </c>
      <c r="H518" s="19">
        <v>0.2</v>
      </c>
      <c r="I518" s="19">
        <v>0.2</v>
      </c>
      <c r="J518"/>
      <c r="K518">
        <v>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2:26" s="2" customFormat="1" x14ac:dyDescent="0.35">
      <c r="B519"/>
      <c r="C519"/>
      <c r="D519" s="18">
        <v>514</v>
      </c>
      <c r="E519" s="19">
        <v>0.5</v>
      </c>
      <c r="F519" s="19">
        <f t="shared" si="6"/>
        <v>0.5</v>
      </c>
      <c r="G519" s="19">
        <v>0.2</v>
      </c>
      <c r="H519" s="19">
        <v>0.2</v>
      </c>
      <c r="I519" s="19">
        <v>0.2</v>
      </c>
      <c r="J519"/>
      <c r="K519">
        <v>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2:26" s="2" customFormat="1" x14ac:dyDescent="0.35">
      <c r="B520"/>
      <c r="C520"/>
      <c r="D520" s="18">
        <v>515</v>
      </c>
      <c r="E520" s="19">
        <v>0.5</v>
      </c>
      <c r="F520" s="19">
        <f t="shared" si="6"/>
        <v>0.5</v>
      </c>
      <c r="G520" s="19">
        <v>0.2</v>
      </c>
      <c r="H520" s="19">
        <v>0.2</v>
      </c>
      <c r="I520" s="19">
        <v>0.2</v>
      </c>
      <c r="J520"/>
      <c r="K520">
        <v>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2:26" s="2" customFormat="1" x14ac:dyDescent="0.35">
      <c r="B521"/>
      <c r="C521"/>
      <c r="D521" s="18">
        <v>516</v>
      </c>
      <c r="E521" s="19">
        <v>0.5</v>
      </c>
      <c r="F521" s="19">
        <f t="shared" si="6"/>
        <v>0.5</v>
      </c>
      <c r="G521" s="19">
        <v>0.2</v>
      </c>
      <c r="H521" s="19">
        <v>0.2</v>
      </c>
      <c r="I521" s="19">
        <v>0.2</v>
      </c>
      <c r="J521"/>
      <c r="K521">
        <v>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2:26" s="2" customFormat="1" x14ac:dyDescent="0.35">
      <c r="B522"/>
      <c r="C522"/>
      <c r="D522" s="18">
        <v>517</v>
      </c>
      <c r="E522" s="19">
        <v>0.5</v>
      </c>
      <c r="F522" s="19">
        <f t="shared" si="6"/>
        <v>0.5</v>
      </c>
      <c r="G522" s="19">
        <v>0.2</v>
      </c>
      <c r="H522" s="19">
        <v>0.2</v>
      </c>
      <c r="I522" s="19">
        <v>0.2</v>
      </c>
      <c r="J522"/>
      <c r="K522">
        <v>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2:26" s="2" customFormat="1" x14ac:dyDescent="0.35">
      <c r="B523"/>
      <c r="C523"/>
      <c r="D523" s="18">
        <v>518</v>
      </c>
      <c r="E523" s="19">
        <v>0.5</v>
      </c>
      <c r="F523" s="19">
        <f t="shared" si="6"/>
        <v>0.5</v>
      </c>
      <c r="G523" s="19">
        <v>0.2</v>
      </c>
      <c r="H523" s="19">
        <v>0.2</v>
      </c>
      <c r="I523" s="19">
        <v>0.2</v>
      </c>
      <c r="J523"/>
      <c r="K523">
        <v>0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2:26" s="2" customFormat="1" x14ac:dyDescent="0.35">
      <c r="B524"/>
      <c r="C524"/>
      <c r="D524" s="18">
        <v>519</v>
      </c>
      <c r="E524" s="19">
        <v>0.5</v>
      </c>
      <c r="F524" s="19">
        <f t="shared" si="6"/>
        <v>0.5</v>
      </c>
      <c r="G524" s="19">
        <v>0.2</v>
      </c>
      <c r="H524" s="19">
        <v>0.2</v>
      </c>
      <c r="I524" s="19">
        <v>0.2</v>
      </c>
      <c r="J524"/>
      <c r="K524">
        <v>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2:26" s="2" customFormat="1" x14ac:dyDescent="0.35">
      <c r="B525"/>
      <c r="C525"/>
      <c r="D525" s="18">
        <v>520</v>
      </c>
      <c r="E525" s="19">
        <v>0.5</v>
      </c>
      <c r="F525" s="19">
        <f t="shared" si="6"/>
        <v>0.5</v>
      </c>
      <c r="G525" s="19">
        <v>0.2</v>
      </c>
      <c r="H525" s="19">
        <v>0.2</v>
      </c>
      <c r="I525" s="19">
        <v>0.2</v>
      </c>
      <c r="J525"/>
      <c r="K525">
        <v>0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2:26" s="2" customFormat="1" x14ac:dyDescent="0.35">
      <c r="B526"/>
      <c r="C526"/>
      <c r="D526" s="18">
        <v>521</v>
      </c>
      <c r="E526" s="19">
        <v>0.5</v>
      </c>
      <c r="F526" s="19">
        <f t="shared" si="6"/>
        <v>0.5</v>
      </c>
      <c r="G526" s="19">
        <v>0.2</v>
      </c>
      <c r="H526" s="19">
        <v>0.2</v>
      </c>
      <c r="I526" s="19">
        <v>0.2</v>
      </c>
      <c r="J526"/>
      <c r="K526">
        <v>0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2:26" s="2" customFormat="1" x14ac:dyDescent="0.35">
      <c r="B527"/>
      <c r="C527"/>
      <c r="D527" s="18">
        <v>522</v>
      </c>
      <c r="E527" s="19">
        <v>0.5</v>
      </c>
      <c r="F527" s="19">
        <f t="shared" si="6"/>
        <v>0.5</v>
      </c>
      <c r="G527" s="19">
        <v>0.2</v>
      </c>
      <c r="H527" s="19">
        <v>0.2</v>
      </c>
      <c r="I527" s="19">
        <v>0.2</v>
      </c>
      <c r="J527"/>
      <c r="K527">
        <v>0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2:26" s="2" customFormat="1" x14ac:dyDescent="0.35">
      <c r="B528"/>
      <c r="C528"/>
      <c r="D528" s="18">
        <v>523</v>
      </c>
      <c r="E528" s="19">
        <v>0.5</v>
      </c>
      <c r="F528" s="19">
        <f t="shared" si="6"/>
        <v>0.5</v>
      </c>
      <c r="G528" s="19">
        <v>0.2</v>
      </c>
      <c r="H528" s="19">
        <v>0.2</v>
      </c>
      <c r="I528" s="19">
        <v>0.2</v>
      </c>
      <c r="J528"/>
      <c r="K528">
        <v>0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2:26" s="2" customFormat="1" x14ac:dyDescent="0.35">
      <c r="B529"/>
      <c r="C529"/>
      <c r="D529" s="18">
        <v>524</v>
      </c>
      <c r="E529" s="19">
        <v>0.5</v>
      </c>
      <c r="F529" s="19">
        <f t="shared" si="6"/>
        <v>0.5</v>
      </c>
      <c r="G529" s="19">
        <v>0.2</v>
      </c>
      <c r="H529" s="19">
        <v>0.2</v>
      </c>
      <c r="I529" s="19">
        <v>0.2</v>
      </c>
      <c r="J529"/>
      <c r="K529">
        <v>0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2:26" s="2" customFormat="1" x14ac:dyDescent="0.35">
      <c r="B530"/>
      <c r="C530"/>
      <c r="D530" s="18">
        <v>525</v>
      </c>
      <c r="E530" s="19">
        <v>0.5</v>
      </c>
      <c r="F530" s="19">
        <f t="shared" si="6"/>
        <v>0.5</v>
      </c>
      <c r="G530" s="19">
        <v>0.2</v>
      </c>
      <c r="H530" s="19">
        <v>0.2</v>
      </c>
      <c r="I530" s="19">
        <v>0.2</v>
      </c>
      <c r="J530"/>
      <c r="K530">
        <v>0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2:26" s="2" customFormat="1" x14ac:dyDescent="0.35">
      <c r="B531"/>
      <c r="C531"/>
      <c r="D531" s="18">
        <v>526</v>
      </c>
      <c r="E531" s="19">
        <v>0.5</v>
      </c>
      <c r="F531" s="19">
        <f t="shared" si="6"/>
        <v>0.5</v>
      </c>
      <c r="G531" s="19">
        <v>0.2</v>
      </c>
      <c r="H531" s="19">
        <v>0.2</v>
      </c>
      <c r="I531" s="19">
        <v>0.2</v>
      </c>
      <c r="J531"/>
      <c r="K531">
        <v>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2:26" s="2" customFormat="1" x14ac:dyDescent="0.35">
      <c r="B532"/>
      <c r="C532"/>
      <c r="D532" s="18">
        <v>527</v>
      </c>
      <c r="E532" s="19">
        <v>0.5</v>
      </c>
      <c r="F532" s="19">
        <f t="shared" si="6"/>
        <v>0.5</v>
      </c>
      <c r="G532" s="19">
        <v>0.2</v>
      </c>
      <c r="H532" s="19">
        <v>0.2</v>
      </c>
      <c r="I532" s="19">
        <v>0.2</v>
      </c>
      <c r="J532"/>
      <c r="K532">
        <v>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2:26" s="2" customFormat="1" x14ac:dyDescent="0.35">
      <c r="B533"/>
      <c r="C533"/>
      <c r="D533" s="18">
        <v>528</v>
      </c>
      <c r="E533" s="19">
        <v>0.5</v>
      </c>
      <c r="F533" s="19">
        <f t="shared" si="6"/>
        <v>0.5</v>
      </c>
      <c r="G533" s="19">
        <v>0.2</v>
      </c>
      <c r="H533" s="19">
        <v>0.2</v>
      </c>
      <c r="I533" s="19">
        <v>0.2</v>
      </c>
      <c r="J533"/>
      <c r="K533">
        <v>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2:26" s="2" customFormat="1" x14ac:dyDescent="0.35">
      <c r="B534"/>
      <c r="C534"/>
      <c r="D534" s="18">
        <v>529</v>
      </c>
      <c r="E534" s="19">
        <v>0.5</v>
      </c>
      <c r="F534" s="19">
        <f t="shared" si="6"/>
        <v>0.5</v>
      </c>
      <c r="G534" s="19">
        <v>0.2</v>
      </c>
      <c r="H534" s="19">
        <v>0.2</v>
      </c>
      <c r="I534" s="19">
        <v>0.2</v>
      </c>
      <c r="J534"/>
      <c r="K534">
        <v>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2:26" s="2" customFormat="1" x14ac:dyDescent="0.35">
      <c r="B535"/>
      <c r="C535"/>
      <c r="D535" s="18">
        <v>530</v>
      </c>
      <c r="E535" s="19">
        <v>0.5</v>
      </c>
      <c r="F535" s="19">
        <f t="shared" si="6"/>
        <v>0.5</v>
      </c>
      <c r="G535" s="19">
        <v>0.2</v>
      </c>
      <c r="H535" s="19">
        <v>0.2</v>
      </c>
      <c r="I535" s="19">
        <v>0.2</v>
      </c>
      <c r="J535"/>
      <c r="K535">
        <v>0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2:26" s="2" customFormat="1" x14ac:dyDescent="0.35">
      <c r="B536"/>
      <c r="C536"/>
      <c r="D536" s="18">
        <v>531</v>
      </c>
      <c r="E536" s="19">
        <v>0.5</v>
      </c>
      <c r="F536" s="19">
        <f t="shared" si="6"/>
        <v>0.5</v>
      </c>
      <c r="G536" s="19">
        <v>0.2</v>
      </c>
      <c r="H536" s="19">
        <v>0.2</v>
      </c>
      <c r="I536" s="19">
        <v>0.2</v>
      </c>
      <c r="J536"/>
      <c r="K536">
        <v>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2:26" s="2" customFormat="1" x14ac:dyDescent="0.35">
      <c r="B537"/>
      <c r="C537"/>
      <c r="D537" s="18">
        <v>532</v>
      </c>
      <c r="E537" s="19">
        <v>0.5</v>
      </c>
      <c r="F537" s="19">
        <f t="shared" si="6"/>
        <v>0.5</v>
      </c>
      <c r="G537" s="19">
        <v>0.2</v>
      </c>
      <c r="H537" s="19">
        <v>0.2</v>
      </c>
      <c r="I537" s="19">
        <v>0.2</v>
      </c>
      <c r="J537"/>
      <c r="K537">
        <v>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2:26" s="2" customFormat="1" x14ac:dyDescent="0.35">
      <c r="B538"/>
      <c r="C538"/>
      <c r="D538" s="18">
        <v>533</v>
      </c>
      <c r="E538" s="19">
        <v>0.5</v>
      </c>
      <c r="F538" s="19">
        <f t="shared" si="6"/>
        <v>0.5</v>
      </c>
      <c r="G538" s="19">
        <v>0.2</v>
      </c>
      <c r="H538" s="19">
        <v>0.2</v>
      </c>
      <c r="I538" s="19">
        <v>0.2</v>
      </c>
      <c r="J538"/>
      <c r="K538">
        <v>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2:26" s="2" customFormat="1" x14ac:dyDescent="0.35">
      <c r="B539"/>
      <c r="C539"/>
      <c r="D539" s="18">
        <v>534</v>
      </c>
      <c r="E539" s="19">
        <v>0.5</v>
      </c>
      <c r="F539" s="19">
        <f t="shared" si="6"/>
        <v>0.5</v>
      </c>
      <c r="G539" s="19">
        <v>0.2</v>
      </c>
      <c r="H539" s="19">
        <v>0.2</v>
      </c>
      <c r="I539" s="19">
        <v>0.2</v>
      </c>
      <c r="J539"/>
      <c r="K539">
        <v>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2:26" s="2" customFormat="1" x14ac:dyDescent="0.35">
      <c r="B540"/>
      <c r="C540"/>
      <c r="D540" s="18">
        <v>535</v>
      </c>
      <c r="E540" s="19">
        <v>0.5</v>
      </c>
      <c r="F540" s="19">
        <f t="shared" si="6"/>
        <v>0.5</v>
      </c>
      <c r="G540" s="19">
        <v>0.2</v>
      </c>
      <c r="H540" s="19">
        <v>0.2</v>
      </c>
      <c r="I540" s="19">
        <v>0.2</v>
      </c>
      <c r="J540"/>
      <c r="K540">
        <v>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2:26" s="2" customFormat="1" x14ac:dyDescent="0.35">
      <c r="B541"/>
      <c r="C541"/>
      <c r="D541" s="18">
        <v>536</v>
      </c>
      <c r="E541" s="19">
        <v>0.5</v>
      </c>
      <c r="F541" s="19">
        <f t="shared" si="6"/>
        <v>0.5</v>
      </c>
      <c r="G541" s="19">
        <v>0.2</v>
      </c>
      <c r="H541" s="19">
        <v>0.2</v>
      </c>
      <c r="I541" s="19">
        <v>0.2</v>
      </c>
      <c r="J541"/>
      <c r="K541">
        <v>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2:26" s="2" customFormat="1" x14ac:dyDescent="0.35">
      <c r="B542"/>
      <c r="C542"/>
      <c r="D542" s="18">
        <v>537</v>
      </c>
      <c r="E542" s="19">
        <v>0.5</v>
      </c>
      <c r="F542" s="19">
        <f t="shared" si="6"/>
        <v>0.5</v>
      </c>
      <c r="G542" s="19">
        <v>0.2</v>
      </c>
      <c r="H542" s="19">
        <v>0.2</v>
      </c>
      <c r="I542" s="19">
        <v>0.2</v>
      </c>
      <c r="J542"/>
      <c r="K542">
        <v>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2:26" s="2" customFormat="1" x14ac:dyDescent="0.35">
      <c r="B543"/>
      <c r="C543"/>
      <c r="D543" s="18">
        <v>538</v>
      </c>
      <c r="E543" s="19">
        <v>0.5</v>
      </c>
      <c r="F543" s="19">
        <f t="shared" si="6"/>
        <v>0.5</v>
      </c>
      <c r="G543" s="19">
        <v>0.2</v>
      </c>
      <c r="H543" s="19">
        <v>0.2</v>
      </c>
      <c r="I543" s="19">
        <v>0.2</v>
      </c>
      <c r="J543"/>
      <c r="K543">
        <v>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2:26" s="2" customFormat="1" x14ac:dyDescent="0.35">
      <c r="B544"/>
      <c r="C544"/>
      <c r="D544" s="18">
        <v>539</v>
      </c>
      <c r="E544" s="19">
        <v>0.5</v>
      </c>
      <c r="F544" s="19">
        <f t="shared" si="6"/>
        <v>0.5</v>
      </c>
      <c r="G544" s="19">
        <v>0.2</v>
      </c>
      <c r="H544" s="19">
        <v>0.2</v>
      </c>
      <c r="I544" s="19">
        <v>0.2</v>
      </c>
      <c r="J544"/>
      <c r="K544">
        <v>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2:26" s="2" customFormat="1" x14ac:dyDescent="0.35">
      <c r="B545"/>
      <c r="C545"/>
      <c r="D545" s="18">
        <v>540</v>
      </c>
      <c r="E545" s="19">
        <v>0.5</v>
      </c>
      <c r="F545" s="19">
        <f t="shared" si="6"/>
        <v>0.5</v>
      </c>
      <c r="G545" s="19">
        <v>0.2</v>
      </c>
      <c r="H545" s="19">
        <v>0.2</v>
      </c>
      <c r="I545" s="19">
        <v>0.2</v>
      </c>
      <c r="J545"/>
      <c r="K545">
        <v>0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2:26" s="2" customFormat="1" x14ac:dyDescent="0.35">
      <c r="B546"/>
      <c r="C546"/>
      <c r="D546" s="18">
        <v>541</v>
      </c>
      <c r="E546" s="19">
        <v>0.5</v>
      </c>
      <c r="F546" s="19">
        <f t="shared" si="6"/>
        <v>0.5</v>
      </c>
      <c r="G546" s="19">
        <v>0.2</v>
      </c>
      <c r="H546" s="19">
        <v>0.2</v>
      </c>
      <c r="I546" s="19">
        <v>0.2</v>
      </c>
      <c r="J546"/>
      <c r="K546">
        <v>0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2:26" s="2" customFormat="1" x14ac:dyDescent="0.35">
      <c r="B547"/>
      <c r="C547"/>
      <c r="D547" s="18">
        <v>542</v>
      </c>
      <c r="E547" s="19">
        <v>0.5</v>
      </c>
      <c r="F547" s="19">
        <f t="shared" si="6"/>
        <v>0.5</v>
      </c>
      <c r="G547" s="19">
        <v>0.2</v>
      </c>
      <c r="H547" s="19">
        <v>0.2</v>
      </c>
      <c r="I547" s="19">
        <v>0.2</v>
      </c>
      <c r="J547"/>
      <c r="K547">
        <v>0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2:26" s="2" customFormat="1" x14ac:dyDescent="0.35">
      <c r="B548"/>
      <c r="C548"/>
      <c r="D548" s="18">
        <v>543</v>
      </c>
      <c r="E548" s="19">
        <v>0.5</v>
      </c>
      <c r="F548" s="19">
        <f t="shared" si="6"/>
        <v>0.5</v>
      </c>
      <c r="G548" s="19">
        <v>0.2</v>
      </c>
      <c r="H548" s="19">
        <v>0.2</v>
      </c>
      <c r="I548" s="19">
        <v>0.2</v>
      </c>
      <c r="J548"/>
      <c r="K548">
        <v>0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2:26" s="2" customFormat="1" x14ac:dyDescent="0.35">
      <c r="B549"/>
      <c r="C549"/>
      <c r="D549" s="18">
        <v>544</v>
      </c>
      <c r="E549" s="19">
        <v>0.5</v>
      </c>
      <c r="F549" s="19">
        <f t="shared" si="6"/>
        <v>0.5</v>
      </c>
      <c r="G549" s="19">
        <v>0.2</v>
      </c>
      <c r="H549" s="19">
        <v>0.2</v>
      </c>
      <c r="I549" s="19">
        <v>0.2</v>
      </c>
      <c r="J549"/>
      <c r="K549">
        <v>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2:26" s="2" customFormat="1" x14ac:dyDescent="0.35">
      <c r="B550"/>
      <c r="C550"/>
      <c r="D550" s="18">
        <v>545</v>
      </c>
      <c r="E550" s="19">
        <v>0.5</v>
      </c>
      <c r="F550" s="19">
        <f t="shared" si="6"/>
        <v>0.5</v>
      </c>
      <c r="G550" s="19">
        <v>0.2</v>
      </c>
      <c r="H550" s="19">
        <v>0.2</v>
      </c>
      <c r="I550" s="19">
        <v>0.2</v>
      </c>
      <c r="J550"/>
      <c r="K550">
        <v>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2:26" s="2" customFormat="1" x14ac:dyDescent="0.35">
      <c r="B551"/>
      <c r="C551"/>
      <c r="D551" s="18">
        <v>546</v>
      </c>
      <c r="E551" s="19">
        <v>0.5</v>
      </c>
      <c r="F551" s="19">
        <f t="shared" si="6"/>
        <v>0.5</v>
      </c>
      <c r="G551" s="19">
        <v>0.2</v>
      </c>
      <c r="H551" s="19">
        <v>0.2</v>
      </c>
      <c r="I551" s="19">
        <v>0.2</v>
      </c>
      <c r="J551"/>
      <c r="K551">
        <v>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2:26" s="2" customFormat="1" x14ac:dyDescent="0.35">
      <c r="B552"/>
      <c r="C552"/>
      <c r="D552" s="18">
        <v>547</v>
      </c>
      <c r="E552" s="19">
        <v>0.5</v>
      </c>
      <c r="F552" s="19">
        <f t="shared" si="6"/>
        <v>0.5</v>
      </c>
      <c r="G552" s="19">
        <v>0.2</v>
      </c>
      <c r="H552" s="19">
        <v>0.2</v>
      </c>
      <c r="I552" s="19">
        <v>0.2</v>
      </c>
      <c r="J552"/>
      <c r="K552">
        <v>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2:26" s="2" customFormat="1" x14ac:dyDescent="0.35">
      <c r="B553"/>
      <c r="C553"/>
      <c r="D553" s="18">
        <v>548</v>
      </c>
      <c r="E553" s="19">
        <v>0.5</v>
      </c>
      <c r="F553" s="19">
        <f t="shared" si="6"/>
        <v>0.5</v>
      </c>
      <c r="G553" s="19">
        <v>0.2</v>
      </c>
      <c r="H553" s="19">
        <v>0.2</v>
      </c>
      <c r="I553" s="19">
        <v>0.2</v>
      </c>
      <c r="J553"/>
      <c r="K553">
        <v>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2:26" s="2" customFormat="1" x14ac:dyDescent="0.35">
      <c r="B554"/>
      <c r="C554"/>
      <c r="D554" s="18">
        <v>549</v>
      </c>
      <c r="E554" s="19">
        <v>0.5</v>
      </c>
      <c r="F554" s="19">
        <f t="shared" si="6"/>
        <v>0.5</v>
      </c>
      <c r="G554" s="19">
        <v>0.2</v>
      </c>
      <c r="H554" s="19">
        <v>0.2</v>
      </c>
      <c r="I554" s="19">
        <v>0.2</v>
      </c>
      <c r="J554"/>
      <c r="K554">
        <v>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2:26" s="2" customFormat="1" x14ac:dyDescent="0.35">
      <c r="B555"/>
      <c r="C555"/>
      <c r="D555" s="18">
        <v>550</v>
      </c>
      <c r="E555" s="19">
        <v>0.5</v>
      </c>
      <c r="F555" s="19">
        <f t="shared" ref="F555:F618" si="7">E555</f>
        <v>0.5</v>
      </c>
      <c r="G555" s="19">
        <v>0.2</v>
      </c>
      <c r="H555" s="19">
        <v>0.2</v>
      </c>
      <c r="I555" s="19">
        <v>0.2</v>
      </c>
      <c r="J555"/>
      <c r="K555">
        <v>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2:26" s="2" customFormat="1" x14ac:dyDescent="0.35">
      <c r="B556"/>
      <c r="C556"/>
      <c r="D556" s="18">
        <v>551</v>
      </c>
      <c r="E556" s="19">
        <v>0.5</v>
      </c>
      <c r="F556" s="19">
        <f t="shared" si="7"/>
        <v>0.5</v>
      </c>
      <c r="G556" s="19">
        <v>0.2</v>
      </c>
      <c r="H556" s="19">
        <v>0.2</v>
      </c>
      <c r="I556" s="19">
        <v>0.2</v>
      </c>
      <c r="J556"/>
      <c r="K556">
        <v>0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2:26" s="2" customFormat="1" x14ac:dyDescent="0.35">
      <c r="B557"/>
      <c r="C557"/>
      <c r="D557" s="18">
        <v>552</v>
      </c>
      <c r="E557" s="19">
        <v>0.5</v>
      </c>
      <c r="F557" s="19">
        <f t="shared" si="7"/>
        <v>0.5</v>
      </c>
      <c r="G557" s="19">
        <v>0.2</v>
      </c>
      <c r="H557" s="19">
        <v>0.2</v>
      </c>
      <c r="I557" s="19">
        <v>0.2</v>
      </c>
      <c r="J557"/>
      <c r="K557">
        <v>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2:26" s="2" customFormat="1" x14ac:dyDescent="0.35">
      <c r="B558"/>
      <c r="C558"/>
      <c r="D558" s="18">
        <v>553</v>
      </c>
      <c r="E558" s="19">
        <v>0.5</v>
      </c>
      <c r="F558" s="19">
        <f t="shared" si="7"/>
        <v>0.5</v>
      </c>
      <c r="G558" s="19">
        <v>0.2</v>
      </c>
      <c r="H558" s="19">
        <v>0.2</v>
      </c>
      <c r="I558" s="19">
        <v>0.2</v>
      </c>
      <c r="J558"/>
      <c r="K558">
        <v>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2:26" s="2" customFormat="1" x14ac:dyDescent="0.35">
      <c r="B559"/>
      <c r="C559"/>
      <c r="D559" s="18">
        <v>554</v>
      </c>
      <c r="E559" s="19">
        <v>0.5</v>
      </c>
      <c r="F559" s="19">
        <f t="shared" si="7"/>
        <v>0.5</v>
      </c>
      <c r="G559" s="19">
        <v>0.2</v>
      </c>
      <c r="H559" s="19">
        <v>0.2</v>
      </c>
      <c r="I559" s="19">
        <v>0.2</v>
      </c>
      <c r="J559"/>
      <c r="K559">
        <v>0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2:26" s="2" customFormat="1" x14ac:dyDescent="0.35">
      <c r="B560"/>
      <c r="C560"/>
      <c r="D560" s="18">
        <v>555</v>
      </c>
      <c r="E560" s="19">
        <v>0.5</v>
      </c>
      <c r="F560" s="19">
        <f t="shared" si="7"/>
        <v>0.5</v>
      </c>
      <c r="G560" s="19">
        <v>0.2</v>
      </c>
      <c r="H560" s="19">
        <v>0.2</v>
      </c>
      <c r="I560" s="19">
        <v>0.2</v>
      </c>
      <c r="J560"/>
      <c r="K560">
        <v>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2:26" s="2" customFormat="1" x14ac:dyDescent="0.35">
      <c r="B561"/>
      <c r="C561"/>
      <c r="D561" s="18">
        <v>556</v>
      </c>
      <c r="E561" s="19">
        <v>0.5</v>
      </c>
      <c r="F561" s="19">
        <f t="shared" si="7"/>
        <v>0.5</v>
      </c>
      <c r="G561" s="19">
        <v>0.2</v>
      </c>
      <c r="H561" s="19">
        <v>0.2</v>
      </c>
      <c r="I561" s="19">
        <v>0.2</v>
      </c>
      <c r="J561"/>
      <c r="K561">
        <v>0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2:26" s="2" customFormat="1" x14ac:dyDescent="0.35">
      <c r="B562"/>
      <c r="C562"/>
      <c r="D562" s="18">
        <v>557</v>
      </c>
      <c r="E562" s="19">
        <v>0.5</v>
      </c>
      <c r="F562" s="19">
        <f t="shared" si="7"/>
        <v>0.5</v>
      </c>
      <c r="G562" s="19">
        <v>0.2</v>
      </c>
      <c r="H562" s="19">
        <v>0.2</v>
      </c>
      <c r="I562" s="19">
        <v>0.2</v>
      </c>
      <c r="J562"/>
      <c r="K562">
        <v>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2:26" s="2" customFormat="1" x14ac:dyDescent="0.35">
      <c r="B563"/>
      <c r="C563"/>
      <c r="D563" s="18">
        <v>558</v>
      </c>
      <c r="E563" s="19">
        <v>0.5</v>
      </c>
      <c r="F563" s="19">
        <f t="shared" si="7"/>
        <v>0.5</v>
      </c>
      <c r="G563" s="19">
        <v>0.2</v>
      </c>
      <c r="H563" s="19">
        <v>0.2</v>
      </c>
      <c r="I563" s="19">
        <v>0.2</v>
      </c>
      <c r="J563"/>
      <c r="K563">
        <v>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2:26" s="2" customFormat="1" x14ac:dyDescent="0.35">
      <c r="B564"/>
      <c r="C564"/>
      <c r="D564" s="18">
        <v>559</v>
      </c>
      <c r="E564" s="19">
        <v>0.5</v>
      </c>
      <c r="F564" s="19">
        <f t="shared" si="7"/>
        <v>0.5</v>
      </c>
      <c r="G564" s="19">
        <v>0.2</v>
      </c>
      <c r="H564" s="19">
        <v>0.2</v>
      </c>
      <c r="I564" s="19">
        <v>0.2</v>
      </c>
      <c r="J564"/>
      <c r="K564">
        <v>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2:26" s="2" customFormat="1" x14ac:dyDescent="0.35">
      <c r="B565"/>
      <c r="C565"/>
      <c r="D565" s="18">
        <v>560</v>
      </c>
      <c r="E565" s="19">
        <v>0.5</v>
      </c>
      <c r="F565" s="19">
        <f t="shared" si="7"/>
        <v>0.5</v>
      </c>
      <c r="G565" s="19">
        <v>0.2</v>
      </c>
      <c r="H565" s="19">
        <v>0.2</v>
      </c>
      <c r="I565" s="19">
        <v>0.2</v>
      </c>
      <c r="J565"/>
      <c r="K565">
        <v>0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2:26" s="2" customFormat="1" x14ac:dyDescent="0.35">
      <c r="B566"/>
      <c r="C566"/>
      <c r="D566" s="18">
        <v>561</v>
      </c>
      <c r="E566" s="19">
        <v>0.5</v>
      </c>
      <c r="F566" s="19">
        <f t="shared" si="7"/>
        <v>0.5</v>
      </c>
      <c r="G566" s="19">
        <v>0.2</v>
      </c>
      <c r="H566" s="19">
        <v>0.2</v>
      </c>
      <c r="I566" s="19">
        <v>0.2</v>
      </c>
      <c r="J566"/>
      <c r="K566">
        <v>0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2:26" s="2" customFormat="1" x14ac:dyDescent="0.35">
      <c r="B567"/>
      <c r="C567"/>
      <c r="D567" s="18">
        <v>562</v>
      </c>
      <c r="E567" s="19">
        <v>0.5</v>
      </c>
      <c r="F567" s="19">
        <f t="shared" si="7"/>
        <v>0.5</v>
      </c>
      <c r="G567" s="19">
        <v>0.2</v>
      </c>
      <c r="H567" s="19">
        <v>0.2</v>
      </c>
      <c r="I567" s="19">
        <v>0.2</v>
      </c>
      <c r="J567"/>
      <c r="K567">
        <v>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2:26" s="2" customFormat="1" x14ac:dyDescent="0.35">
      <c r="B568"/>
      <c r="C568"/>
      <c r="D568" s="18">
        <v>563</v>
      </c>
      <c r="E568" s="19">
        <v>0.5</v>
      </c>
      <c r="F568" s="19">
        <f t="shared" si="7"/>
        <v>0.5</v>
      </c>
      <c r="G568" s="19">
        <v>0.2</v>
      </c>
      <c r="H568" s="19">
        <v>0.2</v>
      </c>
      <c r="I568" s="19">
        <v>0.2</v>
      </c>
      <c r="J568"/>
      <c r="K568">
        <v>0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2:26" s="2" customFormat="1" x14ac:dyDescent="0.35">
      <c r="B569"/>
      <c r="C569"/>
      <c r="D569" s="18">
        <v>564</v>
      </c>
      <c r="E569" s="19">
        <v>0.5</v>
      </c>
      <c r="F569" s="19">
        <f t="shared" si="7"/>
        <v>0.5</v>
      </c>
      <c r="G569" s="19">
        <v>0.2</v>
      </c>
      <c r="H569" s="19">
        <v>0.2</v>
      </c>
      <c r="I569" s="19">
        <v>0.2</v>
      </c>
      <c r="J569"/>
      <c r="K569">
        <v>0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2:26" s="2" customFormat="1" x14ac:dyDescent="0.35">
      <c r="B570"/>
      <c r="C570"/>
      <c r="D570" s="18">
        <v>565</v>
      </c>
      <c r="E570" s="19">
        <v>0.5</v>
      </c>
      <c r="F570" s="19">
        <f t="shared" si="7"/>
        <v>0.5</v>
      </c>
      <c r="G570" s="19">
        <v>0.2</v>
      </c>
      <c r="H570" s="19">
        <v>0.2</v>
      </c>
      <c r="I570" s="19">
        <v>0.2</v>
      </c>
      <c r="J570"/>
      <c r="K570">
        <v>0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2:26" s="2" customFormat="1" x14ac:dyDescent="0.35">
      <c r="B571"/>
      <c r="C571"/>
      <c r="D571" s="18">
        <v>566</v>
      </c>
      <c r="E571" s="19">
        <v>0.5</v>
      </c>
      <c r="F571" s="19">
        <f t="shared" si="7"/>
        <v>0.5</v>
      </c>
      <c r="G571" s="19">
        <v>0.2</v>
      </c>
      <c r="H571" s="19">
        <v>0.2</v>
      </c>
      <c r="I571" s="19">
        <v>0.2</v>
      </c>
      <c r="J571"/>
      <c r="K571">
        <v>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2:26" s="2" customFormat="1" x14ac:dyDescent="0.35">
      <c r="B572"/>
      <c r="C572"/>
      <c r="D572" s="18">
        <v>567</v>
      </c>
      <c r="E572" s="19">
        <v>0.5</v>
      </c>
      <c r="F572" s="19">
        <f t="shared" si="7"/>
        <v>0.5</v>
      </c>
      <c r="G572" s="19">
        <v>0.2</v>
      </c>
      <c r="H572" s="19">
        <v>0.2</v>
      </c>
      <c r="I572" s="19">
        <v>0.2</v>
      </c>
      <c r="J572"/>
      <c r="K572">
        <v>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2:26" s="2" customFormat="1" x14ac:dyDescent="0.35">
      <c r="B573"/>
      <c r="C573"/>
      <c r="D573" s="18">
        <v>568</v>
      </c>
      <c r="E573" s="19">
        <v>0.5</v>
      </c>
      <c r="F573" s="19">
        <f t="shared" si="7"/>
        <v>0.5</v>
      </c>
      <c r="G573" s="19">
        <v>0.2</v>
      </c>
      <c r="H573" s="19">
        <v>0.2</v>
      </c>
      <c r="I573" s="19">
        <v>0.2</v>
      </c>
      <c r="J573"/>
      <c r="K573">
        <v>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2:26" s="2" customFormat="1" x14ac:dyDescent="0.35">
      <c r="B574"/>
      <c r="C574"/>
      <c r="D574" s="18">
        <v>569</v>
      </c>
      <c r="E574" s="19">
        <v>0.5</v>
      </c>
      <c r="F574" s="19">
        <f t="shared" si="7"/>
        <v>0.5</v>
      </c>
      <c r="G574" s="19">
        <v>0.2</v>
      </c>
      <c r="H574" s="19">
        <v>0.2</v>
      </c>
      <c r="I574" s="19">
        <v>0.2</v>
      </c>
      <c r="J574"/>
      <c r="K574">
        <v>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2:26" s="2" customFormat="1" x14ac:dyDescent="0.35">
      <c r="B575"/>
      <c r="C575"/>
      <c r="D575" s="18">
        <v>570</v>
      </c>
      <c r="E575" s="19">
        <v>0.5</v>
      </c>
      <c r="F575" s="19">
        <f t="shared" si="7"/>
        <v>0.5</v>
      </c>
      <c r="G575" s="19">
        <v>0.2</v>
      </c>
      <c r="H575" s="19">
        <v>0.2</v>
      </c>
      <c r="I575" s="19">
        <v>0.2</v>
      </c>
      <c r="J575"/>
      <c r="K575">
        <v>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2:26" s="2" customFormat="1" x14ac:dyDescent="0.35">
      <c r="B576"/>
      <c r="C576"/>
      <c r="D576" s="18">
        <v>571</v>
      </c>
      <c r="E576" s="19">
        <v>0.5</v>
      </c>
      <c r="F576" s="19">
        <f t="shared" si="7"/>
        <v>0.5</v>
      </c>
      <c r="G576" s="19">
        <v>0.2</v>
      </c>
      <c r="H576" s="19">
        <v>0.2</v>
      </c>
      <c r="I576" s="19">
        <v>0.2</v>
      </c>
      <c r="J576"/>
      <c r="K576">
        <v>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2:26" s="2" customFormat="1" x14ac:dyDescent="0.35">
      <c r="B577"/>
      <c r="C577"/>
      <c r="D577" s="18">
        <v>572</v>
      </c>
      <c r="E577" s="19">
        <v>0.5</v>
      </c>
      <c r="F577" s="19">
        <f t="shared" si="7"/>
        <v>0.5</v>
      </c>
      <c r="G577" s="19">
        <v>0.2</v>
      </c>
      <c r="H577" s="19">
        <v>0.2</v>
      </c>
      <c r="I577" s="19">
        <v>0.2</v>
      </c>
      <c r="J577"/>
      <c r="K577">
        <v>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2:26" s="2" customFormat="1" x14ac:dyDescent="0.35">
      <c r="B578"/>
      <c r="C578"/>
      <c r="D578" s="18">
        <v>573</v>
      </c>
      <c r="E578" s="19">
        <v>0.5</v>
      </c>
      <c r="F578" s="19">
        <f t="shared" si="7"/>
        <v>0.5</v>
      </c>
      <c r="G578" s="19">
        <v>0.2</v>
      </c>
      <c r="H578" s="19">
        <v>0.2</v>
      </c>
      <c r="I578" s="19">
        <v>0.2</v>
      </c>
      <c r="J578"/>
      <c r="K578">
        <v>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2:26" s="2" customFormat="1" x14ac:dyDescent="0.35">
      <c r="B579"/>
      <c r="C579"/>
      <c r="D579" s="18">
        <v>574</v>
      </c>
      <c r="E579" s="19">
        <v>0.5</v>
      </c>
      <c r="F579" s="19">
        <f t="shared" si="7"/>
        <v>0.5</v>
      </c>
      <c r="G579" s="19">
        <v>0.2</v>
      </c>
      <c r="H579" s="19">
        <v>0.2</v>
      </c>
      <c r="I579" s="19">
        <v>0.2</v>
      </c>
      <c r="J579"/>
      <c r="K579">
        <v>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2:26" s="2" customFormat="1" x14ac:dyDescent="0.35">
      <c r="B580"/>
      <c r="C580"/>
      <c r="D580" s="18">
        <v>575</v>
      </c>
      <c r="E580" s="19">
        <v>0.5</v>
      </c>
      <c r="F580" s="19">
        <f t="shared" si="7"/>
        <v>0.5</v>
      </c>
      <c r="G580" s="19">
        <v>0.2</v>
      </c>
      <c r="H580" s="19">
        <v>0.2</v>
      </c>
      <c r="I580" s="19">
        <v>0.2</v>
      </c>
      <c r="J580"/>
      <c r="K580">
        <v>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2:26" s="2" customFormat="1" x14ac:dyDescent="0.35">
      <c r="B581"/>
      <c r="C581"/>
      <c r="D581" s="18">
        <v>576</v>
      </c>
      <c r="E581" s="19">
        <v>0.5</v>
      </c>
      <c r="F581" s="19">
        <f t="shared" si="7"/>
        <v>0.5</v>
      </c>
      <c r="G581" s="19">
        <v>0.2</v>
      </c>
      <c r="H581" s="19">
        <v>0.2</v>
      </c>
      <c r="I581" s="19">
        <v>0.2</v>
      </c>
      <c r="J581"/>
      <c r="K581">
        <v>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2:26" s="2" customFormat="1" x14ac:dyDescent="0.35">
      <c r="B582"/>
      <c r="C582"/>
      <c r="D582" s="18">
        <v>577</v>
      </c>
      <c r="E582" s="19">
        <v>0.5</v>
      </c>
      <c r="F582" s="19">
        <f t="shared" si="7"/>
        <v>0.5</v>
      </c>
      <c r="G582" s="19">
        <v>0.2</v>
      </c>
      <c r="H582" s="19">
        <v>0.2</v>
      </c>
      <c r="I582" s="19">
        <v>0.2</v>
      </c>
      <c r="J582"/>
      <c r="K582">
        <v>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2:26" s="2" customFormat="1" x14ac:dyDescent="0.35">
      <c r="B583"/>
      <c r="C583"/>
      <c r="D583" s="18">
        <v>578</v>
      </c>
      <c r="E583" s="19">
        <v>0.5</v>
      </c>
      <c r="F583" s="19">
        <f t="shared" si="7"/>
        <v>0.5</v>
      </c>
      <c r="G583" s="19">
        <v>0.2</v>
      </c>
      <c r="H583" s="19">
        <v>0.2</v>
      </c>
      <c r="I583" s="19">
        <v>0.2</v>
      </c>
      <c r="J583"/>
      <c r="K583">
        <v>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2:26" s="2" customFormat="1" x14ac:dyDescent="0.35">
      <c r="B584"/>
      <c r="C584"/>
      <c r="D584" s="18">
        <v>579</v>
      </c>
      <c r="E584" s="19">
        <v>0.5</v>
      </c>
      <c r="F584" s="19">
        <f t="shared" si="7"/>
        <v>0.5</v>
      </c>
      <c r="G584" s="19">
        <v>0.2</v>
      </c>
      <c r="H584" s="19">
        <v>0.2</v>
      </c>
      <c r="I584" s="19">
        <v>0.2</v>
      </c>
      <c r="J584"/>
      <c r="K584">
        <v>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2:26" s="2" customFormat="1" x14ac:dyDescent="0.35">
      <c r="B585"/>
      <c r="C585"/>
      <c r="D585" s="18">
        <v>580</v>
      </c>
      <c r="E585" s="19">
        <v>0.5</v>
      </c>
      <c r="F585" s="19">
        <f t="shared" si="7"/>
        <v>0.5</v>
      </c>
      <c r="G585" s="19">
        <v>0.2</v>
      </c>
      <c r="H585" s="19">
        <v>0.2</v>
      </c>
      <c r="I585" s="19">
        <v>0.2</v>
      </c>
      <c r="J585"/>
      <c r="K585">
        <v>0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2:26" s="2" customFormat="1" x14ac:dyDescent="0.35">
      <c r="B586"/>
      <c r="C586"/>
      <c r="D586" s="18">
        <v>581</v>
      </c>
      <c r="E586" s="19">
        <v>0.5</v>
      </c>
      <c r="F586" s="19">
        <f t="shared" si="7"/>
        <v>0.5</v>
      </c>
      <c r="G586" s="19">
        <v>0.2</v>
      </c>
      <c r="H586" s="19">
        <v>0.2</v>
      </c>
      <c r="I586" s="19">
        <v>0.2</v>
      </c>
      <c r="J586"/>
      <c r="K586">
        <v>0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2:26" s="2" customFormat="1" x14ac:dyDescent="0.35">
      <c r="B587"/>
      <c r="C587"/>
      <c r="D587" s="18">
        <v>582</v>
      </c>
      <c r="E587" s="19">
        <v>0.5</v>
      </c>
      <c r="F587" s="19">
        <f t="shared" si="7"/>
        <v>0.5</v>
      </c>
      <c r="G587" s="19">
        <v>0.2</v>
      </c>
      <c r="H587" s="19">
        <v>0.2</v>
      </c>
      <c r="I587" s="19">
        <v>0.2</v>
      </c>
      <c r="J587"/>
      <c r="K587">
        <v>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2:26" s="2" customFormat="1" x14ac:dyDescent="0.35">
      <c r="B588"/>
      <c r="C588"/>
      <c r="D588" s="18">
        <v>583</v>
      </c>
      <c r="E588" s="19">
        <v>0.5</v>
      </c>
      <c r="F588" s="19">
        <f t="shared" si="7"/>
        <v>0.5</v>
      </c>
      <c r="G588" s="19">
        <v>0.2</v>
      </c>
      <c r="H588" s="19">
        <v>0.2</v>
      </c>
      <c r="I588" s="19">
        <v>0.2</v>
      </c>
      <c r="J588"/>
      <c r="K588">
        <v>0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2:26" s="2" customFormat="1" x14ac:dyDescent="0.35">
      <c r="B589"/>
      <c r="C589"/>
      <c r="D589" s="18">
        <v>584</v>
      </c>
      <c r="E589" s="19">
        <v>0.5</v>
      </c>
      <c r="F589" s="19">
        <f t="shared" si="7"/>
        <v>0.5</v>
      </c>
      <c r="G589" s="19">
        <v>0.2</v>
      </c>
      <c r="H589" s="19">
        <v>0.2</v>
      </c>
      <c r="I589" s="19">
        <v>0.2</v>
      </c>
      <c r="J589"/>
      <c r="K589">
        <v>0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2:26" s="2" customFormat="1" x14ac:dyDescent="0.35">
      <c r="B590"/>
      <c r="C590"/>
      <c r="D590" s="18">
        <v>585</v>
      </c>
      <c r="E590" s="19">
        <v>0.5</v>
      </c>
      <c r="F590" s="19">
        <f t="shared" si="7"/>
        <v>0.5</v>
      </c>
      <c r="G590" s="19">
        <v>0.2</v>
      </c>
      <c r="H590" s="19">
        <v>0.2</v>
      </c>
      <c r="I590" s="19">
        <v>0.2</v>
      </c>
      <c r="J590"/>
      <c r="K590">
        <v>0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2:26" s="2" customFormat="1" x14ac:dyDescent="0.35">
      <c r="B591"/>
      <c r="C591"/>
      <c r="D591" s="18">
        <v>586</v>
      </c>
      <c r="E591" s="19">
        <v>0.5</v>
      </c>
      <c r="F591" s="19">
        <f t="shared" si="7"/>
        <v>0.5</v>
      </c>
      <c r="G591" s="19">
        <v>0.2</v>
      </c>
      <c r="H591" s="19">
        <v>0.2</v>
      </c>
      <c r="I591" s="19">
        <v>0.2</v>
      </c>
      <c r="J591"/>
      <c r="K591">
        <v>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2:26" s="2" customFormat="1" x14ac:dyDescent="0.35">
      <c r="B592"/>
      <c r="C592"/>
      <c r="D592" s="18">
        <v>587</v>
      </c>
      <c r="E592" s="19">
        <v>0.5</v>
      </c>
      <c r="F592" s="19">
        <f t="shared" si="7"/>
        <v>0.5</v>
      </c>
      <c r="G592" s="19">
        <v>0.2</v>
      </c>
      <c r="H592" s="19">
        <v>0.2</v>
      </c>
      <c r="I592" s="19">
        <v>0.2</v>
      </c>
      <c r="J592"/>
      <c r="K592">
        <v>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2:26" s="2" customFormat="1" x14ac:dyDescent="0.35">
      <c r="B593"/>
      <c r="C593"/>
      <c r="D593" s="18">
        <v>588</v>
      </c>
      <c r="E593" s="19">
        <v>0.5</v>
      </c>
      <c r="F593" s="19">
        <f t="shared" si="7"/>
        <v>0.5</v>
      </c>
      <c r="G593" s="19">
        <v>0.2</v>
      </c>
      <c r="H593" s="19">
        <v>0.2</v>
      </c>
      <c r="I593" s="19">
        <v>0.2</v>
      </c>
      <c r="J593"/>
      <c r="K593">
        <v>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2:26" s="2" customFormat="1" x14ac:dyDescent="0.35">
      <c r="B594"/>
      <c r="C594"/>
      <c r="D594" s="18">
        <v>589</v>
      </c>
      <c r="E594" s="19">
        <v>0.5</v>
      </c>
      <c r="F594" s="19">
        <f t="shared" si="7"/>
        <v>0.5</v>
      </c>
      <c r="G594" s="19">
        <v>0.2</v>
      </c>
      <c r="H594" s="19">
        <v>0.2</v>
      </c>
      <c r="I594" s="19">
        <v>0.2</v>
      </c>
      <c r="J594"/>
      <c r="K594">
        <v>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2:26" s="2" customFormat="1" x14ac:dyDescent="0.35">
      <c r="B595"/>
      <c r="C595"/>
      <c r="D595" s="18">
        <v>590</v>
      </c>
      <c r="E595" s="19">
        <v>0.5</v>
      </c>
      <c r="F595" s="19">
        <f t="shared" si="7"/>
        <v>0.5</v>
      </c>
      <c r="G595" s="19">
        <v>0.2</v>
      </c>
      <c r="H595" s="19">
        <v>0.2</v>
      </c>
      <c r="I595" s="19">
        <v>0.2</v>
      </c>
      <c r="J595"/>
      <c r="K595">
        <v>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2:26" s="2" customFormat="1" x14ac:dyDescent="0.35">
      <c r="B596"/>
      <c r="C596"/>
      <c r="D596" s="18">
        <v>591</v>
      </c>
      <c r="E596" s="19">
        <v>0.5</v>
      </c>
      <c r="F596" s="19">
        <f t="shared" si="7"/>
        <v>0.5</v>
      </c>
      <c r="G596" s="19">
        <v>0.2</v>
      </c>
      <c r="H596" s="19">
        <v>0.2</v>
      </c>
      <c r="I596" s="19">
        <v>0.2</v>
      </c>
      <c r="J596"/>
      <c r="K596">
        <v>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2:26" s="2" customFormat="1" x14ac:dyDescent="0.35">
      <c r="B597"/>
      <c r="C597"/>
      <c r="D597" s="18">
        <v>592</v>
      </c>
      <c r="E597" s="19">
        <v>0.5</v>
      </c>
      <c r="F597" s="19">
        <f t="shared" si="7"/>
        <v>0.5</v>
      </c>
      <c r="G597" s="19">
        <v>0.2</v>
      </c>
      <c r="H597" s="19">
        <v>0.2</v>
      </c>
      <c r="I597" s="19">
        <v>0.2</v>
      </c>
      <c r="J597"/>
      <c r="K597">
        <v>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2:26" s="2" customFormat="1" x14ac:dyDescent="0.35">
      <c r="B598"/>
      <c r="C598"/>
      <c r="D598" s="18">
        <v>593</v>
      </c>
      <c r="E598" s="19">
        <v>0.5</v>
      </c>
      <c r="F598" s="19">
        <f t="shared" si="7"/>
        <v>0.5</v>
      </c>
      <c r="G598" s="19">
        <v>0.2</v>
      </c>
      <c r="H598" s="19">
        <v>0.2</v>
      </c>
      <c r="I598" s="19">
        <v>0.2</v>
      </c>
      <c r="J598"/>
      <c r="K598">
        <v>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2:26" s="2" customFormat="1" x14ac:dyDescent="0.35">
      <c r="B599"/>
      <c r="C599"/>
      <c r="D599" s="18">
        <v>594</v>
      </c>
      <c r="E599" s="19">
        <v>0.5</v>
      </c>
      <c r="F599" s="19">
        <f t="shared" si="7"/>
        <v>0.5</v>
      </c>
      <c r="G599" s="19">
        <v>0.2</v>
      </c>
      <c r="H599" s="19">
        <v>0.2</v>
      </c>
      <c r="I599" s="19">
        <v>0.2</v>
      </c>
      <c r="J599"/>
      <c r="K599">
        <v>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2:26" s="2" customFormat="1" x14ac:dyDescent="0.35">
      <c r="B600"/>
      <c r="C600"/>
      <c r="D600" s="18">
        <v>595</v>
      </c>
      <c r="E600" s="19">
        <v>0.5</v>
      </c>
      <c r="F600" s="19">
        <f t="shared" si="7"/>
        <v>0.5</v>
      </c>
      <c r="G600" s="19">
        <v>0.2</v>
      </c>
      <c r="H600" s="19">
        <v>0.2</v>
      </c>
      <c r="I600" s="19">
        <v>0.2</v>
      </c>
      <c r="J600"/>
      <c r="K600">
        <v>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2:26" s="2" customFormat="1" x14ac:dyDescent="0.35">
      <c r="B601"/>
      <c r="C601"/>
      <c r="D601" s="18">
        <v>596</v>
      </c>
      <c r="E601" s="19">
        <v>0.5</v>
      </c>
      <c r="F601" s="19">
        <f t="shared" si="7"/>
        <v>0.5</v>
      </c>
      <c r="G601" s="19">
        <v>0.2</v>
      </c>
      <c r="H601" s="19">
        <v>0.2</v>
      </c>
      <c r="I601" s="19">
        <v>0.2</v>
      </c>
      <c r="J601"/>
      <c r="K601">
        <v>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2:26" s="2" customFormat="1" x14ac:dyDescent="0.35">
      <c r="B602"/>
      <c r="C602"/>
      <c r="D602" s="18">
        <v>597</v>
      </c>
      <c r="E602" s="19">
        <v>0.5</v>
      </c>
      <c r="F602" s="19">
        <f t="shared" si="7"/>
        <v>0.5</v>
      </c>
      <c r="G602" s="19">
        <v>0.2</v>
      </c>
      <c r="H602" s="19">
        <v>0.2</v>
      </c>
      <c r="I602" s="19">
        <v>0.2</v>
      </c>
      <c r="J602"/>
      <c r="K602">
        <v>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2:26" s="2" customFormat="1" x14ac:dyDescent="0.35">
      <c r="B603"/>
      <c r="C603"/>
      <c r="D603" s="18">
        <v>598</v>
      </c>
      <c r="E603" s="19">
        <v>0.5</v>
      </c>
      <c r="F603" s="19">
        <f t="shared" si="7"/>
        <v>0.5</v>
      </c>
      <c r="G603" s="19">
        <v>0.2</v>
      </c>
      <c r="H603" s="19">
        <v>0.2</v>
      </c>
      <c r="I603" s="19">
        <v>0.2</v>
      </c>
      <c r="J603"/>
      <c r="K603">
        <v>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2:26" s="2" customFormat="1" x14ac:dyDescent="0.35">
      <c r="B604"/>
      <c r="C604"/>
      <c r="D604" s="18">
        <v>599</v>
      </c>
      <c r="E604" s="19">
        <v>0.5</v>
      </c>
      <c r="F604" s="19">
        <f t="shared" si="7"/>
        <v>0.5</v>
      </c>
      <c r="G604" s="19">
        <v>0.2</v>
      </c>
      <c r="H604" s="19">
        <v>0.2</v>
      </c>
      <c r="I604" s="19">
        <v>0.2</v>
      </c>
      <c r="J604"/>
      <c r="K604">
        <v>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2:26" s="2" customFormat="1" x14ac:dyDescent="0.35">
      <c r="B605"/>
      <c r="C605"/>
      <c r="D605" s="18">
        <v>600</v>
      </c>
      <c r="E605" s="19">
        <v>0.5</v>
      </c>
      <c r="F605" s="19">
        <f t="shared" si="7"/>
        <v>0.5</v>
      </c>
      <c r="G605" s="19">
        <v>0.2</v>
      </c>
      <c r="H605" s="19">
        <v>0.2</v>
      </c>
      <c r="I605" s="19">
        <v>0.2</v>
      </c>
      <c r="J605"/>
      <c r="K605">
        <v>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2:26" s="2" customFormat="1" x14ac:dyDescent="0.35">
      <c r="B606"/>
      <c r="C606"/>
      <c r="D606" s="18">
        <v>601</v>
      </c>
      <c r="E606" s="19">
        <v>0.5</v>
      </c>
      <c r="F606" s="19">
        <f t="shared" si="7"/>
        <v>0.5</v>
      </c>
      <c r="G606" s="19">
        <v>0.2</v>
      </c>
      <c r="H606" s="19">
        <v>0.2</v>
      </c>
      <c r="I606" s="19">
        <v>0.2</v>
      </c>
      <c r="J606"/>
      <c r="K606">
        <v>0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2:26" s="2" customFormat="1" x14ac:dyDescent="0.35">
      <c r="B607"/>
      <c r="C607"/>
      <c r="D607" s="18">
        <v>602</v>
      </c>
      <c r="E607" s="19">
        <v>0.5</v>
      </c>
      <c r="F607" s="19">
        <f t="shared" si="7"/>
        <v>0.5</v>
      </c>
      <c r="G607" s="19">
        <v>0.2</v>
      </c>
      <c r="H607" s="19">
        <v>0.2</v>
      </c>
      <c r="I607" s="19">
        <v>0.2</v>
      </c>
      <c r="J607"/>
      <c r="K607">
        <v>0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2:26" s="2" customFormat="1" x14ac:dyDescent="0.35">
      <c r="B608"/>
      <c r="C608"/>
      <c r="D608" s="18">
        <v>603</v>
      </c>
      <c r="E608" s="19">
        <v>0.5</v>
      </c>
      <c r="F608" s="19">
        <f t="shared" si="7"/>
        <v>0.5</v>
      </c>
      <c r="G608" s="19">
        <v>0.2</v>
      </c>
      <c r="H608" s="19">
        <v>0.2</v>
      </c>
      <c r="I608" s="19">
        <v>0.2</v>
      </c>
      <c r="J608"/>
      <c r="K608">
        <v>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2:26" s="2" customFormat="1" x14ac:dyDescent="0.35">
      <c r="B609"/>
      <c r="C609"/>
      <c r="D609" s="18">
        <v>604</v>
      </c>
      <c r="E609" s="19">
        <v>0.5</v>
      </c>
      <c r="F609" s="19">
        <f t="shared" si="7"/>
        <v>0.5</v>
      </c>
      <c r="G609" s="19">
        <v>0.2</v>
      </c>
      <c r="H609" s="19">
        <v>0.2</v>
      </c>
      <c r="I609" s="19">
        <v>0.2</v>
      </c>
      <c r="J609"/>
      <c r="K609">
        <v>0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2:26" s="2" customFormat="1" x14ac:dyDescent="0.35">
      <c r="B610"/>
      <c r="C610"/>
      <c r="D610" s="18">
        <v>605</v>
      </c>
      <c r="E610" s="19">
        <v>0.5</v>
      </c>
      <c r="F610" s="19">
        <f t="shared" si="7"/>
        <v>0.5</v>
      </c>
      <c r="G610" s="19">
        <v>0.2</v>
      </c>
      <c r="H610" s="19">
        <v>0.2</v>
      </c>
      <c r="I610" s="19">
        <v>0.2</v>
      </c>
      <c r="J610"/>
      <c r="K610">
        <v>0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2:26" s="2" customFormat="1" x14ac:dyDescent="0.35">
      <c r="B611"/>
      <c r="C611"/>
      <c r="D611" s="18">
        <v>606</v>
      </c>
      <c r="E611" s="19">
        <v>0.5</v>
      </c>
      <c r="F611" s="19">
        <f t="shared" si="7"/>
        <v>0.5</v>
      </c>
      <c r="G611" s="19">
        <v>0.2</v>
      </c>
      <c r="H611" s="19">
        <v>0.2</v>
      </c>
      <c r="I611" s="19">
        <v>0.2</v>
      </c>
      <c r="J611"/>
      <c r="K611">
        <v>0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2:26" s="2" customFormat="1" x14ac:dyDescent="0.35">
      <c r="B612"/>
      <c r="C612"/>
      <c r="D612" s="18">
        <v>607</v>
      </c>
      <c r="E612" s="19">
        <v>0.5</v>
      </c>
      <c r="F612" s="19">
        <f t="shared" si="7"/>
        <v>0.5</v>
      </c>
      <c r="G612" s="19">
        <v>0.2</v>
      </c>
      <c r="H612" s="19">
        <v>0.2</v>
      </c>
      <c r="I612" s="19">
        <v>0.2</v>
      </c>
      <c r="J612"/>
      <c r="K612">
        <v>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2:26" s="2" customFormat="1" x14ac:dyDescent="0.35">
      <c r="B613"/>
      <c r="C613"/>
      <c r="D613" s="18">
        <v>608</v>
      </c>
      <c r="E613" s="19">
        <v>0.5</v>
      </c>
      <c r="F613" s="19">
        <f t="shared" si="7"/>
        <v>0.5</v>
      </c>
      <c r="G613" s="19">
        <v>0.2</v>
      </c>
      <c r="H613" s="19">
        <v>0.2</v>
      </c>
      <c r="I613" s="19">
        <v>0.2</v>
      </c>
      <c r="J613"/>
      <c r="K613">
        <v>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2:26" s="2" customFormat="1" x14ac:dyDescent="0.35">
      <c r="B614"/>
      <c r="C614"/>
      <c r="D614" s="18">
        <v>609</v>
      </c>
      <c r="E614" s="19">
        <v>0.5</v>
      </c>
      <c r="F614" s="19">
        <f t="shared" si="7"/>
        <v>0.5</v>
      </c>
      <c r="G614" s="19">
        <v>0.2</v>
      </c>
      <c r="H614" s="19">
        <v>0.2</v>
      </c>
      <c r="I614" s="19">
        <v>0.2</v>
      </c>
      <c r="J614"/>
      <c r="K614">
        <v>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2:26" s="2" customFormat="1" x14ac:dyDescent="0.35">
      <c r="B615"/>
      <c r="C615"/>
      <c r="D615" s="18">
        <v>610</v>
      </c>
      <c r="E615" s="19">
        <v>0.5</v>
      </c>
      <c r="F615" s="19">
        <f t="shared" si="7"/>
        <v>0.5</v>
      </c>
      <c r="G615" s="19">
        <v>0.2</v>
      </c>
      <c r="H615" s="19">
        <v>0.2</v>
      </c>
      <c r="I615" s="19">
        <v>0.2</v>
      </c>
      <c r="J615"/>
      <c r="K615">
        <v>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2:26" s="2" customFormat="1" x14ac:dyDescent="0.35">
      <c r="B616"/>
      <c r="C616"/>
      <c r="D616" s="18">
        <v>611</v>
      </c>
      <c r="E616" s="19">
        <v>0.5</v>
      </c>
      <c r="F616" s="19">
        <f t="shared" si="7"/>
        <v>0.5</v>
      </c>
      <c r="G616" s="19">
        <v>0.2</v>
      </c>
      <c r="H616" s="19">
        <v>0.2</v>
      </c>
      <c r="I616" s="19">
        <v>0.2</v>
      </c>
      <c r="J616"/>
      <c r="K616">
        <v>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2:26" s="2" customFormat="1" x14ac:dyDescent="0.35">
      <c r="B617"/>
      <c r="C617"/>
      <c r="D617" s="18">
        <v>612</v>
      </c>
      <c r="E617" s="19">
        <v>0.5</v>
      </c>
      <c r="F617" s="19">
        <f t="shared" si="7"/>
        <v>0.5</v>
      </c>
      <c r="G617" s="19">
        <v>0.2</v>
      </c>
      <c r="H617" s="19">
        <v>0.2</v>
      </c>
      <c r="I617" s="19">
        <v>0.2</v>
      </c>
      <c r="J617"/>
      <c r="K617">
        <v>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2:26" s="2" customFormat="1" x14ac:dyDescent="0.35">
      <c r="B618"/>
      <c r="C618"/>
      <c r="D618" s="18">
        <v>613</v>
      </c>
      <c r="E618" s="19">
        <v>0.5</v>
      </c>
      <c r="F618" s="19">
        <f t="shared" si="7"/>
        <v>0.5</v>
      </c>
      <c r="G618" s="19">
        <v>0.2</v>
      </c>
      <c r="H618" s="19">
        <v>0.2</v>
      </c>
      <c r="I618" s="19">
        <v>0.2</v>
      </c>
      <c r="J618"/>
      <c r="K618">
        <v>0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2:26" s="2" customFormat="1" x14ac:dyDescent="0.35">
      <c r="B619"/>
      <c r="C619"/>
      <c r="D619" s="18">
        <v>614</v>
      </c>
      <c r="E619" s="19">
        <v>0.5</v>
      </c>
      <c r="F619" s="19">
        <f t="shared" ref="F619:F682" si="8">E619</f>
        <v>0.5</v>
      </c>
      <c r="G619" s="19">
        <v>0.2</v>
      </c>
      <c r="H619" s="19">
        <v>0.2</v>
      </c>
      <c r="I619" s="19">
        <v>0.2</v>
      </c>
      <c r="J619"/>
      <c r="K619">
        <v>0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2:26" s="2" customFormat="1" x14ac:dyDescent="0.35">
      <c r="B620"/>
      <c r="C620"/>
      <c r="D620" s="18">
        <v>615</v>
      </c>
      <c r="E620" s="19">
        <v>0.5</v>
      </c>
      <c r="F620" s="19">
        <f t="shared" si="8"/>
        <v>0.5</v>
      </c>
      <c r="G620" s="19">
        <v>0.2</v>
      </c>
      <c r="H620" s="19">
        <v>0.2</v>
      </c>
      <c r="I620" s="19">
        <v>0.2</v>
      </c>
      <c r="J620"/>
      <c r="K620">
        <v>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2:26" s="2" customFormat="1" x14ac:dyDescent="0.35">
      <c r="B621"/>
      <c r="C621"/>
      <c r="D621" s="18">
        <v>616</v>
      </c>
      <c r="E621" s="19">
        <v>0.5</v>
      </c>
      <c r="F621" s="19">
        <f t="shared" si="8"/>
        <v>0.5</v>
      </c>
      <c r="G621" s="19">
        <v>0.2</v>
      </c>
      <c r="H621" s="19">
        <v>0.2</v>
      </c>
      <c r="I621" s="19">
        <v>0.2</v>
      </c>
      <c r="J621"/>
      <c r="K621">
        <v>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2:26" s="2" customFormat="1" x14ac:dyDescent="0.35">
      <c r="B622"/>
      <c r="C622"/>
      <c r="D622" s="18">
        <v>617</v>
      </c>
      <c r="E622" s="19">
        <v>0.5</v>
      </c>
      <c r="F622" s="19">
        <f t="shared" si="8"/>
        <v>0.5</v>
      </c>
      <c r="G622" s="19">
        <v>0.2</v>
      </c>
      <c r="H622" s="19">
        <v>0.2</v>
      </c>
      <c r="I622" s="19">
        <v>0.2</v>
      </c>
      <c r="J622"/>
      <c r="K622">
        <v>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2:26" s="2" customFormat="1" x14ac:dyDescent="0.35">
      <c r="B623"/>
      <c r="C623"/>
      <c r="D623" s="18">
        <v>618</v>
      </c>
      <c r="E623" s="19">
        <v>0.5</v>
      </c>
      <c r="F623" s="19">
        <f t="shared" si="8"/>
        <v>0.5</v>
      </c>
      <c r="G623" s="19">
        <v>0.2</v>
      </c>
      <c r="H623" s="19">
        <v>0.2</v>
      </c>
      <c r="I623" s="19">
        <v>0.2</v>
      </c>
      <c r="J623"/>
      <c r="K623">
        <v>0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2:26" s="2" customFormat="1" x14ac:dyDescent="0.35">
      <c r="B624"/>
      <c r="C624"/>
      <c r="D624" s="18">
        <v>619</v>
      </c>
      <c r="E624" s="19">
        <v>0.5</v>
      </c>
      <c r="F624" s="19">
        <f t="shared" si="8"/>
        <v>0.5</v>
      </c>
      <c r="G624" s="19">
        <v>0.2</v>
      </c>
      <c r="H624" s="19">
        <v>0.2</v>
      </c>
      <c r="I624" s="19">
        <v>0.2</v>
      </c>
      <c r="J624"/>
      <c r="K624">
        <v>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2:26" s="2" customFormat="1" x14ac:dyDescent="0.35">
      <c r="B625"/>
      <c r="C625"/>
      <c r="D625" s="18">
        <v>620</v>
      </c>
      <c r="E625" s="19">
        <v>0.5</v>
      </c>
      <c r="F625" s="19">
        <f t="shared" si="8"/>
        <v>0.5</v>
      </c>
      <c r="G625" s="19">
        <v>0.2</v>
      </c>
      <c r="H625" s="19">
        <v>0.2</v>
      </c>
      <c r="I625" s="19">
        <v>0.2</v>
      </c>
      <c r="J625"/>
      <c r="K625">
        <v>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2:26" s="2" customFormat="1" x14ac:dyDescent="0.35">
      <c r="B626"/>
      <c r="C626"/>
      <c r="D626" s="18">
        <v>621</v>
      </c>
      <c r="E626" s="19">
        <v>0.5</v>
      </c>
      <c r="F626" s="19">
        <f t="shared" si="8"/>
        <v>0.5</v>
      </c>
      <c r="G626" s="19">
        <v>0.2</v>
      </c>
      <c r="H626" s="19">
        <v>0.2</v>
      </c>
      <c r="I626" s="19">
        <v>0.2</v>
      </c>
      <c r="J626"/>
      <c r="K626">
        <v>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2:26" s="2" customFormat="1" x14ac:dyDescent="0.35">
      <c r="B627"/>
      <c r="C627"/>
      <c r="D627" s="18">
        <v>622</v>
      </c>
      <c r="E627" s="19">
        <v>0.5</v>
      </c>
      <c r="F627" s="19">
        <f t="shared" si="8"/>
        <v>0.5</v>
      </c>
      <c r="G627" s="19">
        <v>0.2</v>
      </c>
      <c r="H627" s="19">
        <v>0.2</v>
      </c>
      <c r="I627" s="19">
        <v>0.2</v>
      </c>
      <c r="J627"/>
      <c r="K627">
        <v>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2:26" s="2" customFormat="1" x14ac:dyDescent="0.35">
      <c r="B628"/>
      <c r="C628"/>
      <c r="D628" s="18">
        <v>623</v>
      </c>
      <c r="E628" s="19">
        <v>0.5</v>
      </c>
      <c r="F628" s="19">
        <f t="shared" si="8"/>
        <v>0.5</v>
      </c>
      <c r="G628" s="19">
        <v>0.2</v>
      </c>
      <c r="H628" s="19">
        <v>0.2</v>
      </c>
      <c r="I628" s="19">
        <v>0.2</v>
      </c>
      <c r="J628"/>
      <c r="K628">
        <v>0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2:26" s="2" customFormat="1" x14ac:dyDescent="0.35">
      <c r="B629"/>
      <c r="C629"/>
      <c r="D629" s="18">
        <v>624</v>
      </c>
      <c r="E629" s="19">
        <v>0.5</v>
      </c>
      <c r="F629" s="19">
        <f t="shared" si="8"/>
        <v>0.5</v>
      </c>
      <c r="G629" s="19">
        <v>0.2</v>
      </c>
      <c r="H629" s="19">
        <v>0.2</v>
      </c>
      <c r="I629" s="19">
        <v>0.2</v>
      </c>
      <c r="J629"/>
      <c r="K629">
        <v>0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2:26" s="2" customFormat="1" x14ac:dyDescent="0.35">
      <c r="B630"/>
      <c r="C630"/>
      <c r="D630" s="18">
        <v>625</v>
      </c>
      <c r="E630" s="19">
        <v>0.5</v>
      </c>
      <c r="F630" s="19">
        <f t="shared" si="8"/>
        <v>0.5</v>
      </c>
      <c r="G630" s="19">
        <v>0.2</v>
      </c>
      <c r="H630" s="19">
        <v>0.2</v>
      </c>
      <c r="I630" s="19">
        <v>0.2</v>
      </c>
      <c r="J630"/>
      <c r="K630">
        <v>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2:26" s="2" customFormat="1" x14ac:dyDescent="0.35">
      <c r="B631"/>
      <c r="C631"/>
      <c r="D631" s="18">
        <v>626</v>
      </c>
      <c r="E631" s="19">
        <v>0.5</v>
      </c>
      <c r="F631" s="19">
        <f t="shared" si="8"/>
        <v>0.5</v>
      </c>
      <c r="G631" s="19">
        <v>0.2</v>
      </c>
      <c r="H631" s="19">
        <v>0.2</v>
      </c>
      <c r="I631" s="19">
        <v>0.2</v>
      </c>
      <c r="J631"/>
      <c r="K631">
        <v>0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2:26" s="2" customFormat="1" x14ac:dyDescent="0.35">
      <c r="B632"/>
      <c r="C632"/>
      <c r="D632" s="18">
        <v>627</v>
      </c>
      <c r="E632" s="19">
        <v>0.5</v>
      </c>
      <c r="F632" s="19">
        <f t="shared" si="8"/>
        <v>0.5</v>
      </c>
      <c r="G632" s="19">
        <v>0.2</v>
      </c>
      <c r="H632" s="19">
        <v>0.2</v>
      </c>
      <c r="I632" s="19">
        <v>0.2</v>
      </c>
      <c r="J632"/>
      <c r="K632">
        <v>0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2:26" s="2" customFormat="1" x14ac:dyDescent="0.35">
      <c r="B633"/>
      <c r="C633"/>
      <c r="D633" s="18">
        <v>628</v>
      </c>
      <c r="E633" s="19">
        <v>0.5</v>
      </c>
      <c r="F633" s="19">
        <f t="shared" si="8"/>
        <v>0.5</v>
      </c>
      <c r="G633" s="19">
        <v>0.2</v>
      </c>
      <c r="H633" s="19">
        <v>0.2</v>
      </c>
      <c r="I633" s="19">
        <v>0.2</v>
      </c>
      <c r="J633"/>
      <c r="K633">
        <v>0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2:26" s="2" customFormat="1" x14ac:dyDescent="0.35">
      <c r="B634"/>
      <c r="C634"/>
      <c r="D634" s="18">
        <v>629</v>
      </c>
      <c r="E634" s="19">
        <v>0.5</v>
      </c>
      <c r="F634" s="19">
        <f t="shared" si="8"/>
        <v>0.5</v>
      </c>
      <c r="G634" s="19">
        <v>0.2</v>
      </c>
      <c r="H634" s="19">
        <v>0.2</v>
      </c>
      <c r="I634" s="19">
        <v>0.2</v>
      </c>
      <c r="J634"/>
      <c r="K634">
        <v>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2:26" s="2" customFormat="1" x14ac:dyDescent="0.35">
      <c r="B635"/>
      <c r="C635"/>
      <c r="D635" s="18">
        <v>630</v>
      </c>
      <c r="E635" s="19">
        <v>0.5</v>
      </c>
      <c r="F635" s="19">
        <f t="shared" si="8"/>
        <v>0.5</v>
      </c>
      <c r="G635" s="19">
        <v>0.2</v>
      </c>
      <c r="H635" s="19">
        <v>0.2</v>
      </c>
      <c r="I635" s="19">
        <v>0.2</v>
      </c>
      <c r="J635"/>
      <c r="K635">
        <v>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2:26" s="2" customFormat="1" x14ac:dyDescent="0.35">
      <c r="B636"/>
      <c r="C636"/>
      <c r="D636" s="18">
        <v>631</v>
      </c>
      <c r="E636" s="19">
        <v>0.5</v>
      </c>
      <c r="F636" s="19">
        <f t="shared" si="8"/>
        <v>0.5</v>
      </c>
      <c r="G636" s="19">
        <v>0.2</v>
      </c>
      <c r="H636" s="19">
        <v>0.2</v>
      </c>
      <c r="I636" s="19">
        <v>0.2</v>
      </c>
      <c r="J636"/>
      <c r="K636">
        <v>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2:26" s="2" customFormat="1" x14ac:dyDescent="0.35">
      <c r="B637"/>
      <c r="C637"/>
      <c r="D637" s="18">
        <v>632</v>
      </c>
      <c r="E637" s="19">
        <v>0.5</v>
      </c>
      <c r="F637" s="19">
        <f t="shared" si="8"/>
        <v>0.5</v>
      </c>
      <c r="G637" s="19">
        <v>0.2</v>
      </c>
      <c r="H637" s="19">
        <v>0.2</v>
      </c>
      <c r="I637" s="19">
        <v>0.2</v>
      </c>
      <c r="J637"/>
      <c r="K637">
        <v>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2:26" s="2" customFormat="1" x14ac:dyDescent="0.35">
      <c r="B638"/>
      <c r="C638"/>
      <c r="D638" s="18">
        <v>633</v>
      </c>
      <c r="E638" s="19">
        <v>0.5</v>
      </c>
      <c r="F638" s="19">
        <f t="shared" si="8"/>
        <v>0.5</v>
      </c>
      <c r="G638" s="19">
        <v>0.2</v>
      </c>
      <c r="H638" s="19">
        <v>0.2</v>
      </c>
      <c r="I638" s="19">
        <v>0.2</v>
      </c>
      <c r="J638"/>
      <c r="K638">
        <v>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2:26" s="2" customFormat="1" x14ac:dyDescent="0.35">
      <c r="B639"/>
      <c r="C639"/>
      <c r="D639" s="18">
        <v>634</v>
      </c>
      <c r="E639" s="19">
        <v>0.5</v>
      </c>
      <c r="F639" s="19">
        <f t="shared" si="8"/>
        <v>0.5</v>
      </c>
      <c r="G639" s="19">
        <v>0.2</v>
      </c>
      <c r="H639" s="19">
        <v>0.2</v>
      </c>
      <c r="I639" s="19">
        <v>0.2</v>
      </c>
      <c r="J639"/>
      <c r="K639">
        <v>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2:26" s="2" customFormat="1" x14ac:dyDescent="0.35">
      <c r="B640"/>
      <c r="C640"/>
      <c r="D640" s="18">
        <v>635</v>
      </c>
      <c r="E640" s="19">
        <v>0.5</v>
      </c>
      <c r="F640" s="19">
        <f t="shared" si="8"/>
        <v>0.5</v>
      </c>
      <c r="G640" s="19">
        <v>0.2</v>
      </c>
      <c r="H640" s="19">
        <v>0.2</v>
      </c>
      <c r="I640" s="19">
        <v>0.2</v>
      </c>
      <c r="J640"/>
      <c r="K640">
        <v>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2:26" s="2" customFormat="1" x14ac:dyDescent="0.35">
      <c r="B641"/>
      <c r="C641"/>
      <c r="D641" s="18">
        <v>636</v>
      </c>
      <c r="E641" s="19">
        <v>0.5</v>
      </c>
      <c r="F641" s="19">
        <f t="shared" si="8"/>
        <v>0.5</v>
      </c>
      <c r="G641" s="19">
        <v>0.2</v>
      </c>
      <c r="H641" s="19">
        <v>0.2</v>
      </c>
      <c r="I641" s="19">
        <v>0.2</v>
      </c>
      <c r="J641"/>
      <c r="K641">
        <v>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2:26" s="2" customFormat="1" x14ac:dyDescent="0.35">
      <c r="B642"/>
      <c r="C642"/>
      <c r="D642" s="18">
        <v>637</v>
      </c>
      <c r="E642" s="19">
        <v>0.5</v>
      </c>
      <c r="F642" s="19">
        <f t="shared" si="8"/>
        <v>0.5</v>
      </c>
      <c r="G642" s="19">
        <v>0.2</v>
      </c>
      <c r="H642" s="19">
        <v>0.2</v>
      </c>
      <c r="I642" s="19">
        <v>0.2</v>
      </c>
      <c r="J642"/>
      <c r="K642">
        <v>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2:26" s="2" customFormat="1" x14ac:dyDescent="0.35">
      <c r="B643"/>
      <c r="C643"/>
      <c r="D643" s="18">
        <v>638</v>
      </c>
      <c r="E643" s="19">
        <v>0.5</v>
      </c>
      <c r="F643" s="19">
        <f t="shared" si="8"/>
        <v>0.5</v>
      </c>
      <c r="G643" s="19">
        <v>0.2</v>
      </c>
      <c r="H643" s="19">
        <v>0.2</v>
      </c>
      <c r="I643" s="19">
        <v>0.2</v>
      </c>
      <c r="J643"/>
      <c r="K643">
        <v>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2:26" s="2" customFormat="1" x14ac:dyDescent="0.35">
      <c r="B644"/>
      <c r="C644"/>
      <c r="D644" s="18">
        <v>639</v>
      </c>
      <c r="E644" s="19">
        <v>0.5</v>
      </c>
      <c r="F644" s="19">
        <f t="shared" si="8"/>
        <v>0.5</v>
      </c>
      <c r="G644" s="19">
        <v>0.2</v>
      </c>
      <c r="H644" s="19">
        <v>0.2</v>
      </c>
      <c r="I644" s="19">
        <v>0.2</v>
      </c>
      <c r="J644"/>
      <c r="K644">
        <v>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2:26" s="2" customFormat="1" x14ac:dyDescent="0.35">
      <c r="B645"/>
      <c r="C645"/>
      <c r="D645" s="18">
        <v>640</v>
      </c>
      <c r="E645" s="19">
        <v>0.5</v>
      </c>
      <c r="F645" s="19">
        <f t="shared" si="8"/>
        <v>0.5</v>
      </c>
      <c r="G645" s="19">
        <v>0.2</v>
      </c>
      <c r="H645" s="19">
        <v>0.2</v>
      </c>
      <c r="I645" s="19">
        <v>0.2</v>
      </c>
      <c r="J645"/>
      <c r="K645">
        <v>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2:26" s="2" customFormat="1" x14ac:dyDescent="0.35">
      <c r="B646"/>
      <c r="C646"/>
      <c r="D646" s="18">
        <v>641</v>
      </c>
      <c r="E646" s="19">
        <v>0.5</v>
      </c>
      <c r="F646" s="19">
        <f t="shared" si="8"/>
        <v>0.5</v>
      </c>
      <c r="G646" s="19">
        <v>0.2</v>
      </c>
      <c r="H646" s="19">
        <v>0.2</v>
      </c>
      <c r="I646" s="19">
        <v>0.2</v>
      </c>
      <c r="J646"/>
      <c r="K646">
        <v>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2:26" s="2" customFormat="1" x14ac:dyDescent="0.35">
      <c r="B647"/>
      <c r="C647"/>
      <c r="D647" s="18">
        <v>642</v>
      </c>
      <c r="E647" s="19">
        <v>0.5</v>
      </c>
      <c r="F647" s="19">
        <f t="shared" si="8"/>
        <v>0.5</v>
      </c>
      <c r="G647" s="19">
        <v>0.2</v>
      </c>
      <c r="H647" s="19">
        <v>0.2</v>
      </c>
      <c r="I647" s="19">
        <v>0.2</v>
      </c>
      <c r="J647"/>
      <c r="K647">
        <v>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2:26" s="2" customFormat="1" x14ac:dyDescent="0.35">
      <c r="B648"/>
      <c r="C648"/>
      <c r="D648" s="18">
        <v>643</v>
      </c>
      <c r="E648" s="19">
        <v>0.5</v>
      </c>
      <c r="F648" s="19">
        <f t="shared" si="8"/>
        <v>0.5</v>
      </c>
      <c r="G648" s="19">
        <v>0.2</v>
      </c>
      <c r="H648" s="19">
        <v>0.2</v>
      </c>
      <c r="I648" s="19">
        <v>0.2</v>
      </c>
      <c r="J648"/>
      <c r="K648">
        <v>0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2:26" s="2" customFormat="1" x14ac:dyDescent="0.35">
      <c r="B649"/>
      <c r="C649"/>
      <c r="D649" s="18">
        <v>644</v>
      </c>
      <c r="E649" s="19">
        <v>0.5</v>
      </c>
      <c r="F649" s="19">
        <f t="shared" si="8"/>
        <v>0.5</v>
      </c>
      <c r="G649" s="19">
        <v>0.2</v>
      </c>
      <c r="H649" s="19">
        <v>0.2</v>
      </c>
      <c r="I649" s="19">
        <v>0.2</v>
      </c>
      <c r="J649"/>
      <c r="K649">
        <v>0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2:26" s="2" customFormat="1" x14ac:dyDescent="0.35">
      <c r="B650"/>
      <c r="C650"/>
      <c r="D650" s="18">
        <v>645</v>
      </c>
      <c r="E650" s="19">
        <v>0.5</v>
      </c>
      <c r="F650" s="19">
        <f t="shared" si="8"/>
        <v>0.5</v>
      </c>
      <c r="G650" s="19">
        <v>0.2</v>
      </c>
      <c r="H650" s="19">
        <v>0.2</v>
      </c>
      <c r="I650" s="19">
        <v>0.2</v>
      </c>
      <c r="J650"/>
      <c r="K650">
        <v>0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2:26" s="2" customFormat="1" x14ac:dyDescent="0.35">
      <c r="B651"/>
      <c r="C651"/>
      <c r="D651" s="18">
        <v>646</v>
      </c>
      <c r="E651" s="19">
        <v>0.5</v>
      </c>
      <c r="F651" s="19">
        <f t="shared" si="8"/>
        <v>0.5</v>
      </c>
      <c r="G651" s="19">
        <v>0.2</v>
      </c>
      <c r="H651" s="19">
        <v>0.2</v>
      </c>
      <c r="I651" s="19">
        <v>0.2</v>
      </c>
      <c r="J651"/>
      <c r="K651">
        <v>0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2:26" s="2" customFormat="1" x14ac:dyDescent="0.35">
      <c r="B652"/>
      <c r="C652"/>
      <c r="D652" s="18">
        <v>647</v>
      </c>
      <c r="E652" s="19">
        <v>0.5</v>
      </c>
      <c r="F652" s="19">
        <f t="shared" si="8"/>
        <v>0.5</v>
      </c>
      <c r="G652" s="19">
        <v>0.2</v>
      </c>
      <c r="H652" s="19">
        <v>0.2</v>
      </c>
      <c r="I652" s="19">
        <v>0.2</v>
      </c>
      <c r="J652"/>
      <c r="K652">
        <v>0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2:26" s="2" customFormat="1" x14ac:dyDescent="0.35">
      <c r="B653"/>
      <c r="C653"/>
      <c r="D653" s="18">
        <v>648</v>
      </c>
      <c r="E653" s="19">
        <v>0.5</v>
      </c>
      <c r="F653" s="19">
        <f t="shared" si="8"/>
        <v>0.5</v>
      </c>
      <c r="G653" s="19">
        <v>0.2</v>
      </c>
      <c r="H653" s="19">
        <v>0.2</v>
      </c>
      <c r="I653" s="19">
        <v>0.2</v>
      </c>
      <c r="J653"/>
      <c r="K653">
        <v>0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2:26" s="2" customFormat="1" x14ac:dyDescent="0.35">
      <c r="B654"/>
      <c r="C654"/>
      <c r="D654" s="18">
        <v>649</v>
      </c>
      <c r="E654" s="19">
        <v>0.5</v>
      </c>
      <c r="F654" s="19">
        <f t="shared" si="8"/>
        <v>0.5</v>
      </c>
      <c r="G654" s="19">
        <v>0.2</v>
      </c>
      <c r="H654" s="19">
        <v>0.2</v>
      </c>
      <c r="I654" s="19">
        <v>0.2</v>
      </c>
      <c r="J654"/>
      <c r="K654">
        <v>0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2:26" s="2" customFormat="1" x14ac:dyDescent="0.35">
      <c r="B655"/>
      <c r="C655"/>
      <c r="D655" s="18">
        <v>650</v>
      </c>
      <c r="E655" s="19">
        <v>0.5</v>
      </c>
      <c r="F655" s="19">
        <f t="shared" si="8"/>
        <v>0.5</v>
      </c>
      <c r="G655" s="19">
        <v>0.2</v>
      </c>
      <c r="H655" s="19">
        <v>0.2</v>
      </c>
      <c r="I655" s="19">
        <v>0.2</v>
      </c>
      <c r="J655"/>
      <c r="K655">
        <v>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2:26" s="2" customFormat="1" x14ac:dyDescent="0.35">
      <c r="B656"/>
      <c r="C656"/>
      <c r="D656" s="18">
        <v>651</v>
      </c>
      <c r="E656" s="19">
        <v>0.5</v>
      </c>
      <c r="F656" s="19">
        <f t="shared" si="8"/>
        <v>0.5</v>
      </c>
      <c r="G656" s="19">
        <v>0.2</v>
      </c>
      <c r="H656" s="19">
        <v>0.2</v>
      </c>
      <c r="I656" s="19">
        <v>0.2</v>
      </c>
      <c r="J656"/>
      <c r="K656">
        <v>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2:26" s="2" customFormat="1" x14ac:dyDescent="0.35">
      <c r="B657"/>
      <c r="C657"/>
      <c r="D657" s="18">
        <v>652</v>
      </c>
      <c r="E657" s="19">
        <v>0.5</v>
      </c>
      <c r="F657" s="19">
        <f t="shared" si="8"/>
        <v>0.5</v>
      </c>
      <c r="G657" s="19">
        <v>0.2</v>
      </c>
      <c r="H657" s="19">
        <v>0.2</v>
      </c>
      <c r="I657" s="19">
        <v>0.2</v>
      </c>
      <c r="J657"/>
      <c r="K657">
        <v>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2:26" s="2" customFormat="1" x14ac:dyDescent="0.35">
      <c r="B658"/>
      <c r="C658"/>
      <c r="D658" s="18">
        <v>653</v>
      </c>
      <c r="E658" s="19">
        <v>0.5</v>
      </c>
      <c r="F658" s="19">
        <f t="shared" si="8"/>
        <v>0.5</v>
      </c>
      <c r="G658" s="19">
        <v>0.2</v>
      </c>
      <c r="H658" s="19">
        <v>0.2</v>
      </c>
      <c r="I658" s="19">
        <v>0.2</v>
      </c>
      <c r="J658"/>
      <c r="K658">
        <v>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2:26" s="2" customFormat="1" x14ac:dyDescent="0.35">
      <c r="B659"/>
      <c r="C659"/>
      <c r="D659" s="18">
        <v>654</v>
      </c>
      <c r="E659" s="19">
        <v>0.5</v>
      </c>
      <c r="F659" s="19">
        <f t="shared" si="8"/>
        <v>0.5</v>
      </c>
      <c r="G659" s="19">
        <v>0.2</v>
      </c>
      <c r="H659" s="19">
        <v>0.2</v>
      </c>
      <c r="I659" s="19">
        <v>0.2</v>
      </c>
      <c r="J659"/>
      <c r="K659">
        <v>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2:26" s="2" customFormat="1" x14ac:dyDescent="0.35">
      <c r="B660"/>
      <c r="C660"/>
      <c r="D660" s="18">
        <v>655</v>
      </c>
      <c r="E660" s="19">
        <v>0.5</v>
      </c>
      <c r="F660" s="19">
        <f t="shared" si="8"/>
        <v>0.5</v>
      </c>
      <c r="G660" s="19">
        <v>0.2</v>
      </c>
      <c r="H660" s="19">
        <v>0.2</v>
      </c>
      <c r="I660" s="19">
        <v>0.2</v>
      </c>
      <c r="J660"/>
      <c r="K660">
        <v>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2:26" s="2" customFormat="1" x14ac:dyDescent="0.35">
      <c r="B661"/>
      <c r="C661"/>
      <c r="D661" s="18">
        <v>656</v>
      </c>
      <c r="E661" s="19">
        <v>0.5</v>
      </c>
      <c r="F661" s="19">
        <f t="shared" si="8"/>
        <v>0.5</v>
      </c>
      <c r="G661" s="19">
        <v>0.2</v>
      </c>
      <c r="H661" s="19">
        <v>0.2</v>
      </c>
      <c r="I661" s="19">
        <v>0.2</v>
      </c>
      <c r="J661"/>
      <c r="K661">
        <v>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2:26" s="2" customFormat="1" x14ac:dyDescent="0.35">
      <c r="B662"/>
      <c r="C662"/>
      <c r="D662" s="18">
        <v>657</v>
      </c>
      <c r="E662" s="19">
        <v>0.5</v>
      </c>
      <c r="F662" s="19">
        <f t="shared" si="8"/>
        <v>0.5</v>
      </c>
      <c r="G662" s="19">
        <v>0.2</v>
      </c>
      <c r="H662" s="19">
        <v>0.2</v>
      </c>
      <c r="I662" s="19">
        <v>0.2</v>
      </c>
      <c r="J662"/>
      <c r="K662">
        <v>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2:26" s="2" customFormat="1" x14ac:dyDescent="0.35">
      <c r="B663"/>
      <c r="C663"/>
      <c r="D663" s="18">
        <v>658</v>
      </c>
      <c r="E663" s="19">
        <v>0.5</v>
      </c>
      <c r="F663" s="19">
        <f t="shared" si="8"/>
        <v>0.5</v>
      </c>
      <c r="G663" s="19">
        <v>0.2</v>
      </c>
      <c r="H663" s="19">
        <v>0.2</v>
      </c>
      <c r="I663" s="19">
        <v>0.2</v>
      </c>
      <c r="J663"/>
      <c r="K663">
        <v>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2:26" s="2" customFormat="1" x14ac:dyDescent="0.35">
      <c r="B664"/>
      <c r="C664"/>
      <c r="D664" s="18">
        <v>659</v>
      </c>
      <c r="E664" s="19">
        <v>0.5</v>
      </c>
      <c r="F664" s="19">
        <f t="shared" si="8"/>
        <v>0.5</v>
      </c>
      <c r="G664" s="19">
        <v>0.2</v>
      </c>
      <c r="H664" s="19">
        <v>0.2</v>
      </c>
      <c r="I664" s="19">
        <v>0.2</v>
      </c>
      <c r="J664"/>
      <c r="K664">
        <v>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2:26" s="2" customFormat="1" x14ac:dyDescent="0.35">
      <c r="B665"/>
      <c r="C665"/>
      <c r="D665" s="18">
        <v>660</v>
      </c>
      <c r="E665" s="19">
        <v>0.5</v>
      </c>
      <c r="F665" s="19">
        <f t="shared" si="8"/>
        <v>0.5</v>
      </c>
      <c r="G665" s="19">
        <v>0.2</v>
      </c>
      <c r="H665" s="19">
        <v>0.2</v>
      </c>
      <c r="I665" s="19">
        <v>0.2</v>
      </c>
      <c r="J665"/>
      <c r="K665">
        <v>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2:26" s="2" customFormat="1" x14ac:dyDescent="0.35">
      <c r="B666"/>
      <c r="C666"/>
      <c r="D666" s="18">
        <v>661</v>
      </c>
      <c r="E666" s="19">
        <v>0.5</v>
      </c>
      <c r="F666" s="19">
        <f t="shared" si="8"/>
        <v>0.5</v>
      </c>
      <c r="G666" s="19">
        <v>0.2</v>
      </c>
      <c r="H666" s="19">
        <v>0.2</v>
      </c>
      <c r="I666" s="19">
        <v>0.2</v>
      </c>
      <c r="J666"/>
      <c r="K666">
        <v>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2:26" s="2" customFormat="1" x14ac:dyDescent="0.35">
      <c r="B667"/>
      <c r="C667"/>
      <c r="D667" s="18">
        <v>662</v>
      </c>
      <c r="E667" s="19">
        <v>0.5</v>
      </c>
      <c r="F667" s="19">
        <f t="shared" si="8"/>
        <v>0.5</v>
      </c>
      <c r="G667" s="19">
        <v>0.2</v>
      </c>
      <c r="H667" s="19">
        <v>0.2</v>
      </c>
      <c r="I667" s="19">
        <v>0.2</v>
      </c>
      <c r="J667"/>
      <c r="K667">
        <v>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2:26" s="2" customFormat="1" x14ac:dyDescent="0.35">
      <c r="B668"/>
      <c r="C668"/>
      <c r="D668" s="18">
        <v>663</v>
      </c>
      <c r="E668" s="19">
        <v>0.5</v>
      </c>
      <c r="F668" s="19">
        <f t="shared" si="8"/>
        <v>0.5</v>
      </c>
      <c r="G668" s="19">
        <v>0.2</v>
      </c>
      <c r="H668" s="19">
        <v>0.2</v>
      </c>
      <c r="I668" s="19">
        <v>0.2</v>
      </c>
      <c r="J668"/>
      <c r="K668">
        <v>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2:26" s="2" customFormat="1" x14ac:dyDescent="0.35">
      <c r="B669"/>
      <c r="C669"/>
      <c r="D669" s="18">
        <v>664</v>
      </c>
      <c r="E669" s="19">
        <v>0.5</v>
      </c>
      <c r="F669" s="19">
        <f t="shared" si="8"/>
        <v>0.5</v>
      </c>
      <c r="G669" s="19">
        <v>0.2</v>
      </c>
      <c r="H669" s="19">
        <v>0.2</v>
      </c>
      <c r="I669" s="19">
        <v>0.2</v>
      </c>
      <c r="J669"/>
      <c r="K669">
        <v>0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2:26" s="2" customFormat="1" x14ac:dyDescent="0.35">
      <c r="B670"/>
      <c r="C670"/>
      <c r="D670" s="18">
        <v>665</v>
      </c>
      <c r="E670" s="19">
        <v>0.5</v>
      </c>
      <c r="F670" s="19">
        <f t="shared" si="8"/>
        <v>0.5</v>
      </c>
      <c r="G670" s="19">
        <v>0.2</v>
      </c>
      <c r="H670" s="19">
        <v>0.2</v>
      </c>
      <c r="I670" s="19">
        <v>0.2</v>
      </c>
      <c r="J670"/>
      <c r="K670">
        <v>0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2:26" s="2" customFormat="1" x14ac:dyDescent="0.35">
      <c r="B671"/>
      <c r="C671"/>
      <c r="D671" s="18">
        <v>666</v>
      </c>
      <c r="E671" s="19">
        <v>0.5</v>
      </c>
      <c r="F671" s="19">
        <f t="shared" si="8"/>
        <v>0.5</v>
      </c>
      <c r="G671" s="19">
        <v>0.2</v>
      </c>
      <c r="H671" s="19">
        <v>0.2</v>
      </c>
      <c r="I671" s="19">
        <v>0.2</v>
      </c>
      <c r="J671"/>
      <c r="K671">
        <v>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2:26" s="2" customFormat="1" x14ac:dyDescent="0.35">
      <c r="B672"/>
      <c r="C672"/>
      <c r="D672" s="18">
        <v>667</v>
      </c>
      <c r="E672" s="19">
        <v>0.5</v>
      </c>
      <c r="F672" s="19">
        <f t="shared" si="8"/>
        <v>0.5</v>
      </c>
      <c r="G672" s="19">
        <v>0.2</v>
      </c>
      <c r="H672" s="19">
        <v>0.2</v>
      </c>
      <c r="I672" s="19">
        <v>0.2</v>
      </c>
      <c r="J672"/>
      <c r="K672">
        <v>0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2:26" s="2" customFormat="1" x14ac:dyDescent="0.35">
      <c r="B673"/>
      <c r="C673"/>
      <c r="D673" s="18">
        <v>668</v>
      </c>
      <c r="E673" s="19">
        <v>0.5</v>
      </c>
      <c r="F673" s="19">
        <f t="shared" si="8"/>
        <v>0.5</v>
      </c>
      <c r="G673" s="19">
        <v>0.2</v>
      </c>
      <c r="H673" s="19">
        <v>0.2</v>
      </c>
      <c r="I673" s="19">
        <v>0.2</v>
      </c>
      <c r="J673"/>
      <c r="K673">
        <v>0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2:26" s="2" customFormat="1" x14ac:dyDescent="0.35">
      <c r="B674"/>
      <c r="C674"/>
      <c r="D674" s="18">
        <v>669</v>
      </c>
      <c r="E674" s="19">
        <v>0.5</v>
      </c>
      <c r="F674" s="19">
        <f t="shared" si="8"/>
        <v>0.5</v>
      </c>
      <c r="G674" s="19">
        <v>0.2</v>
      </c>
      <c r="H674" s="19">
        <v>0.2</v>
      </c>
      <c r="I674" s="19">
        <v>0.2</v>
      </c>
      <c r="J674"/>
      <c r="K674">
        <v>0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2:26" s="2" customFormat="1" x14ac:dyDescent="0.35">
      <c r="B675"/>
      <c r="C675"/>
      <c r="D675" s="18">
        <v>670</v>
      </c>
      <c r="E675" s="19">
        <v>0.5</v>
      </c>
      <c r="F675" s="19">
        <f t="shared" si="8"/>
        <v>0.5</v>
      </c>
      <c r="G675" s="19">
        <v>0.2</v>
      </c>
      <c r="H675" s="19">
        <v>0.2</v>
      </c>
      <c r="I675" s="19">
        <v>0.2</v>
      </c>
      <c r="J675"/>
      <c r="K675">
        <v>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2:26" s="2" customFormat="1" x14ac:dyDescent="0.35">
      <c r="B676"/>
      <c r="C676"/>
      <c r="D676" s="18">
        <v>671</v>
      </c>
      <c r="E676" s="19">
        <v>0.5</v>
      </c>
      <c r="F676" s="19">
        <f t="shared" si="8"/>
        <v>0.5</v>
      </c>
      <c r="G676" s="19">
        <v>0.2</v>
      </c>
      <c r="H676" s="19">
        <v>0.2</v>
      </c>
      <c r="I676" s="19">
        <v>0.2</v>
      </c>
      <c r="J676"/>
      <c r="K676">
        <v>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2:26" s="2" customFormat="1" x14ac:dyDescent="0.35">
      <c r="B677"/>
      <c r="C677"/>
      <c r="D677" s="18">
        <v>672</v>
      </c>
      <c r="E677" s="19">
        <v>0.5</v>
      </c>
      <c r="F677" s="19">
        <f t="shared" si="8"/>
        <v>0.5</v>
      </c>
      <c r="G677" s="19">
        <v>0.2</v>
      </c>
      <c r="H677" s="19">
        <v>0.2</v>
      </c>
      <c r="I677" s="19">
        <v>0.2</v>
      </c>
      <c r="J677"/>
      <c r="K677">
        <v>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2:26" s="2" customFormat="1" x14ac:dyDescent="0.35">
      <c r="B678"/>
      <c r="C678"/>
      <c r="D678" s="18">
        <v>673</v>
      </c>
      <c r="E678" s="19">
        <v>0.5</v>
      </c>
      <c r="F678" s="19">
        <f t="shared" si="8"/>
        <v>0.5</v>
      </c>
      <c r="G678" s="19">
        <v>0.2</v>
      </c>
      <c r="H678" s="19">
        <v>0.2</v>
      </c>
      <c r="I678" s="19">
        <v>0.2</v>
      </c>
      <c r="J678"/>
      <c r="K678">
        <v>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2:26" s="2" customFormat="1" x14ac:dyDescent="0.35">
      <c r="B679"/>
      <c r="C679"/>
      <c r="D679" s="18">
        <v>674</v>
      </c>
      <c r="E679" s="19">
        <v>0.5</v>
      </c>
      <c r="F679" s="19">
        <f t="shared" si="8"/>
        <v>0.5</v>
      </c>
      <c r="G679" s="19">
        <v>0.2</v>
      </c>
      <c r="H679" s="19">
        <v>0.2</v>
      </c>
      <c r="I679" s="19">
        <v>0.2</v>
      </c>
      <c r="J679"/>
      <c r="K679">
        <v>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2:26" s="2" customFormat="1" x14ac:dyDescent="0.35">
      <c r="B680"/>
      <c r="C680"/>
      <c r="D680" s="18">
        <v>675</v>
      </c>
      <c r="E680" s="19">
        <v>0.5</v>
      </c>
      <c r="F680" s="19">
        <f t="shared" si="8"/>
        <v>0.5</v>
      </c>
      <c r="G680" s="19">
        <v>0.2</v>
      </c>
      <c r="H680" s="19">
        <v>0.2</v>
      </c>
      <c r="I680" s="19">
        <v>0.2</v>
      </c>
      <c r="J680"/>
      <c r="K680">
        <v>0</v>
      </c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2:26" s="2" customFormat="1" x14ac:dyDescent="0.35">
      <c r="B681"/>
      <c r="C681"/>
      <c r="D681" s="18">
        <v>676</v>
      </c>
      <c r="E681" s="19">
        <v>0.5</v>
      </c>
      <c r="F681" s="19">
        <f t="shared" si="8"/>
        <v>0.5</v>
      </c>
      <c r="G681" s="19">
        <v>0.2</v>
      </c>
      <c r="H681" s="19">
        <v>0.2</v>
      </c>
      <c r="I681" s="19">
        <v>0.2</v>
      </c>
      <c r="J681"/>
      <c r="K681">
        <v>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2:26" s="2" customFormat="1" x14ac:dyDescent="0.35">
      <c r="B682"/>
      <c r="C682"/>
      <c r="D682" s="18">
        <v>677</v>
      </c>
      <c r="E682" s="19">
        <v>0.5</v>
      </c>
      <c r="F682" s="19">
        <f t="shared" si="8"/>
        <v>0.5</v>
      </c>
      <c r="G682" s="19">
        <v>0.2</v>
      </c>
      <c r="H682" s="19">
        <v>0.2</v>
      </c>
      <c r="I682" s="19">
        <v>0.2</v>
      </c>
      <c r="J682"/>
      <c r="K682">
        <v>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2:26" s="2" customFormat="1" x14ac:dyDescent="0.35">
      <c r="B683"/>
      <c r="C683"/>
      <c r="D683" s="18">
        <v>678</v>
      </c>
      <c r="E683" s="19">
        <v>0.5</v>
      </c>
      <c r="F683" s="19">
        <f t="shared" ref="F683:F746" si="9">E683</f>
        <v>0.5</v>
      </c>
      <c r="G683" s="19">
        <v>0.2</v>
      </c>
      <c r="H683" s="19">
        <v>0.2</v>
      </c>
      <c r="I683" s="19">
        <v>0.2</v>
      </c>
      <c r="J683"/>
      <c r="K683">
        <v>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2:26" s="2" customFormat="1" x14ac:dyDescent="0.35">
      <c r="B684"/>
      <c r="C684"/>
      <c r="D684" s="18">
        <v>679</v>
      </c>
      <c r="E684" s="19">
        <v>0.5</v>
      </c>
      <c r="F684" s="19">
        <f t="shared" si="9"/>
        <v>0.5</v>
      </c>
      <c r="G684" s="19">
        <v>0.2</v>
      </c>
      <c r="H684" s="19">
        <v>0.2</v>
      </c>
      <c r="I684" s="19">
        <v>0.2</v>
      </c>
      <c r="J684"/>
      <c r="K684">
        <v>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2:26" s="2" customFormat="1" x14ac:dyDescent="0.35">
      <c r="B685"/>
      <c r="C685"/>
      <c r="D685" s="18">
        <v>680</v>
      </c>
      <c r="E685" s="19">
        <v>0.5</v>
      </c>
      <c r="F685" s="19">
        <f t="shared" si="9"/>
        <v>0.5</v>
      </c>
      <c r="G685" s="19">
        <v>0.2</v>
      </c>
      <c r="H685" s="19">
        <v>0.2</v>
      </c>
      <c r="I685" s="19">
        <v>0.2</v>
      </c>
      <c r="J685"/>
      <c r="K685">
        <v>0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2:26" s="2" customFormat="1" x14ac:dyDescent="0.35">
      <c r="B686"/>
      <c r="C686"/>
      <c r="D686" s="18">
        <v>681</v>
      </c>
      <c r="E686" s="19">
        <v>0.5</v>
      </c>
      <c r="F686" s="19">
        <f t="shared" si="9"/>
        <v>0.5</v>
      </c>
      <c r="G686" s="19">
        <v>0.2</v>
      </c>
      <c r="H686" s="19">
        <v>0.2</v>
      </c>
      <c r="I686" s="19">
        <v>0.2</v>
      </c>
      <c r="J686"/>
      <c r="K686">
        <v>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2:26" s="2" customFormat="1" x14ac:dyDescent="0.35">
      <c r="B687"/>
      <c r="C687"/>
      <c r="D687" s="18">
        <v>682</v>
      </c>
      <c r="E687" s="19">
        <v>0.5</v>
      </c>
      <c r="F687" s="19">
        <f t="shared" si="9"/>
        <v>0.5</v>
      </c>
      <c r="G687" s="19">
        <v>0.2</v>
      </c>
      <c r="H687" s="19">
        <v>0.2</v>
      </c>
      <c r="I687" s="19">
        <v>0.2</v>
      </c>
      <c r="J687"/>
      <c r="K687">
        <v>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2:26" s="2" customFormat="1" x14ac:dyDescent="0.35">
      <c r="B688"/>
      <c r="C688"/>
      <c r="D688" s="18">
        <v>683</v>
      </c>
      <c r="E688" s="19">
        <v>0.5</v>
      </c>
      <c r="F688" s="19">
        <f t="shared" si="9"/>
        <v>0.5</v>
      </c>
      <c r="G688" s="19">
        <v>0.2</v>
      </c>
      <c r="H688" s="19">
        <v>0.2</v>
      </c>
      <c r="I688" s="19">
        <v>0.2</v>
      </c>
      <c r="J688"/>
      <c r="K688">
        <v>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2:26" s="2" customFormat="1" x14ac:dyDescent="0.35">
      <c r="B689"/>
      <c r="C689"/>
      <c r="D689" s="18">
        <v>684</v>
      </c>
      <c r="E689" s="19">
        <v>0.5</v>
      </c>
      <c r="F689" s="19">
        <f t="shared" si="9"/>
        <v>0.5</v>
      </c>
      <c r="G689" s="19">
        <v>0.2</v>
      </c>
      <c r="H689" s="19">
        <v>0.2</v>
      </c>
      <c r="I689" s="19">
        <v>0.2</v>
      </c>
      <c r="J689"/>
      <c r="K689">
        <v>0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2:26" s="2" customFormat="1" x14ac:dyDescent="0.35">
      <c r="B690"/>
      <c r="C690"/>
      <c r="D690" s="18">
        <v>685</v>
      </c>
      <c r="E690" s="19">
        <v>0.5</v>
      </c>
      <c r="F690" s="19">
        <f t="shared" si="9"/>
        <v>0.5</v>
      </c>
      <c r="G690" s="19">
        <v>0.2</v>
      </c>
      <c r="H690" s="19">
        <v>0.2</v>
      </c>
      <c r="I690" s="19">
        <v>0.2</v>
      </c>
      <c r="J690"/>
      <c r="K690">
        <v>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2:26" s="2" customFormat="1" x14ac:dyDescent="0.35">
      <c r="B691"/>
      <c r="C691"/>
      <c r="D691" s="18">
        <v>686</v>
      </c>
      <c r="E691" s="19">
        <v>0.5</v>
      </c>
      <c r="F691" s="19">
        <f t="shared" si="9"/>
        <v>0.5</v>
      </c>
      <c r="G691" s="19">
        <v>0.2</v>
      </c>
      <c r="H691" s="19">
        <v>0.2</v>
      </c>
      <c r="I691" s="19">
        <v>0.2</v>
      </c>
      <c r="J691"/>
      <c r="K691">
        <v>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2:26" s="2" customFormat="1" x14ac:dyDescent="0.35">
      <c r="B692"/>
      <c r="C692"/>
      <c r="D692" s="18">
        <v>687</v>
      </c>
      <c r="E692" s="19">
        <v>0.5</v>
      </c>
      <c r="F692" s="19">
        <f t="shared" si="9"/>
        <v>0.5</v>
      </c>
      <c r="G692" s="19">
        <v>0.2</v>
      </c>
      <c r="H692" s="19">
        <v>0.2</v>
      </c>
      <c r="I692" s="19">
        <v>0.2</v>
      </c>
      <c r="J692"/>
      <c r="K692">
        <v>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2:26" s="2" customFormat="1" x14ac:dyDescent="0.35">
      <c r="B693"/>
      <c r="C693"/>
      <c r="D693" s="18">
        <v>688</v>
      </c>
      <c r="E693" s="19">
        <v>0.5</v>
      </c>
      <c r="F693" s="19">
        <f t="shared" si="9"/>
        <v>0.5</v>
      </c>
      <c r="G693" s="19">
        <v>0.2</v>
      </c>
      <c r="H693" s="19">
        <v>0.2</v>
      </c>
      <c r="I693" s="19">
        <v>0.2</v>
      </c>
      <c r="J693"/>
      <c r="K693">
        <v>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2:26" s="2" customFormat="1" x14ac:dyDescent="0.35">
      <c r="B694"/>
      <c r="C694"/>
      <c r="D694" s="18">
        <v>689</v>
      </c>
      <c r="E694" s="19">
        <v>0.5</v>
      </c>
      <c r="F694" s="19">
        <f t="shared" si="9"/>
        <v>0.5</v>
      </c>
      <c r="G694" s="19">
        <v>0.2</v>
      </c>
      <c r="H694" s="19">
        <v>0.2</v>
      </c>
      <c r="I694" s="19">
        <v>0.2</v>
      </c>
      <c r="J694"/>
      <c r="K694">
        <v>0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2:26" s="2" customFormat="1" x14ac:dyDescent="0.35">
      <c r="B695"/>
      <c r="C695"/>
      <c r="D695" s="18">
        <v>690</v>
      </c>
      <c r="E695" s="19">
        <v>0.5</v>
      </c>
      <c r="F695" s="19">
        <f t="shared" si="9"/>
        <v>0.5</v>
      </c>
      <c r="G695" s="19">
        <v>0.2</v>
      </c>
      <c r="H695" s="19">
        <v>0.2</v>
      </c>
      <c r="I695" s="19">
        <v>0.2</v>
      </c>
      <c r="J695"/>
      <c r="K695">
        <v>0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2:26" s="2" customFormat="1" x14ac:dyDescent="0.35">
      <c r="B696"/>
      <c r="C696"/>
      <c r="D696" s="18">
        <v>691</v>
      </c>
      <c r="E696" s="19">
        <v>0.5</v>
      </c>
      <c r="F696" s="19">
        <f t="shared" si="9"/>
        <v>0.5</v>
      </c>
      <c r="G696" s="19">
        <v>0.2</v>
      </c>
      <c r="H696" s="19">
        <v>0.2</v>
      </c>
      <c r="I696" s="19">
        <v>0.2</v>
      </c>
      <c r="J696"/>
      <c r="K696">
        <v>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2:26" s="2" customFormat="1" x14ac:dyDescent="0.35">
      <c r="B697"/>
      <c r="C697"/>
      <c r="D697" s="18">
        <v>692</v>
      </c>
      <c r="E697" s="19">
        <v>0.5</v>
      </c>
      <c r="F697" s="19">
        <f t="shared" si="9"/>
        <v>0.5</v>
      </c>
      <c r="G697" s="19">
        <v>0.2</v>
      </c>
      <c r="H697" s="19">
        <v>0.2</v>
      </c>
      <c r="I697" s="19">
        <v>0.2</v>
      </c>
      <c r="J697"/>
      <c r="K697">
        <v>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2:26" s="2" customFormat="1" x14ac:dyDescent="0.35">
      <c r="B698"/>
      <c r="C698"/>
      <c r="D698" s="18">
        <v>693</v>
      </c>
      <c r="E698" s="19">
        <v>0.5</v>
      </c>
      <c r="F698" s="19">
        <f t="shared" si="9"/>
        <v>0.5</v>
      </c>
      <c r="G698" s="19">
        <v>0.2</v>
      </c>
      <c r="H698" s="19">
        <v>0.2</v>
      </c>
      <c r="I698" s="19">
        <v>0.2</v>
      </c>
      <c r="J698"/>
      <c r="K698">
        <v>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2:26" s="2" customFormat="1" x14ac:dyDescent="0.35">
      <c r="B699"/>
      <c r="C699"/>
      <c r="D699" s="18">
        <v>694</v>
      </c>
      <c r="E699" s="19">
        <v>0.5</v>
      </c>
      <c r="F699" s="19">
        <f t="shared" si="9"/>
        <v>0.5</v>
      </c>
      <c r="G699" s="19">
        <v>0.2</v>
      </c>
      <c r="H699" s="19">
        <v>0.2</v>
      </c>
      <c r="I699" s="19">
        <v>0.2</v>
      </c>
      <c r="J699"/>
      <c r="K699">
        <v>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2:26" s="2" customFormat="1" x14ac:dyDescent="0.35">
      <c r="B700"/>
      <c r="C700"/>
      <c r="D700" s="18">
        <v>695</v>
      </c>
      <c r="E700" s="19">
        <v>0.5</v>
      </c>
      <c r="F700" s="19">
        <f t="shared" si="9"/>
        <v>0.5</v>
      </c>
      <c r="G700" s="19">
        <v>0.2</v>
      </c>
      <c r="H700" s="19">
        <v>0.2</v>
      </c>
      <c r="I700" s="19">
        <v>0.2</v>
      </c>
      <c r="J700"/>
      <c r="K700">
        <v>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2:26" s="2" customFormat="1" x14ac:dyDescent="0.35">
      <c r="B701"/>
      <c r="C701"/>
      <c r="D701" s="18">
        <v>696</v>
      </c>
      <c r="E701" s="19">
        <v>0.5</v>
      </c>
      <c r="F701" s="19">
        <f t="shared" si="9"/>
        <v>0.5</v>
      </c>
      <c r="G701" s="19">
        <v>0.2</v>
      </c>
      <c r="H701" s="19">
        <v>0.2</v>
      </c>
      <c r="I701" s="19">
        <v>0.2</v>
      </c>
      <c r="J701"/>
      <c r="K701">
        <v>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2:26" s="2" customFormat="1" x14ac:dyDescent="0.35">
      <c r="B702"/>
      <c r="C702"/>
      <c r="D702" s="18">
        <v>697</v>
      </c>
      <c r="E702" s="19">
        <v>0.5</v>
      </c>
      <c r="F702" s="19">
        <f t="shared" si="9"/>
        <v>0.5</v>
      </c>
      <c r="G702" s="19">
        <v>0.2</v>
      </c>
      <c r="H702" s="19">
        <v>0.2</v>
      </c>
      <c r="I702" s="19">
        <v>0.2</v>
      </c>
      <c r="J702"/>
      <c r="K702">
        <v>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2:26" s="2" customFormat="1" x14ac:dyDescent="0.35">
      <c r="B703"/>
      <c r="C703"/>
      <c r="D703" s="18">
        <v>698</v>
      </c>
      <c r="E703" s="19">
        <v>0.5</v>
      </c>
      <c r="F703" s="19">
        <f t="shared" si="9"/>
        <v>0.5</v>
      </c>
      <c r="G703" s="19">
        <v>0.2</v>
      </c>
      <c r="H703" s="19">
        <v>0.2</v>
      </c>
      <c r="I703" s="19">
        <v>0.2</v>
      </c>
      <c r="J703"/>
      <c r="K703">
        <v>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2:26" s="2" customFormat="1" x14ac:dyDescent="0.35">
      <c r="B704"/>
      <c r="C704"/>
      <c r="D704" s="18">
        <v>699</v>
      </c>
      <c r="E704" s="19">
        <v>0.5</v>
      </c>
      <c r="F704" s="19">
        <f t="shared" si="9"/>
        <v>0.5</v>
      </c>
      <c r="G704" s="19">
        <v>0.2</v>
      </c>
      <c r="H704" s="19">
        <v>0.2</v>
      </c>
      <c r="I704" s="19">
        <v>0.2</v>
      </c>
      <c r="J704"/>
      <c r="K704">
        <v>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2:26" s="2" customFormat="1" x14ac:dyDescent="0.35">
      <c r="B705"/>
      <c r="C705"/>
      <c r="D705" s="18">
        <v>700</v>
      </c>
      <c r="E705" s="19">
        <v>0.5</v>
      </c>
      <c r="F705" s="19">
        <f t="shared" si="9"/>
        <v>0.5</v>
      </c>
      <c r="G705" s="19">
        <v>0.2</v>
      </c>
      <c r="H705" s="19">
        <v>0.2</v>
      </c>
      <c r="I705" s="19">
        <v>0.2</v>
      </c>
      <c r="J705"/>
      <c r="K705">
        <v>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2:26" s="2" customFormat="1" x14ac:dyDescent="0.35">
      <c r="B706"/>
      <c r="C706"/>
      <c r="D706" s="18">
        <v>701</v>
      </c>
      <c r="E706" s="19">
        <v>0.5</v>
      </c>
      <c r="F706" s="19">
        <f t="shared" si="9"/>
        <v>0.5</v>
      </c>
      <c r="G706" s="19">
        <v>0.2</v>
      </c>
      <c r="H706" s="19">
        <v>0.2</v>
      </c>
      <c r="I706" s="19">
        <v>0.2</v>
      </c>
      <c r="J706"/>
      <c r="K706">
        <v>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2:26" s="2" customFormat="1" x14ac:dyDescent="0.35">
      <c r="B707"/>
      <c r="C707"/>
      <c r="D707" s="18">
        <v>702</v>
      </c>
      <c r="E707" s="19">
        <v>0.5</v>
      </c>
      <c r="F707" s="19">
        <f t="shared" si="9"/>
        <v>0.5</v>
      </c>
      <c r="G707" s="19">
        <v>0.2</v>
      </c>
      <c r="H707" s="19">
        <v>0.2</v>
      </c>
      <c r="I707" s="19">
        <v>0.2</v>
      </c>
      <c r="J707"/>
      <c r="K707">
        <v>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2:26" s="2" customFormat="1" x14ac:dyDescent="0.35">
      <c r="B708"/>
      <c r="C708"/>
      <c r="D708" s="18">
        <v>703</v>
      </c>
      <c r="E708" s="19">
        <v>0.5</v>
      </c>
      <c r="F708" s="19">
        <f t="shared" si="9"/>
        <v>0.5</v>
      </c>
      <c r="G708" s="19">
        <v>0.2</v>
      </c>
      <c r="H708" s="19">
        <v>0.2</v>
      </c>
      <c r="I708" s="19">
        <v>0.2</v>
      </c>
      <c r="J708"/>
      <c r="K708">
        <v>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2:26" s="2" customFormat="1" x14ac:dyDescent="0.35">
      <c r="B709"/>
      <c r="C709"/>
      <c r="D709" s="18">
        <v>704</v>
      </c>
      <c r="E709" s="19">
        <v>0.5</v>
      </c>
      <c r="F709" s="19">
        <f t="shared" si="9"/>
        <v>0.5</v>
      </c>
      <c r="G709" s="19">
        <v>0.2</v>
      </c>
      <c r="H709" s="19">
        <v>0.2</v>
      </c>
      <c r="I709" s="19">
        <v>0.2</v>
      </c>
      <c r="J709"/>
      <c r="K709">
        <v>0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2:26" s="2" customFormat="1" x14ac:dyDescent="0.35">
      <c r="B710"/>
      <c r="C710"/>
      <c r="D710" s="18">
        <v>705</v>
      </c>
      <c r="E710" s="19">
        <v>0.5</v>
      </c>
      <c r="F710" s="19">
        <f t="shared" si="9"/>
        <v>0.5</v>
      </c>
      <c r="G710" s="19">
        <v>0.2</v>
      </c>
      <c r="H710" s="19">
        <v>0.2</v>
      </c>
      <c r="I710" s="19">
        <v>0.2</v>
      </c>
      <c r="J710"/>
      <c r="K710">
        <v>0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2:26" s="2" customFormat="1" x14ac:dyDescent="0.35">
      <c r="B711"/>
      <c r="C711"/>
      <c r="D711" s="18">
        <v>706</v>
      </c>
      <c r="E711" s="19">
        <v>0.5</v>
      </c>
      <c r="F711" s="19">
        <f t="shared" si="9"/>
        <v>0.5</v>
      </c>
      <c r="G711" s="19">
        <v>0.2</v>
      </c>
      <c r="H711" s="19">
        <v>0.2</v>
      </c>
      <c r="I711" s="19">
        <v>0.2</v>
      </c>
      <c r="J711"/>
      <c r="K711">
        <v>0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2:26" s="2" customFormat="1" x14ac:dyDescent="0.35">
      <c r="B712"/>
      <c r="C712"/>
      <c r="D712" s="18">
        <v>707</v>
      </c>
      <c r="E712" s="19">
        <v>0.5</v>
      </c>
      <c r="F712" s="19">
        <f t="shared" si="9"/>
        <v>0.5</v>
      </c>
      <c r="G712" s="19">
        <v>0.2</v>
      </c>
      <c r="H712" s="19">
        <v>0.2</v>
      </c>
      <c r="I712" s="19">
        <v>0.2</v>
      </c>
      <c r="J712"/>
      <c r="K712">
        <v>0</v>
      </c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2:26" s="2" customFormat="1" x14ac:dyDescent="0.35">
      <c r="B713"/>
      <c r="C713"/>
      <c r="D713" s="18">
        <v>708</v>
      </c>
      <c r="E713" s="19">
        <v>0.5</v>
      </c>
      <c r="F713" s="19">
        <f t="shared" si="9"/>
        <v>0.5</v>
      </c>
      <c r="G713" s="19">
        <v>0.2</v>
      </c>
      <c r="H713" s="19">
        <v>0.2</v>
      </c>
      <c r="I713" s="19">
        <v>0.2</v>
      </c>
      <c r="J713"/>
      <c r="K713">
        <v>0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2:26" s="2" customFormat="1" x14ac:dyDescent="0.35">
      <c r="B714"/>
      <c r="C714"/>
      <c r="D714" s="18">
        <v>709</v>
      </c>
      <c r="E714" s="19">
        <v>0.5</v>
      </c>
      <c r="F714" s="19">
        <f t="shared" si="9"/>
        <v>0.5</v>
      </c>
      <c r="G714" s="19">
        <v>0.2</v>
      </c>
      <c r="H714" s="19">
        <v>0.2</v>
      </c>
      <c r="I714" s="19">
        <v>0.2</v>
      </c>
      <c r="J714"/>
      <c r="K714">
        <v>0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2:26" s="2" customFormat="1" x14ac:dyDescent="0.35">
      <c r="B715"/>
      <c r="C715"/>
      <c r="D715" s="18">
        <v>710</v>
      </c>
      <c r="E715" s="19">
        <v>0.5</v>
      </c>
      <c r="F715" s="19">
        <f t="shared" si="9"/>
        <v>0.5</v>
      </c>
      <c r="G715" s="19">
        <v>0.2</v>
      </c>
      <c r="H715" s="19">
        <v>0.2</v>
      </c>
      <c r="I715" s="19">
        <v>0.2</v>
      </c>
      <c r="J715"/>
      <c r="K715">
        <v>0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2:26" s="2" customFormat="1" x14ac:dyDescent="0.35">
      <c r="B716"/>
      <c r="C716"/>
      <c r="D716" s="18">
        <v>711</v>
      </c>
      <c r="E716" s="19">
        <v>0.5</v>
      </c>
      <c r="F716" s="19">
        <f t="shared" si="9"/>
        <v>0.5</v>
      </c>
      <c r="G716" s="19">
        <v>0.2</v>
      </c>
      <c r="H716" s="19">
        <v>0.2</v>
      </c>
      <c r="I716" s="19">
        <v>0.2</v>
      </c>
      <c r="J716"/>
      <c r="K716">
        <v>0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2:26" s="2" customFormat="1" x14ac:dyDescent="0.35">
      <c r="B717"/>
      <c r="C717"/>
      <c r="D717" s="18">
        <v>712</v>
      </c>
      <c r="E717" s="19">
        <v>0.5</v>
      </c>
      <c r="F717" s="19">
        <f t="shared" si="9"/>
        <v>0.5</v>
      </c>
      <c r="G717" s="19">
        <v>0.2</v>
      </c>
      <c r="H717" s="19">
        <v>0.2</v>
      </c>
      <c r="I717" s="19">
        <v>0.2</v>
      </c>
      <c r="J717"/>
      <c r="K717">
        <v>0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2:26" s="2" customFormat="1" x14ac:dyDescent="0.35">
      <c r="B718"/>
      <c r="C718"/>
      <c r="D718" s="18">
        <v>713</v>
      </c>
      <c r="E718" s="19">
        <v>0.5</v>
      </c>
      <c r="F718" s="19">
        <f t="shared" si="9"/>
        <v>0.5</v>
      </c>
      <c r="G718" s="19">
        <v>0.2</v>
      </c>
      <c r="H718" s="19">
        <v>0.2</v>
      </c>
      <c r="I718" s="19">
        <v>0.2</v>
      </c>
      <c r="J718"/>
      <c r="K718">
        <v>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2:26" s="2" customFormat="1" x14ac:dyDescent="0.35">
      <c r="B719"/>
      <c r="C719"/>
      <c r="D719" s="18">
        <v>714</v>
      </c>
      <c r="E719" s="19">
        <v>0.5</v>
      </c>
      <c r="F719" s="19">
        <f t="shared" si="9"/>
        <v>0.5</v>
      </c>
      <c r="G719" s="19">
        <v>0.2</v>
      </c>
      <c r="H719" s="19">
        <v>0.2</v>
      </c>
      <c r="I719" s="19">
        <v>0.2</v>
      </c>
      <c r="J719"/>
      <c r="K719">
        <v>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2:26" s="2" customFormat="1" x14ac:dyDescent="0.35">
      <c r="B720"/>
      <c r="C720"/>
      <c r="D720" s="18">
        <v>715</v>
      </c>
      <c r="E720" s="19">
        <v>0.5</v>
      </c>
      <c r="F720" s="19">
        <f t="shared" si="9"/>
        <v>0.5</v>
      </c>
      <c r="G720" s="19">
        <v>0.2</v>
      </c>
      <c r="H720" s="19">
        <v>0.2</v>
      </c>
      <c r="I720" s="19">
        <v>0.2</v>
      </c>
      <c r="J720"/>
      <c r="K720">
        <v>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2:26" s="2" customFormat="1" x14ac:dyDescent="0.35">
      <c r="B721"/>
      <c r="C721"/>
      <c r="D721" s="18">
        <v>716</v>
      </c>
      <c r="E721" s="19">
        <v>0.5</v>
      </c>
      <c r="F721" s="19">
        <f t="shared" si="9"/>
        <v>0.5</v>
      </c>
      <c r="G721" s="19">
        <v>0.2</v>
      </c>
      <c r="H721" s="19">
        <v>0.2</v>
      </c>
      <c r="I721" s="19">
        <v>0.2</v>
      </c>
      <c r="J721"/>
      <c r="K721">
        <v>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2:26" s="2" customFormat="1" x14ac:dyDescent="0.35">
      <c r="B722"/>
      <c r="C722"/>
      <c r="D722" s="18">
        <v>717</v>
      </c>
      <c r="E722" s="19">
        <v>0.5</v>
      </c>
      <c r="F722" s="19">
        <f t="shared" si="9"/>
        <v>0.5</v>
      </c>
      <c r="G722" s="19">
        <v>0.2</v>
      </c>
      <c r="H722" s="19">
        <v>0.2</v>
      </c>
      <c r="I722" s="19">
        <v>0.2</v>
      </c>
      <c r="J722"/>
      <c r="K722">
        <v>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2:26" s="2" customFormat="1" x14ac:dyDescent="0.35">
      <c r="B723"/>
      <c r="C723"/>
      <c r="D723" s="18">
        <v>718</v>
      </c>
      <c r="E723" s="19">
        <v>0.5</v>
      </c>
      <c r="F723" s="19">
        <f t="shared" si="9"/>
        <v>0.5</v>
      </c>
      <c r="G723" s="19">
        <v>0.2</v>
      </c>
      <c r="H723" s="19">
        <v>0.2</v>
      </c>
      <c r="I723" s="19">
        <v>0.2</v>
      </c>
      <c r="J723"/>
      <c r="K723">
        <v>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2:26" s="2" customFormat="1" x14ac:dyDescent="0.35">
      <c r="B724"/>
      <c r="C724"/>
      <c r="D724" s="18">
        <v>719</v>
      </c>
      <c r="E724" s="19">
        <v>0.5</v>
      </c>
      <c r="F724" s="19">
        <f t="shared" si="9"/>
        <v>0.5</v>
      </c>
      <c r="G724" s="19">
        <v>0.2</v>
      </c>
      <c r="H724" s="19">
        <v>0.2</v>
      </c>
      <c r="I724" s="19">
        <v>0.2</v>
      </c>
      <c r="J724"/>
      <c r="K724">
        <v>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2:26" s="2" customFormat="1" x14ac:dyDescent="0.35">
      <c r="B725"/>
      <c r="C725"/>
      <c r="D725" s="18">
        <v>720</v>
      </c>
      <c r="E725" s="19">
        <v>0.5</v>
      </c>
      <c r="F725" s="19">
        <f t="shared" si="9"/>
        <v>0.5</v>
      </c>
      <c r="G725" s="19">
        <v>0.2</v>
      </c>
      <c r="H725" s="19">
        <v>0.2</v>
      </c>
      <c r="I725" s="19">
        <v>0.2</v>
      </c>
      <c r="J725"/>
      <c r="K725">
        <v>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2:26" s="2" customFormat="1" x14ac:dyDescent="0.35">
      <c r="B726"/>
      <c r="C726"/>
      <c r="D726" s="18">
        <v>721</v>
      </c>
      <c r="E726" s="19">
        <v>0.5</v>
      </c>
      <c r="F726" s="19">
        <f t="shared" si="9"/>
        <v>0.5</v>
      </c>
      <c r="G726" s="19">
        <v>0.2</v>
      </c>
      <c r="H726" s="19">
        <v>0.2</v>
      </c>
      <c r="I726" s="19">
        <v>0.2</v>
      </c>
      <c r="J726"/>
      <c r="K726">
        <v>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2:26" s="2" customFormat="1" x14ac:dyDescent="0.35">
      <c r="B727"/>
      <c r="C727"/>
      <c r="D727" s="18">
        <v>722</v>
      </c>
      <c r="E727" s="19">
        <v>0.5</v>
      </c>
      <c r="F727" s="19">
        <f t="shared" si="9"/>
        <v>0.5</v>
      </c>
      <c r="G727" s="19">
        <v>0.2</v>
      </c>
      <c r="H727" s="19">
        <v>0.2</v>
      </c>
      <c r="I727" s="19">
        <v>0.2</v>
      </c>
      <c r="J727"/>
      <c r="K727">
        <v>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2:26" s="2" customFormat="1" x14ac:dyDescent="0.35">
      <c r="B728"/>
      <c r="C728"/>
      <c r="D728" s="18">
        <v>723</v>
      </c>
      <c r="E728" s="19">
        <v>0.5</v>
      </c>
      <c r="F728" s="19">
        <f t="shared" si="9"/>
        <v>0.5</v>
      </c>
      <c r="G728" s="19">
        <v>0.2</v>
      </c>
      <c r="H728" s="19">
        <v>0.2</v>
      </c>
      <c r="I728" s="19">
        <v>0.2</v>
      </c>
      <c r="J728"/>
      <c r="K728">
        <v>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2:26" s="2" customFormat="1" x14ac:dyDescent="0.35">
      <c r="B729"/>
      <c r="C729"/>
      <c r="D729" s="18">
        <v>724</v>
      </c>
      <c r="E729" s="19">
        <v>0.5</v>
      </c>
      <c r="F729" s="19">
        <f t="shared" si="9"/>
        <v>0.5</v>
      </c>
      <c r="G729" s="19">
        <v>0.2</v>
      </c>
      <c r="H729" s="19">
        <v>0.2</v>
      </c>
      <c r="I729" s="19">
        <v>0.2</v>
      </c>
      <c r="J729"/>
      <c r="K729">
        <v>0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2:26" s="2" customFormat="1" x14ac:dyDescent="0.35">
      <c r="B730"/>
      <c r="C730"/>
      <c r="D730" s="18">
        <v>725</v>
      </c>
      <c r="E730" s="19">
        <v>0.5</v>
      </c>
      <c r="F730" s="19">
        <f t="shared" si="9"/>
        <v>0.5</v>
      </c>
      <c r="G730" s="19">
        <v>0.2</v>
      </c>
      <c r="H730" s="19">
        <v>0.2</v>
      </c>
      <c r="I730" s="19">
        <v>0.2</v>
      </c>
      <c r="J730"/>
      <c r="K730">
        <v>0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2:26" s="2" customFormat="1" x14ac:dyDescent="0.35">
      <c r="B731"/>
      <c r="C731"/>
      <c r="D731" s="18">
        <v>726</v>
      </c>
      <c r="E731" s="19">
        <v>0.5</v>
      </c>
      <c r="F731" s="19">
        <f t="shared" si="9"/>
        <v>0.5</v>
      </c>
      <c r="G731" s="19">
        <v>0.2</v>
      </c>
      <c r="H731" s="19">
        <v>0.2</v>
      </c>
      <c r="I731" s="19">
        <v>0.2</v>
      </c>
      <c r="J731"/>
      <c r="K731">
        <v>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2:26" s="2" customFormat="1" x14ac:dyDescent="0.35">
      <c r="B732"/>
      <c r="C732"/>
      <c r="D732" s="18">
        <v>727</v>
      </c>
      <c r="E732" s="19">
        <v>0.5</v>
      </c>
      <c r="F732" s="19">
        <f t="shared" si="9"/>
        <v>0.5</v>
      </c>
      <c r="G732" s="19">
        <v>0.2</v>
      </c>
      <c r="H732" s="19">
        <v>0.2</v>
      </c>
      <c r="I732" s="19">
        <v>0.2</v>
      </c>
      <c r="J732"/>
      <c r="K732">
        <v>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2:26" s="2" customFormat="1" x14ac:dyDescent="0.35">
      <c r="B733"/>
      <c r="C733"/>
      <c r="D733" s="18">
        <v>728</v>
      </c>
      <c r="E733" s="19">
        <v>0.5</v>
      </c>
      <c r="F733" s="19">
        <f t="shared" si="9"/>
        <v>0.5</v>
      </c>
      <c r="G733" s="19">
        <v>0.2</v>
      </c>
      <c r="H733" s="19">
        <v>0.2</v>
      </c>
      <c r="I733" s="19">
        <v>0.2</v>
      </c>
      <c r="J733"/>
      <c r="K733">
        <v>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2:26" s="2" customFormat="1" x14ac:dyDescent="0.35">
      <c r="B734"/>
      <c r="C734"/>
      <c r="D734" s="18">
        <v>729</v>
      </c>
      <c r="E734" s="19">
        <v>0.5</v>
      </c>
      <c r="F734" s="19">
        <f t="shared" si="9"/>
        <v>0.5</v>
      </c>
      <c r="G734" s="19">
        <v>0.2</v>
      </c>
      <c r="H734" s="19">
        <v>0.2</v>
      </c>
      <c r="I734" s="19">
        <v>0.2</v>
      </c>
      <c r="J734"/>
      <c r="K734">
        <v>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2:26" s="2" customFormat="1" x14ac:dyDescent="0.35">
      <c r="B735"/>
      <c r="C735"/>
      <c r="D735" s="18">
        <v>730</v>
      </c>
      <c r="E735" s="19">
        <v>0.5</v>
      </c>
      <c r="F735" s="19">
        <f t="shared" si="9"/>
        <v>0.5</v>
      </c>
      <c r="G735" s="19">
        <v>0.2</v>
      </c>
      <c r="H735" s="19">
        <v>0.2</v>
      </c>
      <c r="I735" s="19">
        <v>0.2</v>
      </c>
      <c r="J735"/>
      <c r="K735">
        <v>0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2:26" s="2" customFormat="1" x14ac:dyDescent="0.35">
      <c r="B736"/>
      <c r="C736"/>
      <c r="D736" s="18">
        <v>731</v>
      </c>
      <c r="E736" s="19">
        <v>0.5</v>
      </c>
      <c r="F736" s="19">
        <f t="shared" si="9"/>
        <v>0.5</v>
      </c>
      <c r="G736" s="19">
        <v>0.2</v>
      </c>
      <c r="H736" s="19">
        <v>0.2</v>
      </c>
      <c r="I736" s="19">
        <v>0.2</v>
      </c>
      <c r="J736"/>
      <c r="K736">
        <v>0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2:26" s="2" customFormat="1" x14ac:dyDescent="0.35">
      <c r="B737"/>
      <c r="C737"/>
      <c r="D737" s="18">
        <v>732</v>
      </c>
      <c r="E737" s="19">
        <v>0.5</v>
      </c>
      <c r="F737" s="19">
        <f t="shared" si="9"/>
        <v>0.5</v>
      </c>
      <c r="G737" s="19">
        <v>0.2</v>
      </c>
      <c r="H737" s="19">
        <v>0.2</v>
      </c>
      <c r="I737" s="19">
        <v>0.2</v>
      </c>
      <c r="J737"/>
      <c r="K737">
        <v>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2:26" s="2" customFormat="1" x14ac:dyDescent="0.35">
      <c r="B738"/>
      <c r="C738"/>
      <c r="D738" s="18">
        <v>733</v>
      </c>
      <c r="E738" s="19">
        <v>0.5</v>
      </c>
      <c r="F738" s="19">
        <f t="shared" si="9"/>
        <v>0.5</v>
      </c>
      <c r="G738" s="19">
        <v>0.2</v>
      </c>
      <c r="H738" s="19">
        <v>0.2</v>
      </c>
      <c r="I738" s="19">
        <v>0.2</v>
      </c>
      <c r="J738"/>
      <c r="K738">
        <v>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2:26" s="2" customFormat="1" x14ac:dyDescent="0.35">
      <c r="B739"/>
      <c r="C739"/>
      <c r="D739" s="18">
        <v>734</v>
      </c>
      <c r="E739" s="19">
        <v>0.5</v>
      </c>
      <c r="F739" s="19">
        <f t="shared" si="9"/>
        <v>0.5</v>
      </c>
      <c r="G739" s="19">
        <v>0.2</v>
      </c>
      <c r="H739" s="19">
        <v>0.2</v>
      </c>
      <c r="I739" s="19">
        <v>0.2</v>
      </c>
      <c r="J739"/>
      <c r="K739">
        <v>0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2:26" s="2" customFormat="1" x14ac:dyDescent="0.35">
      <c r="B740"/>
      <c r="C740"/>
      <c r="D740" s="18">
        <v>735</v>
      </c>
      <c r="E740" s="19">
        <v>0.5</v>
      </c>
      <c r="F740" s="19">
        <f t="shared" si="9"/>
        <v>0.5</v>
      </c>
      <c r="G740" s="19">
        <v>0.2</v>
      </c>
      <c r="H740" s="19">
        <v>0.2</v>
      </c>
      <c r="I740" s="19">
        <v>0.2</v>
      </c>
      <c r="J740"/>
      <c r="K740">
        <v>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2:26" s="2" customFormat="1" x14ac:dyDescent="0.35">
      <c r="B741"/>
      <c r="C741"/>
      <c r="D741" s="18">
        <v>736</v>
      </c>
      <c r="E741" s="19">
        <v>0.5</v>
      </c>
      <c r="F741" s="19">
        <f t="shared" si="9"/>
        <v>0.5</v>
      </c>
      <c r="G741" s="19">
        <v>0.2</v>
      </c>
      <c r="H741" s="19">
        <v>0.2</v>
      </c>
      <c r="I741" s="19">
        <v>0.2</v>
      </c>
      <c r="J741"/>
      <c r="K741">
        <v>0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2:26" s="2" customFormat="1" x14ac:dyDescent="0.35">
      <c r="B742"/>
      <c r="C742"/>
      <c r="D742" s="18">
        <v>737</v>
      </c>
      <c r="E742" s="19">
        <v>0.5</v>
      </c>
      <c r="F742" s="19">
        <f t="shared" si="9"/>
        <v>0.5</v>
      </c>
      <c r="G742" s="19">
        <v>0.2</v>
      </c>
      <c r="H742" s="19">
        <v>0.2</v>
      </c>
      <c r="I742" s="19">
        <v>0.2</v>
      </c>
      <c r="J742"/>
      <c r="K742">
        <v>0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2:26" s="2" customFormat="1" x14ac:dyDescent="0.35">
      <c r="B743"/>
      <c r="C743"/>
      <c r="D743" s="18">
        <v>738</v>
      </c>
      <c r="E743" s="19">
        <v>0.5</v>
      </c>
      <c r="F743" s="19">
        <f t="shared" si="9"/>
        <v>0.5</v>
      </c>
      <c r="G743" s="19">
        <v>0.2</v>
      </c>
      <c r="H743" s="19">
        <v>0.2</v>
      </c>
      <c r="I743" s="19">
        <v>0.2</v>
      </c>
      <c r="J743"/>
      <c r="K743">
        <v>0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2:26" s="2" customFormat="1" x14ac:dyDescent="0.35">
      <c r="B744"/>
      <c r="C744"/>
      <c r="D744" s="18">
        <v>739</v>
      </c>
      <c r="E744" s="19">
        <v>0.5</v>
      </c>
      <c r="F744" s="19">
        <f t="shared" si="9"/>
        <v>0.5</v>
      </c>
      <c r="G744" s="19">
        <v>0.2</v>
      </c>
      <c r="H744" s="19">
        <v>0.2</v>
      </c>
      <c r="I744" s="19">
        <v>0.2</v>
      </c>
      <c r="J744"/>
      <c r="K744">
        <v>0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2:26" s="2" customFormat="1" x14ac:dyDescent="0.35">
      <c r="B745"/>
      <c r="C745"/>
      <c r="D745" s="18">
        <v>740</v>
      </c>
      <c r="E745" s="19">
        <v>0.5</v>
      </c>
      <c r="F745" s="19">
        <f t="shared" si="9"/>
        <v>0.5</v>
      </c>
      <c r="G745" s="19">
        <v>0.2</v>
      </c>
      <c r="H745" s="19">
        <v>0.2</v>
      </c>
      <c r="I745" s="19">
        <v>0.2</v>
      </c>
      <c r="J745"/>
      <c r="K745">
        <v>0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2:26" s="2" customFormat="1" x14ac:dyDescent="0.35">
      <c r="B746"/>
      <c r="C746"/>
      <c r="D746" s="18">
        <v>741</v>
      </c>
      <c r="E746" s="19">
        <v>0.5</v>
      </c>
      <c r="F746" s="19">
        <f t="shared" si="9"/>
        <v>0.5</v>
      </c>
      <c r="G746" s="19">
        <v>0.2</v>
      </c>
      <c r="H746" s="19">
        <v>0.2</v>
      </c>
      <c r="I746" s="19">
        <v>0.2</v>
      </c>
      <c r="J746"/>
      <c r="K746">
        <v>0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2:26" s="2" customFormat="1" x14ac:dyDescent="0.35">
      <c r="B747"/>
      <c r="C747"/>
      <c r="D747" s="18">
        <v>742</v>
      </c>
      <c r="E747" s="19">
        <v>0.5</v>
      </c>
      <c r="F747" s="19">
        <f t="shared" ref="F747:F810" si="10">E747</f>
        <v>0.5</v>
      </c>
      <c r="G747" s="19">
        <v>0.2</v>
      </c>
      <c r="H747" s="19">
        <v>0.2</v>
      </c>
      <c r="I747" s="19">
        <v>0.2</v>
      </c>
      <c r="J747"/>
      <c r="K747">
        <v>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2:26" s="2" customFormat="1" x14ac:dyDescent="0.35">
      <c r="B748"/>
      <c r="C748"/>
      <c r="D748" s="18">
        <v>743</v>
      </c>
      <c r="E748" s="19">
        <v>0.5</v>
      </c>
      <c r="F748" s="19">
        <f t="shared" si="10"/>
        <v>0.5</v>
      </c>
      <c r="G748" s="19">
        <v>0.2</v>
      </c>
      <c r="H748" s="19">
        <v>0.2</v>
      </c>
      <c r="I748" s="19">
        <v>0.2</v>
      </c>
      <c r="J748"/>
      <c r="K748">
        <v>0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2:26" s="2" customFormat="1" x14ac:dyDescent="0.35">
      <c r="B749"/>
      <c r="C749"/>
      <c r="D749" s="18">
        <v>744</v>
      </c>
      <c r="E749" s="19">
        <v>0.5</v>
      </c>
      <c r="F749" s="19">
        <f t="shared" si="10"/>
        <v>0.5</v>
      </c>
      <c r="G749" s="19">
        <v>0.2</v>
      </c>
      <c r="H749" s="19">
        <v>0.2</v>
      </c>
      <c r="I749" s="19">
        <v>0.2</v>
      </c>
      <c r="J749"/>
      <c r="K749">
        <v>0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2:26" s="2" customFormat="1" x14ac:dyDescent="0.35">
      <c r="B750"/>
      <c r="C750"/>
      <c r="D750" s="18">
        <v>745</v>
      </c>
      <c r="E750" s="19">
        <v>0.5</v>
      </c>
      <c r="F750" s="19">
        <f t="shared" si="10"/>
        <v>0.5</v>
      </c>
      <c r="G750" s="19">
        <v>0.2</v>
      </c>
      <c r="H750" s="19">
        <v>0.2</v>
      </c>
      <c r="I750" s="19">
        <v>0.2</v>
      </c>
      <c r="J750"/>
      <c r="K750">
        <v>0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2:26" s="2" customFormat="1" x14ac:dyDescent="0.35">
      <c r="B751"/>
      <c r="C751"/>
      <c r="D751" s="18">
        <v>746</v>
      </c>
      <c r="E751" s="19">
        <v>0.5</v>
      </c>
      <c r="F751" s="19">
        <f t="shared" si="10"/>
        <v>0.5</v>
      </c>
      <c r="G751" s="19">
        <v>0.2</v>
      </c>
      <c r="H751" s="19">
        <v>0.2</v>
      </c>
      <c r="I751" s="19">
        <v>0.2</v>
      </c>
      <c r="J751"/>
      <c r="K751">
        <v>0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2:26" s="2" customFormat="1" x14ac:dyDescent="0.35">
      <c r="B752"/>
      <c r="C752"/>
      <c r="D752" s="18">
        <v>747</v>
      </c>
      <c r="E752" s="19">
        <v>0.5</v>
      </c>
      <c r="F752" s="19">
        <f t="shared" si="10"/>
        <v>0.5</v>
      </c>
      <c r="G752" s="19">
        <v>0.2</v>
      </c>
      <c r="H752" s="19">
        <v>0.2</v>
      </c>
      <c r="I752" s="19">
        <v>0.2</v>
      </c>
      <c r="J752"/>
      <c r="K752">
        <v>0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2:26" s="2" customFormat="1" x14ac:dyDescent="0.35">
      <c r="B753"/>
      <c r="C753"/>
      <c r="D753" s="18">
        <v>748</v>
      </c>
      <c r="E753" s="19">
        <v>0.5</v>
      </c>
      <c r="F753" s="19">
        <f t="shared" si="10"/>
        <v>0.5</v>
      </c>
      <c r="G753" s="19">
        <v>0.2</v>
      </c>
      <c r="H753" s="19">
        <v>0.2</v>
      </c>
      <c r="I753" s="19">
        <v>0.2</v>
      </c>
      <c r="J753"/>
      <c r="K753">
        <v>0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2:26" s="2" customFormat="1" x14ac:dyDescent="0.35">
      <c r="B754"/>
      <c r="C754"/>
      <c r="D754" s="18">
        <v>749</v>
      </c>
      <c r="E754" s="19">
        <v>0.5</v>
      </c>
      <c r="F754" s="19">
        <f t="shared" si="10"/>
        <v>0.5</v>
      </c>
      <c r="G754" s="19">
        <v>0.2</v>
      </c>
      <c r="H754" s="19">
        <v>0.2</v>
      </c>
      <c r="I754" s="19">
        <v>0.2</v>
      </c>
      <c r="J754"/>
      <c r="K754">
        <v>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2:26" s="2" customFormat="1" x14ac:dyDescent="0.35">
      <c r="B755"/>
      <c r="C755"/>
      <c r="D755" s="18">
        <v>750</v>
      </c>
      <c r="E755" s="19">
        <v>0.5</v>
      </c>
      <c r="F755" s="19">
        <f t="shared" si="10"/>
        <v>0.5</v>
      </c>
      <c r="G755" s="19">
        <v>0.2</v>
      </c>
      <c r="H755" s="19">
        <v>0.2</v>
      </c>
      <c r="I755" s="19">
        <v>0.2</v>
      </c>
      <c r="J755"/>
      <c r="K755">
        <v>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2:26" s="2" customFormat="1" x14ac:dyDescent="0.35">
      <c r="B756"/>
      <c r="C756"/>
      <c r="D756" s="18">
        <v>751</v>
      </c>
      <c r="E756" s="19">
        <v>0.5</v>
      </c>
      <c r="F756" s="19">
        <f t="shared" si="10"/>
        <v>0.5</v>
      </c>
      <c r="G756" s="19">
        <v>0.2</v>
      </c>
      <c r="H756" s="19">
        <v>0.2</v>
      </c>
      <c r="I756" s="19">
        <v>0.2</v>
      </c>
      <c r="J756"/>
      <c r="K756">
        <v>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2:26" s="2" customFormat="1" x14ac:dyDescent="0.35">
      <c r="B757"/>
      <c r="C757"/>
      <c r="D757" s="18">
        <v>752</v>
      </c>
      <c r="E757" s="19">
        <v>0.5</v>
      </c>
      <c r="F757" s="19">
        <f t="shared" si="10"/>
        <v>0.5</v>
      </c>
      <c r="G757" s="19">
        <v>0.2</v>
      </c>
      <c r="H757" s="19">
        <v>0.2</v>
      </c>
      <c r="I757" s="19">
        <v>0.2</v>
      </c>
      <c r="J757"/>
      <c r="K757">
        <v>0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2:26" s="2" customFormat="1" x14ac:dyDescent="0.35">
      <c r="B758"/>
      <c r="C758"/>
      <c r="D758" s="18">
        <v>753</v>
      </c>
      <c r="E758" s="19">
        <v>0.5</v>
      </c>
      <c r="F758" s="19">
        <f t="shared" si="10"/>
        <v>0.5</v>
      </c>
      <c r="G758" s="19">
        <v>0.2</v>
      </c>
      <c r="H758" s="19">
        <v>0.2</v>
      </c>
      <c r="I758" s="19">
        <v>0.2</v>
      </c>
      <c r="J758"/>
      <c r="K758">
        <v>0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2:26" s="2" customFormat="1" x14ac:dyDescent="0.35">
      <c r="B759"/>
      <c r="C759"/>
      <c r="D759" s="18">
        <v>754</v>
      </c>
      <c r="E759" s="19">
        <v>0.5</v>
      </c>
      <c r="F759" s="19">
        <f t="shared" si="10"/>
        <v>0.5</v>
      </c>
      <c r="G759" s="19">
        <v>0.2</v>
      </c>
      <c r="H759" s="19">
        <v>0.2</v>
      </c>
      <c r="I759" s="19">
        <v>0.2</v>
      </c>
      <c r="J759"/>
      <c r="K759">
        <v>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2:26" s="2" customFormat="1" x14ac:dyDescent="0.35">
      <c r="B760"/>
      <c r="C760"/>
      <c r="D760" s="18">
        <v>755</v>
      </c>
      <c r="E760" s="19">
        <v>0.5</v>
      </c>
      <c r="F760" s="19">
        <f t="shared" si="10"/>
        <v>0.5</v>
      </c>
      <c r="G760" s="19">
        <v>0.2</v>
      </c>
      <c r="H760" s="19">
        <v>0.2</v>
      </c>
      <c r="I760" s="19">
        <v>0.2</v>
      </c>
      <c r="J760"/>
      <c r="K760">
        <v>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2:26" s="2" customFormat="1" x14ac:dyDescent="0.35">
      <c r="B761"/>
      <c r="C761"/>
      <c r="D761" s="18">
        <v>756</v>
      </c>
      <c r="E761" s="19">
        <v>0.5</v>
      </c>
      <c r="F761" s="19">
        <f t="shared" si="10"/>
        <v>0.5</v>
      </c>
      <c r="G761" s="19">
        <v>0.2</v>
      </c>
      <c r="H761" s="19">
        <v>0.2</v>
      </c>
      <c r="I761" s="19">
        <v>0.2</v>
      </c>
      <c r="J761"/>
      <c r="K761">
        <v>0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2:26" s="2" customFormat="1" x14ac:dyDescent="0.35">
      <c r="B762"/>
      <c r="C762"/>
      <c r="D762" s="18">
        <v>757</v>
      </c>
      <c r="E762" s="19">
        <v>0.5</v>
      </c>
      <c r="F762" s="19">
        <f t="shared" si="10"/>
        <v>0.5</v>
      </c>
      <c r="G762" s="19">
        <v>0.2</v>
      </c>
      <c r="H762" s="19">
        <v>0.2</v>
      </c>
      <c r="I762" s="19">
        <v>0.2</v>
      </c>
      <c r="J762"/>
      <c r="K762">
        <v>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2:26" s="2" customFormat="1" x14ac:dyDescent="0.35">
      <c r="B763"/>
      <c r="C763"/>
      <c r="D763" s="18">
        <v>758</v>
      </c>
      <c r="E763" s="19">
        <v>0.5</v>
      </c>
      <c r="F763" s="19">
        <f t="shared" si="10"/>
        <v>0.5</v>
      </c>
      <c r="G763" s="19">
        <v>0.2</v>
      </c>
      <c r="H763" s="19">
        <v>0.2</v>
      </c>
      <c r="I763" s="19">
        <v>0.2</v>
      </c>
      <c r="J763"/>
      <c r="K763">
        <v>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2:26" s="2" customFormat="1" x14ac:dyDescent="0.35">
      <c r="B764"/>
      <c r="C764"/>
      <c r="D764" s="18">
        <v>759</v>
      </c>
      <c r="E764" s="19">
        <v>0.5</v>
      </c>
      <c r="F764" s="19">
        <f t="shared" si="10"/>
        <v>0.5</v>
      </c>
      <c r="G764" s="19">
        <v>0.2</v>
      </c>
      <c r="H764" s="19">
        <v>0.2</v>
      </c>
      <c r="I764" s="19">
        <v>0.2</v>
      </c>
      <c r="J764"/>
      <c r="K764">
        <v>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2:26" s="2" customFormat="1" x14ac:dyDescent="0.35">
      <c r="B765"/>
      <c r="C765"/>
      <c r="D765" s="18">
        <v>760</v>
      </c>
      <c r="E765" s="19">
        <v>0.5</v>
      </c>
      <c r="F765" s="19">
        <f t="shared" si="10"/>
        <v>0.5</v>
      </c>
      <c r="G765" s="19">
        <v>0.2</v>
      </c>
      <c r="H765" s="19">
        <v>0.2</v>
      </c>
      <c r="I765" s="19">
        <v>0.2</v>
      </c>
      <c r="J765"/>
      <c r="K765">
        <v>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2:26" s="2" customFormat="1" x14ac:dyDescent="0.35">
      <c r="B766"/>
      <c r="C766"/>
      <c r="D766" s="18">
        <v>761</v>
      </c>
      <c r="E766" s="19">
        <v>0.5</v>
      </c>
      <c r="F766" s="19">
        <f t="shared" si="10"/>
        <v>0.5</v>
      </c>
      <c r="G766" s="19">
        <v>0.2</v>
      </c>
      <c r="H766" s="19">
        <v>0.2</v>
      </c>
      <c r="I766" s="19">
        <v>0.2</v>
      </c>
      <c r="J766"/>
      <c r="K766">
        <v>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2:26" s="2" customFormat="1" x14ac:dyDescent="0.35">
      <c r="B767"/>
      <c r="C767"/>
      <c r="D767" s="18">
        <v>762</v>
      </c>
      <c r="E767" s="19">
        <v>0.5</v>
      </c>
      <c r="F767" s="19">
        <f t="shared" si="10"/>
        <v>0.5</v>
      </c>
      <c r="G767" s="19">
        <v>0.2</v>
      </c>
      <c r="H767" s="19">
        <v>0.2</v>
      </c>
      <c r="I767" s="19">
        <v>0.2</v>
      </c>
      <c r="J767"/>
      <c r="K767">
        <v>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2:26" s="2" customFormat="1" x14ac:dyDescent="0.35">
      <c r="B768"/>
      <c r="C768"/>
      <c r="D768" s="18">
        <v>763</v>
      </c>
      <c r="E768" s="19">
        <v>0.5</v>
      </c>
      <c r="F768" s="19">
        <f t="shared" si="10"/>
        <v>0.5</v>
      </c>
      <c r="G768" s="19">
        <v>0.2</v>
      </c>
      <c r="H768" s="19">
        <v>0.2</v>
      </c>
      <c r="I768" s="19">
        <v>0.2</v>
      </c>
      <c r="J768"/>
      <c r="K768">
        <v>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2:26" s="2" customFormat="1" x14ac:dyDescent="0.35">
      <c r="B769"/>
      <c r="C769"/>
      <c r="D769" s="18">
        <v>764</v>
      </c>
      <c r="E769" s="19">
        <v>0.5</v>
      </c>
      <c r="F769" s="19">
        <f t="shared" si="10"/>
        <v>0.5</v>
      </c>
      <c r="G769" s="19">
        <v>0.2</v>
      </c>
      <c r="H769" s="19">
        <v>0.2</v>
      </c>
      <c r="I769" s="19">
        <v>0.2</v>
      </c>
      <c r="J769"/>
      <c r="K769">
        <v>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2:26" s="2" customFormat="1" x14ac:dyDescent="0.35">
      <c r="B770"/>
      <c r="C770"/>
      <c r="D770" s="18">
        <v>765</v>
      </c>
      <c r="E770" s="19">
        <v>0.5</v>
      </c>
      <c r="F770" s="19">
        <f t="shared" si="10"/>
        <v>0.5</v>
      </c>
      <c r="G770" s="19">
        <v>0.2</v>
      </c>
      <c r="H770" s="19">
        <v>0.2</v>
      </c>
      <c r="I770" s="19">
        <v>0.2</v>
      </c>
      <c r="J770"/>
      <c r="K770">
        <v>0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2:26" s="2" customFormat="1" x14ac:dyDescent="0.35">
      <c r="B771"/>
      <c r="C771"/>
      <c r="D771" s="18">
        <v>766</v>
      </c>
      <c r="E771" s="19">
        <v>0.5</v>
      </c>
      <c r="F771" s="19">
        <f t="shared" si="10"/>
        <v>0.5</v>
      </c>
      <c r="G771" s="19">
        <v>0.2</v>
      </c>
      <c r="H771" s="19">
        <v>0.2</v>
      </c>
      <c r="I771" s="19">
        <v>0.2</v>
      </c>
      <c r="J771"/>
      <c r="K771">
        <v>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2:26" s="2" customFormat="1" x14ac:dyDescent="0.35">
      <c r="B772"/>
      <c r="C772"/>
      <c r="D772" s="18">
        <v>767</v>
      </c>
      <c r="E772" s="19">
        <v>0.5</v>
      </c>
      <c r="F772" s="19">
        <f t="shared" si="10"/>
        <v>0.5</v>
      </c>
      <c r="G772" s="19">
        <v>0.2</v>
      </c>
      <c r="H772" s="19">
        <v>0.2</v>
      </c>
      <c r="I772" s="19">
        <v>0.2</v>
      </c>
      <c r="J772"/>
      <c r="K772">
        <v>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2:26" s="2" customFormat="1" x14ac:dyDescent="0.35">
      <c r="B773"/>
      <c r="C773"/>
      <c r="D773" s="18">
        <v>768</v>
      </c>
      <c r="E773" s="19">
        <v>0.5</v>
      </c>
      <c r="F773" s="19">
        <f t="shared" si="10"/>
        <v>0.5</v>
      </c>
      <c r="G773" s="19">
        <v>0.2</v>
      </c>
      <c r="H773" s="19">
        <v>0.2</v>
      </c>
      <c r="I773" s="19">
        <v>0.2</v>
      </c>
      <c r="J773"/>
      <c r="K773">
        <v>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2:26" s="2" customFormat="1" x14ac:dyDescent="0.35">
      <c r="B774"/>
      <c r="C774"/>
      <c r="D774" s="18">
        <v>769</v>
      </c>
      <c r="E774" s="19">
        <v>0.5</v>
      </c>
      <c r="F774" s="19">
        <f t="shared" si="10"/>
        <v>0.5</v>
      </c>
      <c r="G774" s="19">
        <v>0.2</v>
      </c>
      <c r="H774" s="19">
        <v>0.2</v>
      </c>
      <c r="I774" s="19">
        <v>0.2</v>
      </c>
      <c r="J774"/>
      <c r="K774">
        <v>0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2:26" s="2" customFormat="1" x14ac:dyDescent="0.35">
      <c r="B775"/>
      <c r="C775"/>
      <c r="D775" s="18">
        <v>770</v>
      </c>
      <c r="E775" s="19">
        <v>0.5</v>
      </c>
      <c r="F775" s="19">
        <f t="shared" si="10"/>
        <v>0.5</v>
      </c>
      <c r="G775" s="19">
        <v>0.2</v>
      </c>
      <c r="H775" s="19">
        <v>0.2</v>
      </c>
      <c r="I775" s="19">
        <v>0.2</v>
      </c>
      <c r="J775"/>
      <c r="K775">
        <v>0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2:26" s="2" customFormat="1" x14ac:dyDescent="0.35">
      <c r="B776"/>
      <c r="C776"/>
      <c r="D776" s="18">
        <v>771</v>
      </c>
      <c r="E776" s="19">
        <v>0.5</v>
      </c>
      <c r="F776" s="19">
        <f t="shared" si="10"/>
        <v>0.5</v>
      </c>
      <c r="G776" s="19">
        <v>0.2</v>
      </c>
      <c r="H776" s="19">
        <v>0.2</v>
      </c>
      <c r="I776" s="19">
        <v>0.2</v>
      </c>
      <c r="J776"/>
      <c r="K776">
        <v>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2:26" s="2" customFormat="1" x14ac:dyDescent="0.35">
      <c r="B777"/>
      <c r="C777"/>
      <c r="D777" s="18">
        <v>772</v>
      </c>
      <c r="E777" s="19">
        <v>0.5</v>
      </c>
      <c r="F777" s="19">
        <f t="shared" si="10"/>
        <v>0.5</v>
      </c>
      <c r="G777" s="19">
        <v>0.2</v>
      </c>
      <c r="H777" s="19">
        <v>0.2</v>
      </c>
      <c r="I777" s="19">
        <v>0.2</v>
      </c>
      <c r="J777"/>
      <c r="K777">
        <v>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2:26" s="2" customFormat="1" x14ac:dyDescent="0.35">
      <c r="B778"/>
      <c r="C778"/>
      <c r="D778" s="18">
        <v>773</v>
      </c>
      <c r="E778" s="19">
        <v>0.5</v>
      </c>
      <c r="F778" s="19">
        <f t="shared" si="10"/>
        <v>0.5</v>
      </c>
      <c r="G778" s="19">
        <v>0.2</v>
      </c>
      <c r="H778" s="19">
        <v>0.2</v>
      </c>
      <c r="I778" s="19">
        <v>0.2</v>
      </c>
      <c r="J778"/>
      <c r="K778">
        <v>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2:26" s="2" customFormat="1" x14ac:dyDescent="0.35">
      <c r="B779"/>
      <c r="C779"/>
      <c r="D779" s="18">
        <v>774</v>
      </c>
      <c r="E779" s="19">
        <v>0.5</v>
      </c>
      <c r="F779" s="19">
        <f t="shared" si="10"/>
        <v>0.5</v>
      </c>
      <c r="G779" s="19">
        <v>0.2</v>
      </c>
      <c r="H779" s="19">
        <v>0.2</v>
      </c>
      <c r="I779" s="19">
        <v>0.2</v>
      </c>
      <c r="J779"/>
      <c r="K779">
        <v>0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2:26" s="2" customFormat="1" x14ac:dyDescent="0.35">
      <c r="B780"/>
      <c r="C780"/>
      <c r="D780" s="18">
        <v>775</v>
      </c>
      <c r="E780" s="19">
        <v>0.5</v>
      </c>
      <c r="F780" s="19">
        <f t="shared" si="10"/>
        <v>0.5</v>
      </c>
      <c r="G780" s="19">
        <v>0.2</v>
      </c>
      <c r="H780" s="19">
        <v>0.2</v>
      </c>
      <c r="I780" s="19">
        <v>0.2</v>
      </c>
      <c r="J780"/>
      <c r="K780">
        <v>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2:26" s="2" customFormat="1" x14ac:dyDescent="0.35">
      <c r="B781"/>
      <c r="C781"/>
      <c r="D781" s="18">
        <v>776</v>
      </c>
      <c r="E781" s="19">
        <v>0.5</v>
      </c>
      <c r="F781" s="19">
        <f t="shared" si="10"/>
        <v>0.5</v>
      </c>
      <c r="G781" s="19">
        <v>0.2</v>
      </c>
      <c r="H781" s="19">
        <v>0.2</v>
      </c>
      <c r="I781" s="19">
        <v>0.2</v>
      </c>
      <c r="J781"/>
      <c r="K781">
        <v>0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2:26" s="2" customFormat="1" x14ac:dyDescent="0.35">
      <c r="B782"/>
      <c r="C782"/>
      <c r="D782" s="18">
        <v>777</v>
      </c>
      <c r="E782" s="19">
        <v>0.5</v>
      </c>
      <c r="F782" s="19">
        <f t="shared" si="10"/>
        <v>0.5</v>
      </c>
      <c r="G782" s="19">
        <v>0.2</v>
      </c>
      <c r="H782" s="19">
        <v>0.2</v>
      </c>
      <c r="I782" s="19">
        <v>0.2</v>
      </c>
      <c r="J782"/>
      <c r="K782">
        <v>0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2:26" s="2" customFormat="1" x14ac:dyDescent="0.35">
      <c r="B783"/>
      <c r="C783"/>
      <c r="D783" s="18">
        <v>778</v>
      </c>
      <c r="E783" s="19">
        <v>0.5</v>
      </c>
      <c r="F783" s="19">
        <f t="shared" si="10"/>
        <v>0.5</v>
      </c>
      <c r="G783" s="19">
        <v>0.2</v>
      </c>
      <c r="H783" s="19">
        <v>0.2</v>
      </c>
      <c r="I783" s="19">
        <v>0.2</v>
      </c>
      <c r="J783"/>
      <c r="K783">
        <v>0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2:26" s="2" customFormat="1" x14ac:dyDescent="0.35">
      <c r="B784"/>
      <c r="C784"/>
      <c r="D784" s="18">
        <v>779</v>
      </c>
      <c r="E784" s="19">
        <v>0.5</v>
      </c>
      <c r="F784" s="19">
        <f t="shared" si="10"/>
        <v>0.5</v>
      </c>
      <c r="G784" s="19">
        <v>0.2</v>
      </c>
      <c r="H784" s="19">
        <v>0.2</v>
      </c>
      <c r="I784" s="19">
        <v>0.2</v>
      </c>
      <c r="J784"/>
      <c r="K784">
        <v>0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2:26" s="2" customFormat="1" x14ac:dyDescent="0.35">
      <c r="B785"/>
      <c r="C785"/>
      <c r="D785" s="18">
        <v>780</v>
      </c>
      <c r="E785" s="19">
        <v>0.5</v>
      </c>
      <c r="F785" s="19">
        <f t="shared" si="10"/>
        <v>0.5</v>
      </c>
      <c r="G785" s="19">
        <v>0.2</v>
      </c>
      <c r="H785" s="19">
        <v>0.2</v>
      </c>
      <c r="I785" s="19">
        <v>0.2</v>
      </c>
      <c r="J785"/>
      <c r="K785">
        <v>0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2:26" s="2" customFormat="1" x14ac:dyDescent="0.35">
      <c r="B786"/>
      <c r="C786"/>
      <c r="D786" s="18">
        <v>781</v>
      </c>
      <c r="E786" s="19">
        <v>0.5</v>
      </c>
      <c r="F786" s="19">
        <f t="shared" si="10"/>
        <v>0.5</v>
      </c>
      <c r="G786" s="19">
        <v>0.2</v>
      </c>
      <c r="H786" s="19">
        <v>0.2</v>
      </c>
      <c r="I786" s="19">
        <v>0.2</v>
      </c>
      <c r="J786"/>
      <c r="K786">
        <v>0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2:26" s="2" customFormat="1" x14ac:dyDescent="0.35">
      <c r="B787"/>
      <c r="C787"/>
      <c r="D787" s="18">
        <v>782</v>
      </c>
      <c r="E787" s="19">
        <v>0.5</v>
      </c>
      <c r="F787" s="19">
        <f t="shared" si="10"/>
        <v>0.5</v>
      </c>
      <c r="G787" s="19">
        <v>0.2</v>
      </c>
      <c r="H787" s="19">
        <v>0.2</v>
      </c>
      <c r="I787" s="19">
        <v>0.2</v>
      </c>
      <c r="J787"/>
      <c r="K787">
        <v>0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2:26" s="2" customFormat="1" x14ac:dyDescent="0.35">
      <c r="B788"/>
      <c r="C788"/>
      <c r="D788" s="18">
        <v>783</v>
      </c>
      <c r="E788" s="19">
        <v>0.5</v>
      </c>
      <c r="F788" s="19">
        <f t="shared" si="10"/>
        <v>0.5</v>
      </c>
      <c r="G788" s="19">
        <v>0.2</v>
      </c>
      <c r="H788" s="19">
        <v>0.2</v>
      </c>
      <c r="I788" s="19">
        <v>0.2</v>
      </c>
      <c r="J788"/>
      <c r="K788">
        <v>0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2:26" s="2" customFormat="1" x14ac:dyDescent="0.35">
      <c r="B789"/>
      <c r="C789"/>
      <c r="D789" s="18">
        <v>784</v>
      </c>
      <c r="E789" s="19">
        <v>0.5</v>
      </c>
      <c r="F789" s="19">
        <f t="shared" si="10"/>
        <v>0.5</v>
      </c>
      <c r="G789" s="19">
        <v>0.2</v>
      </c>
      <c r="H789" s="19">
        <v>0.2</v>
      </c>
      <c r="I789" s="19">
        <v>0.2</v>
      </c>
      <c r="J789"/>
      <c r="K789">
        <v>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2:26" s="2" customFormat="1" x14ac:dyDescent="0.35">
      <c r="B790"/>
      <c r="C790"/>
      <c r="D790" s="18">
        <v>785</v>
      </c>
      <c r="E790" s="19">
        <v>0.5</v>
      </c>
      <c r="F790" s="19">
        <f t="shared" si="10"/>
        <v>0.5</v>
      </c>
      <c r="G790" s="19">
        <v>0.2</v>
      </c>
      <c r="H790" s="19">
        <v>0.2</v>
      </c>
      <c r="I790" s="19">
        <v>0.2</v>
      </c>
      <c r="J790"/>
      <c r="K790">
        <v>0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2:26" s="2" customFormat="1" x14ac:dyDescent="0.35">
      <c r="B791"/>
      <c r="C791"/>
      <c r="D791" s="18">
        <v>786</v>
      </c>
      <c r="E791" s="19">
        <v>0.5</v>
      </c>
      <c r="F791" s="19">
        <f t="shared" si="10"/>
        <v>0.5</v>
      </c>
      <c r="G791" s="19">
        <v>0.2</v>
      </c>
      <c r="H791" s="19">
        <v>0.2</v>
      </c>
      <c r="I791" s="19">
        <v>0.2</v>
      </c>
      <c r="J791"/>
      <c r="K791">
        <v>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2:26" s="2" customFormat="1" x14ac:dyDescent="0.35">
      <c r="B792"/>
      <c r="C792"/>
      <c r="D792" s="18">
        <v>787</v>
      </c>
      <c r="E792" s="19">
        <v>0.5</v>
      </c>
      <c r="F792" s="19">
        <f t="shared" si="10"/>
        <v>0.5</v>
      </c>
      <c r="G792" s="19">
        <v>0.2</v>
      </c>
      <c r="H792" s="19">
        <v>0.2</v>
      </c>
      <c r="I792" s="19">
        <v>0.2</v>
      </c>
      <c r="J792"/>
      <c r="K792">
        <v>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2:26" s="2" customFormat="1" x14ac:dyDescent="0.35">
      <c r="B793"/>
      <c r="C793"/>
      <c r="D793" s="18">
        <v>788</v>
      </c>
      <c r="E793" s="19">
        <v>0.5</v>
      </c>
      <c r="F793" s="19">
        <f t="shared" si="10"/>
        <v>0.5</v>
      </c>
      <c r="G793" s="19">
        <v>0.2</v>
      </c>
      <c r="H793" s="19">
        <v>0.2</v>
      </c>
      <c r="I793" s="19">
        <v>0.2</v>
      </c>
      <c r="J793"/>
      <c r="K793">
        <v>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2:26" s="2" customFormat="1" x14ac:dyDescent="0.35">
      <c r="B794"/>
      <c r="C794"/>
      <c r="D794" s="18">
        <v>789</v>
      </c>
      <c r="E794" s="19">
        <v>0.5</v>
      </c>
      <c r="F794" s="19">
        <f t="shared" si="10"/>
        <v>0.5</v>
      </c>
      <c r="G794" s="19">
        <v>0.2</v>
      </c>
      <c r="H794" s="19">
        <v>0.2</v>
      </c>
      <c r="I794" s="19">
        <v>0.2</v>
      </c>
      <c r="J794"/>
      <c r="K794">
        <v>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2:26" s="2" customFormat="1" x14ac:dyDescent="0.35">
      <c r="B795"/>
      <c r="C795"/>
      <c r="D795" s="18">
        <v>790</v>
      </c>
      <c r="E795" s="19">
        <v>0.5</v>
      </c>
      <c r="F795" s="19">
        <f t="shared" si="10"/>
        <v>0.5</v>
      </c>
      <c r="G795" s="19">
        <v>0.2</v>
      </c>
      <c r="H795" s="19">
        <v>0.2</v>
      </c>
      <c r="I795" s="19">
        <v>0.2</v>
      </c>
      <c r="J795"/>
      <c r="K795">
        <v>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2:26" s="2" customFormat="1" x14ac:dyDescent="0.35">
      <c r="B796"/>
      <c r="C796"/>
      <c r="D796" s="18">
        <v>791</v>
      </c>
      <c r="E796" s="19">
        <v>0.5</v>
      </c>
      <c r="F796" s="19">
        <f t="shared" si="10"/>
        <v>0.5</v>
      </c>
      <c r="G796" s="19">
        <v>0.2</v>
      </c>
      <c r="H796" s="19">
        <v>0.2</v>
      </c>
      <c r="I796" s="19">
        <v>0.2</v>
      </c>
      <c r="J796"/>
      <c r="K796">
        <v>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2:26" s="2" customFormat="1" x14ac:dyDescent="0.35">
      <c r="B797"/>
      <c r="C797"/>
      <c r="D797" s="18">
        <v>792</v>
      </c>
      <c r="E797" s="19">
        <v>0.5</v>
      </c>
      <c r="F797" s="19">
        <f t="shared" si="10"/>
        <v>0.5</v>
      </c>
      <c r="G797" s="19">
        <v>0.2</v>
      </c>
      <c r="H797" s="19">
        <v>0.2</v>
      </c>
      <c r="I797" s="19">
        <v>0.2</v>
      </c>
      <c r="J797"/>
      <c r="K797">
        <v>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2:26" s="2" customFormat="1" x14ac:dyDescent="0.35">
      <c r="B798"/>
      <c r="C798"/>
      <c r="D798" s="18">
        <v>793</v>
      </c>
      <c r="E798" s="19">
        <v>0.5</v>
      </c>
      <c r="F798" s="19">
        <f t="shared" si="10"/>
        <v>0.5</v>
      </c>
      <c r="G798" s="19">
        <v>0.2</v>
      </c>
      <c r="H798" s="19">
        <v>0.2</v>
      </c>
      <c r="I798" s="19">
        <v>0.2</v>
      </c>
      <c r="J798"/>
      <c r="K798">
        <v>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2:26" s="2" customFormat="1" x14ac:dyDescent="0.35">
      <c r="B799"/>
      <c r="C799"/>
      <c r="D799" s="18">
        <v>794</v>
      </c>
      <c r="E799" s="19">
        <v>0.5</v>
      </c>
      <c r="F799" s="19">
        <f t="shared" si="10"/>
        <v>0.5</v>
      </c>
      <c r="G799" s="19">
        <v>0.2</v>
      </c>
      <c r="H799" s="19">
        <v>0.2</v>
      </c>
      <c r="I799" s="19">
        <v>0.2</v>
      </c>
      <c r="J799"/>
      <c r="K799">
        <v>0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2:26" s="2" customFormat="1" x14ac:dyDescent="0.35">
      <c r="B800"/>
      <c r="C800"/>
      <c r="D800" s="18">
        <v>795</v>
      </c>
      <c r="E800" s="19">
        <v>0.5</v>
      </c>
      <c r="F800" s="19">
        <f t="shared" si="10"/>
        <v>0.5</v>
      </c>
      <c r="G800" s="19">
        <v>0.2</v>
      </c>
      <c r="H800" s="19">
        <v>0.2</v>
      </c>
      <c r="I800" s="19">
        <v>0.2</v>
      </c>
      <c r="J800"/>
      <c r="K800">
        <v>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2:26" s="2" customFormat="1" x14ac:dyDescent="0.35">
      <c r="B801"/>
      <c r="C801"/>
      <c r="D801" s="18">
        <v>796</v>
      </c>
      <c r="E801" s="19">
        <v>0.5</v>
      </c>
      <c r="F801" s="19">
        <f t="shared" si="10"/>
        <v>0.5</v>
      </c>
      <c r="G801" s="19">
        <v>0.2</v>
      </c>
      <c r="H801" s="19">
        <v>0.2</v>
      </c>
      <c r="I801" s="19">
        <v>0.2</v>
      </c>
      <c r="J801"/>
      <c r="K801">
        <v>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2:26" s="2" customFormat="1" x14ac:dyDescent="0.35">
      <c r="B802"/>
      <c r="C802"/>
      <c r="D802" s="18">
        <v>797</v>
      </c>
      <c r="E802" s="19">
        <v>0.5</v>
      </c>
      <c r="F802" s="19">
        <f t="shared" si="10"/>
        <v>0.5</v>
      </c>
      <c r="G802" s="19">
        <v>0.2</v>
      </c>
      <c r="H802" s="19">
        <v>0.2</v>
      </c>
      <c r="I802" s="19">
        <v>0.2</v>
      </c>
      <c r="J802"/>
      <c r="K802">
        <v>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2:26" s="2" customFormat="1" x14ac:dyDescent="0.35">
      <c r="B803"/>
      <c r="C803"/>
      <c r="D803" s="18">
        <v>798</v>
      </c>
      <c r="E803" s="19">
        <v>0.5</v>
      </c>
      <c r="F803" s="19">
        <f t="shared" si="10"/>
        <v>0.5</v>
      </c>
      <c r="G803" s="19">
        <v>0.2</v>
      </c>
      <c r="H803" s="19">
        <v>0.2</v>
      </c>
      <c r="I803" s="19">
        <v>0.2</v>
      </c>
      <c r="J803"/>
      <c r="K803">
        <v>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2:26" s="2" customFormat="1" x14ac:dyDescent="0.35">
      <c r="B804"/>
      <c r="C804"/>
      <c r="D804" s="18">
        <v>799</v>
      </c>
      <c r="E804" s="19">
        <v>0.5</v>
      </c>
      <c r="F804" s="19">
        <f t="shared" si="10"/>
        <v>0.5</v>
      </c>
      <c r="G804" s="19">
        <v>0.2</v>
      </c>
      <c r="H804" s="19">
        <v>0.2</v>
      </c>
      <c r="I804" s="19">
        <v>0.2</v>
      </c>
      <c r="J804"/>
      <c r="K804">
        <v>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2:26" s="2" customFormat="1" x14ac:dyDescent="0.35">
      <c r="B805"/>
      <c r="C805"/>
      <c r="D805" s="18">
        <v>800</v>
      </c>
      <c r="E805" s="19">
        <v>0.5</v>
      </c>
      <c r="F805" s="19">
        <f t="shared" si="10"/>
        <v>0.5</v>
      </c>
      <c r="G805" s="19">
        <v>0.2</v>
      </c>
      <c r="H805" s="19">
        <v>0.2</v>
      </c>
      <c r="I805" s="19">
        <v>0.2</v>
      </c>
      <c r="J805"/>
      <c r="K805">
        <v>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2:26" s="2" customFormat="1" x14ac:dyDescent="0.35">
      <c r="B806"/>
      <c r="C806"/>
      <c r="D806" s="18">
        <v>801</v>
      </c>
      <c r="E806" s="19">
        <v>0.5</v>
      </c>
      <c r="F806" s="19">
        <f t="shared" si="10"/>
        <v>0.5</v>
      </c>
      <c r="G806" s="19">
        <v>0.2</v>
      </c>
      <c r="H806" s="19">
        <v>0.2</v>
      </c>
      <c r="I806" s="19">
        <v>0.2</v>
      </c>
      <c r="J806"/>
      <c r="K806">
        <v>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2:26" s="2" customFormat="1" x14ac:dyDescent="0.35">
      <c r="B807"/>
      <c r="C807"/>
      <c r="D807" s="18">
        <v>802</v>
      </c>
      <c r="E807" s="19">
        <v>0.5</v>
      </c>
      <c r="F807" s="19">
        <f t="shared" si="10"/>
        <v>0.5</v>
      </c>
      <c r="G807" s="19">
        <v>0.2</v>
      </c>
      <c r="H807" s="19">
        <v>0.2</v>
      </c>
      <c r="I807" s="19">
        <v>0.2</v>
      </c>
      <c r="J807"/>
      <c r="K807">
        <v>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2:26" s="2" customFormat="1" x14ac:dyDescent="0.35">
      <c r="B808"/>
      <c r="C808"/>
      <c r="D808" s="18">
        <v>803</v>
      </c>
      <c r="E808" s="19">
        <v>0.5</v>
      </c>
      <c r="F808" s="19">
        <f t="shared" si="10"/>
        <v>0.5</v>
      </c>
      <c r="G808" s="19">
        <v>0.2</v>
      </c>
      <c r="H808" s="19">
        <v>0.2</v>
      </c>
      <c r="I808" s="19">
        <v>0.2</v>
      </c>
      <c r="J808"/>
      <c r="K808">
        <v>0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2:26" s="2" customFormat="1" x14ac:dyDescent="0.35">
      <c r="B809"/>
      <c r="C809"/>
      <c r="D809" s="18">
        <v>804</v>
      </c>
      <c r="E809" s="19">
        <v>0.5</v>
      </c>
      <c r="F809" s="19">
        <f t="shared" si="10"/>
        <v>0.5</v>
      </c>
      <c r="G809" s="19">
        <v>0.2</v>
      </c>
      <c r="H809" s="19">
        <v>0.2</v>
      </c>
      <c r="I809" s="19">
        <v>0.2</v>
      </c>
      <c r="J809"/>
      <c r="K809">
        <v>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2:26" s="2" customFormat="1" x14ac:dyDescent="0.35">
      <c r="B810"/>
      <c r="C810"/>
      <c r="D810" s="18">
        <v>805</v>
      </c>
      <c r="E810" s="19">
        <v>0.5</v>
      </c>
      <c r="F810" s="19">
        <f t="shared" si="10"/>
        <v>0.5</v>
      </c>
      <c r="G810" s="19">
        <v>0.2</v>
      </c>
      <c r="H810" s="19">
        <v>0.2</v>
      </c>
      <c r="I810" s="19">
        <v>0.2</v>
      </c>
      <c r="J810"/>
      <c r="K810">
        <v>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2:26" s="2" customFormat="1" x14ac:dyDescent="0.35">
      <c r="B811"/>
      <c r="C811"/>
      <c r="D811" s="18">
        <v>806</v>
      </c>
      <c r="E811" s="19">
        <v>0.5</v>
      </c>
      <c r="F811" s="19">
        <f t="shared" ref="F811:F874" si="11">E811</f>
        <v>0.5</v>
      </c>
      <c r="G811" s="19">
        <v>0.2</v>
      </c>
      <c r="H811" s="19">
        <v>0.2</v>
      </c>
      <c r="I811" s="19">
        <v>0.2</v>
      </c>
      <c r="J811"/>
      <c r="K811">
        <v>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2:26" s="2" customFormat="1" x14ac:dyDescent="0.35">
      <c r="B812"/>
      <c r="C812"/>
      <c r="D812" s="18">
        <v>807</v>
      </c>
      <c r="E812" s="19">
        <v>0.5</v>
      </c>
      <c r="F812" s="19">
        <f t="shared" si="11"/>
        <v>0.5</v>
      </c>
      <c r="G812" s="19">
        <v>0.2</v>
      </c>
      <c r="H812" s="19">
        <v>0.2</v>
      </c>
      <c r="I812" s="19">
        <v>0.2</v>
      </c>
      <c r="J812"/>
      <c r="K812">
        <v>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2:26" s="2" customFormat="1" x14ac:dyDescent="0.35">
      <c r="B813"/>
      <c r="C813"/>
      <c r="D813" s="18">
        <v>808</v>
      </c>
      <c r="E813" s="19">
        <v>0.5</v>
      </c>
      <c r="F813" s="19">
        <f t="shared" si="11"/>
        <v>0.5</v>
      </c>
      <c r="G813" s="19">
        <v>0.2</v>
      </c>
      <c r="H813" s="19">
        <v>0.2</v>
      </c>
      <c r="I813" s="19">
        <v>0.2</v>
      </c>
      <c r="J813"/>
      <c r="K813">
        <v>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2:26" s="2" customFormat="1" x14ac:dyDescent="0.35">
      <c r="B814"/>
      <c r="C814"/>
      <c r="D814" s="18">
        <v>809</v>
      </c>
      <c r="E814" s="19">
        <v>0.5</v>
      </c>
      <c r="F814" s="19">
        <f t="shared" si="11"/>
        <v>0.5</v>
      </c>
      <c r="G814" s="19">
        <v>0.2</v>
      </c>
      <c r="H814" s="19">
        <v>0.2</v>
      </c>
      <c r="I814" s="19">
        <v>0.2</v>
      </c>
      <c r="J814"/>
      <c r="K814">
        <v>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2:26" s="2" customFormat="1" x14ac:dyDescent="0.35">
      <c r="B815"/>
      <c r="C815"/>
      <c r="D815" s="18">
        <v>810</v>
      </c>
      <c r="E815" s="19">
        <v>0.5</v>
      </c>
      <c r="F815" s="19">
        <f t="shared" si="11"/>
        <v>0.5</v>
      </c>
      <c r="G815" s="19">
        <v>0.2</v>
      </c>
      <c r="H815" s="19">
        <v>0.2</v>
      </c>
      <c r="I815" s="19">
        <v>0.2</v>
      </c>
      <c r="J815"/>
      <c r="K815">
        <v>0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2:26" s="2" customFormat="1" x14ac:dyDescent="0.35">
      <c r="B816"/>
      <c r="C816"/>
      <c r="D816" s="18">
        <v>811</v>
      </c>
      <c r="E816" s="19">
        <v>0.5</v>
      </c>
      <c r="F816" s="19">
        <f t="shared" si="11"/>
        <v>0.5</v>
      </c>
      <c r="G816" s="19">
        <v>0.2</v>
      </c>
      <c r="H816" s="19">
        <v>0.2</v>
      </c>
      <c r="I816" s="19">
        <v>0.2</v>
      </c>
      <c r="J816"/>
      <c r="K816">
        <v>0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2:26" s="2" customFormat="1" x14ac:dyDescent="0.35">
      <c r="B817"/>
      <c r="C817"/>
      <c r="D817" s="18">
        <v>812</v>
      </c>
      <c r="E817" s="19">
        <v>0.5</v>
      </c>
      <c r="F817" s="19">
        <f t="shared" si="11"/>
        <v>0.5</v>
      </c>
      <c r="G817" s="19">
        <v>0.2</v>
      </c>
      <c r="H817" s="19">
        <v>0.2</v>
      </c>
      <c r="I817" s="19">
        <v>0.2</v>
      </c>
      <c r="J817"/>
      <c r="K817">
        <v>0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2:26" s="2" customFormat="1" x14ac:dyDescent="0.35">
      <c r="B818"/>
      <c r="C818"/>
      <c r="D818" s="18">
        <v>813</v>
      </c>
      <c r="E818" s="19">
        <v>0.5</v>
      </c>
      <c r="F818" s="19">
        <f t="shared" si="11"/>
        <v>0.5</v>
      </c>
      <c r="G818" s="19">
        <v>0.2</v>
      </c>
      <c r="H818" s="19">
        <v>0.2</v>
      </c>
      <c r="I818" s="19">
        <v>0.2</v>
      </c>
      <c r="J818"/>
      <c r="K818">
        <v>0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2:26" s="2" customFormat="1" x14ac:dyDescent="0.35">
      <c r="B819"/>
      <c r="C819"/>
      <c r="D819" s="18">
        <v>814</v>
      </c>
      <c r="E819" s="19">
        <v>0.5</v>
      </c>
      <c r="F819" s="19">
        <f t="shared" si="11"/>
        <v>0.5</v>
      </c>
      <c r="G819" s="19">
        <v>0.2</v>
      </c>
      <c r="H819" s="19">
        <v>0.2</v>
      </c>
      <c r="I819" s="19">
        <v>0.2</v>
      </c>
      <c r="J819"/>
      <c r="K819">
        <v>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2:26" s="2" customFormat="1" x14ac:dyDescent="0.35">
      <c r="B820"/>
      <c r="C820"/>
      <c r="D820" s="18">
        <v>815</v>
      </c>
      <c r="E820" s="19">
        <v>0.5</v>
      </c>
      <c r="F820" s="19">
        <f t="shared" si="11"/>
        <v>0.5</v>
      </c>
      <c r="G820" s="19">
        <v>0.2</v>
      </c>
      <c r="H820" s="19">
        <v>0.2</v>
      </c>
      <c r="I820" s="19">
        <v>0.2</v>
      </c>
      <c r="J820"/>
      <c r="K820">
        <v>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2:26" s="2" customFormat="1" x14ac:dyDescent="0.35">
      <c r="B821"/>
      <c r="C821"/>
      <c r="D821" s="18">
        <v>816</v>
      </c>
      <c r="E821" s="19">
        <v>0.5</v>
      </c>
      <c r="F821" s="19">
        <f t="shared" si="11"/>
        <v>0.5</v>
      </c>
      <c r="G821" s="19">
        <v>0.2</v>
      </c>
      <c r="H821" s="19">
        <v>0.2</v>
      </c>
      <c r="I821" s="19">
        <v>0.2</v>
      </c>
      <c r="J821"/>
      <c r="K821">
        <v>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2:26" s="2" customFormat="1" x14ac:dyDescent="0.35">
      <c r="B822"/>
      <c r="C822"/>
      <c r="D822" s="18">
        <v>817</v>
      </c>
      <c r="E822" s="19">
        <v>0.5</v>
      </c>
      <c r="F822" s="19">
        <f t="shared" si="11"/>
        <v>0.5</v>
      </c>
      <c r="G822" s="19">
        <v>0.2</v>
      </c>
      <c r="H822" s="19">
        <v>0.2</v>
      </c>
      <c r="I822" s="19">
        <v>0.2</v>
      </c>
      <c r="J822"/>
      <c r="K822">
        <v>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2:26" s="2" customFormat="1" x14ac:dyDescent="0.35">
      <c r="B823"/>
      <c r="C823"/>
      <c r="D823" s="18">
        <v>818</v>
      </c>
      <c r="E823" s="19">
        <v>0.5</v>
      </c>
      <c r="F823" s="19">
        <f t="shared" si="11"/>
        <v>0.5</v>
      </c>
      <c r="G823" s="19">
        <v>0.2</v>
      </c>
      <c r="H823" s="19">
        <v>0.2</v>
      </c>
      <c r="I823" s="19">
        <v>0.2</v>
      </c>
      <c r="J823"/>
      <c r="K823">
        <v>0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2:26" s="2" customFormat="1" x14ac:dyDescent="0.35">
      <c r="B824"/>
      <c r="C824"/>
      <c r="D824" s="18">
        <v>819</v>
      </c>
      <c r="E824" s="19">
        <v>0.5</v>
      </c>
      <c r="F824" s="19">
        <f t="shared" si="11"/>
        <v>0.5</v>
      </c>
      <c r="G824" s="19">
        <v>0.2</v>
      </c>
      <c r="H824" s="19">
        <v>0.2</v>
      </c>
      <c r="I824" s="19">
        <v>0.2</v>
      </c>
      <c r="J824"/>
      <c r="K824">
        <v>0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2:26" s="2" customFormat="1" x14ac:dyDescent="0.35">
      <c r="B825"/>
      <c r="C825"/>
      <c r="D825" s="18">
        <v>820</v>
      </c>
      <c r="E825" s="19">
        <v>0.5</v>
      </c>
      <c r="F825" s="19">
        <f t="shared" si="11"/>
        <v>0.5</v>
      </c>
      <c r="G825" s="19">
        <v>0.2</v>
      </c>
      <c r="H825" s="19">
        <v>0.2</v>
      </c>
      <c r="I825" s="19">
        <v>0.2</v>
      </c>
      <c r="J825"/>
      <c r="K825">
        <v>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2:26" s="2" customFormat="1" x14ac:dyDescent="0.35">
      <c r="B826"/>
      <c r="C826"/>
      <c r="D826" s="18">
        <v>821</v>
      </c>
      <c r="E826" s="19">
        <v>0.5</v>
      </c>
      <c r="F826" s="19">
        <f t="shared" si="11"/>
        <v>0.5</v>
      </c>
      <c r="G826" s="19">
        <v>0.2</v>
      </c>
      <c r="H826" s="19">
        <v>0.2</v>
      </c>
      <c r="I826" s="19">
        <v>0.2</v>
      </c>
      <c r="J826"/>
      <c r="K826">
        <v>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2:26" s="2" customFormat="1" x14ac:dyDescent="0.35">
      <c r="B827"/>
      <c r="C827"/>
      <c r="D827" s="18">
        <v>822</v>
      </c>
      <c r="E827" s="19">
        <v>0.5</v>
      </c>
      <c r="F827" s="19">
        <f t="shared" si="11"/>
        <v>0.5</v>
      </c>
      <c r="G827" s="19">
        <v>0.2</v>
      </c>
      <c r="H827" s="19">
        <v>0.2</v>
      </c>
      <c r="I827" s="19">
        <v>0.2</v>
      </c>
      <c r="J827"/>
      <c r="K827">
        <v>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2:26" s="2" customFormat="1" x14ac:dyDescent="0.35">
      <c r="B828"/>
      <c r="C828"/>
      <c r="D828" s="18">
        <v>823</v>
      </c>
      <c r="E828" s="19">
        <v>0.5</v>
      </c>
      <c r="F828" s="19">
        <f t="shared" si="11"/>
        <v>0.5</v>
      </c>
      <c r="G828" s="19">
        <v>0.2</v>
      </c>
      <c r="H828" s="19">
        <v>0.2</v>
      </c>
      <c r="I828" s="19">
        <v>0.2</v>
      </c>
      <c r="J828"/>
      <c r="K828">
        <v>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2:26" s="2" customFormat="1" x14ac:dyDescent="0.35">
      <c r="B829"/>
      <c r="C829"/>
      <c r="D829" s="18">
        <v>824</v>
      </c>
      <c r="E829" s="19">
        <v>0.5</v>
      </c>
      <c r="F829" s="19">
        <f t="shared" si="11"/>
        <v>0.5</v>
      </c>
      <c r="G829" s="19">
        <v>0.2</v>
      </c>
      <c r="H829" s="19">
        <v>0.2</v>
      </c>
      <c r="I829" s="19">
        <v>0.2</v>
      </c>
      <c r="J829"/>
      <c r="K829">
        <v>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2:26" s="2" customFormat="1" x14ac:dyDescent="0.35">
      <c r="B830"/>
      <c r="C830"/>
      <c r="D830" s="18">
        <v>825</v>
      </c>
      <c r="E830" s="19">
        <v>0.5</v>
      </c>
      <c r="F830" s="19">
        <f t="shared" si="11"/>
        <v>0.5</v>
      </c>
      <c r="G830" s="19">
        <v>0.2</v>
      </c>
      <c r="H830" s="19">
        <v>0.2</v>
      </c>
      <c r="I830" s="19">
        <v>0.2</v>
      </c>
      <c r="J830"/>
      <c r="K830">
        <v>0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2:26" s="2" customFormat="1" x14ac:dyDescent="0.35">
      <c r="B831"/>
      <c r="C831"/>
      <c r="D831" s="18">
        <v>826</v>
      </c>
      <c r="E831" s="19">
        <v>0.5</v>
      </c>
      <c r="F831" s="19">
        <f t="shared" si="11"/>
        <v>0.5</v>
      </c>
      <c r="G831" s="19">
        <v>0.2</v>
      </c>
      <c r="H831" s="19">
        <v>0.2</v>
      </c>
      <c r="I831" s="19">
        <v>0.2</v>
      </c>
      <c r="J831"/>
      <c r="K831">
        <v>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2:26" s="2" customFormat="1" x14ac:dyDescent="0.35">
      <c r="B832"/>
      <c r="C832"/>
      <c r="D832" s="18">
        <v>827</v>
      </c>
      <c r="E832" s="19">
        <v>0.5</v>
      </c>
      <c r="F832" s="19">
        <f t="shared" si="11"/>
        <v>0.5</v>
      </c>
      <c r="G832" s="19">
        <v>0.2</v>
      </c>
      <c r="H832" s="19">
        <v>0.2</v>
      </c>
      <c r="I832" s="19">
        <v>0.2</v>
      </c>
      <c r="J832"/>
      <c r="K832">
        <v>0</v>
      </c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2:26" s="2" customFormat="1" x14ac:dyDescent="0.35">
      <c r="B833"/>
      <c r="C833"/>
      <c r="D833" s="18">
        <v>828</v>
      </c>
      <c r="E833" s="19">
        <v>0.5</v>
      </c>
      <c r="F833" s="19">
        <f t="shared" si="11"/>
        <v>0.5</v>
      </c>
      <c r="G833" s="19">
        <v>0.2</v>
      </c>
      <c r="H833" s="19">
        <v>0.2</v>
      </c>
      <c r="I833" s="19">
        <v>0.2</v>
      </c>
      <c r="J833"/>
      <c r="K833">
        <v>0</v>
      </c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2:26" s="2" customFormat="1" x14ac:dyDescent="0.35">
      <c r="B834"/>
      <c r="C834"/>
      <c r="D834" s="18">
        <v>829</v>
      </c>
      <c r="E834" s="19">
        <v>0.5</v>
      </c>
      <c r="F834" s="19">
        <f t="shared" si="11"/>
        <v>0.5</v>
      </c>
      <c r="G834" s="19">
        <v>0.2</v>
      </c>
      <c r="H834" s="19">
        <v>0.2</v>
      </c>
      <c r="I834" s="19">
        <v>0.2</v>
      </c>
      <c r="J834"/>
      <c r="K834">
        <v>0</v>
      </c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2:26" s="2" customFormat="1" x14ac:dyDescent="0.35">
      <c r="B835"/>
      <c r="C835"/>
      <c r="D835" s="18">
        <v>830</v>
      </c>
      <c r="E835" s="19">
        <v>0.5</v>
      </c>
      <c r="F835" s="19">
        <f t="shared" si="11"/>
        <v>0.5</v>
      </c>
      <c r="G835" s="19">
        <v>0.2</v>
      </c>
      <c r="H835" s="19">
        <v>0.2</v>
      </c>
      <c r="I835" s="19">
        <v>0.2</v>
      </c>
      <c r="J835"/>
      <c r="K835">
        <v>0</v>
      </c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2:26" s="2" customFormat="1" x14ac:dyDescent="0.35">
      <c r="B836"/>
      <c r="C836"/>
      <c r="D836" s="18">
        <v>831</v>
      </c>
      <c r="E836" s="19">
        <v>0.5</v>
      </c>
      <c r="F836" s="19">
        <f t="shared" si="11"/>
        <v>0.5</v>
      </c>
      <c r="G836" s="19">
        <v>0.2</v>
      </c>
      <c r="H836" s="19">
        <v>0.2</v>
      </c>
      <c r="I836" s="19">
        <v>0.2</v>
      </c>
      <c r="J836"/>
      <c r="K836">
        <v>0</v>
      </c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2:26" s="2" customFormat="1" x14ac:dyDescent="0.35">
      <c r="B837"/>
      <c r="C837"/>
      <c r="D837" s="18">
        <v>832</v>
      </c>
      <c r="E837" s="19">
        <v>0.5</v>
      </c>
      <c r="F837" s="19">
        <f t="shared" si="11"/>
        <v>0.5</v>
      </c>
      <c r="G837" s="19">
        <v>0.2</v>
      </c>
      <c r="H837" s="19">
        <v>0.2</v>
      </c>
      <c r="I837" s="19">
        <v>0.2</v>
      </c>
      <c r="J837"/>
      <c r="K837">
        <v>0</v>
      </c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2:26" s="2" customFormat="1" x14ac:dyDescent="0.35">
      <c r="B838"/>
      <c r="C838"/>
      <c r="D838" s="18">
        <v>833</v>
      </c>
      <c r="E838" s="19">
        <v>0.5</v>
      </c>
      <c r="F838" s="19">
        <f t="shared" si="11"/>
        <v>0.5</v>
      </c>
      <c r="G838" s="19">
        <v>0.2</v>
      </c>
      <c r="H838" s="19">
        <v>0.2</v>
      </c>
      <c r="I838" s="19">
        <v>0.2</v>
      </c>
      <c r="J838"/>
      <c r="K838">
        <v>0</v>
      </c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2:26" s="2" customFormat="1" x14ac:dyDescent="0.35">
      <c r="B839"/>
      <c r="C839"/>
      <c r="D839" s="18">
        <v>834</v>
      </c>
      <c r="E839" s="19">
        <v>0.5</v>
      </c>
      <c r="F839" s="19">
        <f t="shared" si="11"/>
        <v>0.5</v>
      </c>
      <c r="G839" s="19">
        <v>0.2</v>
      </c>
      <c r="H839" s="19">
        <v>0.2</v>
      </c>
      <c r="I839" s="19">
        <v>0.2</v>
      </c>
      <c r="J839"/>
      <c r="K839">
        <v>0</v>
      </c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2:26" s="2" customFormat="1" x14ac:dyDescent="0.35">
      <c r="B840"/>
      <c r="C840"/>
      <c r="D840" s="18">
        <v>835</v>
      </c>
      <c r="E840" s="19">
        <v>0.5</v>
      </c>
      <c r="F840" s="19">
        <f t="shared" si="11"/>
        <v>0.5</v>
      </c>
      <c r="G840" s="19">
        <v>0.2</v>
      </c>
      <c r="H840" s="19">
        <v>0.2</v>
      </c>
      <c r="I840" s="19">
        <v>0.2</v>
      </c>
      <c r="J840"/>
      <c r="K840">
        <v>0</v>
      </c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2:26" s="2" customFormat="1" x14ac:dyDescent="0.35">
      <c r="B841"/>
      <c r="C841"/>
      <c r="D841" s="18">
        <v>836</v>
      </c>
      <c r="E841" s="19">
        <v>0.5</v>
      </c>
      <c r="F841" s="19">
        <f t="shared" si="11"/>
        <v>0.5</v>
      </c>
      <c r="G841" s="19">
        <v>0.2</v>
      </c>
      <c r="H841" s="19">
        <v>0.2</v>
      </c>
      <c r="I841" s="19">
        <v>0.2</v>
      </c>
      <c r="J841"/>
      <c r="K841">
        <v>0</v>
      </c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2:26" s="2" customFormat="1" x14ac:dyDescent="0.35">
      <c r="B842"/>
      <c r="C842"/>
      <c r="D842" s="18">
        <v>837</v>
      </c>
      <c r="E842" s="19">
        <v>0.5</v>
      </c>
      <c r="F842" s="19">
        <f t="shared" si="11"/>
        <v>0.5</v>
      </c>
      <c r="G842" s="19">
        <v>0.2</v>
      </c>
      <c r="H842" s="19">
        <v>0.2</v>
      </c>
      <c r="I842" s="19">
        <v>0.2</v>
      </c>
      <c r="J842"/>
      <c r="K842">
        <v>0</v>
      </c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2:26" s="2" customFormat="1" x14ac:dyDescent="0.35">
      <c r="B843"/>
      <c r="C843"/>
      <c r="D843" s="18">
        <v>838</v>
      </c>
      <c r="E843" s="19">
        <v>0.5</v>
      </c>
      <c r="F843" s="19">
        <f t="shared" si="11"/>
        <v>0.5</v>
      </c>
      <c r="G843" s="19">
        <v>0.2</v>
      </c>
      <c r="H843" s="19">
        <v>0.2</v>
      </c>
      <c r="I843" s="19">
        <v>0.2</v>
      </c>
      <c r="J843"/>
      <c r="K843">
        <v>0</v>
      </c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2:26" s="2" customFormat="1" x14ac:dyDescent="0.35">
      <c r="B844"/>
      <c r="C844"/>
      <c r="D844" s="18">
        <v>839</v>
      </c>
      <c r="E844" s="19">
        <v>0.5</v>
      </c>
      <c r="F844" s="19">
        <f t="shared" si="11"/>
        <v>0.5</v>
      </c>
      <c r="G844" s="19">
        <v>0.2</v>
      </c>
      <c r="H844" s="19">
        <v>0.2</v>
      </c>
      <c r="I844" s="19">
        <v>0.2</v>
      </c>
      <c r="J844"/>
      <c r="K844">
        <v>0</v>
      </c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2:26" s="2" customFormat="1" x14ac:dyDescent="0.35">
      <c r="B845"/>
      <c r="C845"/>
      <c r="D845" s="18">
        <v>840</v>
      </c>
      <c r="E845" s="19">
        <v>0.5</v>
      </c>
      <c r="F845" s="19">
        <f t="shared" si="11"/>
        <v>0.5</v>
      </c>
      <c r="G845" s="19">
        <v>0.2</v>
      </c>
      <c r="H845" s="19">
        <v>0.2</v>
      </c>
      <c r="I845" s="19">
        <v>0.2</v>
      </c>
      <c r="J845"/>
      <c r="K845">
        <v>0</v>
      </c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2:26" s="2" customFormat="1" x14ac:dyDescent="0.35">
      <c r="B846"/>
      <c r="C846"/>
      <c r="D846" s="18">
        <v>841</v>
      </c>
      <c r="E846" s="19">
        <v>0.5</v>
      </c>
      <c r="F846" s="19">
        <f t="shared" si="11"/>
        <v>0.5</v>
      </c>
      <c r="G846" s="19">
        <v>0.2</v>
      </c>
      <c r="H846" s="19">
        <v>0.2</v>
      </c>
      <c r="I846" s="19">
        <v>0.2</v>
      </c>
      <c r="J846"/>
      <c r="K846">
        <v>0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2:26" s="2" customFormat="1" x14ac:dyDescent="0.35">
      <c r="B847"/>
      <c r="C847"/>
      <c r="D847" s="18">
        <v>842</v>
      </c>
      <c r="E847" s="19">
        <v>0.5</v>
      </c>
      <c r="F847" s="19">
        <f t="shared" si="11"/>
        <v>0.5</v>
      </c>
      <c r="G847" s="19">
        <v>0.2</v>
      </c>
      <c r="H847" s="19">
        <v>0.2</v>
      </c>
      <c r="I847" s="19">
        <v>0.2</v>
      </c>
      <c r="J847"/>
      <c r="K847">
        <v>0</v>
      </c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2:26" s="2" customFormat="1" x14ac:dyDescent="0.35">
      <c r="B848"/>
      <c r="C848"/>
      <c r="D848" s="18">
        <v>843</v>
      </c>
      <c r="E848" s="19">
        <v>0.5</v>
      </c>
      <c r="F848" s="19">
        <f t="shared" si="11"/>
        <v>0.5</v>
      </c>
      <c r="G848" s="19">
        <v>0.2</v>
      </c>
      <c r="H848" s="19">
        <v>0.2</v>
      </c>
      <c r="I848" s="19">
        <v>0.2</v>
      </c>
      <c r="J848"/>
      <c r="K848">
        <v>0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2:26" s="2" customFormat="1" x14ac:dyDescent="0.35">
      <c r="B849"/>
      <c r="C849"/>
      <c r="D849" s="18">
        <v>844</v>
      </c>
      <c r="E849" s="19">
        <v>0.5</v>
      </c>
      <c r="F849" s="19">
        <f t="shared" si="11"/>
        <v>0.5</v>
      </c>
      <c r="G849" s="19">
        <v>0.2</v>
      </c>
      <c r="H849" s="19">
        <v>0.2</v>
      </c>
      <c r="I849" s="19">
        <v>0.2</v>
      </c>
      <c r="J849"/>
      <c r="K849">
        <v>0</v>
      </c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2:26" s="2" customFormat="1" x14ac:dyDescent="0.35">
      <c r="B850"/>
      <c r="C850"/>
      <c r="D850" s="18">
        <v>845</v>
      </c>
      <c r="E850" s="19">
        <v>0.5</v>
      </c>
      <c r="F850" s="19">
        <f t="shared" si="11"/>
        <v>0.5</v>
      </c>
      <c r="G850" s="19">
        <v>0.2</v>
      </c>
      <c r="H850" s="19">
        <v>0.2</v>
      </c>
      <c r="I850" s="19">
        <v>0.2</v>
      </c>
      <c r="J850"/>
      <c r="K850">
        <v>0</v>
      </c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2:26" s="2" customFormat="1" x14ac:dyDescent="0.35">
      <c r="B851"/>
      <c r="C851"/>
      <c r="D851" s="18">
        <v>846</v>
      </c>
      <c r="E851" s="19">
        <v>0.5</v>
      </c>
      <c r="F851" s="19">
        <f t="shared" si="11"/>
        <v>0.5</v>
      </c>
      <c r="G851" s="19">
        <v>0.2</v>
      </c>
      <c r="H851" s="19">
        <v>0.2</v>
      </c>
      <c r="I851" s="19">
        <v>0.2</v>
      </c>
      <c r="J851"/>
      <c r="K851">
        <v>0</v>
      </c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2:26" s="2" customFormat="1" x14ac:dyDescent="0.35">
      <c r="B852"/>
      <c r="C852"/>
      <c r="D852" s="18">
        <v>847</v>
      </c>
      <c r="E852" s="19">
        <v>0.5</v>
      </c>
      <c r="F852" s="19">
        <f t="shared" si="11"/>
        <v>0.5</v>
      </c>
      <c r="G852" s="19">
        <v>0.2</v>
      </c>
      <c r="H852" s="19">
        <v>0.2</v>
      </c>
      <c r="I852" s="19">
        <v>0.2</v>
      </c>
      <c r="J852"/>
      <c r="K852">
        <v>0</v>
      </c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2:26" s="2" customFormat="1" x14ac:dyDescent="0.35">
      <c r="B853"/>
      <c r="C853"/>
      <c r="D853" s="18">
        <v>848</v>
      </c>
      <c r="E853" s="19">
        <v>0.5</v>
      </c>
      <c r="F853" s="19">
        <f t="shared" si="11"/>
        <v>0.5</v>
      </c>
      <c r="G853" s="19">
        <v>0.2</v>
      </c>
      <c r="H853" s="19">
        <v>0.2</v>
      </c>
      <c r="I853" s="19">
        <v>0.2</v>
      </c>
      <c r="J853"/>
      <c r="K853">
        <v>0</v>
      </c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2:26" s="2" customFormat="1" x14ac:dyDescent="0.35">
      <c r="B854"/>
      <c r="C854"/>
      <c r="D854" s="18">
        <v>849</v>
      </c>
      <c r="E854" s="19">
        <v>0.5</v>
      </c>
      <c r="F854" s="19">
        <f t="shared" si="11"/>
        <v>0.5</v>
      </c>
      <c r="G854" s="19">
        <v>0.2</v>
      </c>
      <c r="H854" s="19">
        <v>0.2</v>
      </c>
      <c r="I854" s="19">
        <v>0.2</v>
      </c>
      <c r="J854"/>
      <c r="K854">
        <v>0</v>
      </c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2:26" s="2" customFormat="1" x14ac:dyDescent="0.35">
      <c r="B855"/>
      <c r="C855"/>
      <c r="D855" s="18">
        <v>850</v>
      </c>
      <c r="E855" s="19">
        <v>0.5</v>
      </c>
      <c r="F855" s="19">
        <f t="shared" si="11"/>
        <v>0.5</v>
      </c>
      <c r="G855" s="19">
        <v>0.2</v>
      </c>
      <c r="H855" s="19">
        <v>0.2</v>
      </c>
      <c r="I855" s="19">
        <v>0.2</v>
      </c>
      <c r="J855"/>
      <c r="K855">
        <v>0</v>
      </c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2:26" s="2" customFormat="1" x14ac:dyDescent="0.35">
      <c r="B856"/>
      <c r="C856"/>
      <c r="D856" s="18">
        <v>851</v>
      </c>
      <c r="E856" s="19">
        <v>0.5</v>
      </c>
      <c r="F856" s="19">
        <f t="shared" si="11"/>
        <v>0.5</v>
      </c>
      <c r="G856" s="19">
        <v>0.2</v>
      </c>
      <c r="H856" s="19">
        <v>0.2</v>
      </c>
      <c r="I856" s="19">
        <v>0.2</v>
      </c>
      <c r="J856"/>
      <c r="K856">
        <v>0</v>
      </c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2:26" s="2" customFormat="1" x14ac:dyDescent="0.35">
      <c r="B857"/>
      <c r="C857"/>
      <c r="D857" s="18">
        <v>852</v>
      </c>
      <c r="E857" s="19">
        <v>0.5</v>
      </c>
      <c r="F857" s="19">
        <f t="shared" si="11"/>
        <v>0.5</v>
      </c>
      <c r="G857" s="19">
        <v>0.2</v>
      </c>
      <c r="H857" s="19">
        <v>0.2</v>
      </c>
      <c r="I857" s="19">
        <v>0.2</v>
      </c>
      <c r="J857"/>
      <c r="K857">
        <v>0</v>
      </c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2:26" s="2" customFormat="1" x14ac:dyDescent="0.35">
      <c r="B858"/>
      <c r="C858"/>
      <c r="D858" s="18">
        <v>853</v>
      </c>
      <c r="E858" s="19">
        <v>0.5</v>
      </c>
      <c r="F858" s="19">
        <f t="shared" si="11"/>
        <v>0.5</v>
      </c>
      <c r="G858" s="19">
        <v>0.2</v>
      </c>
      <c r="H858" s="19">
        <v>0.2</v>
      </c>
      <c r="I858" s="19">
        <v>0.2</v>
      </c>
      <c r="J858"/>
      <c r="K858">
        <v>0</v>
      </c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2:26" s="2" customFormat="1" x14ac:dyDescent="0.35">
      <c r="B859"/>
      <c r="C859"/>
      <c r="D859" s="18">
        <v>854</v>
      </c>
      <c r="E859" s="19">
        <v>0.5</v>
      </c>
      <c r="F859" s="19">
        <f t="shared" si="11"/>
        <v>0.5</v>
      </c>
      <c r="G859" s="19">
        <v>0.2</v>
      </c>
      <c r="H859" s="19">
        <v>0.2</v>
      </c>
      <c r="I859" s="19">
        <v>0.2</v>
      </c>
      <c r="J859"/>
      <c r="K859">
        <v>0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2:26" s="2" customFormat="1" x14ac:dyDescent="0.35">
      <c r="B860"/>
      <c r="C860"/>
      <c r="D860" s="18">
        <v>855</v>
      </c>
      <c r="E860" s="19">
        <v>0.5</v>
      </c>
      <c r="F860" s="19">
        <f t="shared" si="11"/>
        <v>0.5</v>
      </c>
      <c r="G860" s="19">
        <v>0.2</v>
      </c>
      <c r="H860" s="19">
        <v>0.2</v>
      </c>
      <c r="I860" s="19">
        <v>0.2</v>
      </c>
      <c r="J860"/>
      <c r="K860">
        <v>0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2:26" s="2" customFormat="1" x14ac:dyDescent="0.35">
      <c r="B861"/>
      <c r="C861"/>
      <c r="D861" s="18">
        <v>856</v>
      </c>
      <c r="E861" s="19">
        <v>0.5</v>
      </c>
      <c r="F861" s="19">
        <f t="shared" si="11"/>
        <v>0.5</v>
      </c>
      <c r="G861" s="19">
        <v>0.2</v>
      </c>
      <c r="H861" s="19">
        <v>0.2</v>
      </c>
      <c r="I861" s="19">
        <v>0.2</v>
      </c>
      <c r="J861"/>
      <c r="K861">
        <v>0</v>
      </c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2:26" s="2" customFormat="1" x14ac:dyDescent="0.35">
      <c r="B862"/>
      <c r="C862"/>
      <c r="D862" s="18">
        <v>857</v>
      </c>
      <c r="E862" s="19">
        <v>0.5</v>
      </c>
      <c r="F862" s="19">
        <f t="shared" si="11"/>
        <v>0.5</v>
      </c>
      <c r="G862" s="19">
        <v>0.2</v>
      </c>
      <c r="H862" s="19">
        <v>0.2</v>
      </c>
      <c r="I862" s="19">
        <v>0.2</v>
      </c>
      <c r="J862"/>
      <c r="K862">
        <v>0</v>
      </c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2:26" s="2" customFormat="1" x14ac:dyDescent="0.35">
      <c r="B863"/>
      <c r="C863"/>
      <c r="D863" s="18">
        <v>858</v>
      </c>
      <c r="E863" s="19">
        <v>0.5</v>
      </c>
      <c r="F863" s="19">
        <f t="shared" si="11"/>
        <v>0.5</v>
      </c>
      <c r="G863" s="19">
        <v>0.2</v>
      </c>
      <c r="H863" s="19">
        <v>0.2</v>
      </c>
      <c r="I863" s="19">
        <v>0.2</v>
      </c>
      <c r="J863"/>
      <c r="K863">
        <v>0</v>
      </c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2:26" s="2" customFormat="1" x14ac:dyDescent="0.35">
      <c r="B864"/>
      <c r="C864"/>
      <c r="D864" s="18">
        <v>859</v>
      </c>
      <c r="E864" s="19">
        <v>0.5</v>
      </c>
      <c r="F864" s="19">
        <f t="shared" si="11"/>
        <v>0.5</v>
      </c>
      <c r="G864" s="19">
        <v>0.2</v>
      </c>
      <c r="H864" s="19">
        <v>0.2</v>
      </c>
      <c r="I864" s="19">
        <v>0.2</v>
      </c>
      <c r="J864"/>
      <c r="K864">
        <v>0</v>
      </c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2:26" s="2" customFormat="1" x14ac:dyDescent="0.35">
      <c r="B865"/>
      <c r="C865"/>
      <c r="D865" s="18">
        <v>860</v>
      </c>
      <c r="E865" s="19">
        <v>0.5</v>
      </c>
      <c r="F865" s="19">
        <f t="shared" si="11"/>
        <v>0.5</v>
      </c>
      <c r="G865" s="19">
        <v>0.2</v>
      </c>
      <c r="H865" s="19">
        <v>0.2</v>
      </c>
      <c r="I865" s="19">
        <v>0.2</v>
      </c>
      <c r="J865"/>
      <c r="K865">
        <v>0</v>
      </c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2:26" s="2" customFormat="1" x14ac:dyDescent="0.35">
      <c r="B866"/>
      <c r="C866"/>
      <c r="D866" s="18">
        <v>861</v>
      </c>
      <c r="E866" s="19">
        <v>0.5</v>
      </c>
      <c r="F866" s="19">
        <f t="shared" si="11"/>
        <v>0.5</v>
      </c>
      <c r="G866" s="19">
        <v>0.2</v>
      </c>
      <c r="H866" s="19">
        <v>0.2</v>
      </c>
      <c r="I866" s="19">
        <v>0.2</v>
      </c>
      <c r="J866"/>
      <c r="K866">
        <v>0</v>
      </c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2:26" s="2" customFormat="1" x14ac:dyDescent="0.35">
      <c r="B867"/>
      <c r="C867"/>
      <c r="D867" s="18">
        <v>862</v>
      </c>
      <c r="E867" s="19">
        <v>0.5</v>
      </c>
      <c r="F867" s="19">
        <f t="shared" si="11"/>
        <v>0.5</v>
      </c>
      <c r="G867" s="19">
        <v>0.2</v>
      </c>
      <c r="H867" s="19">
        <v>0.2</v>
      </c>
      <c r="I867" s="19">
        <v>0.2</v>
      </c>
      <c r="J867"/>
      <c r="K867">
        <v>0</v>
      </c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2:26" s="2" customFormat="1" x14ac:dyDescent="0.35">
      <c r="B868"/>
      <c r="C868"/>
      <c r="D868" s="18">
        <v>863</v>
      </c>
      <c r="E868" s="19">
        <v>0.5</v>
      </c>
      <c r="F868" s="19">
        <f t="shared" si="11"/>
        <v>0.5</v>
      </c>
      <c r="G868" s="19">
        <v>0.2</v>
      </c>
      <c r="H868" s="19">
        <v>0.2</v>
      </c>
      <c r="I868" s="19">
        <v>0.2</v>
      </c>
      <c r="J868"/>
      <c r="K868">
        <v>0</v>
      </c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2:26" s="2" customFormat="1" x14ac:dyDescent="0.35">
      <c r="B869"/>
      <c r="C869"/>
      <c r="D869" s="18">
        <v>864</v>
      </c>
      <c r="E869" s="19">
        <v>0.5</v>
      </c>
      <c r="F869" s="19">
        <f t="shared" si="11"/>
        <v>0.5</v>
      </c>
      <c r="G869" s="19">
        <v>0.2</v>
      </c>
      <c r="H869" s="19">
        <v>0.2</v>
      </c>
      <c r="I869" s="19">
        <v>0.2</v>
      </c>
      <c r="J869"/>
      <c r="K869">
        <v>0</v>
      </c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2:26" s="2" customFormat="1" x14ac:dyDescent="0.35">
      <c r="B870"/>
      <c r="C870"/>
      <c r="D870" s="18">
        <v>865</v>
      </c>
      <c r="E870" s="19">
        <v>0.5</v>
      </c>
      <c r="F870" s="19">
        <f t="shared" si="11"/>
        <v>0.5</v>
      </c>
      <c r="G870" s="19">
        <v>0.2</v>
      </c>
      <c r="H870" s="19">
        <v>0.2</v>
      </c>
      <c r="I870" s="19">
        <v>0.2</v>
      </c>
      <c r="J870"/>
      <c r="K870">
        <v>0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2:26" s="2" customFormat="1" x14ac:dyDescent="0.35">
      <c r="B871"/>
      <c r="C871"/>
      <c r="D871" s="18">
        <v>866</v>
      </c>
      <c r="E871" s="19">
        <v>0.5</v>
      </c>
      <c r="F871" s="19">
        <f t="shared" si="11"/>
        <v>0.5</v>
      </c>
      <c r="G871" s="19">
        <v>0.2</v>
      </c>
      <c r="H871" s="19">
        <v>0.2</v>
      </c>
      <c r="I871" s="19">
        <v>0.2</v>
      </c>
      <c r="J871"/>
      <c r="K871">
        <v>0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2:26" s="2" customFormat="1" x14ac:dyDescent="0.35">
      <c r="B872"/>
      <c r="C872"/>
      <c r="D872" s="18">
        <v>867</v>
      </c>
      <c r="E872" s="19">
        <v>0.5</v>
      </c>
      <c r="F872" s="19">
        <f t="shared" si="11"/>
        <v>0.5</v>
      </c>
      <c r="G872" s="19">
        <v>0.2</v>
      </c>
      <c r="H872" s="19">
        <v>0.2</v>
      </c>
      <c r="I872" s="19">
        <v>0.2</v>
      </c>
      <c r="J872"/>
      <c r="K872">
        <v>0</v>
      </c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2:26" s="2" customFormat="1" x14ac:dyDescent="0.35">
      <c r="B873"/>
      <c r="C873"/>
      <c r="D873" s="18">
        <v>868</v>
      </c>
      <c r="E873" s="19">
        <v>0.5</v>
      </c>
      <c r="F873" s="19">
        <f t="shared" si="11"/>
        <v>0.5</v>
      </c>
      <c r="G873" s="19">
        <v>0.2</v>
      </c>
      <c r="H873" s="19">
        <v>0.2</v>
      </c>
      <c r="I873" s="19">
        <v>0.2</v>
      </c>
      <c r="J873"/>
      <c r="K873">
        <v>0</v>
      </c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2:26" s="2" customFormat="1" x14ac:dyDescent="0.35">
      <c r="B874"/>
      <c r="C874"/>
      <c r="D874" s="18">
        <v>869</v>
      </c>
      <c r="E874" s="19">
        <v>0.5</v>
      </c>
      <c r="F874" s="19">
        <f t="shared" si="11"/>
        <v>0.5</v>
      </c>
      <c r="G874" s="19">
        <v>0.2</v>
      </c>
      <c r="H874" s="19">
        <v>0.2</v>
      </c>
      <c r="I874" s="19">
        <v>0.2</v>
      </c>
      <c r="J874"/>
      <c r="K874">
        <v>0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2:26" s="2" customFormat="1" x14ac:dyDescent="0.35">
      <c r="B875"/>
      <c r="C875"/>
      <c r="D875" s="18">
        <v>870</v>
      </c>
      <c r="E875" s="19">
        <v>0.5</v>
      </c>
      <c r="F875" s="19">
        <f t="shared" ref="F875:F938" si="12">E875</f>
        <v>0.5</v>
      </c>
      <c r="G875" s="19">
        <v>0.2</v>
      </c>
      <c r="H875" s="19">
        <v>0.2</v>
      </c>
      <c r="I875" s="19">
        <v>0.2</v>
      </c>
      <c r="J875"/>
      <c r="K875">
        <v>0</v>
      </c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2:26" s="2" customFormat="1" x14ac:dyDescent="0.35">
      <c r="B876"/>
      <c r="C876"/>
      <c r="D876" s="18">
        <v>871</v>
      </c>
      <c r="E876" s="19">
        <v>0.5</v>
      </c>
      <c r="F876" s="19">
        <f t="shared" si="12"/>
        <v>0.5</v>
      </c>
      <c r="G876" s="19">
        <v>0.2</v>
      </c>
      <c r="H876" s="19">
        <v>0.2</v>
      </c>
      <c r="I876" s="19">
        <v>0.2</v>
      </c>
      <c r="J876"/>
      <c r="K876">
        <v>0</v>
      </c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2:26" s="2" customFormat="1" x14ac:dyDescent="0.35">
      <c r="B877"/>
      <c r="C877"/>
      <c r="D877" s="18">
        <v>872</v>
      </c>
      <c r="E877" s="19">
        <v>0.5</v>
      </c>
      <c r="F877" s="19">
        <f t="shared" si="12"/>
        <v>0.5</v>
      </c>
      <c r="G877" s="19">
        <v>0.2</v>
      </c>
      <c r="H877" s="19">
        <v>0.2</v>
      </c>
      <c r="I877" s="19">
        <v>0.2</v>
      </c>
      <c r="J877"/>
      <c r="K877">
        <v>0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2:26" s="2" customFormat="1" x14ac:dyDescent="0.35">
      <c r="B878"/>
      <c r="C878"/>
      <c r="D878" s="18">
        <v>873</v>
      </c>
      <c r="E878" s="19">
        <v>0.5</v>
      </c>
      <c r="F878" s="19">
        <f t="shared" si="12"/>
        <v>0.5</v>
      </c>
      <c r="G878" s="19">
        <v>0.2</v>
      </c>
      <c r="H878" s="19">
        <v>0.2</v>
      </c>
      <c r="I878" s="19">
        <v>0.2</v>
      </c>
      <c r="J878"/>
      <c r="K878">
        <v>0</v>
      </c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2:26" s="2" customFormat="1" x14ac:dyDescent="0.35">
      <c r="B879"/>
      <c r="C879"/>
      <c r="D879" s="18">
        <v>874</v>
      </c>
      <c r="E879" s="19">
        <v>0.5</v>
      </c>
      <c r="F879" s="19">
        <f t="shared" si="12"/>
        <v>0.5</v>
      </c>
      <c r="G879" s="19">
        <v>0.2</v>
      </c>
      <c r="H879" s="19">
        <v>0.2</v>
      </c>
      <c r="I879" s="19">
        <v>0.2</v>
      </c>
      <c r="J879"/>
      <c r="K879">
        <v>0</v>
      </c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2:26" s="2" customFormat="1" x14ac:dyDescent="0.35">
      <c r="B880"/>
      <c r="C880"/>
      <c r="D880" s="18">
        <v>875</v>
      </c>
      <c r="E880" s="19">
        <v>0.5</v>
      </c>
      <c r="F880" s="19">
        <f t="shared" si="12"/>
        <v>0.5</v>
      </c>
      <c r="G880" s="19">
        <v>0.2</v>
      </c>
      <c r="H880" s="19">
        <v>0.2</v>
      </c>
      <c r="I880" s="19">
        <v>0.2</v>
      </c>
      <c r="J880"/>
      <c r="K880">
        <v>0</v>
      </c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2:26" s="2" customFormat="1" x14ac:dyDescent="0.35">
      <c r="B881"/>
      <c r="C881"/>
      <c r="D881" s="18">
        <v>876</v>
      </c>
      <c r="E881" s="19">
        <v>0.5</v>
      </c>
      <c r="F881" s="19">
        <f t="shared" si="12"/>
        <v>0.5</v>
      </c>
      <c r="G881" s="19">
        <v>0.2</v>
      </c>
      <c r="H881" s="19">
        <v>0.2</v>
      </c>
      <c r="I881" s="19">
        <v>0.2</v>
      </c>
      <c r="J881"/>
      <c r="K881">
        <v>0</v>
      </c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2:26" s="2" customFormat="1" x14ac:dyDescent="0.35">
      <c r="B882"/>
      <c r="C882"/>
      <c r="D882" s="18">
        <v>877</v>
      </c>
      <c r="E882" s="19">
        <v>0.5</v>
      </c>
      <c r="F882" s="19">
        <f t="shared" si="12"/>
        <v>0.5</v>
      </c>
      <c r="G882" s="19">
        <v>0.2</v>
      </c>
      <c r="H882" s="19">
        <v>0.2</v>
      </c>
      <c r="I882" s="19">
        <v>0.2</v>
      </c>
      <c r="J882"/>
      <c r="K882">
        <v>0</v>
      </c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2:26" s="2" customFormat="1" x14ac:dyDescent="0.35">
      <c r="B883"/>
      <c r="C883"/>
      <c r="D883" s="18">
        <v>878</v>
      </c>
      <c r="E883" s="19">
        <v>0.5</v>
      </c>
      <c r="F883" s="19">
        <f t="shared" si="12"/>
        <v>0.5</v>
      </c>
      <c r="G883" s="19">
        <v>0.2</v>
      </c>
      <c r="H883" s="19">
        <v>0.2</v>
      </c>
      <c r="I883" s="19">
        <v>0.2</v>
      </c>
      <c r="J883"/>
      <c r="K883">
        <v>0</v>
      </c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2:26" s="2" customFormat="1" x14ac:dyDescent="0.35">
      <c r="B884"/>
      <c r="C884"/>
      <c r="D884" s="18">
        <v>879</v>
      </c>
      <c r="E884" s="19">
        <v>0.5</v>
      </c>
      <c r="F884" s="19">
        <f t="shared" si="12"/>
        <v>0.5</v>
      </c>
      <c r="G884" s="19">
        <v>0.2</v>
      </c>
      <c r="H884" s="19">
        <v>0.2</v>
      </c>
      <c r="I884" s="19">
        <v>0.2</v>
      </c>
      <c r="J884"/>
      <c r="K884">
        <v>0</v>
      </c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2:26" s="2" customFormat="1" x14ac:dyDescent="0.35">
      <c r="B885"/>
      <c r="C885"/>
      <c r="D885" s="18">
        <v>880</v>
      </c>
      <c r="E885" s="19">
        <v>0.5</v>
      </c>
      <c r="F885" s="19">
        <f t="shared" si="12"/>
        <v>0.5</v>
      </c>
      <c r="G885" s="19">
        <v>0.2</v>
      </c>
      <c r="H885" s="19">
        <v>0.2</v>
      </c>
      <c r="I885" s="19">
        <v>0.2</v>
      </c>
      <c r="J885"/>
      <c r="K885">
        <v>0</v>
      </c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2:26" s="2" customFormat="1" x14ac:dyDescent="0.35">
      <c r="B886"/>
      <c r="C886"/>
      <c r="D886" s="18">
        <v>881</v>
      </c>
      <c r="E886" s="19">
        <v>0.5</v>
      </c>
      <c r="F886" s="19">
        <f t="shared" si="12"/>
        <v>0.5</v>
      </c>
      <c r="G886" s="19">
        <v>0.2</v>
      </c>
      <c r="H886" s="19">
        <v>0.2</v>
      </c>
      <c r="I886" s="19">
        <v>0.2</v>
      </c>
      <c r="J886"/>
      <c r="K886">
        <v>0</v>
      </c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2:26" s="2" customFormat="1" x14ac:dyDescent="0.35">
      <c r="B887"/>
      <c r="C887"/>
      <c r="D887" s="18">
        <v>882</v>
      </c>
      <c r="E887" s="19">
        <v>0.5</v>
      </c>
      <c r="F887" s="19">
        <f t="shared" si="12"/>
        <v>0.5</v>
      </c>
      <c r="G887" s="19">
        <v>0.2</v>
      </c>
      <c r="H887" s="19">
        <v>0.2</v>
      </c>
      <c r="I887" s="19">
        <v>0.2</v>
      </c>
      <c r="J887"/>
      <c r="K887">
        <v>0</v>
      </c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2:26" s="2" customFormat="1" x14ac:dyDescent="0.35">
      <c r="B888"/>
      <c r="C888"/>
      <c r="D888" s="18">
        <v>883</v>
      </c>
      <c r="E888" s="19">
        <v>0.5</v>
      </c>
      <c r="F888" s="19">
        <f t="shared" si="12"/>
        <v>0.5</v>
      </c>
      <c r="G888" s="19">
        <v>0.2</v>
      </c>
      <c r="H888" s="19">
        <v>0.2</v>
      </c>
      <c r="I888" s="19">
        <v>0.2</v>
      </c>
      <c r="J888"/>
      <c r="K888">
        <v>0</v>
      </c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2:26" s="2" customFormat="1" x14ac:dyDescent="0.35">
      <c r="B889"/>
      <c r="C889"/>
      <c r="D889" s="18">
        <v>884</v>
      </c>
      <c r="E889" s="19">
        <v>0.5</v>
      </c>
      <c r="F889" s="19">
        <f t="shared" si="12"/>
        <v>0.5</v>
      </c>
      <c r="G889" s="19">
        <v>0.2</v>
      </c>
      <c r="H889" s="19">
        <v>0.2</v>
      </c>
      <c r="I889" s="19">
        <v>0.2</v>
      </c>
      <c r="J889"/>
      <c r="K889">
        <v>0</v>
      </c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2:26" s="2" customFormat="1" x14ac:dyDescent="0.35">
      <c r="B890"/>
      <c r="C890"/>
      <c r="D890" s="18">
        <v>885</v>
      </c>
      <c r="E890" s="19">
        <v>0.5</v>
      </c>
      <c r="F890" s="19">
        <f t="shared" si="12"/>
        <v>0.5</v>
      </c>
      <c r="G890" s="19">
        <v>0.2</v>
      </c>
      <c r="H890" s="19">
        <v>0.2</v>
      </c>
      <c r="I890" s="19">
        <v>0.2</v>
      </c>
      <c r="J890"/>
      <c r="K890">
        <v>0</v>
      </c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2:26" s="2" customFormat="1" x14ac:dyDescent="0.35">
      <c r="B891"/>
      <c r="C891"/>
      <c r="D891" s="18">
        <v>886</v>
      </c>
      <c r="E891" s="19">
        <v>0.5</v>
      </c>
      <c r="F891" s="19">
        <f t="shared" si="12"/>
        <v>0.5</v>
      </c>
      <c r="G891" s="19">
        <v>0.2</v>
      </c>
      <c r="H891" s="19">
        <v>0.2</v>
      </c>
      <c r="I891" s="19">
        <v>0.2</v>
      </c>
      <c r="J891"/>
      <c r="K891">
        <v>0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2:26" s="2" customFormat="1" x14ac:dyDescent="0.35">
      <c r="B892"/>
      <c r="C892"/>
      <c r="D892" s="18">
        <v>887</v>
      </c>
      <c r="E892" s="19">
        <v>0.5</v>
      </c>
      <c r="F892" s="19">
        <f t="shared" si="12"/>
        <v>0.5</v>
      </c>
      <c r="G892" s="19">
        <v>0.2</v>
      </c>
      <c r="H892" s="19">
        <v>0.2</v>
      </c>
      <c r="I892" s="19">
        <v>0.2</v>
      </c>
      <c r="J892"/>
      <c r="K892">
        <v>0</v>
      </c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2:26" s="2" customFormat="1" x14ac:dyDescent="0.35">
      <c r="B893"/>
      <c r="C893"/>
      <c r="D893" s="18">
        <v>888</v>
      </c>
      <c r="E893" s="19">
        <v>0.5</v>
      </c>
      <c r="F893" s="19">
        <f t="shared" si="12"/>
        <v>0.5</v>
      </c>
      <c r="G893" s="19">
        <v>0.2</v>
      </c>
      <c r="H893" s="19">
        <v>0.2</v>
      </c>
      <c r="I893" s="19">
        <v>0.2</v>
      </c>
      <c r="J893"/>
      <c r="K893">
        <v>0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2:26" s="2" customFormat="1" x14ac:dyDescent="0.35">
      <c r="B894"/>
      <c r="C894"/>
      <c r="D894" s="18">
        <v>889</v>
      </c>
      <c r="E894" s="19">
        <v>0.5</v>
      </c>
      <c r="F894" s="19">
        <f t="shared" si="12"/>
        <v>0.5</v>
      </c>
      <c r="G894" s="19">
        <v>0.2</v>
      </c>
      <c r="H894" s="19">
        <v>0.2</v>
      </c>
      <c r="I894" s="19">
        <v>0.2</v>
      </c>
      <c r="J894"/>
      <c r="K894">
        <v>0</v>
      </c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2:26" s="2" customFormat="1" x14ac:dyDescent="0.35">
      <c r="B895"/>
      <c r="C895"/>
      <c r="D895" s="18">
        <v>890</v>
      </c>
      <c r="E895" s="19">
        <v>0.5</v>
      </c>
      <c r="F895" s="19">
        <f t="shared" si="12"/>
        <v>0.5</v>
      </c>
      <c r="G895" s="19">
        <v>0.2</v>
      </c>
      <c r="H895" s="19">
        <v>0.2</v>
      </c>
      <c r="I895" s="19">
        <v>0.2</v>
      </c>
      <c r="J895"/>
      <c r="K895">
        <v>0</v>
      </c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2:26" s="2" customFormat="1" x14ac:dyDescent="0.35">
      <c r="B896"/>
      <c r="C896"/>
      <c r="D896" s="18">
        <v>891</v>
      </c>
      <c r="E896" s="19">
        <v>0.5</v>
      </c>
      <c r="F896" s="19">
        <f t="shared" si="12"/>
        <v>0.5</v>
      </c>
      <c r="G896" s="19">
        <v>0.2</v>
      </c>
      <c r="H896" s="19">
        <v>0.2</v>
      </c>
      <c r="I896" s="19">
        <v>0.2</v>
      </c>
      <c r="J896"/>
      <c r="K896">
        <v>0</v>
      </c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2:26" s="2" customFormat="1" x14ac:dyDescent="0.35">
      <c r="B897"/>
      <c r="C897"/>
      <c r="D897" s="18">
        <v>892</v>
      </c>
      <c r="E897" s="19">
        <v>0.5</v>
      </c>
      <c r="F897" s="19">
        <f t="shared" si="12"/>
        <v>0.5</v>
      </c>
      <c r="G897" s="19">
        <v>0.2</v>
      </c>
      <c r="H897" s="19">
        <v>0.2</v>
      </c>
      <c r="I897" s="19">
        <v>0.2</v>
      </c>
      <c r="J897"/>
      <c r="K897">
        <v>0</v>
      </c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2:26" s="2" customFormat="1" x14ac:dyDescent="0.35">
      <c r="B898"/>
      <c r="C898"/>
      <c r="D898" s="18">
        <v>893</v>
      </c>
      <c r="E898" s="19">
        <v>0.5</v>
      </c>
      <c r="F898" s="19">
        <f t="shared" si="12"/>
        <v>0.5</v>
      </c>
      <c r="G898" s="19">
        <v>0.2</v>
      </c>
      <c r="H898" s="19">
        <v>0.2</v>
      </c>
      <c r="I898" s="19">
        <v>0.2</v>
      </c>
      <c r="J898"/>
      <c r="K898">
        <v>0</v>
      </c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2:26" s="2" customFormat="1" x14ac:dyDescent="0.35">
      <c r="B899"/>
      <c r="C899"/>
      <c r="D899" s="18">
        <v>894</v>
      </c>
      <c r="E899" s="19">
        <v>0.5</v>
      </c>
      <c r="F899" s="19">
        <f t="shared" si="12"/>
        <v>0.5</v>
      </c>
      <c r="G899" s="19">
        <v>0.2</v>
      </c>
      <c r="H899" s="19">
        <v>0.2</v>
      </c>
      <c r="I899" s="19">
        <v>0.2</v>
      </c>
      <c r="J899"/>
      <c r="K899">
        <v>0</v>
      </c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2:26" s="2" customFormat="1" x14ac:dyDescent="0.35">
      <c r="B900"/>
      <c r="C900"/>
      <c r="D900" s="18">
        <v>895</v>
      </c>
      <c r="E900" s="19">
        <v>0.5</v>
      </c>
      <c r="F900" s="19">
        <f t="shared" si="12"/>
        <v>0.5</v>
      </c>
      <c r="G900" s="19">
        <v>0.2</v>
      </c>
      <c r="H900" s="19">
        <v>0.2</v>
      </c>
      <c r="I900" s="19">
        <v>0.2</v>
      </c>
      <c r="J900"/>
      <c r="K900">
        <v>0</v>
      </c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2:26" s="2" customFormat="1" x14ac:dyDescent="0.35">
      <c r="B901"/>
      <c r="C901"/>
      <c r="D901" s="18">
        <v>896</v>
      </c>
      <c r="E901" s="19">
        <v>0.5</v>
      </c>
      <c r="F901" s="19">
        <f t="shared" si="12"/>
        <v>0.5</v>
      </c>
      <c r="G901" s="19">
        <v>0.2</v>
      </c>
      <c r="H901" s="19">
        <v>0.2</v>
      </c>
      <c r="I901" s="19">
        <v>0.2</v>
      </c>
      <c r="J901"/>
      <c r="K901">
        <v>0</v>
      </c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2:26" s="2" customFormat="1" x14ac:dyDescent="0.35">
      <c r="B902"/>
      <c r="C902"/>
      <c r="D902" s="18">
        <v>897</v>
      </c>
      <c r="E902" s="19">
        <v>0.5</v>
      </c>
      <c r="F902" s="19">
        <f t="shared" si="12"/>
        <v>0.5</v>
      </c>
      <c r="G902" s="19">
        <v>0.2</v>
      </c>
      <c r="H902" s="19">
        <v>0.2</v>
      </c>
      <c r="I902" s="19">
        <v>0.2</v>
      </c>
      <c r="J902"/>
      <c r="K902">
        <v>0</v>
      </c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2:26" s="2" customFormat="1" x14ac:dyDescent="0.35">
      <c r="B903"/>
      <c r="C903"/>
      <c r="D903" s="18">
        <v>898</v>
      </c>
      <c r="E903" s="19">
        <v>0.5</v>
      </c>
      <c r="F903" s="19">
        <f t="shared" si="12"/>
        <v>0.5</v>
      </c>
      <c r="G903" s="19">
        <v>0.2</v>
      </c>
      <c r="H903" s="19">
        <v>0.2</v>
      </c>
      <c r="I903" s="19">
        <v>0.2</v>
      </c>
      <c r="J903"/>
      <c r="K903">
        <v>0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2:26" s="2" customFormat="1" x14ac:dyDescent="0.35">
      <c r="B904"/>
      <c r="C904"/>
      <c r="D904" s="18">
        <v>899</v>
      </c>
      <c r="E904" s="19">
        <v>0.5</v>
      </c>
      <c r="F904" s="19">
        <f t="shared" si="12"/>
        <v>0.5</v>
      </c>
      <c r="G904" s="19">
        <v>0.2</v>
      </c>
      <c r="H904" s="19">
        <v>0.2</v>
      </c>
      <c r="I904" s="19">
        <v>0.2</v>
      </c>
      <c r="J904"/>
      <c r="K904">
        <v>0</v>
      </c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2:26" s="2" customFormat="1" x14ac:dyDescent="0.35">
      <c r="B905"/>
      <c r="C905"/>
      <c r="D905" s="18">
        <v>900</v>
      </c>
      <c r="E905" s="19">
        <v>0.5</v>
      </c>
      <c r="F905" s="19">
        <f t="shared" si="12"/>
        <v>0.5</v>
      </c>
      <c r="G905" s="19">
        <v>0.2</v>
      </c>
      <c r="H905" s="19">
        <v>0.2</v>
      </c>
      <c r="I905" s="19">
        <v>0.2</v>
      </c>
      <c r="J905"/>
      <c r="K905">
        <v>0</v>
      </c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2:26" s="2" customFormat="1" x14ac:dyDescent="0.35">
      <c r="B906"/>
      <c r="C906"/>
      <c r="D906" s="18">
        <v>901</v>
      </c>
      <c r="E906" s="19">
        <v>0.5</v>
      </c>
      <c r="F906" s="19">
        <f t="shared" si="12"/>
        <v>0.5</v>
      </c>
      <c r="G906" s="19">
        <v>0.2</v>
      </c>
      <c r="H906" s="19">
        <v>0.2</v>
      </c>
      <c r="I906" s="19">
        <v>0.2</v>
      </c>
      <c r="J906"/>
      <c r="K906">
        <v>0</v>
      </c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2:26" s="2" customFormat="1" x14ac:dyDescent="0.35">
      <c r="B907"/>
      <c r="C907"/>
      <c r="D907" s="18">
        <v>902</v>
      </c>
      <c r="E907" s="19">
        <v>0.5</v>
      </c>
      <c r="F907" s="19">
        <f t="shared" si="12"/>
        <v>0.5</v>
      </c>
      <c r="G907" s="19">
        <v>0.2</v>
      </c>
      <c r="H907" s="19">
        <v>0.2</v>
      </c>
      <c r="I907" s="19">
        <v>0.2</v>
      </c>
      <c r="J907"/>
      <c r="K907">
        <v>0</v>
      </c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2:26" s="2" customFormat="1" x14ac:dyDescent="0.35">
      <c r="B908"/>
      <c r="C908"/>
      <c r="D908" s="18">
        <v>903</v>
      </c>
      <c r="E908" s="19">
        <v>0.5</v>
      </c>
      <c r="F908" s="19">
        <f t="shared" si="12"/>
        <v>0.5</v>
      </c>
      <c r="G908" s="19">
        <v>0.2</v>
      </c>
      <c r="H908" s="19">
        <v>0.2</v>
      </c>
      <c r="I908" s="19">
        <v>0.2</v>
      </c>
      <c r="J908"/>
      <c r="K908">
        <v>0</v>
      </c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2:26" s="2" customFormat="1" x14ac:dyDescent="0.35">
      <c r="B909"/>
      <c r="C909"/>
      <c r="D909" s="18">
        <v>904</v>
      </c>
      <c r="E909" s="19">
        <v>0.5</v>
      </c>
      <c r="F909" s="19">
        <f t="shared" si="12"/>
        <v>0.5</v>
      </c>
      <c r="G909" s="19">
        <v>0.2</v>
      </c>
      <c r="H909" s="19">
        <v>0.2</v>
      </c>
      <c r="I909" s="19">
        <v>0.2</v>
      </c>
      <c r="J909"/>
      <c r="K909">
        <v>0</v>
      </c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2:26" s="2" customFormat="1" x14ac:dyDescent="0.35">
      <c r="B910"/>
      <c r="C910"/>
      <c r="D910" s="18">
        <v>905</v>
      </c>
      <c r="E910" s="19">
        <v>0.5</v>
      </c>
      <c r="F910" s="19">
        <f t="shared" si="12"/>
        <v>0.5</v>
      </c>
      <c r="G910" s="19">
        <v>0.2</v>
      </c>
      <c r="H910" s="19">
        <v>0.2</v>
      </c>
      <c r="I910" s="19">
        <v>0.2</v>
      </c>
      <c r="J910"/>
      <c r="K910">
        <v>0</v>
      </c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2:26" s="2" customFormat="1" x14ac:dyDescent="0.35">
      <c r="B911"/>
      <c r="C911"/>
      <c r="D911" s="18">
        <v>906</v>
      </c>
      <c r="E911" s="19">
        <v>0.5</v>
      </c>
      <c r="F911" s="19">
        <f t="shared" si="12"/>
        <v>0.5</v>
      </c>
      <c r="G911" s="19">
        <v>0.2</v>
      </c>
      <c r="H911" s="19">
        <v>0.2</v>
      </c>
      <c r="I911" s="19">
        <v>0.2</v>
      </c>
      <c r="J911"/>
      <c r="K911">
        <v>0</v>
      </c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2:26" s="2" customFormat="1" x14ac:dyDescent="0.35">
      <c r="B912"/>
      <c r="C912"/>
      <c r="D912" s="18">
        <v>907</v>
      </c>
      <c r="E912" s="19">
        <v>0.5</v>
      </c>
      <c r="F912" s="19">
        <f t="shared" si="12"/>
        <v>0.5</v>
      </c>
      <c r="G912" s="19">
        <v>0.2</v>
      </c>
      <c r="H912" s="19">
        <v>0.2</v>
      </c>
      <c r="I912" s="19">
        <v>0.2</v>
      </c>
      <c r="J912"/>
      <c r="K912">
        <v>0</v>
      </c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2:26" s="2" customFormat="1" x14ac:dyDescent="0.35">
      <c r="B913"/>
      <c r="C913"/>
      <c r="D913" s="18">
        <v>908</v>
      </c>
      <c r="E913" s="19">
        <v>0.5</v>
      </c>
      <c r="F913" s="19">
        <f t="shared" si="12"/>
        <v>0.5</v>
      </c>
      <c r="G913" s="19">
        <v>0.2</v>
      </c>
      <c r="H913" s="19">
        <v>0.2</v>
      </c>
      <c r="I913" s="19">
        <v>0.2</v>
      </c>
      <c r="J913"/>
      <c r="K913">
        <v>0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2:26" s="2" customFormat="1" x14ac:dyDescent="0.35">
      <c r="B914"/>
      <c r="C914"/>
      <c r="D914" s="18">
        <v>909</v>
      </c>
      <c r="E914" s="19">
        <v>0.5</v>
      </c>
      <c r="F914" s="19">
        <f t="shared" si="12"/>
        <v>0.5</v>
      </c>
      <c r="G914" s="19">
        <v>0.2</v>
      </c>
      <c r="H914" s="19">
        <v>0.2</v>
      </c>
      <c r="I914" s="19">
        <v>0.2</v>
      </c>
      <c r="J914"/>
      <c r="K914">
        <v>0</v>
      </c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2:26" s="2" customFormat="1" x14ac:dyDescent="0.35">
      <c r="B915"/>
      <c r="C915"/>
      <c r="D915" s="18">
        <v>910</v>
      </c>
      <c r="E915" s="19">
        <v>0.5</v>
      </c>
      <c r="F915" s="19">
        <f t="shared" si="12"/>
        <v>0.5</v>
      </c>
      <c r="G915" s="19">
        <v>0.2</v>
      </c>
      <c r="H915" s="19">
        <v>0.2</v>
      </c>
      <c r="I915" s="19">
        <v>0.2</v>
      </c>
      <c r="J915"/>
      <c r="K915">
        <v>0</v>
      </c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2:26" s="2" customFormat="1" x14ac:dyDescent="0.35">
      <c r="B916"/>
      <c r="C916"/>
      <c r="D916" s="18">
        <v>911</v>
      </c>
      <c r="E916" s="19">
        <v>0.5</v>
      </c>
      <c r="F916" s="19">
        <f t="shared" si="12"/>
        <v>0.5</v>
      </c>
      <c r="G916" s="19">
        <v>0.2</v>
      </c>
      <c r="H916" s="19">
        <v>0.2</v>
      </c>
      <c r="I916" s="19">
        <v>0.2</v>
      </c>
      <c r="J916"/>
      <c r="K916">
        <v>0</v>
      </c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2:26" s="2" customFormat="1" x14ac:dyDescent="0.35">
      <c r="B917"/>
      <c r="C917"/>
      <c r="D917" s="18">
        <v>912</v>
      </c>
      <c r="E917" s="19">
        <v>0.5</v>
      </c>
      <c r="F917" s="19">
        <f t="shared" si="12"/>
        <v>0.5</v>
      </c>
      <c r="G917" s="19">
        <v>0.2</v>
      </c>
      <c r="H917" s="19">
        <v>0.2</v>
      </c>
      <c r="I917" s="19">
        <v>0.2</v>
      </c>
      <c r="J917"/>
      <c r="K917">
        <v>0</v>
      </c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2:26" s="2" customFormat="1" x14ac:dyDescent="0.35">
      <c r="B918"/>
      <c r="C918"/>
      <c r="D918" s="18">
        <v>913</v>
      </c>
      <c r="E918" s="19">
        <v>0.5</v>
      </c>
      <c r="F918" s="19">
        <f t="shared" si="12"/>
        <v>0.5</v>
      </c>
      <c r="G918" s="19">
        <v>0.2</v>
      </c>
      <c r="H918" s="19">
        <v>0.2</v>
      </c>
      <c r="I918" s="19">
        <v>0.2</v>
      </c>
      <c r="J918"/>
      <c r="K918">
        <v>0</v>
      </c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2:26" s="2" customFormat="1" x14ac:dyDescent="0.35">
      <c r="B919"/>
      <c r="C919"/>
      <c r="D919" s="18">
        <v>914</v>
      </c>
      <c r="E919" s="19">
        <v>0.5</v>
      </c>
      <c r="F919" s="19">
        <f t="shared" si="12"/>
        <v>0.5</v>
      </c>
      <c r="G919" s="19">
        <v>0.2</v>
      </c>
      <c r="H919" s="19">
        <v>0.2</v>
      </c>
      <c r="I919" s="19">
        <v>0.2</v>
      </c>
      <c r="J919"/>
      <c r="K919">
        <v>0</v>
      </c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2:26" s="2" customFormat="1" x14ac:dyDescent="0.35">
      <c r="B920"/>
      <c r="C920"/>
      <c r="D920" s="18">
        <v>915</v>
      </c>
      <c r="E920" s="19">
        <v>0.5</v>
      </c>
      <c r="F920" s="19">
        <f t="shared" si="12"/>
        <v>0.5</v>
      </c>
      <c r="G920" s="19">
        <v>0.2</v>
      </c>
      <c r="H920" s="19">
        <v>0.2</v>
      </c>
      <c r="I920" s="19">
        <v>0.2</v>
      </c>
      <c r="J920"/>
      <c r="K920">
        <v>0</v>
      </c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2:26" s="2" customFormat="1" x14ac:dyDescent="0.35">
      <c r="B921"/>
      <c r="C921"/>
      <c r="D921" s="18">
        <v>916</v>
      </c>
      <c r="E921" s="19">
        <v>0.5</v>
      </c>
      <c r="F921" s="19">
        <f t="shared" si="12"/>
        <v>0.5</v>
      </c>
      <c r="G921" s="19">
        <v>0.2</v>
      </c>
      <c r="H921" s="19">
        <v>0.2</v>
      </c>
      <c r="I921" s="19">
        <v>0.2</v>
      </c>
      <c r="J921"/>
      <c r="K921">
        <v>0</v>
      </c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2:26" s="2" customFormat="1" x14ac:dyDescent="0.35">
      <c r="B922"/>
      <c r="C922"/>
      <c r="D922" s="18">
        <v>917</v>
      </c>
      <c r="E922" s="19">
        <v>0.5</v>
      </c>
      <c r="F922" s="19">
        <f t="shared" si="12"/>
        <v>0.5</v>
      </c>
      <c r="G922" s="19">
        <v>0.2</v>
      </c>
      <c r="H922" s="19">
        <v>0.2</v>
      </c>
      <c r="I922" s="19">
        <v>0.2</v>
      </c>
      <c r="J922"/>
      <c r="K922">
        <v>0</v>
      </c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2:26" s="2" customFormat="1" x14ac:dyDescent="0.35">
      <c r="B923"/>
      <c r="C923"/>
      <c r="D923" s="18">
        <v>918</v>
      </c>
      <c r="E923" s="19">
        <v>0.5</v>
      </c>
      <c r="F923" s="19">
        <f t="shared" si="12"/>
        <v>0.5</v>
      </c>
      <c r="G923" s="19">
        <v>0.2</v>
      </c>
      <c r="H923" s="19">
        <v>0.2</v>
      </c>
      <c r="I923" s="19">
        <v>0.2</v>
      </c>
      <c r="J923"/>
      <c r="K923">
        <v>0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2:26" s="2" customFormat="1" x14ac:dyDescent="0.35">
      <c r="B924"/>
      <c r="C924"/>
      <c r="D924" s="18">
        <v>919</v>
      </c>
      <c r="E924" s="19">
        <v>0.5</v>
      </c>
      <c r="F924" s="19">
        <f t="shared" si="12"/>
        <v>0.5</v>
      </c>
      <c r="G924" s="19">
        <v>0.2</v>
      </c>
      <c r="H924" s="19">
        <v>0.2</v>
      </c>
      <c r="I924" s="19">
        <v>0.2</v>
      </c>
      <c r="J924"/>
      <c r="K924">
        <v>0</v>
      </c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2:26" s="2" customFormat="1" x14ac:dyDescent="0.35">
      <c r="B925"/>
      <c r="C925"/>
      <c r="D925" s="18">
        <v>920</v>
      </c>
      <c r="E925" s="19">
        <v>0.5</v>
      </c>
      <c r="F925" s="19">
        <f t="shared" si="12"/>
        <v>0.5</v>
      </c>
      <c r="G925" s="19">
        <v>0.2</v>
      </c>
      <c r="H925" s="19">
        <v>0.2</v>
      </c>
      <c r="I925" s="19">
        <v>0.2</v>
      </c>
      <c r="J925"/>
      <c r="K925">
        <v>0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2:26" s="2" customFormat="1" x14ac:dyDescent="0.35">
      <c r="B926"/>
      <c r="C926"/>
      <c r="D926" s="18">
        <v>921</v>
      </c>
      <c r="E926" s="19">
        <v>0.5</v>
      </c>
      <c r="F926" s="19">
        <f t="shared" si="12"/>
        <v>0.5</v>
      </c>
      <c r="G926" s="19">
        <v>0.2</v>
      </c>
      <c r="H926" s="19">
        <v>0.2</v>
      </c>
      <c r="I926" s="19">
        <v>0.2</v>
      </c>
      <c r="J926"/>
      <c r="K926">
        <v>0</v>
      </c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2:26" s="2" customFormat="1" x14ac:dyDescent="0.35">
      <c r="B927"/>
      <c r="C927"/>
      <c r="D927" s="18">
        <v>922</v>
      </c>
      <c r="E927" s="19">
        <v>0.5</v>
      </c>
      <c r="F927" s="19">
        <f t="shared" si="12"/>
        <v>0.5</v>
      </c>
      <c r="G927" s="19">
        <v>0.2</v>
      </c>
      <c r="H927" s="19">
        <v>0.2</v>
      </c>
      <c r="I927" s="19">
        <v>0.2</v>
      </c>
      <c r="J927"/>
      <c r="K927">
        <v>0</v>
      </c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2:26" s="2" customFormat="1" x14ac:dyDescent="0.35">
      <c r="B928"/>
      <c r="C928"/>
      <c r="D928" s="18">
        <v>923</v>
      </c>
      <c r="E928" s="19">
        <v>0.5</v>
      </c>
      <c r="F928" s="19">
        <f t="shared" si="12"/>
        <v>0.5</v>
      </c>
      <c r="G928" s="19">
        <v>0.2</v>
      </c>
      <c r="H928" s="19">
        <v>0.2</v>
      </c>
      <c r="I928" s="19">
        <v>0.2</v>
      </c>
      <c r="J928"/>
      <c r="K928">
        <v>0</v>
      </c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2:26" s="2" customFormat="1" x14ac:dyDescent="0.35">
      <c r="B929"/>
      <c r="C929"/>
      <c r="D929" s="18">
        <v>924</v>
      </c>
      <c r="E929" s="19">
        <v>0.5</v>
      </c>
      <c r="F929" s="19">
        <f t="shared" si="12"/>
        <v>0.5</v>
      </c>
      <c r="G929" s="19">
        <v>0.2</v>
      </c>
      <c r="H929" s="19">
        <v>0.2</v>
      </c>
      <c r="I929" s="19">
        <v>0.2</v>
      </c>
      <c r="J929"/>
      <c r="K929">
        <v>0</v>
      </c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2:26" s="2" customFormat="1" x14ac:dyDescent="0.35">
      <c r="B930"/>
      <c r="C930"/>
      <c r="D930" s="18">
        <v>925</v>
      </c>
      <c r="E930" s="19">
        <v>0.5</v>
      </c>
      <c r="F930" s="19">
        <f t="shared" si="12"/>
        <v>0.5</v>
      </c>
      <c r="G930" s="19">
        <v>0.2</v>
      </c>
      <c r="H930" s="19">
        <v>0.2</v>
      </c>
      <c r="I930" s="19">
        <v>0.2</v>
      </c>
      <c r="J930"/>
      <c r="K930">
        <v>0</v>
      </c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2:26" s="2" customFormat="1" x14ac:dyDescent="0.35">
      <c r="B931"/>
      <c r="C931"/>
      <c r="D931" s="18">
        <v>926</v>
      </c>
      <c r="E931" s="19">
        <v>0.5</v>
      </c>
      <c r="F931" s="19">
        <f t="shared" si="12"/>
        <v>0.5</v>
      </c>
      <c r="G931" s="19">
        <v>0.2</v>
      </c>
      <c r="H931" s="19">
        <v>0.2</v>
      </c>
      <c r="I931" s="19">
        <v>0.2</v>
      </c>
      <c r="J931"/>
      <c r="K931">
        <v>0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2:26" s="2" customFormat="1" x14ac:dyDescent="0.35">
      <c r="B932"/>
      <c r="C932"/>
      <c r="D932" s="18">
        <v>927</v>
      </c>
      <c r="E932" s="19">
        <v>0.5</v>
      </c>
      <c r="F932" s="19">
        <f t="shared" si="12"/>
        <v>0.5</v>
      </c>
      <c r="G932" s="19">
        <v>0.2</v>
      </c>
      <c r="H932" s="19">
        <v>0.2</v>
      </c>
      <c r="I932" s="19">
        <v>0.2</v>
      </c>
      <c r="J932"/>
      <c r="K932">
        <v>0</v>
      </c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2:26" s="2" customFormat="1" x14ac:dyDescent="0.35">
      <c r="B933"/>
      <c r="C933"/>
      <c r="D933" s="18">
        <v>928</v>
      </c>
      <c r="E933" s="19">
        <v>0.5</v>
      </c>
      <c r="F933" s="19">
        <f t="shared" si="12"/>
        <v>0.5</v>
      </c>
      <c r="G933" s="19">
        <v>0.2</v>
      </c>
      <c r="H933" s="19">
        <v>0.2</v>
      </c>
      <c r="I933" s="19">
        <v>0.2</v>
      </c>
      <c r="J933"/>
      <c r="K933">
        <v>0</v>
      </c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2:26" s="2" customFormat="1" x14ac:dyDescent="0.35">
      <c r="B934"/>
      <c r="C934"/>
      <c r="D934" s="18">
        <v>929</v>
      </c>
      <c r="E934" s="19">
        <v>0.5</v>
      </c>
      <c r="F934" s="19">
        <f t="shared" si="12"/>
        <v>0.5</v>
      </c>
      <c r="G934" s="19">
        <v>0.2</v>
      </c>
      <c r="H934" s="19">
        <v>0.2</v>
      </c>
      <c r="I934" s="19">
        <v>0.2</v>
      </c>
      <c r="J934"/>
      <c r="K934">
        <v>0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2:26" s="2" customFormat="1" x14ac:dyDescent="0.35">
      <c r="B935"/>
      <c r="C935"/>
      <c r="D935" s="18">
        <v>930</v>
      </c>
      <c r="E935" s="19">
        <v>0.5</v>
      </c>
      <c r="F935" s="19">
        <f t="shared" si="12"/>
        <v>0.5</v>
      </c>
      <c r="G935" s="19">
        <v>0.2</v>
      </c>
      <c r="H935" s="19">
        <v>0.2</v>
      </c>
      <c r="I935" s="19">
        <v>0.2</v>
      </c>
      <c r="J935"/>
      <c r="K935">
        <v>0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2:26" s="2" customFormat="1" x14ac:dyDescent="0.35">
      <c r="B936"/>
      <c r="C936"/>
      <c r="D936" s="18">
        <v>931</v>
      </c>
      <c r="E936" s="19">
        <v>0.5</v>
      </c>
      <c r="F936" s="19">
        <f t="shared" si="12"/>
        <v>0.5</v>
      </c>
      <c r="G936" s="19">
        <v>0.2</v>
      </c>
      <c r="H936" s="19">
        <v>0.2</v>
      </c>
      <c r="I936" s="19">
        <v>0.2</v>
      </c>
      <c r="J936"/>
      <c r="K936">
        <v>0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2:26" s="2" customFormat="1" x14ac:dyDescent="0.35">
      <c r="B937"/>
      <c r="C937"/>
      <c r="D937" s="18">
        <v>932</v>
      </c>
      <c r="E937" s="19">
        <v>0.5</v>
      </c>
      <c r="F937" s="19">
        <f t="shared" si="12"/>
        <v>0.5</v>
      </c>
      <c r="G937" s="19">
        <v>0.2</v>
      </c>
      <c r="H937" s="19">
        <v>0.2</v>
      </c>
      <c r="I937" s="19">
        <v>0.2</v>
      </c>
      <c r="J937"/>
      <c r="K937">
        <v>0</v>
      </c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2:26" s="2" customFormat="1" x14ac:dyDescent="0.35">
      <c r="B938"/>
      <c r="C938"/>
      <c r="D938" s="18">
        <v>933</v>
      </c>
      <c r="E938" s="19">
        <v>0.5</v>
      </c>
      <c r="F938" s="19">
        <f t="shared" si="12"/>
        <v>0.5</v>
      </c>
      <c r="G938" s="19">
        <v>0.2</v>
      </c>
      <c r="H938" s="19">
        <v>0.2</v>
      </c>
      <c r="I938" s="19">
        <v>0.2</v>
      </c>
      <c r="J938"/>
      <c r="K938">
        <v>0</v>
      </c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2:26" s="2" customFormat="1" x14ac:dyDescent="0.35">
      <c r="B939"/>
      <c r="C939"/>
      <c r="D939" s="18">
        <v>934</v>
      </c>
      <c r="E939" s="19">
        <v>0.5</v>
      </c>
      <c r="F939" s="19">
        <f t="shared" ref="F939:F1002" si="13">E939</f>
        <v>0.5</v>
      </c>
      <c r="G939" s="19">
        <v>0.2</v>
      </c>
      <c r="H939" s="19">
        <v>0.2</v>
      </c>
      <c r="I939" s="19">
        <v>0.2</v>
      </c>
      <c r="J939"/>
      <c r="K939">
        <v>0</v>
      </c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2:26" s="2" customFormat="1" x14ac:dyDescent="0.35">
      <c r="B940"/>
      <c r="C940"/>
      <c r="D940" s="18">
        <v>935</v>
      </c>
      <c r="E940" s="19">
        <v>0.5</v>
      </c>
      <c r="F940" s="19">
        <f t="shared" si="13"/>
        <v>0.5</v>
      </c>
      <c r="G940" s="19">
        <v>0.2</v>
      </c>
      <c r="H940" s="19">
        <v>0.2</v>
      </c>
      <c r="I940" s="19">
        <v>0.2</v>
      </c>
      <c r="J940"/>
      <c r="K940">
        <v>0</v>
      </c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2:26" s="2" customFormat="1" x14ac:dyDescent="0.35">
      <c r="B941"/>
      <c r="C941"/>
      <c r="D941" s="18">
        <v>936</v>
      </c>
      <c r="E941" s="19">
        <v>0.5</v>
      </c>
      <c r="F941" s="19">
        <f t="shared" si="13"/>
        <v>0.5</v>
      </c>
      <c r="G941" s="19">
        <v>0.2</v>
      </c>
      <c r="H941" s="19">
        <v>0.2</v>
      </c>
      <c r="I941" s="19">
        <v>0.2</v>
      </c>
      <c r="J941"/>
      <c r="K941">
        <v>0</v>
      </c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2:26" s="2" customFormat="1" x14ac:dyDescent="0.35">
      <c r="B942"/>
      <c r="C942"/>
      <c r="D942" s="18">
        <v>937</v>
      </c>
      <c r="E942" s="19">
        <v>0.5</v>
      </c>
      <c r="F942" s="19">
        <f t="shared" si="13"/>
        <v>0.5</v>
      </c>
      <c r="G942" s="19">
        <v>0.2</v>
      </c>
      <c r="H942" s="19">
        <v>0.2</v>
      </c>
      <c r="I942" s="19">
        <v>0.2</v>
      </c>
      <c r="J942"/>
      <c r="K942">
        <v>0</v>
      </c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2:26" s="2" customFormat="1" x14ac:dyDescent="0.35">
      <c r="B943"/>
      <c r="C943"/>
      <c r="D943" s="18">
        <v>938</v>
      </c>
      <c r="E943" s="19">
        <v>0.5</v>
      </c>
      <c r="F943" s="19">
        <f t="shared" si="13"/>
        <v>0.5</v>
      </c>
      <c r="G943" s="19">
        <v>0.2</v>
      </c>
      <c r="H943" s="19">
        <v>0.2</v>
      </c>
      <c r="I943" s="19">
        <v>0.2</v>
      </c>
      <c r="J943"/>
      <c r="K943">
        <v>0</v>
      </c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2:26" s="2" customFormat="1" x14ac:dyDescent="0.35">
      <c r="B944"/>
      <c r="C944"/>
      <c r="D944" s="18">
        <v>939</v>
      </c>
      <c r="E944" s="19">
        <v>0.5</v>
      </c>
      <c r="F944" s="19">
        <f t="shared" si="13"/>
        <v>0.5</v>
      </c>
      <c r="G944" s="19">
        <v>0.2</v>
      </c>
      <c r="H944" s="19">
        <v>0.2</v>
      </c>
      <c r="I944" s="19">
        <v>0.2</v>
      </c>
      <c r="J944"/>
      <c r="K944">
        <v>0</v>
      </c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2:26" s="2" customFormat="1" x14ac:dyDescent="0.35">
      <c r="B945"/>
      <c r="C945"/>
      <c r="D945" s="18">
        <v>940</v>
      </c>
      <c r="E945" s="19">
        <v>0.5</v>
      </c>
      <c r="F945" s="19">
        <f t="shared" si="13"/>
        <v>0.5</v>
      </c>
      <c r="G945" s="19">
        <v>0.2</v>
      </c>
      <c r="H945" s="19">
        <v>0.2</v>
      </c>
      <c r="I945" s="19">
        <v>0.2</v>
      </c>
      <c r="J945"/>
      <c r="K945">
        <v>0</v>
      </c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2:26" s="2" customFormat="1" x14ac:dyDescent="0.35">
      <c r="B946"/>
      <c r="C946"/>
      <c r="D946" s="18">
        <v>941</v>
      </c>
      <c r="E946" s="19">
        <v>0.5</v>
      </c>
      <c r="F946" s="19">
        <f t="shared" si="13"/>
        <v>0.5</v>
      </c>
      <c r="G946" s="19">
        <v>0.2</v>
      </c>
      <c r="H946" s="19">
        <v>0.2</v>
      </c>
      <c r="I946" s="19">
        <v>0.2</v>
      </c>
      <c r="J946"/>
      <c r="K946">
        <v>0</v>
      </c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2:26" s="2" customFormat="1" x14ac:dyDescent="0.35">
      <c r="B947"/>
      <c r="C947"/>
      <c r="D947" s="18">
        <v>942</v>
      </c>
      <c r="E947" s="19">
        <v>0.5</v>
      </c>
      <c r="F947" s="19">
        <f t="shared" si="13"/>
        <v>0.5</v>
      </c>
      <c r="G947" s="19">
        <v>0.2</v>
      </c>
      <c r="H947" s="19">
        <v>0.2</v>
      </c>
      <c r="I947" s="19">
        <v>0.2</v>
      </c>
      <c r="J947"/>
      <c r="K947">
        <v>0</v>
      </c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2:26" s="2" customFormat="1" x14ac:dyDescent="0.35">
      <c r="B948"/>
      <c r="C948"/>
      <c r="D948" s="18">
        <v>943</v>
      </c>
      <c r="E948" s="19">
        <v>0.5</v>
      </c>
      <c r="F948" s="19">
        <f t="shared" si="13"/>
        <v>0.5</v>
      </c>
      <c r="G948" s="19">
        <v>0.2</v>
      </c>
      <c r="H948" s="19">
        <v>0.2</v>
      </c>
      <c r="I948" s="19">
        <v>0.2</v>
      </c>
      <c r="J948"/>
      <c r="K948">
        <v>0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2:26" s="2" customFormat="1" x14ac:dyDescent="0.35">
      <c r="B949"/>
      <c r="C949"/>
      <c r="D949" s="18">
        <v>944</v>
      </c>
      <c r="E949" s="19">
        <v>0.5</v>
      </c>
      <c r="F949" s="19">
        <f t="shared" si="13"/>
        <v>0.5</v>
      </c>
      <c r="G949" s="19">
        <v>0.2</v>
      </c>
      <c r="H949" s="19">
        <v>0.2</v>
      </c>
      <c r="I949" s="19">
        <v>0.2</v>
      </c>
      <c r="J949"/>
      <c r="K949">
        <v>0</v>
      </c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2:26" s="2" customFormat="1" x14ac:dyDescent="0.35">
      <c r="B950"/>
      <c r="C950"/>
      <c r="D950" s="18">
        <v>945</v>
      </c>
      <c r="E950" s="19">
        <v>0.5</v>
      </c>
      <c r="F950" s="19">
        <f t="shared" si="13"/>
        <v>0.5</v>
      </c>
      <c r="G950" s="19">
        <v>0.2</v>
      </c>
      <c r="H950" s="19">
        <v>0.2</v>
      </c>
      <c r="I950" s="19">
        <v>0.2</v>
      </c>
      <c r="J950"/>
      <c r="K950">
        <v>0</v>
      </c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2:26" s="2" customFormat="1" x14ac:dyDescent="0.35">
      <c r="B951"/>
      <c r="C951"/>
      <c r="D951" s="18">
        <v>946</v>
      </c>
      <c r="E951" s="19">
        <v>0.5</v>
      </c>
      <c r="F951" s="19">
        <f t="shared" si="13"/>
        <v>0.5</v>
      </c>
      <c r="G951" s="19">
        <v>0.2</v>
      </c>
      <c r="H951" s="19">
        <v>0.2</v>
      </c>
      <c r="I951" s="19">
        <v>0.2</v>
      </c>
      <c r="J951"/>
      <c r="K951">
        <v>0</v>
      </c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2:26" s="2" customFormat="1" x14ac:dyDescent="0.35">
      <c r="B952"/>
      <c r="C952"/>
      <c r="D952" s="18">
        <v>947</v>
      </c>
      <c r="E952" s="19">
        <v>0.5</v>
      </c>
      <c r="F952" s="19">
        <f t="shared" si="13"/>
        <v>0.5</v>
      </c>
      <c r="G952" s="19">
        <v>0.2</v>
      </c>
      <c r="H952" s="19">
        <v>0.2</v>
      </c>
      <c r="I952" s="19">
        <v>0.2</v>
      </c>
      <c r="J952"/>
      <c r="K952">
        <v>0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2:26" s="2" customFormat="1" x14ac:dyDescent="0.35">
      <c r="B953"/>
      <c r="C953"/>
      <c r="D953" s="18">
        <v>948</v>
      </c>
      <c r="E953" s="19">
        <v>0.5</v>
      </c>
      <c r="F953" s="19">
        <f t="shared" si="13"/>
        <v>0.5</v>
      </c>
      <c r="G953" s="19">
        <v>0.2</v>
      </c>
      <c r="H953" s="19">
        <v>0.2</v>
      </c>
      <c r="I953" s="19">
        <v>0.2</v>
      </c>
      <c r="J953"/>
      <c r="K953">
        <v>0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2:26" s="2" customFormat="1" x14ac:dyDescent="0.35">
      <c r="B954"/>
      <c r="C954"/>
      <c r="D954" s="18">
        <v>949</v>
      </c>
      <c r="E954" s="19">
        <v>0.5</v>
      </c>
      <c r="F954" s="19">
        <f t="shared" si="13"/>
        <v>0.5</v>
      </c>
      <c r="G954" s="19">
        <v>0.2</v>
      </c>
      <c r="H954" s="19">
        <v>0.2</v>
      </c>
      <c r="I954" s="19">
        <v>0.2</v>
      </c>
      <c r="J954"/>
      <c r="K954">
        <v>0</v>
      </c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2:26" s="2" customFormat="1" x14ac:dyDescent="0.35">
      <c r="B955"/>
      <c r="C955"/>
      <c r="D955" s="18">
        <v>950</v>
      </c>
      <c r="E955" s="19">
        <v>0.5</v>
      </c>
      <c r="F955" s="19">
        <f t="shared" si="13"/>
        <v>0.5</v>
      </c>
      <c r="G955" s="19">
        <v>0.2</v>
      </c>
      <c r="H955" s="19">
        <v>0.2</v>
      </c>
      <c r="I955" s="19">
        <v>0.2</v>
      </c>
      <c r="J955"/>
      <c r="K955">
        <v>0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2:26" s="2" customFormat="1" x14ac:dyDescent="0.35">
      <c r="B956"/>
      <c r="C956"/>
      <c r="D956" s="18">
        <v>951</v>
      </c>
      <c r="E956" s="19">
        <v>0.5</v>
      </c>
      <c r="F956" s="19">
        <f t="shared" si="13"/>
        <v>0.5</v>
      </c>
      <c r="G956" s="19">
        <v>0.2</v>
      </c>
      <c r="H956" s="19">
        <v>0.2</v>
      </c>
      <c r="I956" s="19">
        <v>0.2</v>
      </c>
      <c r="J956"/>
      <c r="K956">
        <v>0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2:26" s="2" customFormat="1" x14ac:dyDescent="0.35">
      <c r="B957"/>
      <c r="C957"/>
      <c r="D957" s="18">
        <v>952</v>
      </c>
      <c r="E957" s="19">
        <v>0.5</v>
      </c>
      <c r="F957" s="19">
        <f t="shared" si="13"/>
        <v>0.5</v>
      </c>
      <c r="G957" s="19">
        <v>0.2</v>
      </c>
      <c r="H957" s="19">
        <v>0.2</v>
      </c>
      <c r="I957" s="19">
        <v>0.2</v>
      </c>
      <c r="J957"/>
      <c r="K957">
        <v>0</v>
      </c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2:26" s="2" customFormat="1" x14ac:dyDescent="0.35">
      <c r="B958"/>
      <c r="C958"/>
      <c r="D958" s="18">
        <v>953</v>
      </c>
      <c r="E958" s="19">
        <v>0.5</v>
      </c>
      <c r="F958" s="19">
        <f t="shared" si="13"/>
        <v>0.5</v>
      </c>
      <c r="G958" s="19">
        <v>0.2</v>
      </c>
      <c r="H958" s="19">
        <v>0.2</v>
      </c>
      <c r="I958" s="19">
        <v>0.2</v>
      </c>
      <c r="J958"/>
      <c r="K958">
        <v>0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2:26" s="2" customFormat="1" x14ac:dyDescent="0.35">
      <c r="B959"/>
      <c r="C959"/>
      <c r="D959" s="18">
        <v>954</v>
      </c>
      <c r="E959" s="19">
        <v>0.5</v>
      </c>
      <c r="F959" s="19">
        <f t="shared" si="13"/>
        <v>0.5</v>
      </c>
      <c r="G959" s="19">
        <v>0.2</v>
      </c>
      <c r="H959" s="19">
        <v>0.2</v>
      </c>
      <c r="I959" s="19">
        <v>0.2</v>
      </c>
      <c r="J959"/>
      <c r="K959">
        <v>0</v>
      </c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2:26" s="2" customFormat="1" x14ac:dyDescent="0.35">
      <c r="B960"/>
      <c r="C960"/>
      <c r="D960" s="18">
        <v>955</v>
      </c>
      <c r="E960" s="19">
        <v>0.5</v>
      </c>
      <c r="F960" s="19">
        <f t="shared" si="13"/>
        <v>0.5</v>
      </c>
      <c r="G960" s="19">
        <v>0.2</v>
      </c>
      <c r="H960" s="19">
        <v>0.2</v>
      </c>
      <c r="I960" s="19">
        <v>0.2</v>
      </c>
      <c r="J960"/>
      <c r="K960">
        <v>0</v>
      </c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2:26" s="2" customFormat="1" x14ac:dyDescent="0.35">
      <c r="B961"/>
      <c r="C961"/>
      <c r="D961" s="18">
        <v>956</v>
      </c>
      <c r="E961" s="19">
        <v>0.5</v>
      </c>
      <c r="F961" s="19">
        <f t="shared" si="13"/>
        <v>0.5</v>
      </c>
      <c r="G961" s="19">
        <v>0.2</v>
      </c>
      <c r="H961" s="19">
        <v>0.2</v>
      </c>
      <c r="I961" s="19">
        <v>0.2</v>
      </c>
      <c r="J961"/>
      <c r="K961">
        <v>0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2:26" s="2" customFormat="1" x14ac:dyDescent="0.35">
      <c r="B962"/>
      <c r="C962"/>
      <c r="D962" s="18">
        <v>957</v>
      </c>
      <c r="E962" s="19">
        <v>0.5</v>
      </c>
      <c r="F962" s="19">
        <f t="shared" si="13"/>
        <v>0.5</v>
      </c>
      <c r="G962" s="19">
        <v>0.2</v>
      </c>
      <c r="H962" s="19">
        <v>0.2</v>
      </c>
      <c r="I962" s="19">
        <v>0.2</v>
      </c>
      <c r="J962"/>
      <c r="K962">
        <v>0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2:26" s="2" customFormat="1" x14ac:dyDescent="0.35">
      <c r="B963"/>
      <c r="C963"/>
      <c r="D963" s="18">
        <v>958</v>
      </c>
      <c r="E963" s="19">
        <v>0.5</v>
      </c>
      <c r="F963" s="19">
        <f t="shared" si="13"/>
        <v>0.5</v>
      </c>
      <c r="G963" s="19">
        <v>0.2</v>
      </c>
      <c r="H963" s="19">
        <v>0.2</v>
      </c>
      <c r="I963" s="19">
        <v>0.2</v>
      </c>
      <c r="J963"/>
      <c r="K963">
        <v>0</v>
      </c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2:26" s="2" customFormat="1" x14ac:dyDescent="0.35">
      <c r="B964"/>
      <c r="C964"/>
      <c r="D964" s="18">
        <v>959</v>
      </c>
      <c r="E964" s="19">
        <v>0.5</v>
      </c>
      <c r="F964" s="19">
        <f t="shared" si="13"/>
        <v>0.5</v>
      </c>
      <c r="G964" s="19">
        <v>0.2</v>
      </c>
      <c r="H964" s="19">
        <v>0.2</v>
      </c>
      <c r="I964" s="19">
        <v>0.2</v>
      </c>
      <c r="J964"/>
      <c r="K964">
        <v>0</v>
      </c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2:26" s="2" customFormat="1" x14ac:dyDescent="0.35">
      <c r="B965"/>
      <c r="C965"/>
      <c r="D965" s="18">
        <v>960</v>
      </c>
      <c r="E965" s="19">
        <v>0.5</v>
      </c>
      <c r="F965" s="19">
        <f t="shared" si="13"/>
        <v>0.5</v>
      </c>
      <c r="G965" s="19">
        <v>0.2</v>
      </c>
      <c r="H965" s="19">
        <v>0.2</v>
      </c>
      <c r="I965" s="19">
        <v>0.2</v>
      </c>
      <c r="J965"/>
      <c r="K965">
        <v>0</v>
      </c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2:26" s="2" customFormat="1" x14ac:dyDescent="0.35">
      <c r="B966"/>
      <c r="C966"/>
      <c r="D966" s="18">
        <v>961</v>
      </c>
      <c r="E966" s="19">
        <v>0.5</v>
      </c>
      <c r="F966" s="19">
        <f t="shared" si="13"/>
        <v>0.5</v>
      </c>
      <c r="G966" s="19">
        <v>0.2</v>
      </c>
      <c r="H966" s="19">
        <v>0.2</v>
      </c>
      <c r="I966" s="19">
        <v>0.2</v>
      </c>
      <c r="J966"/>
      <c r="K966">
        <v>0</v>
      </c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2:26" s="2" customFormat="1" x14ac:dyDescent="0.35">
      <c r="B967"/>
      <c r="C967"/>
      <c r="D967" s="18">
        <v>962</v>
      </c>
      <c r="E967" s="19">
        <v>0.5</v>
      </c>
      <c r="F967" s="19">
        <f t="shared" si="13"/>
        <v>0.5</v>
      </c>
      <c r="G967" s="19">
        <v>0.2</v>
      </c>
      <c r="H967" s="19">
        <v>0.2</v>
      </c>
      <c r="I967" s="19">
        <v>0.2</v>
      </c>
      <c r="J967"/>
      <c r="K967">
        <v>0</v>
      </c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2:26" s="2" customFormat="1" x14ac:dyDescent="0.35">
      <c r="B968"/>
      <c r="C968"/>
      <c r="D968" s="18">
        <v>963</v>
      </c>
      <c r="E968" s="19">
        <v>0.5</v>
      </c>
      <c r="F968" s="19">
        <f t="shared" si="13"/>
        <v>0.5</v>
      </c>
      <c r="G968" s="19">
        <v>0.2</v>
      </c>
      <c r="H968" s="19">
        <v>0.2</v>
      </c>
      <c r="I968" s="19">
        <v>0.2</v>
      </c>
      <c r="J968"/>
      <c r="K968">
        <v>0</v>
      </c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2:26" s="2" customFormat="1" x14ac:dyDescent="0.35">
      <c r="B969"/>
      <c r="C969"/>
      <c r="D969" s="18">
        <v>964</v>
      </c>
      <c r="E969" s="19">
        <v>0.5</v>
      </c>
      <c r="F969" s="19">
        <f t="shared" si="13"/>
        <v>0.5</v>
      </c>
      <c r="G969" s="19">
        <v>0.2</v>
      </c>
      <c r="H969" s="19">
        <v>0.2</v>
      </c>
      <c r="I969" s="19">
        <v>0.2</v>
      </c>
      <c r="J969"/>
      <c r="K969">
        <v>0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2:26" s="2" customFormat="1" x14ac:dyDescent="0.35">
      <c r="B970"/>
      <c r="C970"/>
      <c r="D970" s="18">
        <v>965</v>
      </c>
      <c r="E970" s="19">
        <v>0.5</v>
      </c>
      <c r="F970" s="19">
        <f t="shared" si="13"/>
        <v>0.5</v>
      </c>
      <c r="G970" s="19">
        <v>0.2</v>
      </c>
      <c r="H970" s="19">
        <v>0.2</v>
      </c>
      <c r="I970" s="19">
        <v>0.2</v>
      </c>
      <c r="J970"/>
      <c r="K970">
        <v>0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2:26" s="2" customFormat="1" x14ac:dyDescent="0.35">
      <c r="B971"/>
      <c r="C971"/>
      <c r="D971" s="18">
        <v>966</v>
      </c>
      <c r="E971" s="19">
        <v>0.5</v>
      </c>
      <c r="F971" s="19">
        <f t="shared" si="13"/>
        <v>0.5</v>
      </c>
      <c r="G971" s="19">
        <v>0.2</v>
      </c>
      <c r="H971" s="19">
        <v>0.2</v>
      </c>
      <c r="I971" s="19">
        <v>0.2</v>
      </c>
      <c r="J971"/>
      <c r="K971">
        <v>0</v>
      </c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2:26" s="2" customFormat="1" x14ac:dyDescent="0.35">
      <c r="B972"/>
      <c r="C972"/>
      <c r="D972" s="18">
        <v>967</v>
      </c>
      <c r="E972" s="19">
        <v>0.5</v>
      </c>
      <c r="F972" s="19">
        <f t="shared" si="13"/>
        <v>0.5</v>
      </c>
      <c r="G972" s="19">
        <v>0.2</v>
      </c>
      <c r="H972" s="19">
        <v>0.2</v>
      </c>
      <c r="I972" s="19">
        <v>0.2</v>
      </c>
      <c r="J972"/>
      <c r="K972">
        <v>0</v>
      </c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2:26" s="2" customFormat="1" x14ac:dyDescent="0.35">
      <c r="B973"/>
      <c r="C973"/>
      <c r="D973" s="18">
        <v>968</v>
      </c>
      <c r="E973" s="19">
        <v>0.5</v>
      </c>
      <c r="F973" s="19">
        <f t="shared" si="13"/>
        <v>0.5</v>
      </c>
      <c r="G973" s="19">
        <v>0.2</v>
      </c>
      <c r="H973" s="19">
        <v>0.2</v>
      </c>
      <c r="I973" s="19">
        <v>0.2</v>
      </c>
      <c r="J973"/>
      <c r="K973">
        <v>0</v>
      </c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2:26" s="2" customFormat="1" x14ac:dyDescent="0.35">
      <c r="B974"/>
      <c r="C974"/>
      <c r="D974" s="18">
        <v>969</v>
      </c>
      <c r="E974" s="19">
        <v>0.5</v>
      </c>
      <c r="F974" s="19">
        <f t="shared" si="13"/>
        <v>0.5</v>
      </c>
      <c r="G974" s="19">
        <v>0.2</v>
      </c>
      <c r="H974" s="19">
        <v>0.2</v>
      </c>
      <c r="I974" s="19">
        <v>0.2</v>
      </c>
      <c r="J974"/>
      <c r="K974">
        <v>0</v>
      </c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2:26" s="2" customFormat="1" x14ac:dyDescent="0.35">
      <c r="B975"/>
      <c r="C975"/>
      <c r="D975" s="18">
        <v>970</v>
      </c>
      <c r="E975" s="19">
        <v>0.5</v>
      </c>
      <c r="F975" s="19">
        <f t="shared" si="13"/>
        <v>0.5</v>
      </c>
      <c r="G975" s="19">
        <v>0.2</v>
      </c>
      <c r="H975" s="19">
        <v>0.2</v>
      </c>
      <c r="I975" s="19">
        <v>0.2</v>
      </c>
      <c r="J975"/>
      <c r="K975">
        <v>0</v>
      </c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2:26" s="2" customFormat="1" x14ac:dyDescent="0.35">
      <c r="B976"/>
      <c r="C976"/>
      <c r="D976" s="18">
        <v>971</v>
      </c>
      <c r="E976" s="19">
        <v>0.5</v>
      </c>
      <c r="F976" s="19">
        <f t="shared" si="13"/>
        <v>0.5</v>
      </c>
      <c r="G976" s="19">
        <v>0.2</v>
      </c>
      <c r="H976" s="19">
        <v>0.2</v>
      </c>
      <c r="I976" s="19">
        <v>0.2</v>
      </c>
      <c r="J976"/>
      <c r="K976">
        <v>0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2:26" s="2" customFormat="1" x14ac:dyDescent="0.35">
      <c r="B977"/>
      <c r="C977"/>
      <c r="D977" s="18">
        <v>972</v>
      </c>
      <c r="E977" s="19">
        <v>0.5</v>
      </c>
      <c r="F977" s="19">
        <f t="shared" si="13"/>
        <v>0.5</v>
      </c>
      <c r="G977" s="19">
        <v>0.2</v>
      </c>
      <c r="H977" s="19">
        <v>0.2</v>
      </c>
      <c r="I977" s="19">
        <v>0.2</v>
      </c>
      <c r="J977"/>
      <c r="K977">
        <v>0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2:26" s="2" customFormat="1" x14ac:dyDescent="0.35">
      <c r="B978"/>
      <c r="C978"/>
      <c r="D978" s="18">
        <v>973</v>
      </c>
      <c r="E978" s="19">
        <v>0.5</v>
      </c>
      <c r="F978" s="19">
        <f t="shared" si="13"/>
        <v>0.5</v>
      </c>
      <c r="G978" s="19">
        <v>0.2</v>
      </c>
      <c r="H978" s="19">
        <v>0.2</v>
      </c>
      <c r="I978" s="19">
        <v>0.2</v>
      </c>
      <c r="J978"/>
      <c r="K978">
        <v>0</v>
      </c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2:26" s="2" customFormat="1" x14ac:dyDescent="0.35">
      <c r="B979"/>
      <c r="C979"/>
      <c r="D979" s="18">
        <v>974</v>
      </c>
      <c r="E979" s="19">
        <v>0.5</v>
      </c>
      <c r="F979" s="19">
        <f t="shared" si="13"/>
        <v>0.5</v>
      </c>
      <c r="G979" s="19">
        <v>0.2</v>
      </c>
      <c r="H979" s="19">
        <v>0.2</v>
      </c>
      <c r="I979" s="19">
        <v>0.2</v>
      </c>
      <c r="J979"/>
      <c r="K979">
        <v>0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2:26" s="2" customFormat="1" x14ac:dyDescent="0.35">
      <c r="B980"/>
      <c r="C980"/>
      <c r="D980" s="18">
        <v>975</v>
      </c>
      <c r="E980" s="19">
        <v>0.5</v>
      </c>
      <c r="F980" s="19">
        <f t="shared" si="13"/>
        <v>0.5</v>
      </c>
      <c r="G980" s="19">
        <v>0.2</v>
      </c>
      <c r="H980" s="19">
        <v>0.2</v>
      </c>
      <c r="I980" s="19">
        <v>0.2</v>
      </c>
      <c r="J980"/>
      <c r="K980">
        <v>0</v>
      </c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2:26" s="2" customFormat="1" x14ac:dyDescent="0.35">
      <c r="B981"/>
      <c r="C981"/>
      <c r="D981" s="18">
        <v>976</v>
      </c>
      <c r="E981" s="19">
        <v>0.5</v>
      </c>
      <c r="F981" s="19">
        <f t="shared" si="13"/>
        <v>0.5</v>
      </c>
      <c r="G981" s="19">
        <v>0.2</v>
      </c>
      <c r="H981" s="19">
        <v>0.2</v>
      </c>
      <c r="I981" s="19">
        <v>0.2</v>
      </c>
      <c r="J981"/>
      <c r="K981">
        <v>0</v>
      </c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2:26" s="2" customFormat="1" x14ac:dyDescent="0.35">
      <c r="B982"/>
      <c r="C982"/>
      <c r="D982" s="18">
        <v>977</v>
      </c>
      <c r="E982" s="19">
        <v>0.5</v>
      </c>
      <c r="F982" s="19">
        <f t="shared" si="13"/>
        <v>0.5</v>
      </c>
      <c r="G982" s="19">
        <v>0.2</v>
      </c>
      <c r="H982" s="19">
        <v>0.2</v>
      </c>
      <c r="I982" s="19">
        <v>0.2</v>
      </c>
      <c r="J982"/>
      <c r="K982">
        <v>0</v>
      </c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2:26" s="2" customFormat="1" x14ac:dyDescent="0.35">
      <c r="B983"/>
      <c r="C983"/>
      <c r="D983" s="18">
        <v>978</v>
      </c>
      <c r="E983" s="19">
        <v>0.5</v>
      </c>
      <c r="F983" s="19">
        <f t="shared" si="13"/>
        <v>0.5</v>
      </c>
      <c r="G983" s="19">
        <v>0.2</v>
      </c>
      <c r="H983" s="19">
        <v>0.2</v>
      </c>
      <c r="I983" s="19">
        <v>0.2</v>
      </c>
      <c r="J983"/>
      <c r="K983">
        <v>0</v>
      </c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2:26" s="2" customFormat="1" x14ac:dyDescent="0.35">
      <c r="B984"/>
      <c r="C984"/>
      <c r="D984" s="18">
        <v>979</v>
      </c>
      <c r="E984" s="19">
        <v>0.5</v>
      </c>
      <c r="F984" s="19">
        <f t="shared" si="13"/>
        <v>0.5</v>
      </c>
      <c r="G984" s="19">
        <v>0.2</v>
      </c>
      <c r="H984" s="19">
        <v>0.2</v>
      </c>
      <c r="I984" s="19">
        <v>0.2</v>
      </c>
      <c r="J984"/>
      <c r="K984">
        <v>0</v>
      </c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2:26" s="2" customFormat="1" x14ac:dyDescent="0.35">
      <c r="B985"/>
      <c r="C985"/>
      <c r="D985" s="18">
        <v>980</v>
      </c>
      <c r="E985" s="19">
        <v>0.5</v>
      </c>
      <c r="F985" s="19">
        <f t="shared" si="13"/>
        <v>0.5</v>
      </c>
      <c r="G985" s="19">
        <v>0.2</v>
      </c>
      <c r="H985" s="19">
        <v>0.2</v>
      </c>
      <c r="I985" s="19">
        <v>0.2</v>
      </c>
      <c r="J985"/>
      <c r="K985">
        <v>0</v>
      </c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2:26" s="2" customFormat="1" x14ac:dyDescent="0.35">
      <c r="B986"/>
      <c r="C986"/>
      <c r="D986" s="18">
        <v>981</v>
      </c>
      <c r="E986" s="19">
        <v>0.5</v>
      </c>
      <c r="F986" s="19">
        <f t="shared" si="13"/>
        <v>0.5</v>
      </c>
      <c r="G986" s="19">
        <v>0.2</v>
      </c>
      <c r="H986" s="19">
        <v>0.2</v>
      </c>
      <c r="I986" s="19">
        <v>0.2</v>
      </c>
      <c r="J986"/>
      <c r="K986">
        <v>0</v>
      </c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2:26" s="2" customFormat="1" x14ac:dyDescent="0.35">
      <c r="B987"/>
      <c r="C987"/>
      <c r="D987" s="18">
        <v>982</v>
      </c>
      <c r="E987" s="19">
        <v>0.5</v>
      </c>
      <c r="F987" s="19">
        <f t="shared" si="13"/>
        <v>0.5</v>
      </c>
      <c r="G987" s="19">
        <v>0.2</v>
      </c>
      <c r="H987" s="19">
        <v>0.2</v>
      </c>
      <c r="I987" s="19">
        <v>0.2</v>
      </c>
      <c r="J987"/>
      <c r="K987">
        <v>0</v>
      </c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2:26" s="2" customFormat="1" x14ac:dyDescent="0.35">
      <c r="B988"/>
      <c r="C988"/>
      <c r="D988" s="18">
        <v>983</v>
      </c>
      <c r="E988" s="19">
        <v>0.5</v>
      </c>
      <c r="F988" s="19">
        <f t="shared" si="13"/>
        <v>0.5</v>
      </c>
      <c r="G988" s="19">
        <v>0.2</v>
      </c>
      <c r="H988" s="19">
        <v>0.2</v>
      </c>
      <c r="I988" s="19">
        <v>0.2</v>
      </c>
      <c r="J988"/>
      <c r="K988">
        <v>0</v>
      </c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2:26" s="2" customFormat="1" x14ac:dyDescent="0.35">
      <c r="B989"/>
      <c r="C989"/>
      <c r="D989" s="18">
        <v>984</v>
      </c>
      <c r="E989" s="19">
        <v>0.5</v>
      </c>
      <c r="F989" s="19">
        <f t="shared" si="13"/>
        <v>0.5</v>
      </c>
      <c r="G989" s="19">
        <v>0.2</v>
      </c>
      <c r="H989" s="19">
        <v>0.2</v>
      </c>
      <c r="I989" s="19">
        <v>0.2</v>
      </c>
      <c r="J989"/>
      <c r="K989">
        <v>0</v>
      </c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2:26" s="2" customFormat="1" x14ac:dyDescent="0.35">
      <c r="B990"/>
      <c r="C990"/>
      <c r="D990" s="18">
        <v>985</v>
      </c>
      <c r="E990" s="19">
        <v>0.5</v>
      </c>
      <c r="F990" s="19">
        <f t="shared" si="13"/>
        <v>0.5</v>
      </c>
      <c r="G990" s="19">
        <v>0.2</v>
      </c>
      <c r="H990" s="19">
        <v>0.2</v>
      </c>
      <c r="I990" s="19">
        <v>0.2</v>
      </c>
      <c r="J990"/>
      <c r="K990">
        <v>0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2:26" s="2" customFormat="1" x14ac:dyDescent="0.35">
      <c r="B991"/>
      <c r="C991"/>
      <c r="D991" s="18">
        <v>986</v>
      </c>
      <c r="E991" s="19">
        <v>0.5</v>
      </c>
      <c r="F991" s="19">
        <f t="shared" si="13"/>
        <v>0.5</v>
      </c>
      <c r="G991" s="19">
        <v>0.2</v>
      </c>
      <c r="H991" s="19">
        <v>0.2</v>
      </c>
      <c r="I991" s="19">
        <v>0.2</v>
      </c>
      <c r="J991"/>
      <c r="K991">
        <v>0</v>
      </c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2:26" s="2" customFormat="1" x14ac:dyDescent="0.35">
      <c r="B992"/>
      <c r="C992"/>
      <c r="D992" s="18">
        <v>987</v>
      </c>
      <c r="E992" s="19">
        <v>0.5</v>
      </c>
      <c r="F992" s="19">
        <f t="shared" si="13"/>
        <v>0.5</v>
      </c>
      <c r="G992" s="19">
        <v>0.2</v>
      </c>
      <c r="H992" s="19">
        <v>0.2</v>
      </c>
      <c r="I992" s="19">
        <v>0.2</v>
      </c>
      <c r="J992"/>
      <c r="K992">
        <v>0</v>
      </c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2:26" s="2" customFormat="1" x14ac:dyDescent="0.35">
      <c r="B993"/>
      <c r="C993"/>
      <c r="D993" s="18">
        <v>988</v>
      </c>
      <c r="E993" s="19">
        <v>0.5</v>
      </c>
      <c r="F993" s="19">
        <f t="shared" si="13"/>
        <v>0.5</v>
      </c>
      <c r="G993" s="19">
        <v>0.2</v>
      </c>
      <c r="H993" s="19">
        <v>0.2</v>
      </c>
      <c r="I993" s="19">
        <v>0.2</v>
      </c>
      <c r="J993"/>
      <c r="K993">
        <v>0</v>
      </c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2:26" s="2" customFormat="1" x14ac:dyDescent="0.35">
      <c r="B994"/>
      <c r="C994"/>
      <c r="D994" s="18">
        <v>989</v>
      </c>
      <c r="E994" s="19">
        <v>0.5</v>
      </c>
      <c r="F994" s="19">
        <f t="shared" si="13"/>
        <v>0.5</v>
      </c>
      <c r="G994" s="19">
        <v>0.2</v>
      </c>
      <c r="H994" s="19">
        <v>0.2</v>
      </c>
      <c r="I994" s="19">
        <v>0.2</v>
      </c>
      <c r="J994"/>
      <c r="K994">
        <v>0</v>
      </c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2:26" s="2" customFormat="1" x14ac:dyDescent="0.35">
      <c r="B995"/>
      <c r="C995"/>
      <c r="D995" s="18">
        <v>990</v>
      </c>
      <c r="E995" s="19">
        <v>0.5</v>
      </c>
      <c r="F995" s="19">
        <f t="shared" si="13"/>
        <v>0.5</v>
      </c>
      <c r="G995" s="19">
        <v>0.2</v>
      </c>
      <c r="H995" s="19">
        <v>0.2</v>
      </c>
      <c r="I995" s="19">
        <v>0.2</v>
      </c>
      <c r="J995"/>
      <c r="K995">
        <v>0</v>
      </c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2:26" s="2" customFormat="1" x14ac:dyDescent="0.35">
      <c r="B996"/>
      <c r="C996"/>
      <c r="D996" s="18">
        <v>991</v>
      </c>
      <c r="E996" s="19">
        <v>0.5</v>
      </c>
      <c r="F996" s="19">
        <f t="shared" si="13"/>
        <v>0.5</v>
      </c>
      <c r="G996" s="19">
        <v>0.2</v>
      </c>
      <c r="H996" s="19">
        <v>0.2</v>
      </c>
      <c r="I996" s="19">
        <v>0.2</v>
      </c>
      <c r="J996"/>
      <c r="K996">
        <v>0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2:26" s="2" customFormat="1" x14ac:dyDescent="0.35">
      <c r="B997"/>
      <c r="C997"/>
      <c r="D997" s="18">
        <v>992</v>
      </c>
      <c r="E997" s="19">
        <v>0.5</v>
      </c>
      <c r="F997" s="19">
        <f t="shared" si="13"/>
        <v>0.5</v>
      </c>
      <c r="G997" s="19">
        <v>0.2</v>
      </c>
      <c r="H997" s="19">
        <v>0.2</v>
      </c>
      <c r="I997" s="19">
        <v>0.2</v>
      </c>
      <c r="J997"/>
      <c r="K997">
        <v>0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2:26" s="2" customFormat="1" x14ac:dyDescent="0.35">
      <c r="B998"/>
      <c r="C998"/>
      <c r="D998" s="18">
        <v>993</v>
      </c>
      <c r="E998" s="19">
        <v>0.5</v>
      </c>
      <c r="F998" s="19">
        <f t="shared" si="13"/>
        <v>0.5</v>
      </c>
      <c r="G998" s="19">
        <v>0.2</v>
      </c>
      <c r="H998" s="19">
        <v>0.2</v>
      </c>
      <c r="I998" s="19">
        <v>0.2</v>
      </c>
      <c r="J998"/>
      <c r="K998">
        <v>0</v>
      </c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2:26" s="2" customFormat="1" x14ac:dyDescent="0.35">
      <c r="B999"/>
      <c r="C999"/>
      <c r="D999" s="18">
        <v>994</v>
      </c>
      <c r="E999" s="19">
        <v>0.5</v>
      </c>
      <c r="F999" s="19">
        <f t="shared" si="13"/>
        <v>0.5</v>
      </c>
      <c r="G999" s="19">
        <v>0.2</v>
      </c>
      <c r="H999" s="19">
        <v>0.2</v>
      </c>
      <c r="I999" s="19">
        <v>0.2</v>
      </c>
      <c r="J999"/>
      <c r="K999">
        <v>0</v>
      </c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2:26" s="2" customFormat="1" x14ac:dyDescent="0.35">
      <c r="B1000"/>
      <c r="C1000"/>
      <c r="D1000" s="18">
        <v>995</v>
      </c>
      <c r="E1000" s="19">
        <v>0.5</v>
      </c>
      <c r="F1000" s="19">
        <f t="shared" si="13"/>
        <v>0.5</v>
      </c>
      <c r="G1000" s="19">
        <v>0.2</v>
      </c>
      <c r="H1000" s="19">
        <v>0.2</v>
      </c>
      <c r="I1000" s="19">
        <v>0.2</v>
      </c>
      <c r="J1000"/>
      <c r="K1000">
        <v>0</v>
      </c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2:26" s="2" customFormat="1" x14ac:dyDescent="0.35">
      <c r="B1001"/>
      <c r="C1001"/>
      <c r="D1001" s="18">
        <v>996</v>
      </c>
      <c r="E1001" s="19">
        <v>0.5</v>
      </c>
      <c r="F1001" s="19">
        <f t="shared" si="13"/>
        <v>0.5</v>
      </c>
      <c r="G1001" s="19">
        <v>0.2</v>
      </c>
      <c r="H1001" s="19">
        <v>0.2</v>
      </c>
      <c r="I1001" s="19">
        <v>0.2</v>
      </c>
      <c r="J1001"/>
      <c r="K1001">
        <v>0</v>
      </c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2:26" s="2" customFormat="1" x14ac:dyDescent="0.35">
      <c r="B1002"/>
      <c r="C1002"/>
      <c r="D1002" s="18">
        <v>997</v>
      </c>
      <c r="E1002" s="19">
        <v>0.5</v>
      </c>
      <c r="F1002" s="19">
        <f t="shared" si="13"/>
        <v>0.5</v>
      </c>
      <c r="G1002" s="19">
        <v>0.2</v>
      </c>
      <c r="H1002" s="19">
        <v>0.2</v>
      </c>
      <c r="I1002" s="19">
        <v>0.2</v>
      </c>
      <c r="J1002"/>
      <c r="K1002">
        <v>0</v>
      </c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2:26" s="2" customFormat="1" x14ac:dyDescent="0.35">
      <c r="B1003"/>
      <c r="C1003"/>
      <c r="D1003" s="18">
        <v>998</v>
      </c>
      <c r="E1003" s="19">
        <v>0.5</v>
      </c>
      <c r="F1003" s="19">
        <f t="shared" ref="F1003:F1005" si="14">E1003</f>
        <v>0.5</v>
      </c>
      <c r="G1003" s="19">
        <v>0.2</v>
      </c>
      <c r="H1003" s="19">
        <v>0.2</v>
      </c>
      <c r="I1003" s="19">
        <v>0.2</v>
      </c>
      <c r="J1003"/>
      <c r="K1003">
        <v>0</v>
      </c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2:26" s="2" customFormat="1" x14ac:dyDescent="0.35">
      <c r="B1004"/>
      <c r="C1004"/>
      <c r="D1004" s="18">
        <v>999</v>
      </c>
      <c r="E1004" s="19">
        <v>0.5</v>
      </c>
      <c r="F1004" s="19">
        <f t="shared" si="14"/>
        <v>0.5</v>
      </c>
      <c r="G1004" s="19">
        <v>0.2</v>
      </c>
      <c r="H1004" s="19">
        <v>0.2</v>
      </c>
      <c r="I1004" s="19">
        <v>0.2</v>
      </c>
      <c r="J1004"/>
      <c r="K1004">
        <v>0</v>
      </c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 spans="2:26" s="2" customFormat="1" x14ac:dyDescent="0.35">
      <c r="B1005"/>
      <c r="C1005"/>
      <c r="D1005" s="18">
        <v>1000</v>
      </c>
      <c r="E1005" s="19">
        <v>0.5</v>
      </c>
      <c r="F1005" s="19">
        <f t="shared" si="14"/>
        <v>0.5</v>
      </c>
      <c r="G1005" s="19">
        <v>0.2</v>
      </c>
      <c r="H1005" s="19">
        <v>0.2</v>
      </c>
      <c r="I1005" s="19">
        <v>0.2</v>
      </c>
      <c r="J1005"/>
      <c r="K1005">
        <v>0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35F3-5E8D-478C-88AB-9EF1C9E4E25F}">
  <dimension ref="B1:BF215"/>
  <sheetViews>
    <sheetView tabSelected="1" topLeftCell="A64" workbookViewId="0">
      <selection activeCell="U125" sqref="U65:U125"/>
    </sheetView>
  </sheetViews>
  <sheetFormatPr defaultColWidth="11.25" defaultRowHeight="16.5" outlineLevelCol="1" x14ac:dyDescent="0.35"/>
  <cols>
    <col min="1" max="1" width="11.25" style="12"/>
    <col min="2" max="2" width="6.5" style="12" bestFit="1" customWidth="1"/>
    <col min="3" max="3" width="11.375" style="12" bestFit="1" customWidth="1"/>
    <col min="4" max="4" width="7" style="12" bestFit="1" customWidth="1"/>
    <col min="5" max="5" width="11.25" style="12"/>
    <col min="6" max="6" width="5" style="12" bestFit="1" customWidth="1"/>
    <col min="7" max="7" width="6.375" style="8" bestFit="1" customWidth="1"/>
    <col min="8" max="9" width="8.75" style="12" customWidth="1" outlineLevel="1"/>
    <col min="10" max="10" width="10.125" style="12" customWidth="1" outlineLevel="1"/>
    <col min="11" max="11" width="9.5" style="12" customWidth="1" outlineLevel="1"/>
    <col min="12" max="12" width="8.75" style="12" customWidth="1" outlineLevel="1"/>
    <col min="13" max="13" width="8.125" style="12" customWidth="1" outlineLevel="1"/>
    <col min="14" max="16" width="8.75" style="12" customWidth="1" outlineLevel="1"/>
    <col min="17" max="17" width="8" style="12" customWidth="1" outlineLevel="1"/>
    <col min="18" max="18" width="8.75" style="12" customWidth="1" outlineLevel="1"/>
    <col min="19" max="19" width="12.25" style="12" customWidth="1" outlineLevel="1"/>
    <col min="20" max="20" width="8.75" style="12" customWidth="1" outlineLevel="1"/>
    <col min="21" max="21" width="12.25" style="12" customWidth="1" outlineLevel="1"/>
    <col min="22" max="24" width="15.875" style="12" customWidth="1" outlineLevel="1"/>
    <col min="25" max="25" width="8" style="12" customWidth="1" outlineLevel="1"/>
    <col min="26" max="27" width="15.875" style="12" customWidth="1" outlineLevel="1"/>
    <col min="28" max="31" width="13" style="12" customWidth="1" outlineLevel="1"/>
    <col min="32" max="33" width="16.625" style="12" customWidth="1" outlineLevel="1"/>
    <col min="34" max="34" width="12.25" style="12" customWidth="1" outlineLevel="1"/>
    <col min="35" max="37" width="20.25" style="12" customWidth="1" outlineLevel="1"/>
    <col min="38" max="38" width="5" style="12" bestFit="1" customWidth="1"/>
    <col min="39" max="39" width="12.25" style="12" bestFit="1" customWidth="1"/>
    <col min="40" max="40" width="13" style="12" bestFit="1" customWidth="1"/>
    <col min="41" max="41" width="11.375" style="12" bestFit="1" customWidth="1"/>
    <col min="42" max="42" width="13" style="12" bestFit="1" customWidth="1"/>
    <col min="43" max="43" width="13" style="12" customWidth="1"/>
    <col min="44" max="44" width="11.25" style="12"/>
    <col min="45" max="45" width="5" style="12" bestFit="1" customWidth="1"/>
    <col min="46" max="46" width="11.375" style="12" bestFit="1" customWidth="1"/>
    <col min="47" max="47" width="15" style="12" bestFit="1" customWidth="1"/>
    <col min="48" max="48" width="11.375" style="12" bestFit="1" customWidth="1"/>
    <col min="49" max="49" width="15" style="12" bestFit="1" customWidth="1"/>
    <col min="50" max="52" width="11.375" style="12" bestFit="1" customWidth="1"/>
    <col min="53" max="53" width="9.625" style="12" bestFit="1" customWidth="1"/>
    <col min="54" max="54" width="11.375" style="12" bestFit="1" customWidth="1"/>
    <col min="55" max="57" width="8" style="12" bestFit="1" customWidth="1"/>
    <col min="58" max="58" width="9" style="12" bestFit="1" customWidth="1"/>
    <col min="59" max="16384" width="11.25" style="12"/>
  </cols>
  <sheetData>
    <row r="1" spans="2:58" s="4" customFormat="1" ht="21" x14ac:dyDescent="0.35">
      <c r="B1" s="4" t="s">
        <v>202</v>
      </c>
    </row>
    <row r="4" spans="2:58" x14ac:dyDescent="0.35">
      <c r="Y4" s="12">
        <f>内购!D16</f>
        <v>2.99</v>
      </c>
      <c r="Z4" s="12">
        <f>内购!D17</f>
        <v>0.99</v>
      </c>
      <c r="AA4" s="12">
        <f>内购!D18</f>
        <v>3.99</v>
      </c>
    </row>
    <row r="5" spans="2:58" x14ac:dyDescent="0.35">
      <c r="C5" s="12" t="s">
        <v>204</v>
      </c>
      <c r="D5" s="12">
        <v>10000</v>
      </c>
      <c r="F5" s="12" t="s">
        <v>11</v>
      </c>
      <c r="G5" s="8" t="s">
        <v>323</v>
      </c>
      <c r="H5" s="12" t="s">
        <v>325</v>
      </c>
      <c r="I5" s="12" t="s">
        <v>317</v>
      </c>
      <c r="J5" s="12" t="s">
        <v>400</v>
      </c>
      <c r="K5" s="12" t="s">
        <v>399</v>
      </c>
      <c r="M5" s="12" t="s">
        <v>347</v>
      </c>
      <c r="N5" s="12" t="s">
        <v>318</v>
      </c>
      <c r="O5" s="12" t="s">
        <v>319</v>
      </c>
      <c r="P5" s="12" t="s">
        <v>320</v>
      </c>
      <c r="Q5" s="12" t="s">
        <v>332</v>
      </c>
      <c r="R5" s="12" t="s">
        <v>321</v>
      </c>
      <c r="S5" s="12" t="s">
        <v>331</v>
      </c>
      <c r="T5" s="12" t="s">
        <v>326</v>
      </c>
      <c r="U5" s="12" t="s">
        <v>322</v>
      </c>
      <c r="V5" s="12" t="s">
        <v>390</v>
      </c>
      <c r="W5" s="12" t="s">
        <v>391</v>
      </c>
      <c r="X5" s="12" t="s">
        <v>327</v>
      </c>
      <c r="Y5" s="12" t="s">
        <v>209</v>
      </c>
      <c r="Z5" s="12" t="s">
        <v>328</v>
      </c>
      <c r="AA5" s="12" t="s">
        <v>330</v>
      </c>
      <c r="AB5" s="12" t="str">
        <f>CONCATENATE(H5,"_累计")</f>
        <v>消耗_挑战_累计</v>
      </c>
      <c r="AC5" s="12" t="str">
        <f>CONCATENATE(N5,"_累计")</f>
        <v>奖励_通关_累计</v>
      </c>
      <c r="AD5" s="12" t="str">
        <f>CONCATENATE(O5,"_累计")</f>
        <v>奖励_失败_累计</v>
      </c>
      <c r="AE5" s="12" t="s">
        <v>329</v>
      </c>
      <c r="AF5" s="12" t="str">
        <f>CONCATENATE(U5,"_累计")</f>
        <v>奖励_免费转盘_累计</v>
      </c>
      <c r="AG5" s="12" t="str">
        <f>CONCATENATE(S5,"_累计")</f>
        <v>奖励_首次通关_累计</v>
      </c>
      <c r="AH5" s="12" t="str">
        <f>CONCATENATE(Y5,"_累计")</f>
        <v>付费转盘_累计</v>
      </c>
      <c r="AI5" s="12" t="str">
        <f>CONCATENATE(X5,"_累计")</f>
        <v>奖励_免费进度礼包_累计</v>
      </c>
      <c r="AJ5" s="12" t="str">
        <f>CONCATENATE(Z5,"_累计")</f>
        <v>奖励_付费进度礼包_累计</v>
      </c>
      <c r="AK5" s="12" t="str">
        <f>CONCATENATE(AA5,"_累计")</f>
        <v>奖励_付费限时礼包_累计</v>
      </c>
      <c r="AL5" s="12" t="str">
        <f>F5</f>
        <v>关卡</v>
      </c>
      <c r="AM5" s="12" t="s">
        <v>341</v>
      </c>
      <c r="AN5" s="12" t="str">
        <f>CONCATENATE(I5,"_累计")</f>
        <v>消耗_通关_累计</v>
      </c>
      <c r="AO5" s="12" t="s">
        <v>333</v>
      </c>
      <c r="AP5" s="12" t="s">
        <v>230</v>
      </c>
      <c r="AS5" s="12" t="s">
        <v>216</v>
      </c>
      <c r="AT5" s="12" t="s">
        <v>334</v>
      </c>
      <c r="AU5" s="12" t="s">
        <v>339</v>
      </c>
      <c r="AV5" s="12" t="s">
        <v>335</v>
      </c>
      <c r="AW5" s="12" t="s">
        <v>337</v>
      </c>
      <c r="AX5" s="12" t="s">
        <v>225</v>
      </c>
      <c r="AY5" s="12" t="s">
        <v>226</v>
      </c>
      <c r="AZ5" s="12" t="s">
        <v>227</v>
      </c>
      <c r="BA5" s="12" t="s">
        <v>336</v>
      </c>
      <c r="BB5" s="12" t="s">
        <v>338</v>
      </c>
      <c r="BC5" s="12" t="s">
        <v>228</v>
      </c>
      <c r="BD5" s="12" t="s">
        <v>229</v>
      </c>
      <c r="BE5" s="12" t="s">
        <v>340</v>
      </c>
    </row>
    <row r="6" spans="2:58" x14ac:dyDescent="0.35">
      <c r="C6" s="12" t="s">
        <v>207</v>
      </c>
      <c r="D6" s="12">
        <v>3</v>
      </c>
      <c r="F6" s="12">
        <v>1</v>
      </c>
      <c r="G6" s="8">
        <f>INDEX(验算胜率!$E$6:$I$1005,F6,MATCH($D$16,验算胜率!$E$5:$I$5,0))</f>
        <v>1</v>
      </c>
      <c r="H6" s="12">
        <f t="shared" ref="H6:H69" si="0">INDEX(leve_cost_v,MATCH($F6,leve_cost_k,1))*$D$13</f>
        <v>1000</v>
      </c>
      <c r="I6" s="12">
        <f>H6/G6</f>
        <v>1000</v>
      </c>
      <c r="J6" s="12">
        <v>1</v>
      </c>
      <c r="K6" s="12">
        <v>0</v>
      </c>
      <c r="L6" s="12">
        <f>MATCH(F6,关卡道具消耗!$AA$6:$AA$83,1)-2+INDEX(关卡道具消耗!$C$16:$E$16,1,MATCH(J6,关卡道具消耗!$C$17:$E$17,0))-1</f>
        <v>1</v>
      </c>
      <c r="M6" s="12">
        <f>IF($D$16=验算胜率!$F$5,验算胜率!K6,0)*H6*关卡道具消耗!$D$8/关卡道具消耗!$D$26</f>
        <v>0</v>
      </c>
      <c r="N6" s="12">
        <f>INDEX(关卡奖励!$AH$6:$AH$8,MATCH($D$14,关卡奖励!$W$6:$W$8,0))*H6</f>
        <v>1167</v>
      </c>
      <c r="O6" s="12">
        <f>INDEX(关卡奖励!$AI$9:$AI$11,MATCH($D$14,关卡奖励!$W$9:$W$11,0))*((1/G6)-1)*H6</f>
        <v>0</v>
      </c>
      <c r="P6" s="12">
        <f>I6-N6-O6</f>
        <v>-167</v>
      </c>
      <c r="Q6" s="12">
        <f>1/G6</f>
        <v>1</v>
      </c>
      <c r="R6" s="12">
        <f>IFERROR(INDEX(base_v,MATCH($F6,base_k,1)),0)*离线奖励!$C$12</f>
        <v>0</v>
      </c>
      <c r="S6" s="12">
        <f>IFERROR(INDEX(关卡进度奖励!$I$7:$I$15,MATCH(F6,关卡进度奖励!$D$7:$D$15,0)),0)</f>
        <v>0</v>
      </c>
      <c r="T6" s="12">
        <f>AVERAGE(签到!$E$7:$E$13)*$H6</f>
        <v>4131.0476190476193</v>
      </c>
      <c r="U6" s="12">
        <f>转盘!$C$26*H6*V6/$D$13</f>
        <v>0</v>
      </c>
      <c r="V6" s="12">
        <v>0</v>
      </c>
      <c r="W6" s="12">
        <f>IFERROR(MATCH(INDEX(转盘!$C$17:$F$17,1,MATCH($D$13,转盘!$C$16:$F$16,0))*MAX(F6-转盘!$C$6,0),转盘!$L$9:$L$51,1),0)</f>
        <v>0</v>
      </c>
      <c r="X6" s="12">
        <f>IFERROR(MATCH($F6,gift_k_level,0)^0,0)*进度礼包!$C$17*$H6/$D$13</f>
        <v>0</v>
      </c>
      <c r="Y6" s="12">
        <f>IFERROR(MATCH($F6,turn_k_1,0)^0,0)*转盘!$C$42*$H6/$D$13</f>
        <v>0</v>
      </c>
      <c r="Z6" s="12">
        <f>IFERROR(MATCH($F6,gift_k_level,0)^0,0)*进度礼包!$C$34*$H6/$D$13</f>
        <v>0</v>
      </c>
      <c r="AA6" s="12">
        <f>IFERROR(MATCH($F6,gift_k_time,0)^0,0)*限时礼包!$C$15*$H6/$D$13</f>
        <v>0</v>
      </c>
      <c r="AB6" s="12">
        <f>SUM(H$6:H6)</f>
        <v>1000</v>
      </c>
      <c r="AC6" s="12">
        <f>SUM(N$6:N6)+SUM($M$6:M6)</f>
        <v>1167</v>
      </c>
      <c r="AD6" s="12">
        <f>SUM(O$6:O6)</f>
        <v>0</v>
      </c>
      <c r="AE6" s="12">
        <f>SUM($P$6:P6)</f>
        <v>-167</v>
      </c>
      <c r="AF6" s="12">
        <f>SUM(U$6:U6)</f>
        <v>0</v>
      </c>
      <c r="AG6" s="12">
        <f>SUM(S$6:S6)</f>
        <v>0</v>
      </c>
      <c r="AH6" s="12">
        <f>SUM(Y$6:Y6)</f>
        <v>0</v>
      </c>
      <c r="AI6" s="12">
        <f>SUM(X$6:X6)</f>
        <v>0</v>
      </c>
      <c r="AJ6" s="12">
        <f>SUM(Z$6:Z6)</f>
        <v>0</v>
      </c>
      <c r="AK6" s="12">
        <f>SUM(AA$6:AA6)</f>
        <v>0</v>
      </c>
      <c r="AL6" s="12">
        <f>F6</f>
        <v>1</v>
      </c>
      <c r="AM6" s="12">
        <f>SUM(AC6,AD6,AF6,AI6,AG6)+$D$5</f>
        <v>11167</v>
      </c>
      <c r="AN6" s="12">
        <f>SUM(I$6:I6)</f>
        <v>1000</v>
      </c>
      <c r="AO6" s="8">
        <f>SUM(Q$6:Q6)</f>
        <v>1</v>
      </c>
      <c r="AP6" s="12">
        <f>AM6-AN6</f>
        <v>10167</v>
      </c>
      <c r="AS6" s="12">
        <v>0</v>
      </c>
      <c r="AT6" s="12">
        <v>0</v>
      </c>
      <c r="AX6" s="12">
        <v>0</v>
      </c>
      <c r="AY6" s="12">
        <v>0</v>
      </c>
      <c r="AZ6" s="12">
        <v>0</v>
      </c>
      <c r="BA6" s="12">
        <v>0</v>
      </c>
      <c r="BC6" s="12">
        <v>0</v>
      </c>
      <c r="BD6" s="12">
        <v>0</v>
      </c>
      <c r="BE6" s="12">
        <v>0</v>
      </c>
    </row>
    <row r="7" spans="2:58" x14ac:dyDescent="0.35">
      <c r="C7" s="12" t="s">
        <v>224</v>
      </c>
      <c r="D7" s="12">
        <v>0</v>
      </c>
      <c r="F7" s="12">
        <v>2</v>
      </c>
      <c r="G7" s="8">
        <f>INDEX(验算胜率!$E$6:$I$1005,F7,MATCH($D$16,验算胜率!$E$5:$I$5,0))</f>
        <v>1</v>
      </c>
      <c r="H7" s="12">
        <f t="shared" si="0"/>
        <v>1000</v>
      </c>
      <c r="I7" s="12">
        <f t="shared" ref="I7:I70" si="1">H7/G7</f>
        <v>1000</v>
      </c>
      <c r="J7" s="12">
        <v>1</v>
      </c>
      <c r="K7" s="12">
        <v>0</v>
      </c>
      <c r="L7" s="12">
        <f>MATCH(F7,关卡道具消耗!$AA$6:$AA$83,1)-2+INDEX(关卡道具消耗!$C$16:$E$16,1,MATCH(J7,关卡道具消耗!$C$17:$E$17,0))-1</f>
        <v>1</v>
      </c>
      <c r="M7" s="12">
        <f>IF($D$16=验算胜率!$F$5,验算胜率!K7,0)*H7*关卡道具消耗!$D$8/关卡道具消耗!$D$26</f>
        <v>0</v>
      </c>
      <c r="N7" s="12">
        <f>INDEX(关卡奖励!$AH$6:$AH$8,MATCH($D$14,关卡奖励!$W$6:$W$8,0))*H7</f>
        <v>1167</v>
      </c>
      <c r="O7" s="12">
        <f>INDEX(关卡奖励!$AI$9:$AI$11,MATCH($D$14,关卡奖励!$W$9:$W$11,0))*((1/G7)-1)*H7</f>
        <v>0</v>
      </c>
      <c r="P7" s="12">
        <f>I7-N7-O7</f>
        <v>-167</v>
      </c>
      <c r="Q7" s="12">
        <f>1/G7</f>
        <v>1</v>
      </c>
      <c r="R7" s="12">
        <f>IFERROR(INDEX(base_v,MATCH($F7,base_k,1)),0)*离线奖励!$C$12</f>
        <v>0</v>
      </c>
      <c r="S7" s="12">
        <f>IFERROR(INDEX(关卡进度奖励!$I$7:$I$15,MATCH(F7,关卡进度奖励!$D$7:$D$15,0)),0)</f>
        <v>0</v>
      </c>
      <c r="T7" s="12">
        <f>AVERAGE(签到!$E$7:$E$13)*$H7</f>
        <v>4131.0476190476193</v>
      </c>
      <c r="U7" s="12">
        <f>转盘!$C$26*H7*V7/$D$13</f>
        <v>0</v>
      </c>
      <c r="V7" s="12">
        <f>IF(W7=W6,0,1)</f>
        <v>0</v>
      </c>
      <c r="W7" s="12">
        <f>IFERROR(MATCH(INDEX(转盘!$C$17:$F$17,1,MATCH($D$13,转盘!$C$16:$F$16,0))*MAX(F7-转盘!$C$6,0),转盘!$L$9:$L$51,1),0)</f>
        <v>0</v>
      </c>
      <c r="X7" s="12">
        <f>IFERROR(MATCH($F7,gift_k_level,0)^0,0)*进度礼包!$C$17*$H7/$D$13</f>
        <v>0</v>
      </c>
      <c r="Y7" s="12">
        <f>IFERROR(MATCH($F7,turn_k_1,0)^0,0)*转盘!$C$42*$H7/$D$13</f>
        <v>0</v>
      </c>
      <c r="Z7" s="12">
        <f>IFERROR(MATCH($F7,gift_k_level,0)^0,0)*进度礼包!$C$34*$H7/$D$13</f>
        <v>0</v>
      </c>
      <c r="AA7" s="12">
        <f>IFERROR(MATCH($F7,gift_k_time,0)^0,0)*限时礼包!$C$15*$H7/$D$13</f>
        <v>0</v>
      </c>
      <c r="AB7" s="12">
        <f>SUM(H$6:H7)</f>
        <v>2000</v>
      </c>
      <c r="AC7" s="12">
        <f>SUM(N$6:N7)+SUM($M$6:M7)</f>
        <v>2334</v>
      </c>
      <c r="AD7" s="12">
        <f>SUM(O$6:O7)</f>
        <v>0</v>
      </c>
      <c r="AE7" s="12">
        <f>SUM($P$6:P7)</f>
        <v>-334</v>
      </c>
      <c r="AF7" s="12">
        <f>SUM(U$6:U7)</f>
        <v>0</v>
      </c>
      <c r="AG7" s="12">
        <f>SUM(S$6:S7)</f>
        <v>0</v>
      </c>
      <c r="AH7" s="12">
        <f>SUM(Y$6:Y7)</f>
        <v>0</v>
      </c>
      <c r="AI7" s="12">
        <f>SUM(X$6:X7)</f>
        <v>0</v>
      </c>
      <c r="AJ7" s="12">
        <f>SUM(Z$6:Z7)</f>
        <v>0</v>
      </c>
      <c r="AK7" s="12">
        <f>SUM(AA$6:AA7)</f>
        <v>0</v>
      </c>
      <c r="AL7" s="12">
        <f>F7</f>
        <v>2</v>
      </c>
      <c r="AM7" s="12">
        <f t="shared" ref="AM7:AM70" si="2">SUM(AC7,AD7,AF7,AI7,AG7)+$D$5</f>
        <v>12334</v>
      </c>
      <c r="AN7" s="12">
        <f>SUM(I$6:I7)</f>
        <v>2000</v>
      </c>
      <c r="AO7" s="8">
        <f>SUM(Q$6:Q7)</f>
        <v>2</v>
      </c>
      <c r="AP7" s="12">
        <f t="shared" ref="AP7:AP70" si="3">AM7-AN7</f>
        <v>10334</v>
      </c>
      <c r="AS7" s="12">
        <v>1</v>
      </c>
      <c r="AT7" s="12">
        <v>30</v>
      </c>
      <c r="AU7" s="12">
        <f>AT7+AU6</f>
        <v>30</v>
      </c>
      <c r="AV7" s="12">
        <f>AW7-AW6</f>
        <v>30</v>
      </c>
      <c r="AW7" s="12">
        <f>INDEX($AO$6:$AO$215,MATCH(BC7,$F$6:$F$215,0))</f>
        <v>30</v>
      </c>
      <c r="AX7" s="12">
        <f>INDEX($AM$6:$AM$215,MATCH(AU7,$AO$6:$AO$215,1))</f>
        <v>40841.992061320751</v>
      </c>
      <c r="AY7" s="12">
        <f>INDEX($R$6:$R$1005,$BC7)</f>
        <v>6150</v>
      </c>
      <c r="AZ7" s="12">
        <v>0</v>
      </c>
      <c r="BA7" s="12">
        <f>AX7+SUM($AY$6:AY7)+SUM($AZ$6:AZ7)</f>
        <v>46991.992061320751</v>
      </c>
      <c r="BB7" s="12">
        <f>INDEX($AN$6:$AN$1005,MATCH(AU7,$AO$6:$AO$1005,1))</f>
        <v>31000</v>
      </c>
      <c r="BC7" s="12">
        <f>MATCH(AU7,$AO$6:$AO$215,1)</f>
        <v>20</v>
      </c>
      <c r="BD7" s="12">
        <f>BC7-BC6</f>
        <v>20</v>
      </c>
      <c r="BE7" s="12">
        <v>1</v>
      </c>
      <c r="BF7" s="12">
        <f>BA7-BB7</f>
        <v>15991.992061320751</v>
      </c>
    </row>
    <row r="8" spans="2:58" x14ac:dyDescent="0.35">
      <c r="F8" s="12">
        <v>3</v>
      </c>
      <c r="G8" s="8">
        <f>INDEX(验算胜率!$E$6:$I$1005,F8,MATCH($D$16,验算胜率!$E$5:$I$5,0))</f>
        <v>1</v>
      </c>
      <c r="H8" s="12">
        <f t="shared" si="0"/>
        <v>1000</v>
      </c>
      <c r="I8" s="12">
        <f t="shared" si="1"/>
        <v>1000</v>
      </c>
      <c r="J8" s="12">
        <v>1</v>
      </c>
      <c r="K8" s="12">
        <v>0</v>
      </c>
      <c r="L8" s="12">
        <f>MATCH(F8,关卡道具消耗!$AA$6:$AA$83,1)-2+INDEX(关卡道具消耗!$C$16:$E$16,1,MATCH(J8,关卡道具消耗!$C$17:$E$17,0))-1</f>
        <v>1</v>
      </c>
      <c r="M8" s="12">
        <f>IF($D$16=验算胜率!$F$5,验算胜率!K8,0)*H8*关卡道具消耗!$D$8/关卡道具消耗!$D$26</f>
        <v>0</v>
      </c>
      <c r="N8" s="12">
        <f>INDEX(关卡奖励!$AH$6:$AH$8,MATCH($D$14,关卡奖励!$W$6:$W$8,0))*H8</f>
        <v>1167</v>
      </c>
      <c r="O8" s="12">
        <f>INDEX(关卡奖励!$AI$9:$AI$11,MATCH($D$14,关卡奖励!$W$9:$W$11,0))*((1/G8)-1)*H8</f>
        <v>0</v>
      </c>
      <c r="P8" s="12">
        <f>I8-N8-O8</f>
        <v>-167</v>
      </c>
      <c r="Q8" s="12">
        <f>1/G8</f>
        <v>1</v>
      </c>
      <c r="R8" s="12">
        <f>IFERROR(INDEX(base_v,MATCH($F8,base_k,1)),0)*离线奖励!$C$12</f>
        <v>0</v>
      </c>
      <c r="S8" s="12">
        <f>IFERROR(INDEX(关卡进度奖励!$I$7:$I$15,MATCH(F8,关卡进度奖励!$D$7:$D$15,0)),0)</f>
        <v>0</v>
      </c>
      <c r="T8" s="12">
        <f>AVERAGE(签到!$E$7:$E$13)*$H8</f>
        <v>4131.0476190476193</v>
      </c>
      <c r="U8" s="12">
        <f>转盘!$C$26*H8*V8/$D$13</f>
        <v>0</v>
      </c>
      <c r="V8" s="12">
        <f t="shared" ref="V8:V71" si="4">IF(W8=W7,0,1)</f>
        <v>0</v>
      </c>
      <c r="W8" s="12">
        <f>IFERROR(MATCH(INDEX(转盘!$C$17:$F$17,1,MATCH($D$13,转盘!$C$16:$F$16,0))*MAX(F8-转盘!$C$6,0),转盘!$L$9:$L$51,1),0)</f>
        <v>0</v>
      </c>
      <c r="X8" s="12">
        <f>IFERROR(MATCH($F8,gift_k_level,0)^0,0)*进度礼包!$C$17*$H8/$D$13</f>
        <v>0</v>
      </c>
      <c r="Y8" s="12">
        <f>IFERROR(MATCH($F8,turn_k_1,0)^0,0)*转盘!$C$42*$H8/$D$13</f>
        <v>0</v>
      </c>
      <c r="Z8" s="12">
        <f>IFERROR(MATCH($F8,gift_k_level,0)^0,0)*进度礼包!$C$34*$H8/$D$13</f>
        <v>0</v>
      </c>
      <c r="AA8" s="12">
        <f>IFERROR(MATCH($F8,gift_k_time,0)^0,0)*限时礼包!$C$15*$H8/$D$13</f>
        <v>0</v>
      </c>
      <c r="AB8" s="12">
        <f>SUM(H$6:H8)</f>
        <v>3000</v>
      </c>
      <c r="AC8" s="12">
        <f>SUM(N$6:N8)+SUM($M$6:M8)</f>
        <v>3501</v>
      </c>
      <c r="AD8" s="12">
        <f>SUM(O$6:O8)</f>
        <v>0</v>
      </c>
      <c r="AE8" s="12">
        <f>SUM($P$6:P8)</f>
        <v>-501</v>
      </c>
      <c r="AF8" s="12">
        <f>SUM(U$6:U8)</f>
        <v>0</v>
      </c>
      <c r="AG8" s="12">
        <f>SUM(S$6:S8)</f>
        <v>0</v>
      </c>
      <c r="AH8" s="12">
        <f>SUM(Y$6:Y8)</f>
        <v>0</v>
      </c>
      <c r="AI8" s="12">
        <f>SUM(X$6:X8)</f>
        <v>0</v>
      </c>
      <c r="AJ8" s="12">
        <f>SUM(Z$6:Z8)</f>
        <v>0</v>
      </c>
      <c r="AK8" s="12">
        <f>SUM(AA$6:AA8)</f>
        <v>0</v>
      </c>
      <c r="AL8" s="12">
        <f>F8</f>
        <v>3</v>
      </c>
      <c r="AM8" s="12">
        <f t="shared" si="2"/>
        <v>13501</v>
      </c>
      <c r="AN8" s="12">
        <f>SUM(I$6:I8)</f>
        <v>3000</v>
      </c>
      <c r="AO8" s="8">
        <f>SUM(Q$6:Q8)</f>
        <v>3</v>
      </c>
      <c r="AP8" s="12">
        <f t="shared" si="3"/>
        <v>10501</v>
      </c>
      <c r="AS8" s="12">
        <v>2</v>
      </c>
      <c r="AT8" s="12">
        <v>20</v>
      </c>
      <c r="AU8" s="12">
        <f>AT8+AU7</f>
        <v>50</v>
      </c>
      <c r="AV8" s="12">
        <f>AW8-AW7</f>
        <v>20</v>
      </c>
      <c r="AW8" s="12">
        <f>INDEX($AO$6:$AO$215,MATCH(BC8,$F$6:$F$215,0))</f>
        <v>50</v>
      </c>
      <c r="AX8" s="12">
        <f>INDEX($AM$6:$AM$215,MATCH(AU8,$AO$6:$AO$215,1))</f>
        <v>62805.742061320751</v>
      </c>
      <c r="AY8" s="12">
        <f t="shared" ref="AY8:AY71" si="5">INDEX($R$6:$R$1005,$BC7)</f>
        <v>6150</v>
      </c>
      <c r="AZ8" s="12">
        <f t="shared" ref="AZ8:AZ71" si="6">INDEX($T$6:$T$1005,$BC7)</f>
        <v>6196.5714285714284</v>
      </c>
      <c r="BA8" s="12">
        <f>AX8+SUM($AY$6:AY8)+SUM($AZ$6:AZ8)</f>
        <v>81302.313489892185</v>
      </c>
      <c r="BB8" s="12">
        <f>INDEX($AN$6:$AN$1005,MATCH(AU8,$AO$6:$AO$1005,1))</f>
        <v>61000</v>
      </c>
      <c r="BC8" s="12">
        <f>MATCH(AU8,$AO$6:$AO$215,1)</f>
        <v>30</v>
      </c>
      <c r="BD8" s="12">
        <f t="shared" ref="BD8" si="7">BC8-BC7</f>
        <v>10</v>
      </c>
      <c r="BE8" s="12">
        <f>BC7+1</f>
        <v>21</v>
      </c>
      <c r="BF8" s="12">
        <f t="shared" ref="BF8:BF71" si="8">BA8-BB8</f>
        <v>20302.313489892185</v>
      </c>
    </row>
    <row r="9" spans="2:58" x14ac:dyDescent="0.35">
      <c r="C9" s="12" t="s">
        <v>205</v>
      </c>
      <c r="D9" s="12">
        <v>60</v>
      </c>
      <c r="F9" s="12">
        <v>4</v>
      </c>
      <c r="G9" s="8">
        <f>INDEX(验算胜率!$E$6:$I$1005,F9,MATCH($D$16,验算胜率!$E$5:$I$5,0))</f>
        <v>1</v>
      </c>
      <c r="H9" s="12">
        <f t="shared" si="0"/>
        <v>1000</v>
      </c>
      <c r="I9" s="12">
        <f t="shared" si="1"/>
        <v>1000</v>
      </c>
      <c r="J9" s="12">
        <v>1</v>
      </c>
      <c r="K9" s="12">
        <v>0</v>
      </c>
      <c r="L9" s="12">
        <f>MATCH(F9,关卡道具消耗!$AA$6:$AA$83,1)-2+INDEX(关卡道具消耗!$C$16:$E$16,1,MATCH(J9,关卡道具消耗!$C$17:$E$17,0))-1</f>
        <v>1</v>
      </c>
      <c r="M9" s="12">
        <f>IF($D$16=验算胜率!$F$5,验算胜率!K9,0)*H9*关卡道具消耗!$D$8/关卡道具消耗!$D$26</f>
        <v>0</v>
      </c>
      <c r="N9" s="12">
        <f>INDEX(关卡奖励!$AH$6:$AH$8,MATCH($D$14,关卡奖励!$W$6:$W$8,0))*H9</f>
        <v>1167</v>
      </c>
      <c r="O9" s="12">
        <f>INDEX(关卡奖励!$AI$9:$AI$11,MATCH($D$14,关卡奖励!$W$9:$W$11,0))*((1/G9)-1)*H9</f>
        <v>0</v>
      </c>
      <c r="P9" s="12">
        <f>I9-N9-O9</f>
        <v>-167</v>
      </c>
      <c r="Q9" s="12">
        <f>1/G9</f>
        <v>1</v>
      </c>
      <c r="R9" s="12">
        <f>IFERROR(INDEX(base_v,MATCH($F9,base_k,1)),0)*离线奖励!$C$12</f>
        <v>6000</v>
      </c>
      <c r="S9" s="12">
        <f>IFERROR(INDEX(关卡进度奖励!$I$7:$I$15,MATCH(F9,关卡进度奖励!$D$7:$D$15,0)),0)</f>
        <v>0</v>
      </c>
      <c r="T9" s="12">
        <f>AVERAGE(签到!$E$7:$E$13)*$H9</f>
        <v>4131.0476190476193</v>
      </c>
      <c r="U9" s="12">
        <f>转盘!$C$26*H9*V9/$D$13</f>
        <v>0</v>
      </c>
      <c r="V9" s="12">
        <f t="shared" si="4"/>
        <v>0</v>
      </c>
      <c r="W9" s="12">
        <f>IFERROR(MATCH(INDEX(转盘!$C$17:$F$17,1,MATCH($D$13,转盘!$C$16:$F$16,0))*MAX(F9-转盘!$C$6,0),转盘!$L$9:$L$51,1),0)</f>
        <v>0</v>
      </c>
      <c r="X9" s="12">
        <f>IFERROR(MATCH($F9,gift_k_level,0)^0,0)*进度礼包!$C$17*$H9/$D$13</f>
        <v>0</v>
      </c>
      <c r="Y9" s="12">
        <f>IFERROR(MATCH($F9,turn_k_1,0)^0,0)*转盘!$C$42*$H9/$D$13</f>
        <v>0</v>
      </c>
      <c r="Z9" s="12">
        <f>IFERROR(MATCH($F9,gift_k_level,0)^0,0)*进度礼包!$C$34*$H9/$D$13</f>
        <v>0</v>
      </c>
      <c r="AA9" s="12">
        <f>IFERROR(MATCH($F9,gift_k_time,0)^0,0)*限时礼包!$C$15*$H9/$D$13</f>
        <v>0</v>
      </c>
      <c r="AB9" s="12">
        <f>SUM(H$6:H9)</f>
        <v>4000</v>
      </c>
      <c r="AC9" s="12">
        <f>SUM(N$6:N9)+SUM($M$6:M9)</f>
        <v>4668</v>
      </c>
      <c r="AD9" s="12">
        <f>SUM(O$6:O9)</f>
        <v>0</v>
      </c>
      <c r="AE9" s="12">
        <f>SUM($P$6:P9)</f>
        <v>-668</v>
      </c>
      <c r="AF9" s="12">
        <f>SUM(U$6:U9)</f>
        <v>0</v>
      </c>
      <c r="AG9" s="12">
        <f>SUM(S$6:S9)</f>
        <v>0</v>
      </c>
      <c r="AH9" s="12">
        <f>SUM(Y$6:Y9)</f>
        <v>0</v>
      </c>
      <c r="AI9" s="12">
        <f>SUM(X$6:X9)</f>
        <v>0</v>
      </c>
      <c r="AJ9" s="12">
        <f>SUM(Z$6:Z9)</f>
        <v>0</v>
      </c>
      <c r="AK9" s="12">
        <f>SUM(AA$6:AA9)</f>
        <v>0</v>
      </c>
      <c r="AL9" s="12">
        <f>F9</f>
        <v>4</v>
      </c>
      <c r="AM9" s="12">
        <f t="shared" si="2"/>
        <v>14668</v>
      </c>
      <c r="AN9" s="12">
        <f>SUM(I$6:I9)</f>
        <v>4000</v>
      </c>
      <c r="AO9" s="8">
        <f>SUM(Q$6:Q9)</f>
        <v>4</v>
      </c>
      <c r="AP9" s="12">
        <f t="shared" si="3"/>
        <v>10668</v>
      </c>
      <c r="AS9" s="12">
        <v>3</v>
      </c>
      <c r="AT9" s="12">
        <v>20</v>
      </c>
      <c r="AU9" s="12">
        <f t="shared" ref="AU9:AU72" si="9">AT9+AU8</f>
        <v>70</v>
      </c>
      <c r="AV9" s="12">
        <f t="shared" ref="AV9:AV72" si="10">AW9-AW8</f>
        <v>20</v>
      </c>
      <c r="AW9" s="12">
        <f>INDEX($AO$6:$AO$215,MATCH(BC9,$F$6:$F$215,0))</f>
        <v>70</v>
      </c>
      <c r="AX9" s="12">
        <f t="shared" ref="AX9:AX72" si="11">INDEX($AM$6:$AM$215,MATCH(AU9,$AO$6:$AO$215,1))</f>
        <v>92650.047721698109</v>
      </c>
      <c r="AY9" s="12">
        <f t="shared" si="5"/>
        <v>6300</v>
      </c>
      <c r="AZ9" s="12">
        <f t="shared" si="6"/>
        <v>6196.5714285714284</v>
      </c>
      <c r="BA9" s="12">
        <f>AX9+SUM($AY$6:AY9)+SUM($AZ$6:AZ9)</f>
        <v>123643.19057884096</v>
      </c>
      <c r="BB9" s="12">
        <f t="shared" ref="BB9:BB72" si="12">INDEX($AN$6:$AN$1005,MATCH(AU9,$AO$6:$AO$1005,1))</f>
        <v>94600</v>
      </c>
      <c r="BC9" s="12">
        <f t="shared" ref="BC9:BC72" si="13">MATCH(AU9,$AO$6:$AO$215,1)</f>
        <v>40</v>
      </c>
      <c r="BD9" s="12">
        <f t="shared" ref="BD9:BD72" si="14">BC9-BC8</f>
        <v>10</v>
      </c>
      <c r="BE9" s="12">
        <f t="shared" ref="BE9:BE72" si="15">BC8+1</f>
        <v>31</v>
      </c>
      <c r="BF9" s="12">
        <f t="shared" si="8"/>
        <v>29043.190578840964</v>
      </c>
    </row>
    <row r="10" spans="2:58" x14ac:dyDescent="0.35">
      <c r="C10" s="12" t="s">
        <v>206</v>
      </c>
      <c r="D10" s="12">
        <v>20</v>
      </c>
      <c r="F10" s="12">
        <v>5</v>
      </c>
      <c r="G10" s="8">
        <f>INDEX(验算胜率!$E$6:$I$1005,F10,MATCH($D$16,验算胜率!$E$5:$I$5,0))</f>
        <v>1</v>
      </c>
      <c r="H10" s="12">
        <f t="shared" si="0"/>
        <v>1000</v>
      </c>
      <c r="I10" s="12">
        <f t="shared" si="1"/>
        <v>1000</v>
      </c>
      <c r="J10" s="12">
        <v>1</v>
      </c>
      <c r="K10" s="12">
        <v>1</v>
      </c>
      <c r="L10" s="12">
        <f>MATCH(F10,关卡道具消耗!$AA$6:$AA$83,1)-2+INDEX(关卡道具消耗!$C$16:$E$16,1,MATCH(J10,关卡道具消耗!$C$17:$E$17,0))-1</f>
        <v>1</v>
      </c>
      <c r="M10" s="12">
        <f>IF($D$16=验算胜率!$F$5,验算胜率!K10,0)*H10*关卡道具消耗!$D$8/关卡道具消耗!$D$26</f>
        <v>0</v>
      </c>
      <c r="N10" s="12">
        <f>INDEX(关卡奖励!$AH$6:$AH$8,MATCH($D$14,关卡奖励!$W$6:$W$8,0))*H10</f>
        <v>1167</v>
      </c>
      <c r="O10" s="12">
        <f>INDEX(关卡奖励!$AI$9:$AI$11,MATCH($D$14,关卡奖励!$W$9:$W$11,0))</f>
        <v>0.19725000000000001</v>
      </c>
      <c r="P10" s="12">
        <f>I10-N10-O10</f>
        <v>-167.19725</v>
      </c>
      <c r="Q10" s="12">
        <f>1/G10</f>
        <v>1</v>
      </c>
      <c r="R10" s="12">
        <f>IFERROR(INDEX(base_v,MATCH($F10,base_k,1)),0)*离线奖励!$C$12</f>
        <v>6000</v>
      </c>
      <c r="S10" s="12">
        <f>IFERROR(INDEX(关卡进度奖励!$I$7:$I$15,MATCH(F10,关卡进度奖励!$D$7:$D$15,0)),0)</f>
        <v>0</v>
      </c>
      <c r="T10" s="12">
        <f>AVERAGE(签到!$E$7:$E$13)*$H10</f>
        <v>4131.0476190476193</v>
      </c>
      <c r="U10" s="12">
        <f>转盘!$C$26*H10*V10/$D$13</f>
        <v>0</v>
      </c>
      <c r="V10" s="12">
        <f t="shared" si="4"/>
        <v>0</v>
      </c>
      <c r="W10" s="12">
        <f>IFERROR(MATCH(INDEX(转盘!$C$17:$F$17,1,MATCH($D$13,转盘!$C$16:$F$16,0))*MAX(F10-转盘!$C$6,0),转盘!$L$9:$L$51,1),0)</f>
        <v>0</v>
      </c>
      <c r="X10" s="12">
        <f>IFERROR(MATCH($F10,gift_k_level,0)^0,0)*进度礼包!$C$17*$H10/$D$13</f>
        <v>0</v>
      </c>
      <c r="Y10" s="12">
        <f>IFERROR(MATCH($F10,turn_k_1,0)^0,0)*转盘!$C$42*$H10/$D$13</f>
        <v>0</v>
      </c>
      <c r="Z10" s="12">
        <f>IFERROR(MATCH($F10,gift_k_level,0)^0,0)*进度礼包!$C$34*$H10/$D$13</f>
        <v>0</v>
      </c>
      <c r="AA10" s="12">
        <f>IFERROR(MATCH($F10,gift_k_time,0)^0,0)*限时礼包!$C$15*$H10/$D$13</f>
        <v>0</v>
      </c>
      <c r="AB10" s="12">
        <f>SUM(H$6:H10)</f>
        <v>5000</v>
      </c>
      <c r="AC10" s="12">
        <f>SUM(N$6:N10)+SUM($M$6:M10)</f>
        <v>5835</v>
      </c>
      <c r="AD10" s="12">
        <f>SUM(O$6:O10)</f>
        <v>0.19725000000000001</v>
      </c>
      <c r="AE10" s="12">
        <f>SUM($P$6:P10)</f>
        <v>-835.19724999999994</v>
      </c>
      <c r="AF10" s="12">
        <f>SUM(U$6:U10)</f>
        <v>0</v>
      </c>
      <c r="AG10" s="12">
        <f>SUM(S$6:S10)</f>
        <v>0</v>
      </c>
      <c r="AH10" s="12">
        <f>SUM(Y$6:Y10)</f>
        <v>0</v>
      </c>
      <c r="AI10" s="12">
        <f>SUM(X$6:X10)</f>
        <v>0</v>
      </c>
      <c r="AJ10" s="12">
        <f>SUM(Z$6:Z10)</f>
        <v>0</v>
      </c>
      <c r="AK10" s="12">
        <f>SUM(AA$6:AA10)</f>
        <v>0</v>
      </c>
      <c r="AL10" s="12">
        <f>F10</f>
        <v>5</v>
      </c>
      <c r="AM10" s="12">
        <f t="shared" si="2"/>
        <v>15835.197250000001</v>
      </c>
      <c r="AN10" s="12">
        <f>SUM(I$6:I10)</f>
        <v>5000</v>
      </c>
      <c r="AO10" s="8">
        <f>SUM(Q$6:Q10)</f>
        <v>5</v>
      </c>
      <c r="AP10" s="12">
        <f t="shared" si="3"/>
        <v>10835.197250000001</v>
      </c>
      <c r="AS10" s="12">
        <v>4</v>
      </c>
      <c r="AT10" s="12">
        <v>20</v>
      </c>
      <c r="AU10" s="12">
        <f t="shared" si="9"/>
        <v>90</v>
      </c>
      <c r="AV10" s="12">
        <f t="shared" si="10"/>
        <v>16</v>
      </c>
      <c r="AW10" s="12">
        <f>INDEX($AO$6:$AO$215,MATCH(BC10,$F$6:$F$215,0))</f>
        <v>86</v>
      </c>
      <c r="AX10" s="12">
        <f t="shared" si="11"/>
        <v>112295.24772169814</v>
      </c>
      <c r="AY10" s="12">
        <f t="shared" si="5"/>
        <v>6300</v>
      </c>
      <c r="AZ10" s="12">
        <f t="shared" si="6"/>
        <v>7435.8857142857141</v>
      </c>
      <c r="BA10" s="12">
        <f>AX10+SUM($AY$6:AY10)+SUM($AZ$6:AZ10)</f>
        <v>157024.27629312669</v>
      </c>
      <c r="BB10" s="12">
        <f t="shared" si="12"/>
        <v>123400</v>
      </c>
      <c r="BC10" s="12">
        <f t="shared" si="13"/>
        <v>48</v>
      </c>
      <c r="BD10" s="12">
        <f t="shared" si="14"/>
        <v>8</v>
      </c>
      <c r="BE10" s="12">
        <f t="shared" si="15"/>
        <v>41</v>
      </c>
      <c r="BF10" s="12">
        <f t="shared" si="8"/>
        <v>33624.276293126692</v>
      </c>
    </row>
    <row r="11" spans="2:58" x14ac:dyDescent="0.35">
      <c r="F11" s="12">
        <v>6</v>
      </c>
      <c r="G11" s="8">
        <f>INDEX(验算胜率!$E$6:$I$1005,F11,MATCH($D$16,验算胜率!$E$5:$I$5,0))</f>
        <v>1</v>
      </c>
      <c r="H11" s="12">
        <f t="shared" si="0"/>
        <v>1000</v>
      </c>
      <c r="I11" s="12">
        <f t="shared" si="1"/>
        <v>1000</v>
      </c>
      <c r="J11" s="12">
        <v>1</v>
      </c>
      <c r="K11" s="12">
        <v>0</v>
      </c>
      <c r="L11" s="12">
        <f>MATCH(F11,关卡道具消耗!$AA$6:$AA$83,1)-2+INDEX(关卡道具消耗!$C$16:$E$16,1,MATCH(J11,关卡道具消耗!$C$17:$E$17,0))-1</f>
        <v>1</v>
      </c>
      <c r="M11" s="12">
        <f>IF($D$16=验算胜率!$F$5,验算胜率!K11,0)*H11*关卡道具消耗!$D$8/关卡道具消耗!$D$26</f>
        <v>0</v>
      </c>
      <c r="N11" s="12">
        <f>INDEX(关卡奖励!$AH$6:$AH$8,MATCH($D$14,关卡奖励!$W$6:$W$8,0))*H11</f>
        <v>1167</v>
      </c>
      <c r="O11" s="12">
        <f>INDEX(关卡奖励!$AI$9:$AI$11,MATCH($D$14,关卡奖励!$W$9:$W$11,0))*((1/G11)-1)*H11</f>
        <v>0</v>
      </c>
      <c r="P11" s="12">
        <f>I11-N11-O11</f>
        <v>-167</v>
      </c>
      <c r="Q11" s="12">
        <f>1/G11</f>
        <v>1</v>
      </c>
      <c r="R11" s="12">
        <f>IFERROR(INDEX(base_v,MATCH($F11,base_k,1)),0)*离线奖励!$C$12</f>
        <v>6000</v>
      </c>
      <c r="S11" s="12">
        <f>IFERROR(INDEX(关卡进度奖励!$I$7:$I$15,MATCH(F11,关卡进度奖励!$D$7:$D$15,0)),0)</f>
        <v>0</v>
      </c>
      <c r="T11" s="12">
        <f>AVERAGE(签到!$E$7:$E$13)*$H11</f>
        <v>4131.0476190476193</v>
      </c>
      <c r="U11" s="12">
        <f>转盘!$C$26*H11*V11/$D$13</f>
        <v>0</v>
      </c>
      <c r="V11" s="12">
        <f t="shared" si="4"/>
        <v>0</v>
      </c>
      <c r="W11" s="12">
        <f>IFERROR(MATCH(INDEX(转盘!$C$17:$F$17,1,MATCH($D$13,转盘!$C$16:$F$16,0))*MAX(F11-转盘!$C$6,0),转盘!$L$9:$L$51,1),0)</f>
        <v>0</v>
      </c>
      <c r="X11" s="12">
        <f>IFERROR(MATCH($F11,gift_k_level,0)^0,0)*进度礼包!$C$17*$H11/$D$13</f>
        <v>0</v>
      </c>
      <c r="Y11" s="12">
        <f>IFERROR(MATCH($F11,turn_k_1,0)^0,0)*转盘!$C$42*$H11/$D$13</f>
        <v>0</v>
      </c>
      <c r="Z11" s="12">
        <f>IFERROR(MATCH($F11,gift_k_level,0)^0,0)*进度礼包!$C$34*$H11/$D$13</f>
        <v>0</v>
      </c>
      <c r="AA11" s="12">
        <f>IFERROR(MATCH($F11,gift_k_time,0)^0,0)*限时礼包!$C$15*$H11/$D$13</f>
        <v>0</v>
      </c>
      <c r="AB11" s="12">
        <f>SUM(H$6:H11)</f>
        <v>6000</v>
      </c>
      <c r="AC11" s="12">
        <f>SUM(N$6:N11)+SUM($M$6:M11)</f>
        <v>7002</v>
      </c>
      <c r="AD11" s="12">
        <f>SUM(O$6:O11)</f>
        <v>0.19725000000000001</v>
      </c>
      <c r="AE11" s="12">
        <f>SUM($P$6:P11)</f>
        <v>-1002.1972499999999</v>
      </c>
      <c r="AF11" s="12">
        <f>SUM(U$6:U11)</f>
        <v>0</v>
      </c>
      <c r="AG11" s="12">
        <f>SUM(S$6:S11)</f>
        <v>0</v>
      </c>
      <c r="AH11" s="12">
        <f>SUM(Y$6:Y11)</f>
        <v>0</v>
      </c>
      <c r="AI11" s="12">
        <f>SUM(X$6:X11)</f>
        <v>0</v>
      </c>
      <c r="AJ11" s="12">
        <f>SUM(Z$6:Z11)</f>
        <v>0</v>
      </c>
      <c r="AK11" s="12">
        <f>SUM(AA$6:AA11)</f>
        <v>0</v>
      </c>
      <c r="AL11" s="12">
        <f>F11</f>
        <v>6</v>
      </c>
      <c r="AM11" s="12">
        <f t="shared" si="2"/>
        <v>17002.197250000001</v>
      </c>
      <c r="AN11" s="12">
        <f>SUM(I$6:I11)</f>
        <v>6000</v>
      </c>
      <c r="AO11" s="8">
        <f>SUM(Q$6:Q11)</f>
        <v>6</v>
      </c>
      <c r="AP11" s="12">
        <f t="shared" si="3"/>
        <v>11002.197250000001</v>
      </c>
      <c r="AS11" s="12">
        <v>5</v>
      </c>
      <c r="AT11" s="12">
        <v>20</v>
      </c>
      <c r="AU11" s="12">
        <f t="shared" si="9"/>
        <v>110</v>
      </c>
      <c r="AV11" s="12">
        <f t="shared" si="10"/>
        <v>24</v>
      </c>
      <c r="AW11" s="12">
        <f>INDEX($AO$6:$AO$215,MATCH(BC11,$F$6:$F$215,0))</f>
        <v>110</v>
      </c>
      <c r="AX11" s="12">
        <f t="shared" si="11"/>
        <v>160155.50338207549</v>
      </c>
      <c r="AY11" s="12">
        <f t="shared" si="5"/>
        <v>6450</v>
      </c>
      <c r="AZ11" s="12">
        <f t="shared" si="6"/>
        <v>7435.8857142857141</v>
      </c>
      <c r="BA11" s="12">
        <f>AX11+SUM($AY$6:AY11)+SUM($AZ$6:AZ11)</f>
        <v>218770.41766778979</v>
      </c>
      <c r="BB11" s="12">
        <f t="shared" si="12"/>
        <v>166600</v>
      </c>
      <c r="BC11" s="12">
        <f t="shared" si="13"/>
        <v>57</v>
      </c>
      <c r="BD11" s="12">
        <f t="shared" si="14"/>
        <v>9</v>
      </c>
      <c r="BE11" s="12">
        <f t="shared" si="15"/>
        <v>49</v>
      </c>
      <c r="BF11" s="12">
        <f t="shared" si="8"/>
        <v>52170.417667789792</v>
      </c>
    </row>
    <row r="12" spans="2:58" x14ac:dyDescent="0.35">
      <c r="F12" s="12">
        <v>7</v>
      </c>
      <c r="G12" s="8">
        <f>INDEX(验算胜率!$E$6:$I$1005,F12,MATCH($D$16,验算胜率!$E$5:$I$5,0))</f>
        <v>1</v>
      </c>
      <c r="H12" s="12">
        <f t="shared" si="0"/>
        <v>1000</v>
      </c>
      <c r="I12" s="12">
        <f t="shared" si="1"/>
        <v>1000</v>
      </c>
      <c r="J12" s="12">
        <v>1</v>
      </c>
      <c r="K12" s="12">
        <v>0</v>
      </c>
      <c r="L12" s="12">
        <f>MATCH(F12,关卡道具消耗!$AA$6:$AA$83,1)-2+INDEX(关卡道具消耗!$C$16:$E$16,1,MATCH(J12,关卡道具消耗!$C$17:$E$17,0))-1</f>
        <v>1</v>
      </c>
      <c r="M12" s="12">
        <f>IF($D$16=验算胜率!$F$5,验算胜率!K12,0)*H12*关卡道具消耗!$D$8/关卡道具消耗!$D$26</f>
        <v>0</v>
      </c>
      <c r="N12" s="12">
        <f>INDEX(关卡奖励!$AH$6:$AH$8,MATCH($D$14,关卡奖励!$W$6:$W$8,0))*H12</f>
        <v>1167</v>
      </c>
      <c r="O12" s="12">
        <f>INDEX(关卡奖励!$AI$9:$AI$11,MATCH($D$14,关卡奖励!$W$9:$W$11,0))*((1/G12)-1)*H12</f>
        <v>0</v>
      </c>
      <c r="P12" s="12">
        <f>I12-N12-O12</f>
        <v>-167</v>
      </c>
      <c r="Q12" s="12">
        <f>1/G12</f>
        <v>1</v>
      </c>
      <c r="R12" s="12">
        <f>IFERROR(INDEX(base_v,MATCH($F12,base_k,1)),0)*离线奖励!$C$12</f>
        <v>6000</v>
      </c>
      <c r="S12" s="12">
        <f>IFERROR(INDEX(关卡进度奖励!$I$7:$I$15,MATCH(F12,关卡进度奖励!$D$7:$D$15,0)),0)</f>
        <v>0</v>
      </c>
      <c r="T12" s="12">
        <f>AVERAGE(签到!$E$7:$E$13)*$H12</f>
        <v>4131.0476190476193</v>
      </c>
      <c r="U12" s="12">
        <f>转盘!$C$26*H12*V12/$D$13</f>
        <v>0</v>
      </c>
      <c r="V12" s="12">
        <f t="shared" si="4"/>
        <v>0</v>
      </c>
      <c r="W12" s="12">
        <f>IFERROR(MATCH(INDEX(转盘!$C$17:$F$17,1,MATCH($D$13,转盘!$C$16:$F$16,0))*MAX(F12-转盘!$C$6,0),转盘!$L$9:$L$51,1),0)</f>
        <v>0</v>
      </c>
      <c r="X12" s="12">
        <f>IFERROR(MATCH($F12,gift_k_level,0)^0,0)*进度礼包!$C$17*$H12/$D$13</f>
        <v>0</v>
      </c>
      <c r="Y12" s="12">
        <f>IFERROR(MATCH($F12,turn_k_1,0)^0,0)*转盘!$C$42*$H12/$D$13</f>
        <v>0</v>
      </c>
      <c r="Z12" s="12">
        <f>IFERROR(MATCH($F12,gift_k_level,0)^0,0)*进度礼包!$C$34*$H12/$D$13</f>
        <v>0</v>
      </c>
      <c r="AA12" s="12">
        <f>IFERROR(MATCH($F12,gift_k_time,0)^0,0)*限时礼包!$C$15*$H12/$D$13</f>
        <v>0</v>
      </c>
      <c r="AB12" s="12">
        <f>SUM(H$6:H12)</f>
        <v>7000</v>
      </c>
      <c r="AC12" s="12">
        <f>SUM(N$6:N12)+SUM($M$6:M12)</f>
        <v>8169</v>
      </c>
      <c r="AD12" s="12">
        <f>SUM(O$6:O12)</f>
        <v>0.19725000000000001</v>
      </c>
      <c r="AE12" s="12">
        <f>SUM($P$6:P12)</f>
        <v>-1169.1972499999999</v>
      </c>
      <c r="AF12" s="12">
        <f>SUM(U$6:U12)</f>
        <v>0</v>
      </c>
      <c r="AG12" s="12">
        <f>SUM(S$6:S12)</f>
        <v>0</v>
      </c>
      <c r="AH12" s="12">
        <f>SUM(Y$6:Y12)</f>
        <v>0</v>
      </c>
      <c r="AI12" s="12">
        <f>SUM(X$6:X12)</f>
        <v>0</v>
      </c>
      <c r="AJ12" s="12">
        <f>SUM(Z$6:Z12)</f>
        <v>0</v>
      </c>
      <c r="AK12" s="12">
        <f>SUM(AA$6:AA12)</f>
        <v>0</v>
      </c>
      <c r="AL12" s="12">
        <f>F12</f>
        <v>7</v>
      </c>
      <c r="AM12" s="12">
        <f t="shared" si="2"/>
        <v>18169.197250000001</v>
      </c>
      <c r="AN12" s="12">
        <f>SUM(I$6:I12)</f>
        <v>7000</v>
      </c>
      <c r="AO12" s="8">
        <f>SUM(Q$6:Q12)</f>
        <v>7</v>
      </c>
      <c r="AP12" s="12">
        <f t="shared" si="3"/>
        <v>11169.197250000001</v>
      </c>
      <c r="AS12" s="12">
        <v>6</v>
      </c>
      <c r="AT12" s="12">
        <v>20</v>
      </c>
      <c r="AU12" s="12">
        <f t="shared" si="9"/>
        <v>130</v>
      </c>
      <c r="AV12" s="12">
        <f t="shared" si="10"/>
        <v>20</v>
      </c>
      <c r="AW12" s="12">
        <f>INDEX($AO$6:$AO$215,MATCH(BC12,$F$6:$F$215,0))</f>
        <v>130</v>
      </c>
      <c r="AX12" s="12">
        <f t="shared" si="11"/>
        <v>193292.00338207546</v>
      </c>
      <c r="AY12" s="12">
        <f t="shared" si="5"/>
        <v>6450</v>
      </c>
      <c r="AZ12" s="12">
        <f t="shared" si="6"/>
        <v>7435.8857142857141</v>
      </c>
      <c r="BA12" s="12">
        <f>AX12+SUM($AY$6:AY12)+SUM($AZ$6:AZ12)</f>
        <v>265792.80338207545</v>
      </c>
      <c r="BB12" s="12">
        <f t="shared" si="12"/>
        <v>206600</v>
      </c>
      <c r="BC12" s="12">
        <f t="shared" si="13"/>
        <v>64</v>
      </c>
      <c r="BD12" s="12">
        <f t="shared" si="14"/>
        <v>7</v>
      </c>
      <c r="BE12" s="12">
        <f t="shared" si="15"/>
        <v>58</v>
      </c>
      <c r="BF12" s="12">
        <f t="shared" si="8"/>
        <v>59192.80338207545</v>
      </c>
    </row>
    <row r="13" spans="2:58" x14ac:dyDescent="0.35">
      <c r="C13" s="12" t="s">
        <v>208</v>
      </c>
      <c r="D13" s="12">
        <v>1</v>
      </c>
      <c r="F13" s="12">
        <v>8</v>
      </c>
      <c r="G13" s="8">
        <f>INDEX(验算胜率!$E$6:$I$1005,F13,MATCH($D$16,验算胜率!$E$5:$I$5,0))</f>
        <v>1</v>
      </c>
      <c r="H13" s="12">
        <f t="shared" si="0"/>
        <v>1000</v>
      </c>
      <c r="I13" s="12">
        <f t="shared" si="1"/>
        <v>1000</v>
      </c>
      <c r="J13" s="12">
        <v>1</v>
      </c>
      <c r="K13" s="12">
        <v>0</v>
      </c>
      <c r="L13" s="12">
        <f>MATCH(F13,关卡道具消耗!$AA$6:$AA$83,1)-2+INDEX(关卡道具消耗!$C$16:$E$16,1,MATCH(J13,关卡道具消耗!$C$17:$E$17,0))-1</f>
        <v>1</v>
      </c>
      <c r="M13" s="12">
        <f>IF($D$16=验算胜率!$F$5,验算胜率!K13,0)*H13*关卡道具消耗!$D$8/关卡道具消耗!$D$26</f>
        <v>0</v>
      </c>
      <c r="N13" s="12">
        <f>INDEX(关卡奖励!$AH$6:$AH$8,MATCH($D$14,关卡奖励!$W$6:$W$8,0))*H13</f>
        <v>1167</v>
      </c>
      <c r="O13" s="12">
        <f>INDEX(关卡奖励!$AI$9:$AI$11,MATCH($D$14,关卡奖励!$W$9:$W$11,0))*((1/G13)-1)*H13</f>
        <v>0</v>
      </c>
      <c r="P13" s="12">
        <f>I13-N13-O13</f>
        <v>-167</v>
      </c>
      <c r="Q13" s="12">
        <f>1/G13</f>
        <v>1</v>
      </c>
      <c r="R13" s="12">
        <f>IFERROR(INDEX(base_v,MATCH($F13,base_k,1)),0)*离线奖励!$C$12</f>
        <v>6000</v>
      </c>
      <c r="S13" s="12">
        <f>IFERROR(INDEX(关卡进度奖励!$I$7:$I$15,MATCH(F13,关卡进度奖励!$D$7:$D$15,0)),0)</f>
        <v>0</v>
      </c>
      <c r="T13" s="12">
        <f>AVERAGE(签到!$E$7:$E$13)*$H13</f>
        <v>4131.0476190476193</v>
      </c>
      <c r="U13" s="12">
        <f>转盘!$C$26*H13*V13/$D$13</f>
        <v>0</v>
      </c>
      <c r="V13" s="12">
        <f t="shared" si="4"/>
        <v>0</v>
      </c>
      <c r="W13" s="12">
        <f>IFERROR(MATCH(INDEX(转盘!$C$17:$F$17,1,MATCH($D$13,转盘!$C$16:$F$16,0))*MAX(F13-转盘!$C$6,0),转盘!$L$9:$L$51,1),0)</f>
        <v>0</v>
      </c>
      <c r="X13" s="12">
        <f>IFERROR(MATCH($F13,gift_k_level,0)^0,0)*进度礼包!$C$17*$H13/$D$13</f>
        <v>0</v>
      </c>
      <c r="Y13" s="12">
        <f>IFERROR(MATCH($F13,turn_k_1,0)^0,0)*转盘!$C$42*$H13/$D$13</f>
        <v>0</v>
      </c>
      <c r="Z13" s="12">
        <f>IFERROR(MATCH($F13,gift_k_level,0)^0,0)*进度礼包!$C$34*$H13/$D$13</f>
        <v>0</v>
      </c>
      <c r="AA13" s="12">
        <f>IFERROR(MATCH($F13,gift_k_time,0)^0,0)*限时礼包!$C$15*$H13/$D$13</f>
        <v>0</v>
      </c>
      <c r="AB13" s="12">
        <f>SUM(H$6:H13)</f>
        <v>8000</v>
      </c>
      <c r="AC13" s="12">
        <f>SUM(N$6:N13)+SUM($M$6:M13)</f>
        <v>9336</v>
      </c>
      <c r="AD13" s="12">
        <f>SUM(O$6:O13)</f>
        <v>0.19725000000000001</v>
      </c>
      <c r="AE13" s="12">
        <f>SUM($P$6:P13)</f>
        <v>-1336.1972499999999</v>
      </c>
      <c r="AF13" s="12">
        <f>SUM(U$6:U13)</f>
        <v>0</v>
      </c>
      <c r="AG13" s="12">
        <f>SUM(S$6:S13)</f>
        <v>0</v>
      </c>
      <c r="AH13" s="12">
        <f>SUM(Y$6:Y13)</f>
        <v>0</v>
      </c>
      <c r="AI13" s="12">
        <f>SUM(X$6:X13)</f>
        <v>0</v>
      </c>
      <c r="AJ13" s="12">
        <f>SUM(Z$6:Z13)</f>
        <v>0</v>
      </c>
      <c r="AK13" s="12">
        <f>SUM(AA$6:AA13)</f>
        <v>0</v>
      </c>
      <c r="AL13" s="12">
        <f>F13</f>
        <v>8</v>
      </c>
      <c r="AM13" s="12">
        <f t="shared" si="2"/>
        <v>19336.197249999997</v>
      </c>
      <c r="AN13" s="12">
        <f>SUM(I$6:I13)</f>
        <v>8000</v>
      </c>
      <c r="AO13" s="8">
        <f>SUM(Q$6:Q13)</f>
        <v>8</v>
      </c>
      <c r="AP13" s="12">
        <f t="shared" si="3"/>
        <v>11336.197249999997</v>
      </c>
      <c r="AS13" s="12">
        <v>7</v>
      </c>
      <c r="AT13" s="12">
        <v>20</v>
      </c>
      <c r="AU13" s="12">
        <f t="shared" si="9"/>
        <v>150</v>
      </c>
      <c r="AV13" s="12">
        <f t="shared" si="10"/>
        <v>19</v>
      </c>
      <c r="AW13" s="12">
        <f>INDEX($AO$6:$AO$215,MATCH(BC13,$F$6:$F$215,0))</f>
        <v>149</v>
      </c>
      <c r="AX13" s="12">
        <f t="shared" si="11"/>
        <v>239737.11816369926</v>
      </c>
      <c r="AY13" s="12">
        <f t="shared" si="5"/>
        <v>6450</v>
      </c>
      <c r="AZ13" s="12">
        <f t="shared" si="6"/>
        <v>8262.0952380952385</v>
      </c>
      <c r="BA13" s="12">
        <f>AX13+SUM($AY$6:AY13)+SUM($AZ$6:AZ13)</f>
        <v>326950.01340179454</v>
      </c>
      <c r="BB13" s="12">
        <f t="shared" si="12"/>
        <v>244600</v>
      </c>
      <c r="BC13" s="12">
        <f t="shared" si="13"/>
        <v>72</v>
      </c>
      <c r="BD13" s="12">
        <f t="shared" si="14"/>
        <v>8</v>
      </c>
      <c r="BE13" s="12">
        <f t="shared" si="15"/>
        <v>65</v>
      </c>
      <c r="BF13" s="12">
        <f t="shared" si="8"/>
        <v>82350.013401794538</v>
      </c>
    </row>
    <row r="14" spans="2:58" x14ac:dyDescent="0.35">
      <c r="C14" s="12" t="s">
        <v>217</v>
      </c>
      <c r="D14" s="12" t="s">
        <v>218</v>
      </c>
      <c r="F14" s="12">
        <v>9</v>
      </c>
      <c r="G14" s="8">
        <f>INDEX(验算胜率!$E$6:$I$1005,F14,MATCH($D$16,验算胜率!$E$5:$I$5,0))</f>
        <v>1</v>
      </c>
      <c r="H14" s="12">
        <f t="shared" si="0"/>
        <v>1000</v>
      </c>
      <c r="I14" s="12">
        <f t="shared" si="1"/>
        <v>1000</v>
      </c>
      <c r="J14" s="12">
        <v>1</v>
      </c>
      <c r="K14" s="12">
        <v>1</v>
      </c>
      <c r="L14" s="12">
        <f>MATCH(F14,关卡道具消耗!$AA$6:$AA$83,1)-2+INDEX(关卡道具消耗!$C$16:$E$16,1,MATCH(J14,关卡道具消耗!$C$17:$E$17,0))-1</f>
        <v>1</v>
      </c>
      <c r="M14" s="12">
        <f>IF($D$16=验算胜率!$F$5,验算胜率!K14,0)*H14*关卡道具消耗!$D$8/关卡道具消耗!$D$26</f>
        <v>0</v>
      </c>
      <c r="N14" s="12">
        <f>INDEX(关卡奖励!$AH$6:$AH$8,MATCH($D$14,关卡奖励!$W$6:$W$8,0))*H14</f>
        <v>1167</v>
      </c>
      <c r="O14" s="12">
        <f>INDEX(关卡奖励!$AI$9:$AI$11,MATCH($D$14,关卡奖励!$W$9:$W$11,0))*((1/G14)-1)*H14</f>
        <v>0</v>
      </c>
      <c r="P14" s="12">
        <f>I14-N14-O14</f>
        <v>-167</v>
      </c>
      <c r="Q14" s="12">
        <f>1/G14</f>
        <v>1</v>
      </c>
      <c r="R14" s="12">
        <f>IFERROR(INDEX(base_v,MATCH($F14,base_k,1)),0)*离线奖励!$C$12</f>
        <v>6000</v>
      </c>
      <c r="S14" s="12">
        <f>IFERROR(INDEX(关卡进度奖励!$I$7:$I$15,MATCH(F14,关卡进度奖励!$D$7:$D$15,0)),0)</f>
        <v>1000</v>
      </c>
      <c r="T14" s="12">
        <f>AVERAGE(签到!$E$7:$E$13)*$H14</f>
        <v>4131.0476190476193</v>
      </c>
      <c r="U14" s="12">
        <f>转盘!$C$26*H14*V14/$D$13</f>
        <v>0</v>
      </c>
      <c r="V14" s="12">
        <f t="shared" si="4"/>
        <v>0</v>
      </c>
      <c r="W14" s="12">
        <f>IFERROR(MATCH(INDEX(转盘!$C$17:$F$17,1,MATCH($D$13,转盘!$C$16:$F$16,0))*MAX(F14-转盘!$C$6,0),转盘!$L$9:$L$51,1),0)</f>
        <v>0</v>
      </c>
      <c r="X14" s="12">
        <f>IFERROR(MATCH($F14,gift_k_level,0)^0,0)*进度礼包!$C$17*$H14/$D$13</f>
        <v>0</v>
      </c>
      <c r="Y14" s="12">
        <f>IFERROR(MATCH($F14,turn_k_1,0)^0,0)*转盘!$C$42*$H14/$D$13</f>
        <v>0</v>
      </c>
      <c r="Z14" s="12">
        <f>IFERROR(MATCH($F14,gift_k_level,0)^0,0)*进度礼包!$C$34*$H14/$D$13</f>
        <v>0</v>
      </c>
      <c r="AA14" s="12">
        <f>IFERROR(MATCH($F14,gift_k_time,0)^0,0)*限时礼包!$C$15*$H14/$D$13</f>
        <v>0</v>
      </c>
      <c r="AB14" s="12">
        <f>SUM(H$6:H14)</f>
        <v>9000</v>
      </c>
      <c r="AC14" s="12">
        <f>SUM(N$6:N14)+SUM($M$6:M14)</f>
        <v>10503</v>
      </c>
      <c r="AD14" s="12">
        <f>SUM(O$6:O14)</f>
        <v>0.19725000000000001</v>
      </c>
      <c r="AE14" s="12">
        <f>SUM($P$6:P14)</f>
        <v>-1503.1972499999999</v>
      </c>
      <c r="AF14" s="12">
        <f>SUM(U$6:U14)</f>
        <v>0</v>
      </c>
      <c r="AG14" s="12">
        <f>SUM(S$6:S14)</f>
        <v>1000</v>
      </c>
      <c r="AH14" s="12">
        <f>SUM(Y$6:Y14)</f>
        <v>0</v>
      </c>
      <c r="AI14" s="12">
        <f>SUM(X$6:X14)</f>
        <v>0</v>
      </c>
      <c r="AJ14" s="12">
        <f>SUM(Z$6:Z14)</f>
        <v>0</v>
      </c>
      <c r="AK14" s="12">
        <f>SUM(AA$6:AA14)</f>
        <v>0</v>
      </c>
      <c r="AL14" s="12">
        <f>F14</f>
        <v>9</v>
      </c>
      <c r="AM14" s="12">
        <f t="shared" si="2"/>
        <v>21503.197249999997</v>
      </c>
      <c r="AN14" s="12">
        <f>SUM(I$6:I14)</f>
        <v>9000</v>
      </c>
      <c r="AO14" s="8">
        <f>SUM(Q$6:Q14)</f>
        <v>9</v>
      </c>
      <c r="AP14" s="12">
        <f t="shared" si="3"/>
        <v>12503.197249999997</v>
      </c>
      <c r="AS14" s="12">
        <v>8</v>
      </c>
      <c r="AT14" s="12">
        <v>20</v>
      </c>
      <c r="AU14" s="12">
        <f t="shared" si="9"/>
        <v>170</v>
      </c>
      <c r="AV14" s="12">
        <f t="shared" si="10"/>
        <v>20</v>
      </c>
      <c r="AW14" s="12">
        <f>INDEX($AO$6:$AO$215,MATCH(BC14,$F$6:$F$215,0))</f>
        <v>169</v>
      </c>
      <c r="AX14" s="12">
        <f t="shared" si="11"/>
        <v>280567.95778634079</v>
      </c>
      <c r="AY14" s="12">
        <f t="shared" si="5"/>
        <v>6600</v>
      </c>
      <c r="AZ14" s="12">
        <f t="shared" si="6"/>
        <v>8262.0952380952385</v>
      </c>
      <c r="BA14" s="12">
        <f>AX14+SUM($AY$6:AY14)+SUM($AZ$6:AZ14)</f>
        <v>382642.94826253125</v>
      </c>
      <c r="BB14" s="12">
        <f t="shared" si="12"/>
        <v>284600</v>
      </c>
      <c r="BC14" s="12">
        <f t="shared" si="13"/>
        <v>79</v>
      </c>
      <c r="BD14" s="12">
        <f t="shared" si="14"/>
        <v>7</v>
      </c>
      <c r="BE14" s="12">
        <f t="shared" si="15"/>
        <v>73</v>
      </c>
      <c r="BF14" s="12">
        <f t="shared" si="8"/>
        <v>98042.948262531252</v>
      </c>
    </row>
    <row r="15" spans="2:58" x14ac:dyDescent="0.35">
      <c r="C15" s="12" t="s">
        <v>392</v>
      </c>
      <c r="D15" s="12" t="s">
        <v>219</v>
      </c>
      <c r="F15" s="12">
        <v>10</v>
      </c>
      <c r="G15" s="8">
        <f>INDEX(验算胜率!$E$6:$I$1005,F15,MATCH($D$16,验算胜率!$E$5:$I$5,0))</f>
        <v>1</v>
      </c>
      <c r="H15" s="12">
        <f t="shared" si="0"/>
        <v>1000</v>
      </c>
      <c r="I15" s="12">
        <f t="shared" si="1"/>
        <v>1000</v>
      </c>
      <c r="J15" s="12">
        <v>1</v>
      </c>
      <c r="K15" s="12">
        <v>0</v>
      </c>
      <c r="L15" s="12">
        <f>MATCH(F15,关卡道具消耗!$AA$6:$AA$83,1)-2+INDEX(关卡道具消耗!$C$16:$E$16,1,MATCH(J15,关卡道具消耗!$C$17:$E$17,0))-1</f>
        <v>1</v>
      </c>
      <c r="M15" s="12">
        <f>IF($D$16=验算胜率!$F$5,验算胜率!K15,0)*H15*关卡道具消耗!$D$8/关卡道具消耗!$D$26</f>
        <v>0</v>
      </c>
      <c r="N15" s="12">
        <f>INDEX(关卡奖励!$AH$6:$AH$8,MATCH($D$14,关卡奖励!$W$6:$W$8,0))*H15</f>
        <v>1167</v>
      </c>
      <c r="O15" s="12">
        <f>INDEX(关卡奖励!$AI$9:$AI$11,MATCH($D$14,关卡奖励!$W$9:$W$11,0))*((1/G15)-1)*H15</f>
        <v>0</v>
      </c>
      <c r="P15" s="12">
        <f>I15-N15-O15</f>
        <v>-167</v>
      </c>
      <c r="Q15" s="12">
        <f>1/G15</f>
        <v>1</v>
      </c>
      <c r="R15" s="12">
        <f>IFERROR(INDEX(base_v,MATCH($F15,base_k,1)),0)*离线奖励!$C$12</f>
        <v>6000</v>
      </c>
      <c r="S15" s="12">
        <f>IFERROR(INDEX(关卡进度奖励!$I$7:$I$15,MATCH(F15,关卡进度奖励!$D$7:$D$15,0)),0)</f>
        <v>0</v>
      </c>
      <c r="T15" s="12">
        <f>AVERAGE(签到!$E$7:$E$13)*$H15</f>
        <v>4131.0476190476193</v>
      </c>
      <c r="U15" s="12">
        <f>转盘!$C$26*H15*V15/$D$13</f>
        <v>0</v>
      </c>
      <c r="V15" s="12">
        <f t="shared" si="4"/>
        <v>0</v>
      </c>
      <c r="W15" s="12">
        <f>IFERROR(MATCH(INDEX(转盘!$C$17:$F$17,1,MATCH($D$13,转盘!$C$16:$F$16,0))*MAX(F15-转盘!$C$6,0),转盘!$L$9:$L$51,1),0)</f>
        <v>0</v>
      </c>
      <c r="X15" s="12">
        <f>IFERROR(MATCH($F15,gift_k_level,0)^0,0)*进度礼包!$C$17*$H15/$D$13</f>
        <v>0</v>
      </c>
      <c r="Y15" s="12">
        <f>IFERROR(MATCH($F15,turn_k_1,0)^0,0)*转盘!$C$42*$H15/$D$13</f>
        <v>0</v>
      </c>
      <c r="Z15" s="12">
        <f>IFERROR(MATCH($F15,gift_k_level,0)^0,0)*进度礼包!$C$34*$H15/$D$13</f>
        <v>0</v>
      </c>
      <c r="AA15" s="12">
        <f>IFERROR(MATCH($F15,gift_k_time,0)^0,0)*限时礼包!$C$15*$H15/$D$13</f>
        <v>0</v>
      </c>
      <c r="AB15" s="12">
        <f>SUM(H$6:H15)</f>
        <v>10000</v>
      </c>
      <c r="AC15" s="12">
        <f>SUM(N$6:N15)+SUM($M$6:M15)</f>
        <v>11670</v>
      </c>
      <c r="AD15" s="12">
        <f>SUM(O$6:O15)</f>
        <v>0.19725000000000001</v>
      </c>
      <c r="AE15" s="12">
        <f>SUM($P$6:P15)</f>
        <v>-1670.1972499999999</v>
      </c>
      <c r="AF15" s="12">
        <f>SUM(U$6:U15)</f>
        <v>0</v>
      </c>
      <c r="AG15" s="12">
        <f>SUM(S$6:S15)</f>
        <v>1000</v>
      </c>
      <c r="AH15" s="12">
        <f>SUM(Y$6:Y15)</f>
        <v>0</v>
      </c>
      <c r="AI15" s="12">
        <f>SUM(X$6:X15)</f>
        <v>0</v>
      </c>
      <c r="AJ15" s="12">
        <f>SUM(Z$6:Z15)</f>
        <v>0</v>
      </c>
      <c r="AK15" s="12">
        <f>SUM(AA$6:AA15)</f>
        <v>0</v>
      </c>
      <c r="AL15" s="12">
        <f>F15</f>
        <v>10</v>
      </c>
      <c r="AM15" s="12">
        <f t="shared" si="2"/>
        <v>22670.197249999997</v>
      </c>
      <c r="AN15" s="12">
        <f>SUM(I$6:I15)</f>
        <v>10000</v>
      </c>
      <c r="AO15" s="8">
        <f>SUM(Q$6:Q15)</f>
        <v>10</v>
      </c>
      <c r="AP15" s="12">
        <f t="shared" si="3"/>
        <v>12670.197249999997</v>
      </c>
      <c r="AS15" s="12">
        <v>9</v>
      </c>
      <c r="AT15" s="12">
        <v>20</v>
      </c>
      <c r="AU15" s="12">
        <f t="shared" si="9"/>
        <v>190</v>
      </c>
      <c r="AV15" s="12">
        <f t="shared" si="10"/>
        <v>21</v>
      </c>
      <c r="AW15" s="12">
        <f>INDEX($AO$6:$AO$215,MATCH(BC15,$F$6:$F$215,0))</f>
        <v>190</v>
      </c>
      <c r="AX15" s="12">
        <f t="shared" si="11"/>
        <v>332075.57256796455</v>
      </c>
      <c r="AY15" s="12">
        <f t="shared" si="5"/>
        <v>6600</v>
      </c>
      <c r="AZ15" s="12">
        <f t="shared" si="6"/>
        <v>8262.0952380952385</v>
      </c>
      <c r="BA15" s="12">
        <f>AX15+SUM($AY$6:AY15)+SUM($AZ$6:AZ15)</f>
        <v>449012.65828225028</v>
      </c>
      <c r="BB15" s="12">
        <f t="shared" si="12"/>
        <v>326600</v>
      </c>
      <c r="BC15" s="12">
        <f t="shared" si="13"/>
        <v>88</v>
      </c>
      <c r="BD15" s="12">
        <f t="shared" si="14"/>
        <v>9</v>
      </c>
      <c r="BE15" s="12">
        <f t="shared" si="15"/>
        <v>80</v>
      </c>
      <c r="BF15" s="12">
        <f t="shared" si="8"/>
        <v>122412.65828225028</v>
      </c>
    </row>
    <row r="16" spans="2:58" x14ac:dyDescent="0.35">
      <c r="C16" s="12" t="s">
        <v>324</v>
      </c>
      <c r="D16" s="12" t="s">
        <v>218</v>
      </c>
      <c r="F16" s="12">
        <v>11</v>
      </c>
      <c r="G16" s="8">
        <f>INDEX(验算胜率!$E$6:$I$1005,F16,MATCH($D$16,验算胜率!$E$5:$I$5,0))</f>
        <v>0.5</v>
      </c>
      <c r="H16" s="12">
        <f t="shared" si="0"/>
        <v>1000</v>
      </c>
      <c r="I16" s="12">
        <f t="shared" si="1"/>
        <v>2000</v>
      </c>
      <c r="J16" s="12">
        <v>1</v>
      </c>
      <c r="K16" s="12">
        <v>0</v>
      </c>
      <c r="L16" s="12">
        <f>MATCH(F16,关卡道具消耗!$AA$6:$AA$83,1)-2+INDEX(关卡道具消耗!$C$16:$E$16,1,MATCH(J16,关卡道具消耗!$C$17:$E$17,0))-1</f>
        <v>1</v>
      </c>
      <c r="M16" s="12">
        <f>IF($D$16=验算胜率!$F$5,验算胜率!K16,0)*H16*关卡道具消耗!$D$8/关卡道具消耗!$D$26</f>
        <v>0</v>
      </c>
      <c r="N16" s="12">
        <f>INDEX(关卡奖励!$AH$6:$AH$8,MATCH($D$14,关卡奖励!$W$6:$W$8,0))*H16</f>
        <v>1167</v>
      </c>
      <c r="O16" s="12">
        <f>INDEX(关卡奖励!$AI$9:$AI$11,MATCH($D$14,关卡奖励!$W$9:$W$11,0))*((1/G16)-1)*H16</f>
        <v>197.25</v>
      </c>
      <c r="P16" s="12">
        <f>I16-N16-O16</f>
        <v>635.75</v>
      </c>
      <c r="Q16" s="12">
        <f>1/G16</f>
        <v>2</v>
      </c>
      <c r="R16" s="12">
        <f>IFERROR(INDEX(base_v,MATCH($F16,base_k,1)),0)*离线奖励!$C$12</f>
        <v>6000</v>
      </c>
      <c r="S16" s="12">
        <f>IFERROR(INDEX(关卡进度奖励!$I$7:$I$15,MATCH(F16,关卡进度奖励!$D$7:$D$15,0)),0)</f>
        <v>0</v>
      </c>
      <c r="T16" s="12">
        <f>AVERAGE(签到!$E$7:$E$13)*$H16</f>
        <v>4131.0476190476193</v>
      </c>
      <c r="U16" s="12">
        <f>转盘!$C$26*H16*V16/$D$13</f>
        <v>0</v>
      </c>
      <c r="V16" s="12">
        <f t="shared" si="4"/>
        <v>0</v>
      </c>
      <c r="W16" s="12">
        <f>IFERROR(MATCH(INDEX(转盘!$C$17:$F$17,1,MATCH($D$13,转盘!$C$16:$F$16,0))*MAX(F16-转盘!$C$6,0),转盘!$L$9:$L$51,1),0)</f>
        <v>0</v>
      </c>
      <c r="X16" s="12">
        <f>IFERROR(MATCH($F16,gift_k_level,0)^0,0)*进度礼包!$C$17*$H16/$D$13</f>
        <v>0</v>
      </c>
      <c r="Y16" s="12">
        <f>IFERROR(MATCH($F16,turn_k_1,0)^0,0)*转盘!$C$42*$H16/$D$13</f>
        <v>0</v>
      </c>
      <c r="Z16" s="12">
        <f>IFERROR(MATCH($F16,gift_k_level,0)^0,0)*进度礼包!$C$34*$H16/$D$13</f>
        <v>0</v>
      </c>
      <c r="AA16" s="12">
        <f>IFERROR(MATCH($F16,gift_k_time,0)^0,0)*限时礼包!$C$15*$H16/$D$13</f>
        <v>0</v>
      </c>
      <c r="AB16" s="12">
        <f>SUM(H$6:H16)</f>
        <v>11000</v>
      </c>
      <c r="AC16" s="12">
        <f>SUM(N$6:N16)+SUM($M$6:M16)</f>
        <v>12837</v>
      </c>
      <c r="AD16" s="12">
        <f>SUM(O$6:O16)</f>
        <v>197.44725</v>
      </c>
      <c r="AE16" s="12">
        <f>SUM($P$6:P16)</f>
        <v>-1034.4472499999999</v>
      </c>
      <c r="AF16" s="12">
        <f>SUM(U$6:U16)</f>
        <v>0</v>
      </c>
      <c r="AG16" s="12">
        <f>SUM(S$6:S16)</f>
        <v>1000</v>
      </c>
      <c r="AH16" s="12">
        <f>SUM(Y$6:Y16)</f>
        <v>0</v>
      </c>
      <c r="AI16" s="12">
        <f>SUM(X$6:X16)</f>
        <v>0</v>
      </c>
      <c r="AJ16" s="12">
        <f>SUM(Z$6:Z16)</f>
        <v>0</v>
      </c>
      <c r="AK16" s="12">
        <f>SUM(AA$6:AA16)</f>
        <v>0</v>
      </c>
      <c r="AL16" s="12">
        <f>F16</f>
        <v>11</v>
      </c>
      <c r="AM16" s="12">
        <f t="shared" si="2"/>
        <v>24034.447249999997</v>
      </c>
      <c r="AN16" s="12">
        <f>SUM(I$6:I16)</f>
        <v>12000</v>
      </c>
      <c r="AO16" s="8">
        <f>SUM(Q$6:Q16)</f>
        <v>12</v>
      </c>
      <c r="AP16" s="12">
        <f t="shared" si="3"/>
        <v>12034.447249999997</v>
      </c>
      <c r="AS16" s="12">
        <v>10</v>
      </c>
      <c r="AT16" s="12">
        <v>20</v>
      </c>
      <c r="AU16" s="12">
        <f t="shared" si="9"/>
        <v>210</v>
      </c>
      <c r="AV16" s="12">
        <f t="shared" si="10"/>
        <v>20</v>
      </c>
      <c r="AW16" s="12">
        <f>INDEX($AO$6:$AO$215,MATCH(BC16,$F$6:$F$215,0))</f>
        <v>210</v>
      </c>
      <c r="AX16" s="12">
        <f t="shared" si="11"/>
        <v>365212.07256796455</v>
      </c>
      <c r="AY16" s="12">
        <f t="shared" si="5"/>
        <v>6750</v>
      </c>
      <c r="AZ16" s="12">
        <f t="shared" si="6"/>
        <v>8262.0952380952385</v>
      </c>
      <c r="BA16" s="12">
        <f>AX16+SUM($AY$6:AY16)+SUM($AZ$6:AZ16)</f>
        <v>497161.25352034549</v>
      </c>
      <c r="BB16" s="12">
        <f t="shared" si="12"/>
        <v>366600</v>
      </c>
      <c r="BC16" s="12">
        <f t="shared" si="13"/>
        <v>95</v>
      </c>
      <c r="BD16" s="12">
        <f t="shared" si="14"/>
        <v>7</v>
      </c>
      <c r="BE16" s="12">
        <f t="shared" si="15"/>
        <v>89</v>
      </c>
      <c r="BF16" s="12">
        <f t="shared" si="8"/>
        <v>130561.25352034549</v>
      </c>
    </row>
    <row r="17" spans="4:58" x14ac:dyDescent="0.35">
      <c r="F17" s="12">
        <v>12</v>
      </c>
      <c r="G17" s="8">
        <f>INDEX(验算胜率!$E$6:$I$1005,F17,MATCH($D$16,验算胜率!$E$5:$I$5,0))</f>
        <v>0.5</v>
      </c>
      <c r="H17" s="12">
        <f t="shared" si="0"/>
        <v>1000</v>
      </c>
      <c r="I17" s="12">
        <f t="shared" si="1"/>
        <v>2000</v>
      </c>
      <c r="J17" s="12">
        <v>1</v>
      </c>
      <c r="K17" s="12">
        <v>1</v>
      </c>
      <c r="L17" s="12">
        <f>MATCH(F17,关卡道具消耗!$AA$6:$AA$83,1)-2+INDEX(关卡道具消耗!$C$16:$E$16,1,MATCH(J17,关卡道具消耗!$C$17:$E$17,0))-1</f>
        <v>1</v>
      </c>
      <c r="M17" s="12">
        <f>IF($D$16=验算胜率!$F$5,验算胜率!K17,0)*H17*关卡道具消耗!$D$8/关卡道具消耗!$D$26</f>
        <v>0</v>
      </c>
      <c r="N17" s="12">
        <f>INDEX(关卡奖励!$AH$6:$AH$8,MATCH($D$14,关卡奖励!$W$6:$W$8,0))*H17</f>
        <v>1167</v>
      </c>
      <c r="O17" s="12">
        <f>INDEX(关卡奖励!$AI$9:$AI$11,MATCH($D$14,关卡奖励!$W$9:$W$11,0))*((1/G17)-1)*H17</f>
        <v>197.25</v>
      </c>
      <c r="P17" s="12">
        <f>I17-N17-O17</f>
        <v>635.75</v>
      </c>
      <c r="Q17" s="12">
        <f>1/G17</f>
        <v>2</v>
      </c>
      <c r="R17" s="12">
        <f>IFERROR(INDEX(base_v,MATCH($F17,base_k,1)),0)*离线奖励!$C$12</f>
        <v>6150</v>
      </c>
      <c r="S17" s="12">
        <f>IFERROR(INDEX(关卡进度奖励!$I$7:$I$15,MATCH(F17,关卡进度奖励!$D$7:$D$15,0)),0)</f>
        <v>0</v>
      </c>
      <c r="T17" s="12">
        <f>AVERAGE(签到!$E$7:$E$13)*$H17</f>
        <v>4131.0476190476193</v>
      </c>
      <c r="U17" s="12">
        <f>转盘!$C$26*H17*V17/$D$13</f>
        <v>0</v>
      </c>
      <c r="V17" s="12">
        <f t="shared" si="4"/>
        <v>0</v>
      </c>
      <c r="W17" s="12">
        <f>IFERROR(MATCH(INDEX(转盘!$C$17:$F$17,1,MATCH($D$13,转盘!$C$16:$F$16,0))*MAX(F17-转盘!$C$6,0),转盘!$L$9:$L$51,1),0)</f>
        <v>0</v>
      </c>
      <c r="X17" s="12">
        <f>IFERROR(MATCH($F17,gift_k_level,0)^0,0)*进度礼包!$C$17*$H17/$D$13</f>
        <v>0</v>
      </c>
      <c r="Y17" s="12">
        <f>IFERROR(MATCH($F17,turn_k_1,0)^0,0)*转盘!$C$42*$H17/$D$13</f>
        <v>0</v>
      </c>
      <c r="Z17" s="12">
        <f>IFERROR(MATCH($F17,gift_k_level,0)^0,0)*进度礼包!$C$34*$H17/$D$13</f>
        <v>0</v>
      </c>
      <c r="AA17" s="12">
        <f>IFERROR(MATCH($F17,gift_k_time,0)^0,0)*限时礼包!$C$15*$H17/$D$13</f>
        <v>0</v>
      </c>
      <c r="AB17" s="12">
        <f>SUM(H$6:H17)</f>
        <v>12000</v>
      </c>
      <c r="AC17" s="12">
        <f>SUM(N$6:N17)+SUM($M$6:M17)</f>
        <v>14004</v>
      </c>
      <c r="AD17" s="12">
        <f>SUM(O$6:O17)</f>
        <v>394.69725</v>
      </c>
      <c r="AE17" s="12">
        <f>SUM($P$6:P17)</f>
        <v>-398.69724999999994</v>
      </c>
      <c r="AF17" s="12">
        <f>SUM(U$6:U17)</f>
        <v>0</v>
      </c>
      <c r="AG17" s="12">
        <f>SUM(S$6:S17)</f>
        <v>1000</v>
      </c>
      <c r="AH17" s="12">
        <f>SUM(Y$6:Y17)</f>
        <v>0</v>
      </c>
      <c r="AI17" s="12">
        <f>SUM(X$6:X17)</f>
        <v>0</v>
      </c>
      <c r="AJ17" s="12">
        <f>SUM(Z$6:Z17)</f>
        <v>0</v>
      </c>
      <c r="AK17" s="12">
        <f>SUM(AA$6:AA17)</f>
        <v>0</v>
      </c>
      <c r="AL17" s="12">
        <f>F17</f>
        <v>12</v>
      </c>
      <c r="AM17" s="12">
        <f t="shared" si="2"/>
        <v>25398.697249999997</v>
      </c>
      <c r="AN17" s="12">
        <f>SUM(I$6:I17)</f>
        <v>14000</v>
      </c>
      <c r="AO17" s="8">
        <f>SUM(Q$6:Q17)</f>
        <v>14</v>
      </c>
      <c r="AP17" s="12">
        <f t="shared" si="3"/>
        <v>11398.697249999997</v>
      </c>
      <c r="AS17" s="12">
        <v>11</v>
      </c>
      <c r="AT17" s="12">
        <v>20</v>
      </c>
      <c r="AU17" s="12">
        <f t="shared" si="9"/>
        <v>230</v>
      </c>
      <c r="AV17" s="12">
        <f t="shared" si="10"/>
        <v>19</v>
      </c>
      <c r="AW17" s="12">
        <f>INDEX($AO$6:$AO$215,MATCH(BC17,$F$6:$F$215,0))</f>
        <v>229</v>
      </c>
      <c r="AX17" s="12">
        <f t="shared" si="11"/>
        <v>416280.912190606</v>
      </c>
      <c r="AY17" s="12">
        <f t="shared" si="5"/>
        <v>6750</v>
      </c>
      <c r="AZ17" s="12">
        <f t="shared" si="6"/>
        <v>8262.0952380952385</v>
      </c>
      <c r="BA17" s="12">
        <f>AX17+SUM($AY$6:AY17)+SUM($AZ$6:AZ17)</f>
        <v>563242.18838108215</v>
      </c>
      <c r="BB17" s="12">
        <f t="shared" si="12"/>
        <v>406200</v>
      </c>
      <c r="BC17" s="12">
        <f t="shared" si="13"/>
        <v>103</v>
      </c>
      <c r="BD17" s="12">
        <f t="shared" si="14"/>
        <v>8</v>
      </c>
      <c r="BE17" s="12">
        <f t="shared" si="15"/>
        <v>96</v>
      </c>
      <c r="BF17" s="12">
        <f t="shared" si="8"/>
        <v>157042.18838108215</v>
      </c>
    </row>
    <row r="18" spans="4:58" x14ac:dyDescent="0.35">
      <c r="F18" s="12">
        <v>13</v>
      </c>
      <c r="G18" s="8">
        <f>INDEX(验算胜率!$E$6:$I$1005,F18,MATCH($D$16,验算胜率!$E$5:$I$5,0))</f>
        <v>0.5</v>
      </c>
      <c r="H18" s="12">
        <f t="shared" si="0"/>
        <v>1000</v>
      </c>
      <c r="I18" s="12">
        <f t="shared" si="1"/>
        <v>2000</v>
      </c>
      <c r="J18" s="12">
        <v>1</v>
      </c>
      <c r="K18" s="12">
        <v>0</v>
      </c>
      <c r="L18" s="12">
        <f>MATCH(F18,关卡道具消耗!$AA$6:$AA$83,1)-2+INDEX(关卡道具消耗!$C$16:$E$16,1,MATCH(J18,关卡道具消耗!$C$17:$E$17,0))-1</f>
        <v>4</v>
      </c>
      <c r="M18" s="12">
        <f>IF($D$16=验算胜率!$F$5,验算胜率!K18,0)*H18*关卡道具消耗!$D$8/关卡道具消耗!$D$26</f>
        <v>0</v>
      </c>
      <c r="N18" s="12">
        <f>INDEX(关卡奖励!$AH$6:$AH$8,MATCH($D$14,关卡奖励!$W$6:$W$8,0))*H18</f>
        <v>1167</v>
      </c>
      <c r="O18" s="12">
        <f>INDEX(关卡奖励!$AI$9:$AI$11,MATCH($D$14,关卡奖励!$W$9:$W$11,0))*((1/G18)-1)*H18</f>
        <v>197.25</v>
      </c>
      <c r="P18" s="12">
        <f>I18-N18-O18</f>
        <v>635.75</v>
      </c>
      <c r="Q18" s="12">
        <f>1/G18</f>
        <v>2</v>
      </c>
      <c r="R18" s="12">
        <f>IFERROR(INDEX(base_v,MATCH($F18,base_k,1)),0)*离线奖励!$C$12</f>
        <v>6150</v>
      </c>
      <c r="S18" s="12">
        <f>IFERROR(INDEX(关卡进度奖励!$I$7:$I$15,MATCH(F18,关卡进度奖励!$D$7:$D$15,0)),0)</f>
        <v>0</v>
      </c>
      <c r="T18" s="12">
        <f>AVERAGE(签到!$E$7:$E$13)*$H18</f>
        <v>4131.0476190476193</v>
      </c>
      <c r="U18" s="12">
        <f>转盘!$C$26*H18*V18/$D$13</f>
        <v>0</v>
      </c>
      <c r="V18" s="12">
        <f t="shared" si="4"/>
        <v>0</v>
      </c>
      <c r="W18" s="12">
        <f>IFERROR(MATCH(INDEX(转盘!$C$17:$F$17,1,MATCH($D$13,转盘!$C$16:$F$16,0))*MAX(F18-转盘!$C$6,0),转盘!$L$9:$L$51,1),0)</f>
        <v>0</v>
      </c>
      <c r="X18" s="12">
        <f>IFERROR(MATCH($F18,gift_k_level,0)^0,0)*进度礼包!$C$17*$H18/$D$13</f>
        <v>0</v>
      </c>
      <c r="Y18" s="12">
        <f>IFERROR(MATCH($F18,turn_k_1,0)^0,0)*转盘!$C$42*$H18/$D$13</f>
        <v>0</v>
      </c>
      <c r="Z18" s="12">
        <f>IFERROR(MATCH($F18,gift_k_level,0)^0,0)*进度礼包!$C$34*$H18/$D$13</f>
        <v>0</v>
      </c>
      <c r="AA18" s="12">
        <f>IFERROR(MATCH($F18,gift_k_time,0)^0,0)*限时礼包!$C$15*$H18/$D$13</f>
        <v>0</v>
      </c>
      <c r="AB18" s="12">
        <f>SUM(H$6:H18)</f>
        <v>13000</v>
      </c>
      <c r="AC18" s="12">
        <f>SUM(N$6:N18)+SUM($M$6:M18)</f>
        <v>15171</v>
      </c>
      <c r="AD18" s="12">
        <f>SUM(O$6:O18)</f>
        <v>591.94724999999994</v>
      </c>
      <c r="AE18" s="12">
        <f>SUM($P$6:P18)</f>
        <v>237.05275000000006</v>
      </c>
      <c r="AF18" s="12">
        <f>SUM(U$6:U18)</f>
        <v>0</v>
      </c>
      <c r="AG18" s="12">
        <f>SUM(S$6:S18)</f>
        <v>1000</v>
      </c>
      <c r="AH18" s="12">
        <f>SUM(Y$6:Y18)</f>
        <v>0</v>
      </c>
      <c r="AI18" s="12">
        <f>SUM(X$6:X18)</f>
        <v>0</v>
      </c>
      <c r="AJ18" s="12">
        <f>SUM(Z$6:Z18)</f>
        <v>0</v>
      </c>
      <c r="AK18" s="12">
        <f>SUM(AA$6:AA18)</f>
        <v>0</v>
      </c>
      <c r="AL18" s="12">
        <f>F18</f>
        <v>13</v>
      </c>
      <c r="AM18" s="12">
        <f t="shared" si="2"/>
        <v>26762.947249999997</v>
      </c>
      <c r="AN18" s="12">
        <f>SUM(I$6:I18)</f>
        <v>16000</v>
      </c>
      <c r="AO18" s="8">
        <f>SUM(Q$6:Q18)</f>
        <v>16</v>
      </c>
      <c r="AP18" s="12">
        <f t="shared" si="3"/>
        <v>10762.947249999997</v>
      </c>
      <c r="AS18" s="12">
        <v>12</v>
      </c>
      <c r="AT18" s="12">
        <v>20</v>
      </c>
      <c r="AU18" s="12">
        <f t="shared" si="9"/>
        <v>250</v>
      </c>
      <c r="AV18" s="12">
        <f t="shared" si="10"/>
        <v>20</v>
      </c>
      <c r="AW18" s="12">
        <f>INDEX($AO$6:$AO$215,MATCH(BC18,$F$6:$F$215,0))</f>
        <v>249</v>
      </c>
      <c r="AX18" s="12">
        <f t="shared" si="11"/>
        <v>460536.23845039221</v>
      </c>
      <c r="AY18" s="12">
        <f t="shared" si="5"/>
        <v>6750</v>
      </c>
      <c r="AZ18" s="12">
        <f t="shared" si="6"/>
        <v>9088.3047619047611</v>
      </c>
      <c r="BA18" s="12">
        <f>AX18+SUM($AY$6:AY18)+SUM($AZ$6:AZ18)</f>
        <v>623335.81940277305</v>
      </c>
      <c r="BB18" s="12">
        <f t="shared" si="12"/>
        <v>450200</v>
      </c>
      <c r="BC18" s="12">
        <f t="shared" si="13"/>
        <v>110</v>
      </c>
      <c r="BD18" s="12">
        <f t="shared" si="14"/>
        <v>7</v>
      </c>
      <c r="BE18" s="12">
        <f t="shared" si="15"/>
        <v>104</v>
      </c>
      <c r="BF18" s="12">
        <f t="shared" si="8"/>
        <v>173135.81940277305</v>
      </c>
    </row>
    <row r="19" spans="4:58" x14ac:dyDescent="0.35">
      <c r="F19" s="12">
        <v>14</v>
      </c>
      <c r="G19" s="8">
        <f>INDEX(验算胜率!$E$6:$I$1005,F19,MATCH($D$16,验算胜率!$E$5:$I$5,0))</f>
        <v>0.5</v>
      </c>
      <c r="H19" s="12">
        <f t="shared" si="0"/>
        <v>1000</v>
      </c>
      <c r="I19" s="12">
        <f t="shared" si="1"/>
        <v>2000</v>
      </c>
      <c r="J19" s="12">
        <v>1</v>
      </c>
      <c r="K19" s="12">
        <v>0</v>
      </c>
      <c r="L19" s="12">
        <f>MATCH(F19,关卡道具消耗!$AA$6:$AA$83,1)-2+INDEX(关卡道具消耗!$C$16:$E$16,1,MATCH(J19,关卡道具消耗!$C$17:$E$17,0))-1</f>
        <v>4</v>
      </c>
      <c r="M19" s="12">
        <f>IF($D$16=验算胜率!$F$5,验算胜率!K19,0)*H19*关卡道具消耗!$D$8/关卡道具消耗!$D$26</f>
        <v>0</v>
      </c>
      <c r="N19" s="12">
        <f>INDEX(关卡奖励!$AH$6:$AH$8,MATCH($D$14,关卡奖励!$W$6:$W$8,0))*H19</f>
        <v>1167</v>
      </c>
      <c r="O19" s="12">
        <f>INDEX(关卡奖励!$AI$9:$AI$11,MATCH($D$14,关卡奖励!$W$9:$W$11,0))*((1/G19)-1)*H19</f>
        <v>197.25</v>
      </c>
      <c r="P19" s="12">
        <f>I19-N19-O19</f>
        <v>635.75</v>
      </c>
      <c r="Q19" s="12">
        <f>1/G19</f>
        <v>2</v>
      </c>
      <c r="R19" s="12">
        <f>IFERROR(INDEX(base_v,MATCH($F19,base_k,1)),0)*离线奖励!$C$12</f>
        <v>6150</v>
      </c>
      <c r="S19" s="12">
        <f>IFERROR(INDEX(关卡进度奖励!$I$7:$I$15,MATCH(F19,关卡进度奖励!$D$7:$D$15,0)),0)</f>
        <v>0</v>
      </c>
      <c r="T19" s="12">
        <f>AVERAGE(签到!$E$7:$E$13)*$H19</f>
        <v>4131.0476190476193</v>
      </c>
      <c r="U19" s="12">
        <f>转盘!$C$26*H19*V19/$D$13</f>
        <v>0</v>
      </c>
      <c r="V19" s="12">
        <f t="shared" si="4"/>
        <v>0</v>
      </c>
      <c r="W19" s="12">
        <f>IFERROR(MATCH(INDEX(转盘!$C$17:$F$17,1,MATCH($D$13,转盘!$C$16:$F$16,0))*MAX(F19-转盘!$C$6,0),转盘!$L$9:$L$51,1),0)</f>
        <v>0</v>
      </c>
      <c r="X19" s="12">
        <f>IFERROR(MATCH($F19,gift_k_level,0)^0,0)*进度礼包!$C$17*$H19/$D$13</f>
        <v>0</v>
      </c>
      <c r="Y19" s="12">
        <f>IFERROR(MATCH($F19,turn_k_1,0)^0,0)*转盘!$C$42*$H19/$D$13</f>
        <v>0</v>
      </c>
      <c r="Z19" s="12">
        <f>IFERROR(MATCH($F19,gift_k_level,0)^0,0)*进度礼包!$C$34*$H19/$D$13</f>
        <v>0</v>
      </c>
      <c r="AA19" s="12">
        <f>IFERROR(MATCH($F19,gift_k_time,0)^0,0)*限时礼包!$C$15*$H19/$D$13</f>
        <v>0</v>
      </c>
      <c r="AB19" s="12">
        <f>SUM(H$6:H19)</f>
        <v>14000</v>
      </c>
      <c r="AC19" s="12">
        <f>SUM(N$6:N19)+SUM($M$6:M19)</f>
        <v>16338</v>
      </c>
      <c r="AD19" s="12">
        <f>SUM(O$6:O19)</f>
        <v>789.19724999999994</v>
      </c>
      <c r="AE19" s="12">
        <f>SUM($P$6:P19)</f>
        <v>872.80275000000006</v>
      </c>
      <c r="AF19" s="12">
        <f>SUM(U$6:U19)</f>
        <v>0</v>
      </c>
      <c r="AG19" s="12">
        <f>SUM(S$6:S19)</f>
        <v>1000</v>
      </c>
      <c r="AH19" s="12">
        <f>SUM(Y$6:Y19)</f>
        <v>0</v>
      </c>
      <c r="AI19" s="12">
        <f>SUM(X$6:X19)</f>
        <v>0</v>
      </c>
      <c r="AJ19" s="12">
        <f>SUM(Z$6:Z19)</f>
        <v>0</v>
      </c>
      <c r="AK19" s="12">
        <f>SUM(AA$6:AA19)</f>
        <v>0</v>
      </c>
      <c r="AL19" s="12">
        <f>F19</f>
        <v>14</v>
      </c>
      <c r="AM19" s="12">
        <f t="shared" si="2"/>
        <v>28127.197250000001</v>
      </c>
      <c r="AN19" s="12">
        <f>SUM(I$6:I19)</f>
        <v>18000</v>
      </c>
      <c r="AO19" s="8">
        <f>SUM(Q$6:Q19)</f>
        <v>18</v>
      </c>
      <c r="AP19" s="12">
        <f t="shared" si="3"/>
        <v>10127.197250000001</v>
      </c>
      <c r="AS19" s="12">
        <v>13</v>
      </c>
      <c r="AT19" s="12">
        <v>20</v>
      </c>
      <c r="AU19" s="12">
        <f t="shared" si="9"/>
        <v>270</v>
      </c>
      <c r="AV19" s="12">
        <f t="shared" si="10"/>
        <v>19</v>
      </c>
      <c r="AW19" s="12">
        <f>INDEX($AO$6:$AO$215,MATCH(BC19,$F$6:$F$215,0))</f>
        <v>268</v>
      </c>
      <c r="AX19" s="12">
        <f t="shared" si="11"/>
        <v>512284.46203529777</v>
      </c>
      <c r="AY19" s="12">
        <f t="shared" si="5"/>
        <v>6900</v>
      </c>
      <c r="AZ19" s="12">
        <f t="shared" si="6"/>
        <v>9088.3047619047611</v>
      </c>
      <c r="BA19" s="12">
        <f>AX19+SUM($AY$6:AY19)+SUM($AZ$6:AZ19)</f>
        <v>691072.34774958342</v>
      </c>
      <c r="BB19" s="12">
        <f t="shared" si="12"/>
        <v>492000</v>
      </c>
      <c r="BC19" s="12">
        <f t="shared" si="13"/>
        <v>118</v>
      </c>
      <c r="BD19" s="12">
        <f t="shared" si="14"/>
        <v>8</v>
      </c>
      <c r="BE19" s="12">
        <f t="shared" si="15"/>
        <v>111</v>
      </c>
      <c r="BF19" s="12">
        <f t="shared" si="8"/>
        <v>199072.34774958342</v>
      </c>
    </row>
    <row r="20" spans="4:58" x14ac:dyDescent="0.35">
      <c r="D20" s="8"/>
      <c r="F20" s="12">
        <v>15</v>
      </c>
      <c r="G20" s="8">
        <f>INDEX(验算胜率!$E$6:$I$1005,F20,MATCH($D$16,验算胜率!$E$5:$I$5,0))</f>
        <v>0.5</v>
      </c>
      <c r="H20" s="12">
        <f t="shared" si="0"/>
        <v>1000</v>
      </c>
      <c r="I20" s="12">
        <f t="shared" si="1"/>
        <v>2000</v>
      </c>
      <c r="J20" s="12">
        <v>1</v>
      </c>
      <c r="K20" s="12">
        <v>2</v>
      </c>
      <c r="L20" s="12">
        <f>MATCH(F20,关卡道具消耗!$AA$6:$AA$83,1)-2+INDEX(关卡道具消耗!$C$16:$E$16,1,MATCH(J20,关卡道具消耗!$C$17:$E$17,0))-1</f>
        <v>4</v>
      </c>
      <c r="M20" s="12">
        <f>IF($D$16=验算胜率!$F$5,验算胜率!K20,0)*H20*关卡道具消耗!$D$8/关卡道具消耗!$D$26</f>
        <v>0</v>
      </c>
      <c r="N20" s="12">
        <f>INDEX(关卡奖励!$AH$6:$AH$8,MATCH($D$14,关卡奖励!$W$6:$W$8,0))*H20</f>
        <v>1167</v>
      </c>
      <c r="O20" s="12">
        <f>INDEX(关卡奖励!$AI$9:$AI$11,MATCH($D$14,关卡奖励!$W$9:$W$11,0))*((1/G20)-1)*H20</f>
        <v>197.25</v>
      </c>
      <c r="P20" s="12">
        <f>I20-N20-O20</f>
        <v>635.75</v>
      </c>
      <c r="Q20" s="12">
        <f>1/G20</f>
        <v>2</v>
      </c>
      <c r="R20" s="12">
        <f>IFERROR(INDEX(base_v,MATCH($F20,base_k,1)),0)*离线奖励!$C$12</f>
        <v>6150</v>
      </c>
      <c r="S20" s="12">
        <f>IFERROR(INDEX(关卡进度奖励!$I$7:$I$15,MATCH(F20,关卡进度奖励!$D$7:$D$15,0)),0)</f>
        <v>0</v>
      </c>
      <c r="T20" s="12">
        <f>AVERAGE(签到!$E$7:$E$13)*$H20</f>
        <v>4131.0476190476193</v>
      </c>
      <c r="U20" s="12">
        <f>转盘!$C$26*H20*V20/$D$13</f>
        <v>0</v>
      </c>
      <c r="V20" s="12">
        <f t="shared" si="4"/>
        <v>0</v>
      </c>
      <c r="W20" s="12">
        <f>IFERROR(MATCH(INDEX(转盘!$C$17:$F$17,1,MATCH($D$13,转盘!$C$16:$F$16,0))*MAX(F20-转盘!$C$6,0),转盘!$L$9:$L$51,1),0)</f>
        <v>0</v>
      </c>
      <c r="X20" s="12">
        <f>IFERROR(MATCH($F20,gift_k_level,0)^0,0)*进度礼包!$C$17*$H20/$D$13</f>
        <v>0</v>
      </c>
      <c r="Y20" s="12">
        <f>IFERROR(MATCH($F20,turn_k_1,0)^0,0)*转盘!$C$42*$H20/$D$13</f>
        <v>0</v>
      </c>
      <c r="Z20" s="12">
        <f>IFERROR(MATCH($F20,gift_k_level,0)^0,0)*进度礼包!$C$34*$H20/$D$13</f>
        <v>0</v>
      </c>
      <c r="AA20" s="12">
        <f>IFERROR(MATCH($F20,gift_k_time,0)^0,0)*限时礼包!$C$15*$H20/$D$13</f>
        <v>0</v>
      </c>
      <c r="AB20" s="12">
        <f>SUM(H$6:H20)</f>
        <v>15000</v>
      </c>
      <c r="AC20" s="12">
        <f>SUM(N$6:N20)+SUM($M$6:M20)</f>
        <v>17505</v>
      </c>
      <c r="AD20" s="12">
        <f>SUM(O$6:O20)</f>
        <v>986.44724999999994</v>
      </c>
      <c r="AE20" s="12">
        <f>SUM($P$6:P20)</f>
        <v>1508.5527500000001</v>
      </c>
      <c r="AF20" s="12">
        <f>SUM(U$6:U20)</f>
        <v>0</v>
      </c>
      <c r="AG20" s="12">
        <f>SUM(S$6:S20)</f>
        <v>1000</v>
      </c>
      <c r="AH20" s="12">
        <f>SUM(Y$6:Y20)</f>
        <v>0</v>
      </c>
      <c r="AI20" s="12">
        <f>SUM(X$6:X20)</f>
        <v>0</v>
      </c>
      <c r="AJ20" s="12">
        <f>SUM(Z$6:Z20)</f>
        <v>0</v>
      </c>
      <c r="AK20" s="12">
        <f>SUM(AA$6:AA20)</f>
        <v>0</v>
      </c>
      <c r="AL20" s="12">
        <f>F20</f>
        <v>15</v>
      </c>
      <c r="AM20" s="12">
        <f t="shared" si="2"/>
        <v>29491.447250000001</v>
      </c>
      <c r="AN20" s="12">
        <f>SUM(I$6:I20)</f>
        <v>20000</v>
      </c>
      <c r="AO20" s="8">
        <f>SUM(Q$6:Q20)</f>
        <v>20</v>
      </c>
      <c r="AP20" s="12">
        <f t="shared" si="3"/>
        <v>9491.4472500000011</v>
      </c>
      <c r="AS20" s="12">
        <v>14</v>
      </c>
      <c r="AT20" s="12">
        <v>20</v>
      </c>
      <c r="AU20" s="12">
        <f t="shared" si="9"/>
        <v>290</v>
      </c>
      <c r="AV20" s="12">
        <f t="shared" si="10"/>
        <v>22</v>
      </c>
      <c r="AW20" s="12">
        <f>INDEX($AO$6:$AO$215,MATCH(BC20,$F$6:$F$215,0))</f>
        <v>290</v>
      </c>
      <c r="AX20" s="12">
        <f t="shared" si="11"/>
        <v>554303.36203529779</v>
      </c>
      <c r="AY20" s="12">
        <f t="shared" si="5"/>
        <v>6900</v>
      </c>
      <c r="AZ20" s="12">
        <f t="shared" si="6"/>
        <v>9088.3047619047611</v>
      </c>
      <c r="BA20" s="12">
        <f>AX20+SUM($AY$6:AY20)+SUM($AZ$6:AZ20)</f>
        <v>749079.5525114882</v>
      </c>
      <c r="BB20" s="12">
        <f t="shared" si="12"/>
        <v>540400</v>
      </c>
      <c r="BC20" s="12">
        <f t="shared" si="13"/>
        <v>126</v>
      </c>
      <c r="BD20" s="12">
        <f t="shared" si="14"/>
        <v>8</v>
      </c>
      <c r="BE20" s="12">
        <f t="shared" si="15"/>
        <v>119</v>
      </c>
      <c r="BF20" s="12">
        <f t="shared" si="8"/>
        <v>208679.5525114882</v>
      </c>
    </row>
    <row r="21" spans="4:58" x14ac:dyDescent="0.35">
      <c r="F21" s="12">
        <v>16</v>
      </c>
      <c r="G21" s="8">
        <f>INDEX(验算胜率!$E$6:$I$1005,F21,MATCH($D$16,验算胜率!$E$5:$I$5,0))</f>
        <v>0.5</v>
      </c>
      <c r="H21" s="12">
        <f t="shared" si="0"/>
        <v>1000</v>
      </c>
      <c r="I21" s="12">
        <f t="shared" si="1"/>
        <v>2000</v>
      </c>
      <c r="J21" s="12">
        <v>1</v>
      </c>
      <c r="K21" s="12">
        <v>2</v>
      </c>
      <c r="L21" s="12">
        <f>MATCH(F21,关卡道具消耗!$AA$6:$AA$83,1)-2+INDEX(关卡道具消耗!$C$16:$E$16,1,MATCH(J21,关卡道具消耗!$C$17:$E$17,0))-1</f>
        <v>4</v>
      </c>
      <c r="M21" s="12">
        <f>IF($D$16=验算胜率!$F$5,验算胜率!K21,0)*H21*关卡道具消耗!$D$8/关卡道具消耗!$D$26</f>
        <v>0</v>
      </c>
      <c r="N21" s="12">
        <f>INDEX(关卡奖励!$AH$6:$AH$8,MATCH($D$14,关卡奖励!$W$6:$W$8,0))*H21</f>
        <v>1167</v>
      </c>
      <c r="O21" s="12">
        <f>INDEX(关卡奖励!$AI$9:$AI$11,MATCH($D$14,关卡奖励!$W$9:$W$11,0))*((1/G21)-1)*H21</f>
        <v>197.25</v>
      </c>
      <c r="P21" s="12">
        <f>I21-N21-O21</f>
        <v>635.75</v>
      </c>
      <c r="Q21" s="12">
        <f>1/G21</f>
        <v>2</v>
      </c>
      <c r="R21" s="12">
        <f>IFERROR(INDEX(base_v,MATCH($F21,base_k,1)),0)*离线奖励!$C$12</f>
        <v>6150</v>
      </c>
      <c r="S21" s="12">
        <f>IFERROR(INDEX(关卡进度奖励!$I$7:$I$15,MATCH(F21,关卡进度奖励!$D$7:$D$15,0)),0)</f>
        <v>0</v>
      </c>
      <c r="T21" s="12">
        <f>AVERAGE(签到!$E$7:$E$13)*$H21</f>
        <v>4131.0476190476193</v>
      </c>
      <c r="U21" s="12">
        <f>转盘!$C$26*H21*V21/$D$13</f>
        <v>0</v>
      </c>
      <c r="V21" s="12">
        <f t="shared" si="4"/>
        <v>0</v>
      </c>
      <c r="W21" s="12">
        <f>IFERROR(MATCH(INDEX(转盘!$C$17:$F$17,1,MATCH($D$13,转盘!$C$16:$F$16,0))*MAX(F21-转盘!$C$6,0),转盘!$L$9:$L$51,1),0)</f>
        <v>0</v>
      </c>
      <c r="X21" s="12">
        <f>IFERROR(MATCH($F21,gift_k_level,0)^0,0)*进度礼包!$C$17*$H21/$D$13</f>
        <v>0</v>
      </c>
      <c r="Y21" s="12">
        <f>IFERROR(MATCH($F21,turn_k_1,0)^0,0)*转盘!$C$42*$H21/$D$13</f>
        <v>0</v>
      </c>
      <c r="Z21" s="12">
        <f>IFERROR(MATCH($F21,gift_k_level,0)^0,0)*进度礼包!$C$34*$H21/$D$13</f>
        <v>0</v>
      </c>
      <c r="AA21" s="12">
        <f>IFERROR(MATCH($F21,gift_k_time,0)^0,0)*限时礼包!$C$15*$H21/$D$13</f>
        <v>0</v>
      </c>
      <c r="AB21" s="12">
        <f>SUM(H$6:H21)</f>
        <v>16000</v>
      </c>
      <c r="AC21" s="12">
        <f>SUM(N$6:N21)+SUM($M$6:M21)</f>
        <v>18672</v>
      </c>
      <c r="AD21" s="12">
        <f>SUM(O$6:O21)</f>
        <v>1183.6972499999999</v>
      </c>
      <c r="AE21" s="12">
        <f>SUM($P$6:P21)</f>
        <v>2144.3027499999998</v>
      </c>
      <c r="AF21" s="12">
        <f>SUM(U$6:U21)</f>
        <v>0</v>
      </c>
      <c r="AG21" s="12">
        <f>SUM(S$6:S21)</f>
        <v>1000</v>
      </c>
      <c r="AH21" s="12">
        <f>SUM(Y$6:Y21)</f>
        <v>0</v>
      </c>
      <c r="AI21" s="12">
        <f>SUM(X$6:X21)</f>
        <v>0</v>
      </c>
      <c r="AJ21" s="12">
        <f>SUM(Z$6:Z21)</f>
        <v>0</v>
      </c>
      <c r="AK21" s="12">
        <f>SUM(AA$6:AA21)</f>
        <v>0</v>
      </c>
      <c r="AL21" s="12">
        <f>F21</f>
        <v>16</v>
      </c>
      <c r="AM21" s="12">
        <f t="shared" si="2"/>
        <v>30855.697250000001</v>
      </c>
      <c r="AN21" s="12">
        <f>SUM(I$6:I21)</f>
        <v>22000</v>
      </c>
      <c r="AO21" s="8">
        <f>SUM(Q$6:Q21)</f>
        <v>22</v>
      </c>
      <c r="AP21" s="12">
        <f t="shared" si="3"/>
        <v>8855.6972500000011</v>
      </c>
      <c r="AS21" s="12">
        <v>15</v>
      </c>
      <c r="AT21" s="12">
        <v>20</v>
      </c>
      <c r="AU21" s="12">
        <f t="shared" si="9"/>
        <v>310</v>
      </c>
      <c r="AV21" s="12">
        <f t="shared" si="10"/>
        <v>17</v>
      </c>
      <c r="AW21" s="12">
        <f>INDEX($AO$6:$AO$215,MATCH(BC21,$F$6:$F$215,0))</f>
        <v>307</v>
      </c>
      <c r="AX21" s="12">
        <f t="shared" si="11"/>
        <v>599824.23829508387</v>
      </c>
      <c r="AY21" s="12">
        <f t="shared" si="5"/>
        <v>6900</v>
      </c>
      <c r="AZ21" s="12">
        <f t="shared" si="6"/>
        <v>9088.3047619047611</v>
      </c>
      <c r="BA21" s="12">
        <f>AX21+SUM($AY$6:AY21)+SUM($AZ$6:AZ21)</f>
        <v>810588.73353317904</v>
      </c>
      <c r="BB21" s="12">
        <f t="shared" si="12"/>
        <v>577800</v>
      </c>
      <c r="BC21" s="12">
        <f t="shared" si="13"/>
        <v>133</v>
      </c>
      <c r="BD21" s="12">
        <f t="shared" si="14"/>
        <v>7</v>
      </c>
      <c r="BE21" s="12">
        <f t="shared" si="15"/>
        <v>127</v>
      </c>
      <c r="BF21" s="12">
        <f t="shared" si="8"/>
        <v>232788.73353317904</v>
      </c>
    </row>
    <row r="22" spans="4:58" x14ac:dyDescent="0.35">
      <c r="F22" s="12">
        <v>17</v>
      </c>
      <c r="G22" s="8">
        <f>INDEX(验算胜率!$E$6:$I$1005,F22,MATCH($D$16,验算胜率!$E$5:$I$5,0))</f>
        <v>0.5</v>
      </c>
      <c r="H22" s="12">
        <f t="shared" si="0"/>
        <v>1000</v>
      </c>
      <c r="I22" s="12">
        <f t="shared" si="1"/>
        <v>2000</v>
      </c>
      <c r="J22" s="12">
        <v>1</v>
      </c>
      <c r="K22" s="12">
        <v>0</v>
      </c>
      <c r="L22" s="12">
        <f>MATCH(F22,关卡道具消耗!$AA$6:$AA$83,1)-2+INDEX(关卡道具消耗!$C$16:$E$16,1,MATCH(J22,关卡道具消耗!$C$17:$E$17,0))-1</f>
        <v>4</v>
      </c>
      <c r="M22" s="12">
        <f>IF($D$16=验算胜率!$F$5,验算胜率!K22,0)*H22*关卡道具消耗!$D$8/关卡道具消耗!$D$26</f>
        <v>0</v>
      </c>
      <c r="N22" s="12">
        <f>INDEX(关卡奖励!$AH$6:$AH$8,MATCH($D$14,关卡奖励!$W$6:$W$8,0))*H22</f>
        <v>1167</v>
      </c>
      <c r="O22" s="12">
        <f>INDEX(关卡奖励!$AI$9:$AI$11,MATCH($D$14,关卡奖励!$W$9:$W$11,0))*((1/G22)-1)*H22</f>
        <v>197.25</v>
      </c>
      <c r="P22" s="12">
        <f>I22-N22-O22</f>
        <v>635.75</v>
      </c>
      <c r="Q22" s="12">
        <f>1/G22</f>
        <v>2</v>
      </c>
      <c r="R22" s="12">
        <f>IFERROR(INDEX(base_v,MATCH($F22,base_k,1)),0)*离线奖励!$C$12</f>
        <v>6150</v>
      </c>
      <c r="S22" s="12">
        <f>IFERROR(INDEX(关卡进度奖励!$I$7:$I$15,MATCH(F22,关卡进度奖励!$D$7:$D$15,0)),0)</f>
        <v>0</v>
      </c>
      <c r="T22" s="12">
        <f>AVERAGE(签到!$E$7:$E$13)*$H22</f>
        <v>4131.0476190476193</v>
      </c>
      <c r="U22" s="12">
        <f>转盘!$C$26*H22*V22/$D$13</f>
        <v>0</v>
      </c>
      <c r="V22" s="12">
        <f t="shared" si="4"/>
        <v>0</v>
      </c>
      <c r="W22" s="12">
        <f>IFERROR(MATCH(INDEX(转盘!$C$17:$F$17,1,MATCH($D$13,转盘!$C$16:$F$16,0))*MAX(F22-转盘!$C$6,0),转盘!$L$9:$L$51,1),0)</f>
        <v>0</v>
      </c>
      <c r="X22" s="12">
        <f>IFERROR(MATCH($F22,gift_k_level,0)^0,0)*进度礼包!$C$17*$H22/$D$13</f>
        <v>0</v>
      </c>
      <c r="Y22" s="12">
        <f>IFERROR(MATCH($F22,turn_k_1,0)^0,0)*转盘!$C$42*$H22/$D$13</f>
        <v>0</v>
      </c>
      <c r="Z22" s="12">
        <f>IFERROR(MATCH($F22,gift_k_level,0)^0,0)*进度礼包!$C$34*$H22/$D$13</f>
        <v>0</v>
      </c>
      <c r="AA22" s="12">
        <f>IFERROR(MATCH($F22,gift_k_time,0)^0,0)*限时礼包!$C$15*$H22/$D$13</f>
        <v>0</v>
      </c>
      <c r="AB22" s="12">
        <f>SUM(H$6:H22)</f>
        <v>17000</v>
      </c>
      <c r="AC22" s="12">
        <f>SUM(N$6:N22)+SUM($M$6:M22)</f>
        <v>19839</v>
      </c>
      <c r="AD22" s="12">
        <f>SUM(O$6:O22)</f>
        <v>1380.9472499999999</v>
      </c>
      <c r="AE22" s="12">
        <f>SUM($P$6:P22)</f>
        <v>2780.0527499999998</v>
      </c>
      <c r="AF22" s="12">
        <f>SUM(U$6:U22)</f>
        <v>0</v>
      </c>
      <c r="AG22" s="12">
        <f>SUM(S$6:S22)</f>
        <v>1000</v>
      </c>
      <c r="AH22" s="12">
        <f>SUM(Y$6:Y22)</f>
        <v>0</v>
      </c>
      <c r="AI22" s="12">
        <f>SUM(X$6:X22)</f>
        <v>0</v>
      </c>
      <c r="AJ22" s="12">
        <f>SUM(Z$6:Z22)</f>
        <v>0</v>
      </c>
      <c r="AK22" s="12">
        <f>SUM(AA$6:AA22)</f>
        <v>0</v>
      </c>
      <c r="AL22" s="12">
        <f>F22</f>
        <v>17</v>
      </c>
      <c r="AM22" s="12">
        <f t="shared" si="2"/>
        <v>32219.947250000001</v>
      </c>
      <c r="AN22" s="12">
        <f>SUM(I$6:I22)</f>
        <v>24000</v>
      </c>
      <c r="AO22" s="8">
        <f>SUM(Q$6:Q22)</f>
        <v>24</v>
      </c>
      <c r="AP22" s="12">
        <f t="shared" si="3"/>
        <v>8219.9472500000011</v>
      </c>
      <c r="AS22" s="12">
        <v>16</v>
      </c>
      <c r="AT22" s="12">
        <v>20</v>
      </c>
      <c r="AU22" s="12">
        <f t="shared" si="9"/>
        <v>330</v>
      </c>
      <c r="AV22" s="12">
        <f t="shared" si="10"/>
        <v>22</v>
      </c>
      <c r="AW22" s="12">
        <f>INDEX($AO$6:$AO$215,MATCH(BC22,$F$6:$F$215,0))</f>
        <v>329</v>
      </c>
      <c r="AX22" s="12">
        <f t="shared" si="11"/>
        <v>650306.91187998943</v>
      </c>
      <c r="AY22" s="12">
        <f t="shared" si="5"/>
        <v>7050</v>
      </c>
      <c r="AZ22" s="12">
        <f t="shared" si="6"/>
        <v>9088.3047619047611</v>
      </c>
      <c r="BA22" s="12">
        <f>AX22+SUM($AY$6:AY22)+SUM($AZ$6:AZ22)</f>
        <v>877209.71187998937</v>
      </c>
      <c r="BB22" s="12">
        <f t="shared" si="12"/>
        <v>626200</v>
      </c>
      <c r="BC22" s="12">
        <f t="shared" si="13"/>
        <v>141</v>
      </c>
      <c r="BD22" s="12">
        <f t="shared" si="14"/>
        <v>8</v>
      </c>
      <c r="BE22" s="12">
        <f t="shared" si="15"/>
        <v>134</v>
      </c>
      <c r="BF22" s="12">
        <f t="shared" si="8"/>
        <v>251009.71187998937</v>
      </c>
    </row>
    <row r="23" spans="4:58" x14ac:dyDescent="0.35">
      <c r="F23" s="12">
        <v>18</v>
      </c>
      <c r="G23" s="8">
        <f>INDEX(验算胜率!$E$6:$I$1005,F23,MATCH($D$16,验算胜率!$E$5:$I$5,0))</f>
        <v>0.5</v>
      </c>
      <c r="H23" s="12">
        <f t="shared" si="0"/>
        <v>1000</v>
      </c>
      <c r="I23" s="12">
        <f t="shared" si="1"/>
        <v>2000</v>
      </c>
      <c r="J23" s="12">
        <v>1</v>
      </c>
      <c r="K23" s="12">
        <v>0</v>
      </c>
      <c r="L23" s="12">
        <f>MATCH(F23,关卡道具消耗!$AA$6:$AA$83,1)-2+INDEX(关卡道具消耗!$C$16:$E$16,1,MATCH(J23,关卡道具消耗!$C$17:$E$17,0))-1</f>
        <v>4</v>
      </c>
      <c r="M23" s="12">
        <f>IF($D$16=验算胜率!$F$5,验算胜率!K23,0)*H23*关卡道具消耗!$D$8/关卡道具消耗!$D$26</f>
        <v>0</v>
      </c>
      <c r="N23" s="12">
        <f>INDEX(关卡奖励!$AH$6:$AH$8,MATCH($D$14,关卡奖励!$W$6:$W$8,0))*H23</f>
        <v>1167</v>
      </c>
      <c r="O23" s="12">
        <f>INDEX(关卡奖励!$AI$9:$AI$11,MATCH($D$14,关卡奖励!$W$9:$W$11,0))*((1/G23)-1)*H23</f>
        <v>197.25</v>
      </c>
      <c r="P23" s="12">
        <f>I23-N23-O23</f>
        <v>635.75</v>
      </c>
      <c r="Q23" s="12">
        <f>1/G23</f>
        <v>2</v>
      </c>
      <c r="R23" s="12">
        <f>IFERROR(INDEX(base_v,MATCH($F23,base_k,1)),0)*离线奖励!$C$12</f>
        <v>6150</v>
      </c>
      <c r="S23" s="12">
        <f>IFERROR(INDEX(关卡进度奖励!$I$7:$I$15,MATCH(F23,关卡进度奖励!$D$7:$D$15,0)),0)</f>
        <v>0</v>
      </c>
      <c r="T23" s="12">
        <f>AVERAGE(签到!$E$7:$E$13)*$H23</f>
        <v>4131.0476190476193</v>
      </c>
      <c r="U23" s="12">
        <f>转盘!$C$26*H23*V23/$D$13</f>
        <v>0</v>
      </c>
      <c r="V23" s="12">
        <f t="shared" si="4"/>
        <v>0</v>
      </c>
      <c r="W23" s="12">
        <f>IFERROR(MATCH(INDEX(转盘!$C$17:$F$17,1,MATCH($D$13,转盘!$C$16:$F$16,0))*MAX(F23-转盘!$C$6,0),转盘!$L$9:$L$51,1),0)</f>
        <v>0</v>
      </c>
      <c r="X23" s="12">
        <f>IFERROR(MATCH($F23,gift_k_level,0)^0,0)*进度礼包!$C$17*$H23/$D$13</f>
        <v>0</v>
      </c>
      <c r="Y23" s="12">
        <f>IFERROR(MATCH($F23,turn_k_1,0)^0,0)*转盘!$C$42*$H23/$D$13</f>
        <v>33317</v>
      </c>
      <c r="Z23" s="12">
        <f>IFERROR(MATCH($F23,gift_k_level,0)^0,0)*进度礼包!$C$34*$H23/$D$13</f>
        <v>0</v>
      </c>
      <c r="AA23" s="12">
        <f>IFERROR(MATCH($F23,gift_k_time,0)^0,0)*限时礼包!$C$15*$H23/$D$13</f>
        <v>0</v>
      </c>
      <c r="AB23" s="12">
        <f>SUM(H$6:H23)</f>
        <v>18000</v>
      </c>
      <c r="AC23" s="12">
        <f>SUM(N$6:N23)+SUM($M$6:M23)</f>
        <v>21006</v>
      </c>
      <c r="AD23" s="12">
        <f>SUM(O$6:O23)</f>
        <v>1578.1972499999999</v>
      </c>
      <c r="AE23" s="12">
        <f>SUM($P$6:P23)</f>
        <v>3415.8027499999998</v>
      </c>
      <c r="AF23" s="12">
        <f>SUM(U$6:U23)</f>
        <v>0</v>
      </c>
      <c r="AG23" s="12">
        <f>SUM(S$6:S23)</f>
        <v>1000</v>
      </c>
      <c r="AH23" s="12">
        <f>SUM(Y$6:Y23)</f>
        <v>33317</v>
      </c>
      <c r="AI23" s="12">
        <f>SUM(X$6:X23)</f>
        <v>0</v>
      </c>
      <c r="AJ23" s="12">
        <f>SUM(Z$6:Z23)</f>
        <v>0</v>
      </c>
      <c r="AK23" s="12">
        <f>SUM(AA$6:AA23)</f>
        <v>0</v>
      </c>
      <c r="AL23" s="12">
        <f>F23</f>
        <v>18</v>
      </c>
      <c r="AM23" s="12">
        <f t="shared" si="2"/>
        <v>33584.197249999997</v>
      </c>
      <c r="AN23" s="12">
        <f>SUM(I$6:I23)</f>
        <v>26000</v>
      </c>
      <c r="AO23" s="8">
        <f>SUM(Q$6:Q23)</f>
        <v>26</v>
      </c>
      <c r="AP23" s="12">
        <f t="shared" si="3"/>
        <v>7584.1972499999974</v>
      </c>
      <c r="AS23" s="12">
        <v>17</v>
      </c>
      <c r="AT23" s="12">
        <v>20</v>
      </c>
      <c r="AU23" s="12">
        <f t="shared" si="9"/>
        <v>350</v>
      </c>
      <c r="AV23" s="12">
        <f t="shared" si="10"/>
        <v>20</v>
      </c>
      <c r="AW23" s="12">
        <f>INDEX($AO$6:$AO$215,MATCH(BC23,$F$6:$F$215,0))</f>
        <v>349</v>
      </c>
      <c r="AX23" s="12">
        <f t="shared" si="11"/>
        <v>716799.58813977556</v>
      </c>
      <c r="AY23" s="12">
        <f t="shared" si="5"/>
        <v>7050</v>
      </c>
      <c r="AZ23" s="12">
        <f t="shared" si="6"/>
        <v>9088.3047619047611</v>
      </c>
      <c r="BA23" s="12">
        <f>AX23+SUM($AY$6:AY23)+SUM($AZ$6:AZ23)</f>
        <v>959840.69290168025</v>
      </c>
      <c r="BB23" s="12">
        <f t="shared" si="12"/>
        <v>670200</v>
      </c>
      <c r="BC23" s="12">
        <f t="shared" si="13"/>
        <v>151</v>
      </c>
      <c r="BD23" s="12">
        <f t="shared" si="14"/>
        <v>10</v>
      </c>
      <c r="BE23" s="12">
        <f t="shared" si="15"/>
        <v>142</v>
      </c>
      <c r="BF23" s="12">
        <f t="shared" si="8"/>
        <v>289640.69290168025</v>
      </c>
    </row>
    <row r="24" spans="4:58" x14ac:dyDescent="0.35">
      <c r="F24" s="12">
        <v>19</v>
      </c>
      <c r="G24" s="8">
        <f>INDEX(验算胜率!$E$6:$I$1005,F24,MATCH($D$16,验算胜率!$E$5:$I$5,0))</f>
        <v>0.5</v>
      </c>
      <c r="H24" s="12">
        <f t="shared" si="0"/>
        <v>1000</v>
      </c>
      <c r="I24" s="12">
        <f t="shared" si="1"/>
        <v>2000</v>
      </c>
      <c r="J24" s="12">
        <v>1</v>
      </c>
      <c r="K24" s="12">
        <v>0</v>
      </c>
      <c r="L24" s="12">
        <f>MATCH(F24,关卡道具消耗!$AA$6:$AA$83,1)-2+INDEX(关卡道具消耗!$C$16:$E$16,1,MATCH(J24,关卡道具消耗!$C$17:$E$17,0))-1</f>
        <v>4</v>
      </c>
      <c r="M24" s="12">
        <f>IF($D$16=验算胜率!$F$5,验算胜率!K24,0)*H24*关卡道具消耗!$D$8/关卡道具消耗!$D$26</f>
        <v>0</v>
      </c>
      <c r="N24" s="12">
        <f>INDEX(关卡奖励!$AH$6:$AH$8,MATCH($D$14,关卡奖励!$W$6:$W$8,0))*H24</f>
        <v>1167</v>
      </c>
      <c r="O24" s="12">
        <f>INDEX(关卡奖励!$AI$9:$AI$11,MATCH($D$14,关卡奖励!$W$9:$W$11,0))*((1/G24)-1)*H24</f>
        <v>197.25</v>
      </c>
      <c r="P24" s="12">
        <f>I24-N24-O24</f>
        <v>635.75</v>
      </c>
      <c r="Q24" s="12">
        <f>1/G24</f>
        <v>2</v>
      </c>
      <c r="R24" s="12">
        <f>IFERROR(INDEX(base_v,MATCH($F24,base_k,1)),0)*离线奖励!$C$12</f>
        <v>6150</v>
      </c>
      <c r="S24" s="12">
        <f>IFERROR(INDEX(关卡进度奖励!$I$7:$I$15,MATCH(F24,关卡进度奖励!$D$7:$D$15,0)),0)</f>
        <v>0</v>
      </c>
      <c r="T24" s="12">
        <f>AVERAGE(签到!$E$7:$E$13)*$H24</f>
        <v>4131.0476190476193</v>
      </c>
      <c r="U24" s="12">
        <f>转盘!$C$26*H24*V24/$D$13</f>
        <v>3847.169811320754</v>
      </c>
      <c r="V24" s="12">
        <f t="shared" si="4"/>
        <v>1</v>
      </c>
      <c r="W24" s="12">
        <f>IFERROR(MATCH(INDEX(转盘!$C$17:$F$17,1,MATCH($D$13,转盘!$C$16:$F$16,0))*MAX(F24-转盘!$C$6,0),转盘!$L$9:$L$51,1),0)</f>
        <v>1</v>
      </c>
      <c r="X24" s="12">
        <f>IFERROR(MATCH($F24,gift_k_level,0)^0,0)*进度礼包!$C$17*$H24/$D$13</f>
        <v>0</v>
      </c>
      <c r="Y24" s="12">
        <f>IFERROR(MATCH($F24,turn_k_1,0)^0,0)*转盘!$C$42*$H24/$D$13</f>
        <v>0</v>
      </c>
      <c r="Z24" s="12">
        <f>IFERROR(MATCH($F24,gift_k_level,0)^0,0)*进度礼包!$C$34*$H24/$D$13</f>
        <v>0</v>
      </c>
      <c r="AA24" s="12">
        <f>IFERROR(MATCH($F24,gift_k_time,0)^0,0)*限时礼包!$C$15*$H24/$D$13</f>
        <v>0</v>
      </c>
      <c r="AB24" s="12">
        <f>SUM(H$6:H24)</f>
        <v>19000</v>
      </c>
      <c r="AC24" s="12">
        <f>SUM(N$6:N24)+SUM($M$6:M24)</f>
        <v>22173</v>
      </c>
      <c r="AD24" s="12">
        <f>SUM(O$6:O24)</f>
        <v>1775.4472499999999</v>
      </c>
      <c r="AE24" s="12">
        <f>SUM($P$6:P24)</f>
        <v>4051.5527499999998</v>
      </c>
      <c r="AF24" s="12">
        <f>SUM(U$6:U24)</f>
        <v>3847.169811320754</v>
      </c>
      <c r="AG24" s="12">
        <f>SUM(S$6:S24)</f>
        <v>1000</v>
      </c>
      <c r="AH24" s="12">
        <f>SUM(Y$6:Y24)</f>
        <v>33317</v>
      </c>
      <c r="AI24" s="12">
        <f>SUM(X$6:X24)</f>
        <v>0</v>
      </c>
      <c r="AJ24" s="12">
        <f>SUM(Z$6:Z24)</f>
        <v>0</v>
      </c>
      <c r="AK24" s="12">
        <f>SUM(AA$6:AA24)</f>
        <v>0</v>
      </c>
      <c r="AL24" s="12">
        <f>F24</f>
        <v>19</v>
      </c>
      <c r="AM24" s="12">
        <f t="shared" si="2"/>
        <v>38795.617061320751</v>
      </c>
      <c r="AN24" s="12">
        <f>SUM(I$6:I24)</f>
        <v>28000</v>
      </c>
      <c r="AO24" s="8">
        <f>SUM(Q$6:Q24)</f>
        <v>28</v>
      </c>
      <c r="AP24" s="12">
        <f t="shared" si="3"/>
        <v>10795.617061320751</v>
      </c>
      <c r="AS24" s="12">
        <v>18</v>
      </c>
      <c r="AT24" s="12">
        <v>20</v>
      </c>
      <c r="AU24" s="12">
        <f t="shared" si="9"/>
        <v>370</v>
      </c>
      <c r="AV24" s="12">
        <f t="shared" si="10"/>
        <v>20</v>
      </c>
      <c r="AW24" s="12">
        <f>INDEX($AO$6:$AO$215,MATCH(BC24,$F$6:$F$215,0))</f>
        <v>369</v>
      </c>
      <c r="AX24" s="12">
        <f t="shared" si="11"/>
        <v>780950.86172468169</v>
      </c>
      <c r="AY24" s="12">
        <f t="shared" si="5"/>
        <v>7200</v>
      </c>
      <c r="AZ24" s="12">
        <f t="shared" si="6"/>
        <v>9088.3047619047611</v>
      </c>
      <c r="BA24" s="12">
        <f>AX24+SUM($AY$6:AY24)+SUM($AZ$6:AZ24)</f>
        <v>1040280.2712484912</v>
      </c>
      <c r="BB24" s="12">
        <f t="shared" si="12"/>
        <v>714200</v>
      </c>
      <c r="BC24" s="12">
        <f t="shared" si="13"/>
        <v>161</v>
      </c>
      <c r="BD24" s="12">
        <f t="shared" si="14"/>
        <v>10</v>
      </c>
      <c r="BE24" s="12">
        <f t="shared" si="15"/>
        <v>152</v>
      </c>
      <c r="BF24" s="12">
        <f t="shared" si="8"/>
        <v>326080.27124849125</v>
      </c>
    </row>
    <row r="25" spans="4:58" x14ac:dyDescent="0.35">
      <c r="F25" s="12">
        <v>20</v>
      </c>
      <c r="G25" s="8">
        <f>INDEX(验算胜率!$E$6:$I$1005,F25,MATCH($D$16,验算胜率!$E$5:$I$5,0))</f>
        <v>0.5</v>
      </c>
      <c r="H25" s="12">
        <f t="shared" si="0"/>
        <v>1500</v>
      </c>
      <c r="I25" s="12">
        <f t="shared" si="1"/>
        <v>3000</v>
      </c>
      <c r="J25" s="12">
        <v>1</v>
      </c>
      <c r="K25" s="12">
        <v>0</v>
      </c>
      <c r="L25" s="12">
        <f>MATCH(F25,关卡道具消耗!$AA$6:$AA$83,1)-2+INDEX(关卡道具消耗!$C$16:$E$16,1,MATCH(J25,关卡道具消耗!$C$17:$E$17,0))-1</f>
        <v>7</v>
      </c>
      <c r="M25" s="12">
        <f>IF($D$16=验算胜率!$F$5,验算胜率!K25,0)*H25*关卡道具消耗!$D$8/关卡道具消耗!$D$26</f>
        <v>0</v>
      </c>
      <c r="N25" s="12">
        <f>INDEX(关卡奖励!$AH$6:$AH$8,MATCH($D$14,关卡奖励!$W$6:$W$8,0))*H25</f>
        <v>1750.5</v>
      </c>
      <c r="O25" s="12">
        <f>INDEX(关卡奖励!$AI$9:$AI$11,MATCH($D$14,关卡奖励!$W$9:$W$11,0))*((1/G25)-1)*H25</f>
        <v>295.875</v>
      </c>
      <c r="P25" s="12">
        <f>I25-N25-O25</f>
        <v>953.625</v>
      </c>
      <c r="Q25" s="12">
        <f>1/G25</f>
        <v>2</v>
      </c>
      <c r="R25" s="12">
        <f>IFERROR(INDEX(base_v,MATCH($F25,base_k,1)),0)*离线奖励!$C$12</f>
        <v>6150</v>
      </c>
      <c r="S25" s="12">
        <f>IFERROR(INDEX(关卡进度奖励!$I$7:$I$15,MATCH(F25,关卡进度奖励!$D$7:$D$15,0)),0)</f>
        <v>0</v>
      </c>
      <c r="T25" s="12">
        <f>AVERAGE(签到!$E$7:$E$13)*$H25</f>
        <v>6196.5714285714284</v>
      </c>
      <c r="U25" s="12">
        <f>转盘!$C$26*H25*V25/$D$13</f>
        <v>0</v>
      </c>
      <c r="V25" s="12">
        <f t="shared" si="4"/>
        <v>0</v>
      </c>
      <c r="W25" s="12">
        <f>IFERROR(MATCH(INDEX(转盘!$C$17:$F$17,1,MATCH($D$13,转盘!$C$16:$F$16,0))*MAX(F25-转盘!$C$6,0),转盘!$L$9:$L$51,1),0)</f>
        <v>1</v>
      </c>
      <c r="X25" s="12">
        <f>IFERROR(MATCH($F25,gift_k_level,0)^0,0)*进度礼包!$C$17*$H25/$D$13</f>
        <v>0</v>
      </c>
      <c r="Y25" s="12">
        <f>IFERROR(MATCH($F25,turn_k_1,0)^0,0)*转盘!$C$42*$H25/$D$13</f>
        <v>0</v>
      </c>
      <c r="Z25" s="12">
        <f>IFERROR(MATCH($F25,gift_k_level,0)^0,0)*进度礼包!$C$34*$H25/$D$13</f>
        <v>0</v>
      </c>
      <c r="AA25" s="12">
        <f>IFERROR(MATCH($F25,gift_k_time,0)^0,0)*限时礼包!$C$15*$H25/$D$13</f>
        <v>0</v>
      </c>
      <c r="AB25" s="12">
        <f>SUM(H$6:H25)</f>
        <v>20500</v>
      </c>
      <c r="AC25" s="12">
        <f>SUM(N$6:N25)+SUM($M$6:M25)</f>
        <v>23923.5</v>
      </c>
      <c r="AD25" s="12">
        <f>SUM(O$6:O25)</f>
        <v>2071.3222500000002</v>
      </c>
      <c r="AE25" s="12">
        <f>SUM($P$6:P25)</f>
        <v>5005.1777499999998</v>
      </c>
      <c r="AF25" s="12">
        <f>SUM(U$6:U25)</f>
        <v>3847.169811320754</v>
      </c>
      <c r="AG25" s="12">
        <f>SUM(S$6:S25)</f>
        <v>1000</v>
      </c>
      <c r="AH25" s="12">
        <f>SUM(Y$6:Y25)</f>
        <v>33317</v>
      </c>
      <c r="AI25" s="12">
        <f>SUM(X$6:X25)</f>
        <v>0</v>
      </c>
      <c r="AJ25" s="12">
        <f>SUM(Z$6:Z25)</f>
        <v>0</v>
      </c>
      <c r="AK25" s="12">
        <f>SUM(AA$6:AA25)</f>
        <v>0</v>
      </c>
      <c r="AL25" s="12">
        <f>F25</f>
        <v>20</v>
      </c>
      <c r="AM25" s="12">
        <f t="shared" si="2"/>
        <v>40841.992061320751</v>
      </c>
      <c r="AN25" s="12">
        <f>SUM(I$6:I25)</f>
        <v>31000</v>
      </c>
      <c r="AO25" s="8">
        <f>SUM(Q$6:Q25)</f>
        <v>30</v>
      </c>
      <c r="AP25" s="12">
        <f t="shared" si="3"/>
        <v>9841.9920613207505</v>
      </c>
      <c r="AS25" s="12">
        <v>19</v>
      </c>
      <c r="AT25" s="12">
        <v>20</v>
      </c>
      <c r="AU25" s="12">
        <f t="shared" si="9"/>
        <v>390</v>
      </c>
      <c r="AV25" s="12">
        <f t="shared" si="10"/>
        <v>20</v>
      </c>
      <c r="AW25" s="12">
        <f>INDEX($AO$6:$AO$215,MATCH(BC25,$F$6:$F$215,0))</f>
        <v>389</v>
      </c>
      <c r="AX25" s="12">
        <f t="shared" si="11"/>
        <v>847481.03798446816</v>
      </c>
      <c r="AY25" s="12">
        <f t="shared" si="5"/>
        <v>7200</v>
      </c>
      <c r="AZ25" s="12">
        <f t="shared" si="6"/>
        <v>9088.3047619047611</v>
      </c>
      <c r="BA25" s="12">
        <f>AX25+SUM($AY$6:AY25)+SUM($AZ$6:AZ25)</f>
        <v>1123098.7522701824</v>
      </c>
      <c r="BB25" s="12">
        <f t="shared" si="12"/>
        <v>760600</v>
      </c>
      <c r="BC25" s="12">
        <f t="shared" si="13"/>
        <v>171</v>
      </c>
      <c r="BD25" s="12">
        <f t="shared" si="14"/>
        <v>10</v>
      </c>
      <c r="BE25" s="12">
        <f t="shared" si="15"/>
        <v>162</v>
      </c>
      <c r="BF25" s="12">
        <f t="shared" si="8"/>
        <v>362498.75227018236</v>
      </c>
    </row>
    <row r="26" spans="4:58" x14ac:dyDescent="0.35">
      <c r="F26" s="12">
        <v>21</v>
      </c>
      <c r="G26" s="8">
        <f>INDEX(验算胜率!$E$6:$I$1005,F26,MATCH($D$16,验算胜率!$E$5:$I$5,0))</f>
        <v>0.5</v>
      </c>
      <c r="H26" s="12">
        <f t="shared" si="0"/>
        <v>1500</v>
      </c>
      <c r="I26" s="12">
        <f t="shared" si="1"/>
        <v>3000</v>
      </c>
      <c r="J26" s="12">
        <v>1</v>
      </c>
      <c r="K26" s="12">
        <v>1</v>
      </c>
      <c r="L26" s="12">
        <f>MATCH(F26,关卡道具消耗!$AA$6:$AA$83,1)-2+INDEX(关卡道具消耗!$C$16:$E$16,1,MATCH(J26,关卡道具消耗!$C$17:$E$17,0))-1</f>
        <v>7</v>
      </c>
      <c r="M26" s="12">
        <f>IF($D$16=验算胜率!$F$5,验算胜率!K26,0)*H26*关卡道具消耗!$D$8/关卡道具消耗!$D$26</f>
        <v>0</v>
      </c>
      <c r="N26" s="12">
        <f>INDEX(关卡奖励!$AH$6:$AH$8,MATCH($D$14,关卡奖励!$W$6:$W$8,0))*H26</f>
        <v>1750.5</v>
      </c>
      <c r="O26" s="12">
        <f>INDEX(关卡奖励!$AI$9:$AI$11,MATCH($D$14,关卡奖励!$W$9:$W$11,0))*((1/G26)-1)*H26</f>
        <v>295.875</v>
      </c>
      <c r="P26" s="12">
        <f>I26-N26-O26</f>
        <v>953.625</v>
      </c>
      <c r="Q26" s="12">
        <f>1/G26</f>
        <v>2</v>
      </c>
      <c r="R26" s="12">
        <f>IFERROR(INDEX(base_v,MATCH($F26,base_k,1)),0)*离线奖励!$C$12</f>
        <v>6150</v>
      </c>
      <c r="S26" s="12">
        <f>IFERROR(INDEX(关卡进度奖励!$I$7:$I$15,MATCH(F26,关卡进度奖励!$D$7:$D$15,0)),0)</f>
        <v>0</v>
      </c>
      <c r="T26" s="12">
        <f>AVERAGE(签到!$E$7:$E$13)*$H26</f>
        <v>6196.5714285714284</v>
      </c>
      <c r="U26" s="12">
        <f>转盘!$C$26*H26*V26/$D$13</f>
        <v>0</v>
      </c>
      <c r="V26" s="12">
        <f t="shared" si="4"/>
        <v>0</v>
      </c>
      <c r="W26" s="12">
        <f>IFERROR(MATCH(INDEX(转盘!$C$17:$F$17,1,MATCH($D$13,转盘!$C$16:$F$16,0))*MAX(F26-转盘!$C$6,0),转盘!$L$9:$L$51,1),0)</f>
        <v>1</v>
      </c>
      <c r="X26" s="12">
        <f>IFERROR(MATCH($F26,gift_k_level,0)^0,0)*进度礼包!$C$17*$H26/$D$13</f>
        <v>0</v>
      </c>
      <c r="Y26" s="12">
        <f>IFERROR(MATCH($F26,turn_k_1,0)^0,0)*转盘!$C$42*$H26/$D$13</f>
        <v>0</v>
      </c>
      <c r="Z26" s="12">
        <f>IFERROR(MATCH($F26,gift_k_level,0)^0,0)*进度礼包!$C$34*$H26/$D$13</f>
        <v>0</v>
      </c>
      <c r="AA26" s="12">
        <f>IFERROR(MATCH($F26,gift_k_time,0)^0,0)*限时礼包!$C$15*$H26/$D$13</f>
        <v>0</v>
      </c>
      <c r="AB26" s="12">
        <f>SUM(H$6:H26)</f>
        <v>22000</v>
      </c>
      <c r="AC26" s="12">
        <f>SUM(N$6:N26)+SUM($M$6:M26)</f>
        <v>25674</v>
      </c>
      <c r="AD26" s="12">
        <f>SUM(O$6:O26)</f>
        <v>2367.1972500000002</v>
      </c>
      <c r="AE26" s="12">
        <f>SUM($P$6:P26)</f>
        <v>5958.8027499999998</v>
      </c>
      <c r="AF26" s="12">
        <f>SUM(U$6:U26)</f>
        <v>3847.169811320754</v>
      </c>
      <c r="AG26" s="12">
        <f>SUM(S$6:S26)</f>
        <v>1000</v>
      </c>
      <c r="AH26" s="12">
        <f>SUM(Y$6:Y26)</f>
        <v>33317</v>
      </c>
      <c r="AI26" s="12">
        <f>SUM(X$6:X26)</f>
        <v>0</v>
      </c>
      <c r="AJ26" s="12">
        <f>SUM(Z$6:Z26)</f>
        <v>0</v>
      </c>
      <c r="AK26" s="12">
        <f>SUM(AA$6:AA26)</f>
        <v>0</v>
      </c>
      <c r="AL26" s="12">
        <f>F26</f>
        <v>21</v>
      </c>
      <c r="AM26" s="12">
        <f t="shared" si="2"/>
        <v>42888.367061320751</v>
      </c>
      <c r="AN26" s="12">
        <f>SUM(I$6:I26)</f>
        <v>34000</v>
      </c>
      <c r="AO26" s="8">
        <f>SUM(Q$6:Q26)</f>
        <v>32</v>
      </c>
      <c r="AP26" s="12">
        <f t="shared" si="3"/>
        <v>8888.3670613207505</v>
      </c>
      <c r="AS26" s="12">
        <v>20</v>
      </c>
      <c r="AT26" s="12">
        <v>20</v>
      </c>
      <c r="AU26" s="12">
        <f t="shared" si="9"/>
        <v>410</v>
      </c>
      <c r="AV26" s="12">
        <f t="shared" si="10"/>
        <v>20</v>
      </c>
      <c r="AW26" s="12">
        <f>INDEX($AO$6:$AO$215,MATCH(BC26,$F$6:$F$215,0))</f>
        <v>409</v>
      </c>
      <c r="AX26" s="12">
        <f t="shared" si="11"/>
        <v>920380.21251277009</v>
      </c>
      <c r="AY26" s="12">
        <f t="shared" si="5"/>
        <v>7350</v>
      </c>
      <c r="AZ26" s="12">
        <f t="shared" si="6"/>
        <v>10327.619047619048</v>
      </c>
      <c r="BA26" s="12">
        <f>AX26+SUM($AY$6:AY26)+SUM($AZ$6:AZ26)</f>
        <v>1213675.5458461035</v>
      </c>
      <c r="BB26" s="12">
        <f t="shared" si="12"/>
        <v>810600</v>
      </c>
      <c r="BC26" s="12">
        <f t="shared" si="13"/>
        <v>181</v>
      </c>
      <c r="BD26" s="12">
        <f t="shared" si="14"/>
        <v>10</v>
      </c>
      <c r="BE26" s="12">
        <f t="shared" si="15"/>
        <v>172</v>
      </c>
      <c r="BF26" s="12">
        <f t="shared" si="8"/>
        <v>403075.54584610346</v>
      </c>
    </row>
    <row r="27" spans="4:58" x14ac:dyDescent="0.35">
      <c r="F27" s="12">
        <v>22</v>
      </c>
      <c r="G27" s="8">
        <f>INDEX(验算胜率!$E$6:$I$1005,F27,MATCH($D$16,验算胜率!$E$5:$I$5,0))</f>
        <v>0.5</v>
      </c>
      <c r="H27" s="12">
        <f t="shared" si="0"/>
        <v>1500</v>
      </c>
      <c r="I27" s="12">
        <f t="shared" si="1"/>
        <v>3000</v>
      </c>
      <c r="J27" s="12">
        <v>1</v>
      </c>
      <c r="K27" s="12">
        <v>3</v>
      </c>
      <c r="L27" s="12">
        <f>MATCH(F27,关卡道具消耗!$AA$6:$AA$83,1)-2+INDEX(关卡道具消耗!$C$16:$E$16,1,MATCH(J27,关卡道具消耗!$C$17:$E$17,0))-1</f>
        <v>7</v>
      </c>
      <c r="M27" s="12">
        <f>IF($D$16=验算胜率!$F$5,验算胜率!K27,0)*H27*关卡道具消耗!$D$8/关卡道具消耗!$D$26</f>
        <v>0</v>
      </c>
      <c r="N27" s="12">
        <f>INDEX(关卡奖励!$AH$6:$AH$8,MATCH($D$14,关卡奖励!$W$6:$W$8,0))*H27</f>
        <v>1750.5</v>
      </c>
      <c r="O27" s="12">
        <f>INDEX(关卡奖励!$AI$9:$AI$11,MATCH($D$14,关卡奖励!$W$9:$W$11,0))*((1/G27)-1)*H27</f>
        <v>295.875</v>
      </c>
      <c r="P27" s="12">
        <f>I27-N27-O27</f>
        <v>953.625</v>
      </c>
      <c r="Q27" s="12">
        <f>1/G27</f>
        <v>2</v>
      </c>
      <c r="R27" s="12">
        <f>IFERROR(INDEX(base_v,MATCH($F27,base_k,1)),0)*离线奖励!$C$12</f>
        <v>6150</v>
      </c>
      <c r="S27" s="12">
        <f>IFERROR(INDEX(关卡进度奖励!$I$7:$I$15,MATCH(F27,关卡进度奖励!$D$7:$D$15,0)),0)</f>
        <v>0</v>
      </c>
      <c r="T27" s="12">
        <f>AVERAGE(签到!$E$7:$E$13)*$H27</f>
        <v>6196.5714285714284</v>
      </c>
      <c r="U27" s="12">
        <f>转盘!$C$26*H27*V27/$D$13</f>
        <v>0</v>
      </c>
      <c r="V27" s="12">
        <f t="shared" si="4"/>
        <v>0</v>
      </c>
      <c r="W27" s="12">
        <f>IFERROR(MATCH(INDEX(转盘!$C$17:$F$17,1,MATCH($D$13,转盘!$C$16:$F$16,0))*MAX(F27-转盘!$C$6,0),转盘!$L$9:$L$51,1),0)</f>
        <v>1</v>
      </c>
      <c r="X27" s="12">
        <f>IFERROR(MATCH($F27,gift_k_level,0)^0,0)*进度礼包!$C$17*$H27/$D$13</f>
        <v>0</v>
      </c>
      <c r="Y27" s="12">
        <f>IFERROR(MATCH($F27,turn_k_1,0)^0,0)*转盘!$C$42*$H27/$D$13</f>
        <v>0</v>
      </c>
      <c r="Z27" s="12">
        <f>IFERROR(MATCH($F27,gift_k_level,0)^0,0)*进度礼包!$C$34*$H27/$D$13</f>
        <v>0</v>
      </c>
      <c r="AA27" s="12">
        <f>IFERROR(MATCH($F27,gift_k_time,0)^0,0)*限时礼包!$C$15*$H27/$D$13</f>
        <v>44683.290809067075</v>
      </c>
      <c r="AB27" s="12">
        <f>SUM(H$6:H27)</f>
        <v>23500</v>
      </c>
      <c r="AC27" s="12">
        <f>SUM(N$6:N27)+SUM($M$6:M27)</f>
        <v>27424.5</v>
      </c>
      <c r="AD27" s="12">
        <f>SUM(O$6:O27)</f>
        <v>2663.0722500000002</v>
      </c>
      <c r="AE27" s="12">
        <f>SUM($P$6:P27)</f>
        <v>6912.4277499999998</v>
      </c>
      <c r="AF27" s="12">
        <f>SUM(U$6:U27)</f>
        <v>3847.169811320754</v>
      </c>
      <c r="AG27" s="12">
        <f>SUM(S$6:S27)</f>
        <v>1000</v>
      </c>
      <c r="AH27" s="12">
        <f>SUM(Y$6:Y27)</f>
        <v>33317</v>
      </c>
      <c r="AI27" s="12">
        <f>SUM(X$6:X27)</f>
        <v>0</v>
      </c>
      <c r="AJ27" s="12">
        <f>SUM(Z$6:Z27)</f>
        <v>0</v>
      </c>
      <c r="AK27" s="12">
        <f>SUM(AA$6:AA27)</f>
        <v>44683.290809067075</v>
      </c>
      <c r="AL27" s="12">
        <f>F27</f>
        <v>22</v>
      </c>
      <c r="AM27" s="12">
        <f t="shared" si="2"/>
        <v>44934.742061320758</v>
      </c>
      <c r="AN27" s="12">
        <f>SUM(I$6:I27)</f>
        <v>37000</v>
      </c>
      <c r="AO27" s="8">
        <f>SUM(Q$6:Q27)</f>
        <v>34</v>
      </c>
      <c r="AP27" s="12">
        <f t="shared" si="3"/>
        <v>7934.7420613207578</v>
      </c>
      <c r="AS27" s="12">
        <v>21</v>
      </c>
      <c r="AT27" s="12">
        <v>20</v>
      </c>
      <c r="AU27" s="12">
        <f t="shared" si="9"/>
        <v>430</v>
      </c>
      <c r="AV27" s="12">
        <f t="shared" si="10"/>
        <v>20</v>
      </c>
      <c r="AW27" s="12">
        <f>INDEX($AO$6:$AO$215,MATCH(BC27,$F$6:$F$215,0))</f>
        <v>429</v>
      </c>
      <c r="AX27" s="12">
        <f t="shared" si="11"/>
        <v>992530.98098979983</v>
      </c>
      <c r="AY27" s="12">
        <f t="shared" si="5"/>
        <v>7350</v>
      </c>
      <c r="AZ27" s="12">
        <f t="shared" si="6"/>
        <v>10327.619047619048</v>
      </c>
      <c r="BA27" s="12">
        <f>AX27+SUM($AY$6:AY27)+SUM($AZ$6:AZ27)</f>
        <v>1303503.9333707523</v>
      </c>
      <c r="BB27" s="12">
        <f t="shared" si="12"/>
        <v>860600</v>
      </c>
      <c r="BC27" s="12">
        <f t="shared" si="13"/>
        <v>191</v>
      </c>
      <c r="BD27" s="12">
        <f t="shared" si="14"/>
        <v>10</v>
      </c>
      <c r="BE27" s="12">
        <f t="shared" si="15"/>
        <v>182</v>
      </c>
      <c r="BF27" s="12">
        <f t="shared" si="8"/>
        <v>442903.93337075226</v>
      </c>
    </row>
    <row r="28" spans="4:58" x14ac:dyDescent="0.35">
      <c r="F28" s="12">
        <v>23</v>
      </c>
      <c r="G28" s="8">
        <f>INDEX(验算胜率!$E$6:$I$1005,F28,MATCH($D$16,验算胜率!$E$5:$I$5,0))</f>
        <v>0.5</v>
      </c>
      <c r="H28" s="12">
        <f t="shared" si="0"/>
        <v>1500</v>
      </c>
      <c r="I28" s="12">
        <f t="shared" si="1"/>
        <v>3000</v>
      </c>
      <c r="J28" s="12">
        <v>1</v>
      </c>
      <c r="K28" s="12">
        <v>1</v>
      </c>
      <c r="L28" s="12">
        <f>MATCH(F28,关卡道具消耗!$AA$6:$AA$83,1)-2+INDEX(关卡道具消耗!$C$16:$E$16,1,MATCH(J28,关卡道具消耗!$C$17:$E$17,0))-1</f>
        <v>7</v>
      </c>
      <c r="M28" s="12">
        <f>IF($D$16=验算胜率!$F$5,验算胜率!K28,0)*H28*关卡道具消耗!$D$8/关卡道具消耗!$D$26</f>
        <v>0</v>
      </c>
      <c r="N28" s="12">
        <f>INDEX(关卡奖励!$AH$6:$AH$8,MATCH($D$14,关卡奖励!$W$6:$W$8,0))*H28</f>
        <v>1750.5</v>
      </c>
      <c r="O28" s="12">
        <f>INDEX(关卡奖励!$AI$9:$AI$11,MATCH($D$14,关卡奖励!$W$9:$W$11,0))*((1/G28)-1)*H28</f>
        <v>295.875</v>
      </c>
      <c r="P28" s="12">
        <f>I28-N28-O28</f>
        <v>953.625</v>
      </c>
      <c r="Q28" s="12">
        <f>1/G28</f>
        <v>2</v>
      </c>
      <c r="R28" s="12">
        <f>IFERROR(INDEX(base_v,MATCH($F28,base_k,1)),0)*离线奖励!$C$12</f>
        <v>6150</v>
      </c>
      <c r="S28" s="12">
        <f>IFERROR(INDEX(关卡进度奖励!$I$7:$I$15,MATCH(F28,关卡进度奖励!$D$7:$D$15,0)),0)</f>
        <v>0</v>
      </c>
      <c r="T28" s="12">
        <f>AVERAGE(签到!$E$7:$E$13)*$H28</f>
        <v>6196.5714285714284</v>
      </c>
      <c r="U28" s="12">
        <f>转盘!$C$26*H28*V28/$D$13</f>
        <v>0</v>
      </c>
      <c r="V28" s="12">
        <f t="shared" si="4"/>
        <v>0</v>
      </c>
      <c r="W28" s="12">
        <f>IFERROR(MATCH(INDEX(转盘!$C$17:$F$17,1,MATCH($D$13,转盘!$C$16:$F$16,0))*MAX(F28-转盘!$C$6,0),转盘!$L$9:$L$51,1),0)</f>
        <v>1</v>
      </c>
      <c r="X28" s="12">
        <f>IFERROR(MATCH($F28,gift_k_level,0)^0,0)*进度礼包!$C$17*$H28/$D$13</f>
        <v>0</v>
      </c>
      <c r="Y28" s="12">
        <f>IFERROR(MATCH($F28,turn_k_1,0)^0,0)*转盘!$C$42*$H28/$D$13</f>
        <v>0</v>
      </c>
      <c r="Z28" s="12">
        <f>IFERROR(MATCH($F28,gift_k_level,0)^0,0)*进度礼包!$C$34*$H28/$D$13</f>
        <v>0</v>
      </c>
      <c r="AA28" s="12">
        <f>IFERROR(MATCH($F28,gift_k_time,0)^0,0)*限时礼包!$C$15*$H28/$D$13</f>
        <v>0</v>
      </c>
      <c r="AB28" s="12">
        <f>SUM(H$6:H28)</f>
        <v>25000</v>
      </c>
      <c r="AC28" s="12">
        <f>SUM(N$6:N28)+SUM($M$6:M28)</f>
        <v>29175</v>
      </c>
      <c r="AD28" s="12">
        <f>SUM(O$6:O28)</f>
        <v>2958.9472500000002</v>
      </c>
      <c r="AE28" s="12">
        <f>SUM($P$6:P28)</f>
        <v>7866.0527499999998</v>
      </c>
      <c r="AF28" s="12">
        <f>SUM(U$6:U28)</f>
        <v>3847.169811320754</v>
      </c>
      <c r="AG28" s="12">
        <f>SUM(S$6:S28)</f>
        <v>1000</v>
      </c>
      <c r="AH28" s="12">
        <f>SUM(Y$6:Y28)</f>
        <v>33317</v>
      </c>
      <c r="AI28" s="12">
        <f>SUM(X$6:X28)</f>
        <v>0</v>
      </c>
      <c r="AJ28" s="12">
        <f>SUM(Z$6:Z28)</f>
        <v>0</v>
      </c>
      <c r="AK28" s="12">
        <f>SUM(AA$6:AA28)</f>
        <v>44683.290809067075</v>
      </c>
      <c r="AL28" s="12">
        <f>F28</f>
        <v>23</v>
      </c>
      <c r="AM28" s="12">
        <f t="shared" si="2"/>
        <v>46981.117061320758</v>
      </c>
      <c r="AN28" s="12">
        <f>SUM(I$6:I28)</f>
        <v>40000</v>
      </c>
      <c r="AO28" s="8">
        <f>SUM(Q$6:Q28)</f>
        <v>36</v>
      </c>
      <c r="AP28" s="12">
        <f t="shared" si="3"/>
        <v>6981.1170613207578</v>
      </c>
      <c r="AS28" s="12">
        <v>22</v>
      </c>
      <c r="AT28" s="12">
        <v>20</v>
      </c>
      <c r="AU28" s="12">
        <f t="shared" si="9"/>
        <v>450</v>
      </c>
      <c r="AV28" s="12">
        <f t="shared" si="10"/>
        <v>20</v>
      </c>
      <c r="AW28" s="12">
        <f>INDEX($AO$6:$AO$215,MATCH(BC28,$F$6:$F$215,0))</f>
        <v>449</v>
      </c>
      <c r="AX28" s="12">
        <f t="shared" si="11"/>
        <v>1068930.1555181018</v>
      </c>
      <c r="AY28" s="12">
        <f t="shared" si="5"/>
        <v>7500</v>
      </c>
      <c r="AZ28" s="12">
        <f t="shared" si="6"/>
        <v>10327.619047619048</v>
      </c>
      <c r="BA28" s="12">
        <f>AX28+SUM($AY$6:AY28)+SUM($AZ$6:AZ28)</f>
        <v>1397730.7269466731</v>
      </c>
      <c r="BB28" s="12">
        <f t="shared" si="12"/>
        <v>910600</v>
      </c>
      <c r="BC28" s="12">
        <f t="shared" si="13"/>
        <v>201</v>
      </c>
      <c r="BD28" s="12">
        <f t="shared" si="14"/>
        <v>10</v>
      </c>
      <c r="BE28" s="12">
        <f t="shared" si="15"/>
        <v>192</v>
      </c>
      <c r="BF28" s="12">
        <f t="shared" si="8"/>
        <v>487130.72694667312</v>
      </c>
    </row>
    <row r="29" spans="4:58" ht="17.25" customHeight="1" x14ac:dyDescent="0.35">
      <c r="F29" s="12">
        <v>24</v>
      </c>
      <c r="G29" s="8">
        <f>INDEX(验算胜率!$E$6:$I$1005,F29,MATCH($D$16,验算胜率!$E$5:$I$5,0))</f>
        <v>0.5</v>
      </c>
      <c r="H29" s="12">
        <f t="shared" si="0"/>
        <v>1500</v>
      </c>
      <c r="I29" s="12">
        <f t="shared" si="1"/>
        <v>3000</v>
      </c>
      <c r="J29" s="12">
        <v>2</v>
      </c>
      <c r="K29" s="12">
        <v>1</v>
      </c>
      <c r="L29" s="12">
        <f>MATCH(F29,关卡道具消耗!$AA$6:$AA$83,1)-2+INDEX(关卡道具消耗!$C$16:$E$16,1,MATCH(J29,关卡道具消耗!$C$17:$E$17,0))-1</f>
        <v>8</v>
      </c>
      <c r="M29" s="12">
        <f>IF($D$16=验算胜率!$F$5,验算胜率!K29,0)*H29*关卡道具消耗!$D$8/关卡道具消耗!$D$26</f>
        <v>0</v>
      </c>
      <c r="N29" s="12">
        <f>INDEX(关卡奖励!$AH$6:$AH$8,MATCH($D$14,关卡奖励!$W$6:$W$8,0))*H29</f>
        <v>1750.5</v>
      </c>
      <c r="O29" s="12">
        <f>INDEX(关卡奖励!$AI$9:$AI$11,MATCH($D$14,关卡奖励!$W$9:$W$11,0))*((1/G29)-1)*H29</f>
        <v>295.875</v>
      </c>
      <c r="P29" s="12">
        <f>I29-N29-O29</f>
        <v>953.625</v>
      </c>
      <c r="Q29" s="12">
        <f>1/G29</f>
        <v>2</v>
      </c>
      <c r="R29" s="12">
        <f>IFERROR(INDEX(base_v,MATCH($F29,base_k,1)),0)*离线奖励!$C$12</f>
        <v>6150</v>
      </c>
      <c r="S29" s="12">
        <f>IFERROR(INDEX(关卡进度奖励!$I$7:$I$15,MATCH(F29,关卡进度奖励!$D$7:$D$15,0)),0)</f>
        <v>1500</v>
      </c>
      <c r="T29" s="12">
        <f>AVERAGE(签到!$E$7:$E$13)*$H29</f>
        <v>6196.5714285714284</v>
      </c>
      <c r="U29" s="12">
        <f>转盘!$C$26*H29*V29/$D$13</f>
        <v>0</v>
      </c>
      <c r="V29" s="12">
        <f t="shared" si="4"/>
        <v>0</v>
      </c>
      <c r="W29" s="12">
        <f>IFERROR(MATCH(INDEX(转盘!$C$17:$F$17,1,MATCH($D$13,转盘!$C$16:$F$16,0))*MAX(F29-转盘!$C$6,0),转盘!$L$9:$L$51,1),0)</f>
        <v>1</v>
      </c>
      <c r="X29" s="12">
        <f>IFERROR(MATCH($F29,gift_k_level,0)^0,0)*进度礼包!$C$17*$H29/$D$13</f>
        <v>0</v>
      </c>
      <c r="Y29" s="12">
        <f>IFERROR(MATCH($F29,turn_k_1,0)^0,0)*转盘!$C$42*$H29/$D$13</f>
        <v>0</v>
      </c>
      <c r="Z29" s="12">
        <f>IFERROR(MATCH($F29,gift_k_level,0)^0,0)*进度礼包!$C$34*$H29/$D$13</f>
        <v>0</v>
      </c>
      <c r="AA29" s="12">
        <f>IFERROR(MATCH($F29,gift_k_time,0)^0,0)*限时礼包!$C$15*$H29/$D$13</f>
        <v>0</v>
      </c>
      <c r="AB29" s="12">
        <f>SUM(H$6:H29)</f>
        <v>26500</v>
      </c>
      <c r="AC29" s="12">
        <f>SUM(N$6:N29)+SUM($M$6:M29)</f>
        <v>30925.5</v>
      </c>
      <c r="AD29" s="12">
        <f>SUM(O$6:O29)</f>
        <v>3254.8222500000002</v>
      </c>
      <c r="AE29" s="12">
        <f>SUM($P$6:P29)</f>
        <v>8819.6777499999989</v>
      </c>
      <c r="AF29" s="12">
        <f>SUM(U$6:U29)</f>
        <v>3847.169811320754</v>
      </c>
      <c r="AG29" s="12">
        <f>SUM(S$6:S29)</f>
        <v>2500</v>
      </c>
      <c r="AH29" s="12">
        <f>SUM(Y$6:Y29)</f>
        <v>33317</v>
      </c>
      <c r="AI29" s="12">
        <f>SUM(X$6:X29)</f>
        <v>0</v>
      </c>
      <c r="AJ29" s="12">
        <f>SUM(Z$6:Z29)</f>
        <v>0</v>
      </c>
      <c r="AK29" s="12">
        <f>SUM(AA$6:AA29)</f>
        <v>44683.290809067075</v>
      </c>
      <c r="AL29" s="12">
        <f>F29</f>
        <v>24</v>
      </c>
      <c r="AM29" s="12">
        <f t="shared" si="2"/>
        <v>50527.492061320751</v>
      </c>
      <c r="AN29" s="12">
        <f>SUM(I$6:I29)</f>
        <v>43000</v>
      </c>
      <c r="AO29" s="8">
        <f>SUM(Q$6:Q29)</f>
        <v>38</v>
      </c>
      <c r="AP29" s="12">
        <f t="shared" si="3"/>
        <v>7527.4920613207505</v>
      </c>
      <c r="AS29" s="12">
        <v>23</v>
      </c>
      <c r="AT29" s="12">
        <v>20</v>
      </c>
      <c r="AU29" s="12">
        <f t="shared" si="9"/>
        <v>470</v>
      </c>
      <c r="AV29" s="12">
        <f t="shared" si="10"/>
        <v>18</v>
      </c>
      <c r="AW29" s="12">
        <f>INDEX($AO$6:$AO$215,MATCH(BC29,$F$6:$F$215,0))</f>
        <v>467</v>
      </c>
      <c r="AX29" s="12">
        <f t="shared" si="11"/>
        <v>1135512.1739951316</v>
      </c>
      <c r="AY29" s="12">
        <f t="shared" si="5"/>
        <v>7500</v>
      </c>
      <c r="AZ29" s="12">
        <f t="shared" si="6"/>
        <v>10327.619047619048</v>
      </c>
      <c r="BA29" s="12">
        <f>AX29+SUM($AY$6:AY29)+SUM($AZ$6:AZ29)</f>
        <v>1482140.3644713222</v>
      </c>
      <c r="BB29" s="12">
        <f t="shared" si="12"/>
        <v>956200</v>
      </c>
      <c r="BC29" s="12">
        <f t="shared" si="13"/>
        <v>210</v>
      </c>
      <c r="BD29" s="12">
        <f t="shared" si="14"/>
        <v>9</v>
      </c>
      <c r="BE29" s="12">
        <f t="shared" si="15"/>
        <v>202</v>
      </c>
      <c r="BF29" s="12">
        <f t="shared" si="8"/>
        <v>525940.36447132216</v>
      </c>
    </row>
    <row r="30" spans="4:58" x14ac:dyDescent="0.35">
      <c r="F30" s="12">
        <v>25</v>
      </c>
      <c r="G30" s="8">
        <f>INDEX(验算胜率!$E$6:$I$1005,F30,MATCH($D$16,验算胜率!$E$5:$I$5,0))</f>
        <v>0.5</v>
      </c>
      <c r="H30" s="12">
        <f t="shared" si="0"/>
        <v>1500</v>
      </c>
      <c r="I30" s="12">
        <f t="shared" si="1"/>
        <v>3000</v>
      </c>
      <c r="J30" s="12">
        <v>2</v>
      </c>
      <c r="K30" s="12">
        <v>0</v>
      </c>
      <c r="L30" s="12">
        <f>MATCH(F30,关卡道具消耗!$AA$6:$AA$83,1)-2+INDEX(关卡道具消耗!$C$16:$E$16,1,MATCH(J30,关卡道具消耗!$C$17:$E$17,0))-1</f>
        <v>8</v>
      </c>
      <c r="M30" s="12">
        <f>IF($D$16=验算胜率!$F$5,验算胜率!K30,0)*H30*关卡道具消耗!$D$8/关卡道具消耗!$D$26</f>
        <v>0</v>
      </c>
      <c r="N30" s="12">
        <f>INDEX(关卡奖励!$AH$6:$AH$8,MATCH($D$14,关卡奖励!$W$6:$W$8,0))*H30</f>
        <v>1750.5</v>
      </c>
      <c r="O30" s="12">
        <f>INDEX(关卡奖励!$AI$9:$AI$11,MATCH($D$14,关卡奖励!$W$9:$W$11,0))*((1/G30)-1)*H30</f>
        <v>295.875</v>
      </c>
      <c r="P30" s="12">
        <f>I30-N30-O30</f>
        <v>953.625</v>
      </c>
      <c r="Q30" s="12">
        <f>1/G30</f>
        <v>2</v>
      </c>
      <c r="R30" s="12">
        <f>IFERROR(INDEX(base_v,MATCH($F30,base_k,1)),0)*离线奖励!$C$12</f>
        <v>6150</v>
      </c>
      <c r="S30" s="12">
        <f>IFERROR(INDEX(关卡进度奖励!$I$7:$I$15,MATCH(F30,关卡进度奖励!$D$7:$D$15,0)),0)</f>
        <v>0</v>
      </c>
      <c r="T30" s="12">
        <f>AVERAGE(签到!$E$7:$E$13)*$H30</f>
        <v>6196.5714285714284</v>
      </c>
      <c r="U30" s="12">
        <f>转盘!$C$26*H30*V30/$D$13</f>
        <v>0</v>
      </c>
      <c r="V30" s="12">
        <f t="shared" si="4"/>
        <v>0</v>
      </c>
      <c r="W30" s="12">
        <f>IFERROR(MATCH(INDEX(转盘!$C$17:$F$17,1,MATCH($D$13,转盘!$C$16:$F$16,0))*MAX(F30-转盘!$C$6,0),转盘!$L$9:$L$51,1),0)</f>
        <v>1</v>
      </c>
      <c r="X30" s="12">
        <f>IFERROR(MATCH($F30,gift_k_level,0)^0,0)*进度礼包!$C$17*$H30/$D$13</f>
        <v>0</v>
      </c>
      <c r="Y30" s="12">
        <f>IFERROR(MATCH($F30,turn_k_1,0)^0,0)*转盘!$C$42*$H30/$D$13</f>
        <v>0</v>
      </c>
      <c r="Z30" s="12">
        <f>IFERROR(MATCH($F30,gift_k_level,0)^0,0)*进度礼包!$C$34*$H30/$D$13</f>
        <v>0</v>
      </c>
      <c r="AA30" s="12">
        <f>IFERROR(MATCH($F30,gift_k_time,0)^0,0)*限时礼包!$C$15*$H30/$D$13</f>
        <v>0</v>
      </c>
      <c r="AB30" s="12">
        <f>SUM(H$6:H30)</f>
        <v>28000</v>
      </c>
      <c r="AC30" s="12">
        <f>SUM(N$6:N30)+SUM($M$6:M30)</f>
        <v>32676</v>
      </c>
      <c r="AD30" s="12">
        <f>SUM(O$6:O30)</f>
        <v>3550.6972500000002</v>
      </c>
      <c r="AE30" s="12">
        <f>SUM($P$6:P30)</f>
        <v>9773.3027499999989</v>
      </c>
      <c r="AF30" s="12">
        <f>SUM(U$6:U30)</f>
        <v>3847.169811320754</v>
      </c>
      <c r="AG30" s="12">
        <f>SUM(S$6:S30)</f>
        <v>2500</v>
      </c>
      <c r="AH30" s="12">
        <f>SUM(Y$6:Y30)</f>
        <v>33317</v>
      </c>
      <c r="AI30" s="12">
        <f>SUM(X$6:X30)</f>
        <v>0</v>
      </c>
      <c r="AJ30" s="12">
        <f>SUM(Z$6:Z30)</f>
        <v>0</v>
      </c>
      <c r="AK30" s="12">
        <f>SUM(AA$6:AA30)</f>
        <v>44683.290809067075</v>
      </c>
      <c r="AL30" s="12">
        <f>F30</f>
        <v>25</v>
      </c>
      <c r="AM30" s="12">
        <f t="shared" si="2"/>
        <v>52573.867061320751</v>
      </c>
      <c r="AN30" s="12">
        <f>SUM(I$6:I30)</f>
        <v>46000</v>
      </c>
      <c r="AO30" s="8">
        <f>SUM(Q$6:Q30)</f>
        <v>40</v>
      </c>
      <c r="AP30" s="12">
        <f t="shared" si="3"/>
        <v>6573.8670613207505</v>
      </c>
      <c r="AS30" s="12">
        <v>24</v>
      </c>
      <c r="AT30" s="12">
        <v>20</v>
      </c>
      <c r="AU30" s="12">
        <f t="shared" si="9"/>
        <v>490</v>
      </c>
      <c r="AV30" s="12">
        <f t="shared" si="10"/>
        <v>0</v>
      </c>
      <c r="AW30" s="12">
        <f>INDEX($AO$6:$AO$215,MATCH(BC30,$F$6:$F$215,0))</f>
        <v>467</v>
      </c>
      <c r="AX30" s="12">
        <f t="shared" si="11"/>
        <v>1135512.1739951316</v>
      </c>
      <c r="AY30" s="12">
        <f t="shared" si="5"/>
        <v>7650</v>
      </c>
      <c r="AZ30" s="12">
        <f t="shared" si="6"/>
        <v>10740.72380952381</v>
      </c>
      <c r="BA30" s="12">
        <f>AX30+SUM($AY$6:AY30)+SUM($AZ$6:AZ30)</f>
        <v>1500531.0882808459</v>
      </c>
      <c r="BB30" s="12">
        <f t="shared" si="12"/>
        <v>956200</v>
      </c>
      <c r="BC30" s="12">
        <f t="shared" si="13"/>
        <v>210</v>
      </c>
      <c r="BD30" s="12">
        <f t="shared" si="14"/>
        <v>0</v>
      </c>
      <c r="BE30" s="12">
        <f t="shared" si="15"/>
        <v>211</v>
      </c>
      <c r="BF30" s="12">
        <f t="shared" si="8"/>
        <v>544331.0882808459</v>
      </c>
    </row>
    <row r="31" spans="4:58" x14ac:dyDescent="0.35">
      <c r="F31" s="12">
        <v>26</v>
      </c>
      <c r="G31" s="8">
        <f>INDEX(验算胜率!$E$6:$I$1005,F31,MATCH($D$16,验算胜率!$E$5:$I$5,0))</f>
        <v>0.5</v>
      </c>
      <c r="H31" s="12">
        <f t="shared" si="0"/>
        <v>1500</v>
      </c>
      <c r="I31" s="12">
        <f t="shared" si="1"/>
        <v>3000</v>
      </c>
      <c r="J31" s="12">
        <v>2</v>
      </c>
      <c r="K31" s="12">
        <v>1</v>
      </c>
      <c r="L31" s="12">
        <f>MATCH(F31,关卡道具消耗!$AA$6:$AA$83,1)-2+INDEX(关卡道具消耗!$C$16:$E$16,1,MATCH(J31,关卡道具消耗!$C$17:$E$17,0))-1</f>
        <v>8</v>
      </c>
      <c r="M31" s="12">
        <f>IF($D$16=验算胜率!$F$5,验算胜率!K31,0)*H31*关卡道具消耗!$D$8/关卡道具消耗!$D$26</f>
        <v>0</v>
      </c>
      <c r="N31" s="12">
        <f>INDEX(关卡奖励!$AH$6:$AH$8,MATCH($D$14,关卡奖励!$W$6:$W$8,0))*H31</f>
        <v>1750.5</v>
      </c>
      <c r="O31" s="12">
        <f>INDEX(关卡奖励!$AI$9:$AI$11,MATCH($D$14,关卡奖励!$W$9:$W$11,0))*((1/G31)-1)*H31</f>
        <v>295.875</v>
      </c>
      <c r="P31" s="12">
        <f>I31-N31-O31</f>
        <v>953.625</v>
      </c>
      <c r="Q31" s="12">
        <f>1/G31</f>
        <v>2</v>
      </c>
      <c r="R31" s="12">
        <f>IFERROR(INDEX(base_v,MATCH($F31,base_k,1)),0)*离线奖励!$C$12</f>
        <v>6150</v>
      </c>
      <c r="S31" s="12">
        <f>IFERROR(INDEX(关卡进度奖励!$I$7:$I$15,MATCH(F31,关卡进度奖励!$D$7:$D$15,0)),0)</f>
        <v>0</v>
      </c>
      <c r="T31" s="12">
        <f>AVERAGE(签到!$E$7:$E$13)*$H31</f>
        <v>6196.5714285714284</v>
      </c>
      <c r="U31" s="12">
        <f>转盘!$C$26*H31*V31/$D$13</f>
        <v>0</v>
      </c>
      <c r="V31" s="12">
        <f t="shared" si="4"/>
        <v>0</v>
      </c>
      <c r="W31" s="12">
        <f>IFERROR(MATCH(INDEX(转盘!$C$17:$F$17,1,MATCH($D$13,转盘!$C$16:$F$16,0))*MAX(F31-转盘!$C$6,0),转盘!$L$9:$L$51,1),0)</f>
        <v>1</v>
      </c>
      <c r="X31" s="12">
        <f>IFERROR(MATCH($F31,gift_k_level,0)^0,0)*进度礼包!$C$17*$H31/$D$13</f>
        <v>0</v>
      </c>
      <c r="Y31" s="12">
        <f>IFERROR(MATCH($F31,turn_k_1,0)^0,0)*转盘!$C$42*$H31/$D$13</f>
        <v>0</v>
      </c>
      <c r="Z31" s="12">
        <f>IFERROR(MATCH($F31,gift_k_level,0)^0,0)*进度礼包!$C$34*$H31/$D$13</f>
        <v>0</v>
      </c>
      <c r="AA31" s="12">
        <f>IFERROR(MATCH($F31,gift_k_time,0)^0,0)*限时礼包!$C$15*$H31/$D$13</f>
        <v>0</v>
      </c>
      <c r="AB31" s="12">
        <f>SUM(H$6:H31)</f>
        <v>29500</v>
      </c>
      <c r="AC31" s="12">
        <f>SUM(N$6:N31)+SUM($M$6:M31)</f>
        <v>34426.5</v>
      </c>
      <c r="AD31" s="12">
        <f>SUM(O$6:O31)</f>
        <v>3846.5722500000002</v>
      </c>
      <c r="AE31" s="12">
        <f>SUM($P$6:P31)</f>
        <v>10726.927749999999</v>
      </c>
      <c r="AF31" s="12">
        <f>SUM(U$6:U31)</f>
        <v>3847.169811320754</v>
      </c>
      <c r="AG31" s="12">
        <f>SUM(S$6:S31)</f>
        <v>2500</v>
      </c>
      <c r="AH31" s="12">
        <f>SUM(Y$6:Y31)</f>
        <v>33317</v>
      </c>
      <c r="AI31" s="12">
        <f>SUM(X$6:X31)</f>
        <v>0</v>
      </c>
      <c r="AJ31" s="12">
        <f>SUM(Z$6:Z31)</f>
        <v>0</v>
      </c>
      <c r="AK31" s="12">
        <f>SUM(AA$6:AA31)</f>
        <v>44683.290809067075</v>
      </c>
      <c r="AL31" s="12">
        <f>F31</f>
        <v>26</v>
      </c>
      <c r="AM31" s="12">
        <f t="shared" si="2"/>
        <v>54620.242061320751</v>
      </c>
      <c r="AN31" s="12">
        <f>SUM(I$6:I31)</f>
        <v>49000</v>
      </c>
      <c r="AO31" s="8">
        <f>SUM(Q$6:Q31)</f>
        <v>42</v>
      </c>
      <c r="AP31" s="12">
        <f t="shared" si="3"/>
        <v>5620.2420613207505</v>
      </c>
      <c r="AS31" s="12">
        <v>25</v>
      </c>
      <c r="AT31" s="12">
        <v>20</v>
      </c>
      <c r="AU31" s="12">
        <f t="shared" si="9"/>
        <v>510</v>
      </c>
      <c r="AV31" s="12">
        <f t="shared" si="10"/>
        <v>0</v>
      </c>
      <c r="AW31" s="12">
        <f>INDEX($AO$6:$AO$215,MATCH(BC31,$F$6:$F$215,0))</f>
        <v>467</v>
      </c>
      <c r="AX31" s="12">
        <f t="shared" si="11"/>
        <v>1135512.1739951316</v>
      </c>
      <c r="AY31" s="12">
        <f t="shared" si="5"/>
        <v>7650</v>
      </c>
      <c r="AZ31" s="12">
        <f t="shared" si="6"/>
        <v>10740.72380952381</v>
      </c>
      <c r="BA31" s="12">
        <f>AX31+SUM($AY$6:AY31)+SUM($AZ$6:AZ31)</f>
        <v>1518921.8120903696</v>
      </c>
      <c r="BB31" s="12">
        <f t="shared" si="12"/>
        <v>956200</v>
      </c>
      <c r="BC31" s="12">
        <f t="shared" si="13"/>
        <v>210</v>
      </c>
      <c r="BD31" s="12">
        <f t="shared" si="14"/>
        <v>0</v>
      </c>
      <c r="BE31" s="12">
        <f t="shared" si="15"/>
        <v>211</v>
      </c>
      <c r="BF31" s="12">
        <f t="shared" si="8"/>
        <v>562721.81209036964</v>
      </c>
    </row>
    <row r="32" spans="4:58" x14ac:dyDescent="0.35">
      <c r="F32" s="12">
        <v>27</v>
      </c>
      <c r="G32" s="8">
        <f>INDEX(验算胜率!$E$6:$I$1005,F32,MATCH($D$16,验算胜率!$E$5:$I$5,0))</f>
        <v>0.5</v>
      </c>
      <c r="H32" s="12">
        <f t="shared" si="0"/>
        <v>1500</v>
      </c>
      <c r="I32" s="12">
        <f t="shared" si="1"/>
        <v>3000</v>
      </c>
      <c r="J32" s="12">
        <v>2</v>
      </c>
      <c r="K32" s="12">
        <v>2</v>
      </c>
      <c r="L32" s="12">
        <f>MATCH(F32,关卡道具消耗!$AA$6:$AA$83,1)-2+INDEX(关卡道具消耗!$C$16:$E$16,1,MATCH(J32,关卡道具消耗!$C$17:$E$17,0))-1</f>
        <v>11</v>
      </c>
      <c r="M32" s="12">
        <f>IF($D$16=验算胜率!$F$5,验算胜率!K32,0)*H32*关卡道具消耗!$D$8/关卡道具消耗!$D$26</f>
        <v>0</v>
      </c>
      <c r="N32" s="12">
        <f>INDEX(关卡奖励!$AH$6:$AH$8,MATCH($D$14,关卡奖励!$W$6:$W$8,0))*H32</f>
        <v>1750.5</v>
      </c>
      <c r="O32" s="12">
        <f>INDEX(关卡奖励!$AI$9:$AI$11,MATCH($D$14,关卡奖励!$W$9:$W$11,0))*((1/G32)-1)*H32</f>
        <v>295.875</v>
      </c>
      <c r="P32" s="12">
        <f>I32-N32-O32</f>
        <v>953.625</v>
      </c>
      <c r="Q32" s="12">
        <f>1/G32</f>
        <v>2</v>
      </c>
      <c r="R32" s="12">
        <f>IFERROR(INDEX(base_v,MATCH($F32,base_k,1)),0)*离线奖励!$C$12</f>
        <v>6300</v>
      </c>
      <c r="S32" s="12">
        <f>IFERROR(INDEX(关卡进度奖励!$I$7:$I$15,MATCH(F32,关卡进度奖励!$D$7:$D$15,0)),0)</f>
        <v>0</v>
      </c>
      <c r="T32" s="12">
        <f>AVERAGE(签到!$E$7:$E$13)*$H32</f>
        <v>6196.5714285714284</v>
      </c>
      <c r="U32" s="12">
        <f>转盘!$C$26*H32*V32/$D$13</f>
        <v>0</v>
      </c>
      <c r="V32" s="12">
        <f t="shared" si="4"/>
        <v>0</v>
      </c>
      <c r="W32" s="12">
        <f>IFERROR(MATCH(INDEX(转盘!$C$17:$F$17,1,MATCH($D$13,转盘!$C$16:$F$16,0))*MAX(F32-转盘!$C$6,0),转盘!$L$9:$L$51,1),0)</f>
        <v>1</v>
      </c>
      <c r="X32" s="12">
        <f>IFERROR(MATCH($F32,gift_k_level,0)^0,0)*进度礼包!$C$17*$H32/$D$13</f>
        <v>0</v>
      </c>
      <c r="Y32" s="12">
        <f>IFERROR(MATCH($F32,turn_k_1,0)^0,0)*转盘!$C$42*$H32/$D$13</f>
        <v>0</v>
      </c>
      <c r="Z32" s="12">
        <f>IFERROR(MATCH($F32,gift_k_level,0)^0,0)*进度礼包!$C$34*$H32/$D$13</f>
        <v>0</v>
      </c>
      <c r="AA32" s="12">
        <f>IFERROR(MATCH($F32,gift_k_time,0)^0,0)*限时礼包!$C$15*$H32/$D$13</f>
        <v>0</v>
      </c>
      <c r="AB32" s="12">
        <f>SUM(H$6:H32)</f>
        <v>31000</v>
      </c>
      <c r="AC32" s="12">
        <f>SUM(N$6:N32)+SUM($M$6:M32)</f>
        <v>36177</v>
      </c>
      <c r="AD32" s="12">
        <f>SUM(O$6:O32)</f>
        <v>4142.4472500000002</v>
      </c>
      <c r="AE32" s="12">
        <f>SUM($P$6:P32)</f>
        <v>11680.552749999999</v>
      </c>
      <c r="AF32" s="12">
        <f>SUM(U$6:U32)</f>
        <v>3847.169811320754</v>
      </c>
      <c r="AG32" s="12">
        <f>SUM(S$6:S32)</f>
        <v>2500</v>
      </c>
      <c r="AH32" s="12">
        <f>SUM(Y$6:Y32)</f>
        <v>33317</v>
      </c>
      <c r="AI32" s="12">
        <f>SUM(X$6:X32)</f>
        <v>0</v>
      </c>
      <c r="AJ32" s="12">
        <f>SUM(Z$6:Z32)</f>
        <v>0</v>
      </c>
      <c r="AK32" s="12">
        <f>SUM(AA$6:AA32)</f>
        <v>44683.290809067075</v>
      </c>
      <c r="AL32" s="12">
        <f>F32</f>
        <v>27</v>
      </c>
      <c r="AM32" s="12">
        <f t="shared" si="2"/>
        <v>56666.617061320751</v>
      </c>
      <c r="AN32" s="12">
        <f>SUM(I$6:I32)</f>
        <v>52000</v>
      </c>
      <c r="AO32" s="8">
        <f>SUM(Q$6:Q32)</f>
        <v>44</v>
      </c>
      <c r="AP32" s="12">
        <f t="shared" si="3"/>
        <v>4666.6170613207505</v>
      </c>
      <c r="AS32" s="12">
        <v>26</v>
      </c>
      <c r="AT32" s="12">
        <v>20</v>
      </c>
      <c r="AU32" s="12">
        <f t="shared" si="9"/>
        <v>530</v>
      </c>
      <c r="AV32" s="12">
        <f t="shared" si="10"/>
        <v>0</v>
      </c>
      <c r="AW32" s="12">
        <f>INDEX($AO$6:$AO$215,MATCH(BC32,$F$6:$F$215,0))</f>
        <v>467</v>
      </c>
      <c r="AX32" s="12">
        <f t="shared" si="11"/>
        <v>1135512.1739951316</v>
      </c>
      <c r="AY32" s="12">
        <f t="shared" si="5"/>
        <v>7650</v>
      </c>
      <c r="AZ32" s="12">
        <f t="shared" si="6"/>
        <v>10740.72380952381</v>
      </c>
      <c r="BA32" s="12">
        <f>AX32+SUM($AY$6:AY32)+SUM($AZ$6:AZ32)</f>
        <v>1537312.5358998934</v>
      </c>
      <c r="BB32" s="12">
        <f t="shared" si="12"/>
        <v>956200</v>
      </c>
      <c r="BC32" s="12">
        <f t="shared" si="13"/>
        <v>210</v>
      </c>
      <c r="BD32" s="12">
        <f t="shared" si="14"/>
        <v>0</v>
      </c>
      <c r="BE32" s="12">
        <f t="shared" si="15"/>
        <v>211</v>
      </c>
      <c r="BF32" s="12">
        <f t="shared" si="8"/>
        <v>581112.53589989338</v>
      </c>
    </row>
    <row r="33" spans="6:58" x14ac:dyDescent="0.35">
      <c r="F33" s="12">
        <v>28</v>
      </c>
      <c r="G33" s="8">
        <f>INDEX(验算胜率!$E$6:$I$1005,F33,MATCH($D$16,验算胜率!$E$5:$I$5,0))</f>
        <v>0.5</v>
      </c>
      <c r="H33" s="12">
        <f t="shared" si="0"/>
        <v>1500</v>
      </c>
      <c r="I33" s="12">
        <f t="shared" si="1"/>
        <v>3000</v>
      </c>
      <c r="J33" s="12">
        <v>2</v>
      </c>
      <c r="K33" s="12">
        <v>0</v>
      </c>
      <c r="L33" s="12">
        <f>MATCH(F33,关卡道具消耗!$AA$6:$AA$83,1)-2+INDEX(关卡道具消耗!$C$16:$E$16,1,MATCH(J33,关卡道具消耗!$C$17:$E$17,0))-1</f>
        <v>11</v>
      </c>
      <c r="M33" s="12">
        <f>IF($D$16=验算胜率!$F$5,验算胜率!K33,0)*H33*关卡道具消耗!$D$8/关卡道具消耗!$D$26</f>
        <v>0</v>
      </c>
      <c r="N33" s="12">
        <f>INDEX(关卡奖励!$AH$6:$AH$8,MATCH($D$14,关卡奖励!$W$6:$W$8,0))*H33</f>
        <v>1750.5</v>
      </c>
      <c r="O33" s="12">
        <f>INDEX(关卡奖励!$AI$9:$AI$11,MATCH($D$14,关卡奖励!$W$9:$W$11,0))*((1/G33)-1)*H33</f>
        <v>295.875</v>
      </c>
      <c r="P33" s="12">
        <f>I33-N33-O33</f>
        <v>953.625</v>
      </c>
      <c r="Q33" s="12">
        <f>1/G33</f>
        <v>2</v>
      </c>
      <c r="R33" s="12">
        <f>IFERROR(INDEX(base_v,MATCH($F33,base_k,1)),0)*离线奖励!$C$12</f>
        <v>6300</v>
      </c>
      <c r="S33" s="12">
        <f>IFERROR(INDEX(关卡进度奖励!$I$7:$I$15,MATCH(F33,关卡进度奖励!$D$7:$D$15,0)),0)</f>
        <v>0</v>
      </c>
      <c r="T33" s="12">
        <f>AVERAGE(签到!$E$7:$E$13)*$H33</f>
        <v>6196.5714285714284</v>
      </c>
      <c r="U33" s="12">
        <f>转盘!$C$26*H33*V33/$D$13</f>
        <v>0</v>
      </c>
      <c r="V33" s="12">
        <f t="shared" si="4"/>
        <v>0</v>
      </c>
      <c r="W33" s="12">
        <f>IFERROR(MATCH(INDEX(转盘!$C$17:$F$17,1,MATCH($D$13,转盘!$C$16:$F$16,0))*MAX(F33-转盘!$C$6,0),转盘!$L$9:$L$51,1),0)</f>
        <v>1</v>
      </c>
      <c r="X33" s="12">
        <f>IFERROR(MATCH($F33,gift_k_level,0)^0,0)*进度礼包!$C$17*$H33/$D$13</f>
        <v>0</v>
      </c>
      <c r="Y33" s="12">
        <f>IFERROR(MATCH($F33,turn_k_1,0)^0,0)*转盘!$C$42*$H33/$D$13</f>
        <v>0</v>
      </c>
      <c r="Z33" s="12">
        <f>IFERROR(MATCH($F33,gift_k_level,0)^0,0)*进度礼包!$C$34*$H33/$D$13</f>
        <v>0</v>
      </c>
      <c r="AA33" s="12">
        <f>IFERROR(MATCH($F33,gift_k_time,0)^0,0)*限时礼包!$C$15*$H33/$D$13</f>
        <v>0</v>
      </c>
      <c r="AB33" s="12">
        <f>SUM(H$6:H33)</f>
        <v>32500</v>
      </c>
      <c r="AC33" s="12">
        <f>SUM(N$6:N33)+SUM($M$6:M33)</f>
        <v>37927.5</v>
      </c>
      <c r="AD33" s="12">
        <f>SUM(O$6:O33)</f>
        <v>4438.3222500000002</v>
      </c>
      <c r="AE33" s="12">
        <f>SUM($P$6:P33)</f>
        <v>12634.177749999999</v>
      </c>
      <c r="AF33" s="12">
        <f>SUM(U$6:U33)</f>
        <v>3847.169811320754</v>
      </c>
      <c r="AG33" s="12">
        <f>SUM(S$6:S33)</f>
        <v>2500</v>
      </c>
      <c r="AH33" s="12">
        <f>SUM(Y$6:Y33)</f>
        <v>33317</v>
      </c>
      <c r="AI33" s="12">
        <f>SUM(X$6:X33)</f>
        <v>0</v>
      </c>
      <c r="AJ33" s="12">
        <f>SUM(Z$6:Z33)</f>
        <v>0</v>
      </c>
      <c r="AK33" s="12">
        <f>SUM(AA$6:AA33)</f>
        <v>44683.290809067075</v>
      </c>
      <c r="AL33" s="12">
        <f>F33</f>
        <v>28</v>
      </c>
      <c r="AM33" s="12">
        <f t="shared" si="2"/>
        <v>58712.992061320751</v>
      </c>
      <c r="AN33" s="12">
        <f>SUM(I$6:I33)</f>
        <v>55000</v>
      </c>
      <c r="AO33" s="8">
        <f>SUM(Q$6:Q33)</f>
        <v>46</v>
      </c>
      <c r="AP33" s="12">
        <f t="shared" si="3"/>
        <v>3712.9920613207505</v>
      </c>
      <c r="AS33" s="12">
        <v>27</v>
      </c>
      <c r="AT33" s="12">
        <v>20</v>
      </c>
      <c r="AU33" s="12">
        <f t="shared" si="9"/>
        <v>550</v>
      </c>
      <c r="AV33" s="12">
        <f t="shared" si="10"/>
        <v>0</v>
      </c>
      <c r="AW33" s="12">
        <f>INDEX($AO$6:$AO$215,MATCH(BC33,$F$6:$F$215,0))</f>
        <v>467</v>
      </c>
      <c r="AX33" s="12">
        <f t="shared" si="11"/>
        <v>1135512.1739951316</v>
      </c>
      <c r="AY33" s="12">
        <f t="shared" si="5"/>
        <v>7650</v>
      </c>
      <c r="AZ33" s="12">
        <f t="shared" si="6"/>
        <v>10740.72380952381</v>
      </c>
      <c r="BA33" s="12">
        <f>AX33+SUM($AY$6:AY33)+SUM($AZ$6:AZ33)</f>
        <v>1555703.2597094174</v>
      </c>
      <c r="BB33" s="12">
        <f t="shared" si="12"/>
        <v>956200</v>
      </c>
      <c r="BC33" s="12">
        <f t="shared" si="13"/>
        <v>210</v>
      </c>
      <c r="BD33" s="12">
        <f t="shared" si="14"/>
        <v>0</v>
      </c>
      <c r="BE33" s="12">
        <f t="shared" si="15"/>
        <v>211</v>
      </c>
      <c r="BF33" s="12">
        <f t="shared" si="8"/>
        <v>599503.25970941735</v>
      </c>
    </row>
    <row r="34" spans="6:58" x14ac:dyDescent="0.35">
      <c r="F34" s="12">
        <v>29</v>
      </c>
      <c r="G34" s="8">
        <f>INDEX(验算胜率!$E$6:$I$1005,F34,MATCH($D$16,验算胜率!$E$5:$I$5,0))</f>
        <v>0.5</v>
      </c>
      <c r="H34" s="12">
        <f t="shared" si="0"/>
        <v>1500</v>
      </c>
      <c r="I34" s="12">
        <f t="shared" si="1"/>
        <v>3000</v>
      </c>
      <c r="J34" s="12">
        <v>2</v>
      </c>
      <c r="K34" s="12">
        <v>0</v>
      </c>
      <c r="L34" s="12">
        <f>MATCH(F34,关卡道具消耗!$AA$6:$AA$83,1)-2+INDEX(关卡道具消耗!$C$16:$E$16,1,MATCH(J34,关卡道具消耗!$C$17:$E$17,0))-1</f>
        <v>11</v>
      </c>
      <c r="M34" s="12">
        <f>IF($D$16=验算胜率!$F$5,验算胜率!K34,0)*H34*关卡道具消耗!$D$8/关卡道具消耗!$D$26</f>
        <v>0</v>
      </c>
      <c r="N34" s="12">
        <f>INDEX(关卡奖励!$AH$6:$AH$8,MATCH($D$14,关卡奖励!$W$6:$W$8,0))*H34</f>
        <v>1750.5</v>
      </c>
      <c r="O34" s="12">
        <f>INDEX(关卡奖励!$AI$9:$AI$11,MATCH($D$14,关卡奖励!$W$9:$W$11,0))*((1/G34)-1)*H34</f>
        <v>295.875</v>
      </c>
      <c r="P34" s="12">
        <f>I34-N34-O34</f>
        <v>953.625</v>
      </c>
      <c r="Q34" s="12">
        <f>1/G34</f>
        <v>2</v>
      </c>
      <c r="R34" s="12">
        <f>IFERROR(INDEX(base_v,MATCH($F34,base_k,1)),0)*离线奖励!$C$12</f>
        <v>6300</v>
      </c>
      <c r="S34" s="12">
        <f>IFERROR(INDEX(关卡进度奖励!$I$7:$I$15,MATCH(F34,关卡进度奖励!$D$7:$D$15,0)),0)</f>
        <v>0</v>
      </c>
      <c r="T34" s="12">
        <f>AVERAGE(签到!$E$7:$E$13)*$H34</f>
        <v>6196.5714285714284</v>
      </c>
      <c r="U34" s="12">
        <f>转盘!$C$26*H34*V34/$D$13</f>
        <v>0</v>
      </c>
      <c r="V34" s="12">
        <f t="shared" si="4"/>
        <v>0</v>
      </c>
      <c r="W34" s="12">
        <f>IFERROR(MATCH(INDEX(转盘!$C$17:$F$17,1,MATCH($D$13,转盘!$C$16:$F$16,0))*MAX(F34-转盘!$C$6,0),转盘!$L$9:$L$51,1),0)</f>
        <v>1</v>
      </c>
      <c r="X34" s="12">
        <f>IFERROR(MATCH($F34,gift_k_level,0)^0,0)*进度礼包!$C$17*$H34/$D$13</f>
        <v>0</v>
      </c>
      <c r="Y34" s="12">
        <f>IFERROR(MATCH($F34,turn_k_1,0)^0,0)*转盘!$C$42*$H34/$D$13</f>
        <v>0</v>
      </c>
      <c r="Z34" s="12">
        <f>IFERROR(MATCH($F34,gift_k_level,0)^0,0)*进度礼包!$C$34*$H34/$D$13</f>
        <v>0</v>
      </c>
      <c r="AA34" s="12">
        <f>IFERROR(MATCH($F34,gift_k_time,0)^0,0)*限时礼包!$C$15*$H34/$D$13</f>
        <v>0</v>
      </c>
      <c r="AB34" s="12">
        <f>SUM(H$6:H34)</f>
        <v>34000</v>
      </c>
      <c r="AC34" s="12">
        <f>SUM(N$6:N34)+SUM($M$6:M34)</f>
        <v>39678</v>
      </c>
      <c r="AD34" s="12">
        <f>SUM(O$6:O34)</f>
        <v>4734.1972500000002</v>
      </c>
      <c r="AE34" s="12">
        <f>SUM($P$6:P34)</f>
        <v>13587.802749999999</v>
      </c>
      <c r="AF34" s="12">
        <f>SUM(U$6:U34)</f>
        <v>3847.169811320754</v>
      </c>
      <c r="AG34" s="12">
        <f>SUM(S$6:S34)</f>
        <v>2500</v>
      </c>
      <c r="AH34" s="12">
        <f>SUM(Y$6:Y34)</f>
        <v>33317</v>
      </c>
      <c r="AI34" s="12">
        <f>SUM(X$6:X34)</f>
        <v>0</v>
      </c>
      <c r="AJ34" s="12">
        <f>SUM(Z$6:Z34)</f>
        <v>0</v>
      </c>
      <c r="AK34" s="12">
        <f>SUM(AA$6:AA34)</f>
        <v>44683.290809067075</v>
      </c>
      <c r="AL34" s="12">
        <f>F34</f>
        <v>29</v>
      </c>
      <c r="AM34" s="12">
        <f t="shared" si="2"/>
        <v>60759.367061320751</v>
      </c>
      <c r="AN34" s="12">
        <f>SUM(I$6:I34)</f>
        <v>58000</v>
      </c>
      <c r="AO34" s="8">
        <f>SUM(Q$6:Q34)</f>
        <v>48</v>
      </c>
      <c r="AP34" s="12">
        <f t="shared" si="3"/>
        <v>2759.3670613207505</v>
      </c>
      <c r="AS34" s="12">
        <v>28</v>
      </c>
      <c r="AT34" s="12">
        <v>20</v>
      </c>
      <c r="AU34" s="12">
        <f t="shared" si="9"/>
        <v>570</v>
      </c>
      <c r="AV34" s="12">
        <f t="shared" si="10"/>
        <v>0</v>
      </c>
      <c r="AW34" s="12">
        <f>INDEX($AO$6:$AO$215,MATCH(BC34,$F$6:$F$215,0))</f>
        <v>467</v>
      </c>
      <c r="AX34" s="12">
        <f t="shared" si="11"/>
        <v>1135512.1739951316</v>
      </c>
      <c r="AY34" s="12">
        <f t="shared" si="5"/>
        <v>7650</v>
      </c>
      <c r="AZ34" s="12">
        <f t="shared" si="6"/>
        <v>10740.72380952381</v>
      </c>
      <c r="BA34" s="12">
        <f>AX34+SUM($AY$6:AY34)+SUM($AZ$6:AZ34)</f>
        <v>1574093.9835189411</v>
      </c>
      <c r="BB34" s="12">
        <f t="shared" si="12"/>
        <v>956200</v>
      </c>
      <c r="BC34" s="12">
        <f t="shared" si="13"/>
        <v>210</v>
      </c>
      <c r="BD34" s="12">
        <f t="shared" si="14"/>
        <v>0</v>
      </c>
      <c r="BE34" s="12">
        <f t="shared" si="15"/>
        <v>211</v>
      </c>
      <c r="BF34" s="12">
        <f t="shared" si="8"/>
        <v>617893.9835189411</v>
      </c>
    </row>
    <row r="35" spans="6:58" x14ac:dyDescent="0.35">
      <c r="F35" s="12">
        <v>30</v>
      </c>
      <c r="G35" s="8">
        <f>INDEX(验算胜率!$E$6:$I$1005,F35,MATCH($D$16,验算胜率!$E$5:$I$5,0))</f>
        <v>0.5</v>
      </c>
      <c r="H35" s="12">
        <f t="shared" si="0"/>
        <v>1500</v>
      </c>
      <c r="I35" s="12">
        <f t="shared" si="1"/>
        <v>3000</v>
      </c>
      <c r="J35" s="12">
        <v>2</v>
      </c>
      <c r="K35" s="12">
        <v>1</v>
      </c>
      <c r="L35" s="12">
        <f>MATCH(F35,关卡道具消耗!$AA$6:$AA$83,1)-2+INDEX(关卡道具消耗!$C$16:$E$16,1,MATCH(J35,关卡道具消耗!$C$17:$E$17,0))-1</f>
        <v>11</v>
      </c>
      <c r="M35" s="12">
        <f>IF($D$16=验算胜率!$F$5,验算胜率!K35,0)*H35*关卡道具消耗!$D$8/关卡道具消耗!$D$26</f>
        <v>0</v>
      </c>
      <c r="N35" s="12">
        <f>INDEX(关卡奖励!$AH$6:$AH$8,MATCH($D$14,关卡奖励!$W$6:$W$8,0))*H35</f>
        <v>1750.5</v>
      </c>
      <c r="O35" s="12">
        <f>INDEX(关卡奖励!$AI$9:$AI$11,MATCH($D$14,关卡奖励!$W$9:$W$11,0))*((1/G35)-1)*H35</f>
        <v>295.875</v>
      </c>
      <c r="P35" s="12">
        <f>I35-N35-O35</f>
        <v>953.625</v>
      </c>
      <c r="Q35" s="12">
        <f>1/G35</f>
        <v>2</v>
      </c>
      <c r="R35" s="12">
        <f>IFERROR(INDEX(base_v,MATCH($F35,base_k,1)),0)*离线奖励!$C$12</f>
        <v>6300</v>
      </c>
      <c r="S35" s="12">
        <f>IFERROR(INDEX(关卡进度奖励!$I$7:$I$15,MATCH(F35,关卡进度奖励!$D$7:$D$15,0)),0)</f>
        <v>0</v>
      </c>
      <c r="T35" s="12">
        <f>AVERAGE(签到!$E$7:$E$13)*$H35</f>
        <v>6196.5714285714284</v>
      </c>
      <c r="U35" s="12">
        <f>转盘!$C$26*H35*V35/$D$13</f>
        <v>0</v>
      </c>
      <c r="V35" s="12">
        <f t="shared" si="4"/>
        <v>0</v>
      </c>
      <c r="W35" s="12">
        <f>IFERROR(MATCH(INDEX(转盘!$C$17:$F$17,1,MATCH($D$13,转盘!$C$16:$F$16,0))*MAX(F35-转盘!$C$6,0),转盘!$L$9:$L$51,1),0)</f>
        <v>1</v>
      </c>
      <c r="X35" s="12">
        <f>IFERROR(MATCH($F35,gift_k_level,0)^0,0)*进度礼包!$C$17*$H35/$D$13</f>
        <v>0</v>
      </c>
      <c r="Y35" s="12">
        <f>IFERROR(MATCH($F35,turn_k_1,0)^0,0)*转盘!$C$42*$H35/$D$13</f>
        <v>0</v>
      </c>
      <c r="Z35" s="12">
        <f>IFERROR(MATCH($F35,gift_k_level,0)^0,0)*进度礼包!$C$34*$H35/$D$13</f>
        <v>0</v>
      </c>
      <c r="AA35" s="12">
        <f>IFERROR(MATCH($F35,gift_k_time,0)^0,0)*限时礼包!$C$15*$H35/$D$13</f>
        <v>0</v>
      </c>
      <c r="AB35" s="12">
        <f>SUM(H$6:H35)</f>
        <v>35500</v>
      </c>
      <c r="AC35" s="12">
        <f>SUM(N$6:N35)+SUM($M$6:M35)</f>
        <v>41428.5</v>
      </c>
      <c r="AD35" s="12">
        <f>SUM(O$6:O35)</f>
        <v>5030.0722500000002</v>
      </c>
      <c r="AE35" s="12">
        <f>SUM($P$6:P35)</f>
        <v>14541.427749999999</v>
      </c>
      <c r="AF35" s="12">
        <f>SUM(U$6:U35)</f>
        <v>3847.169811320754</v>
      </c>
      <c r="AG35" s="12">
        <f>SUM(S$6:S35)</f>
        <v>2500</v>
      </c>
      <c r="AH35" s="12">
        <f>SUM(Y$6:Y35)</f>
        <v>33317</v>
      </c>
      <c r="AI35" s="12">
        <f>SUM(X$6:X35)</f>
        <v>0</v>
      </c>
      <c r="AJ35" s="12">
        <f>SUM(Z$6:Z35)</f>
        <v>0</v>
      </c>
      <c r="AK35" s="12">
        <f>SUM(AA$6:AA35)</f>
        <v>44683.290809067075</v>
      </c>
      <c r="AL35" s="12">
        <f>F35</f>
        <v>30</v>
      </c>
      <c r="AM35" s="12">
        <f t="shared" si="2"/>
        <v>62805.742061320751</v>
      </c>
      <c r="AN35" s="12">
        <f>SUM(I$6:I35)</f>
        <v>61000</v>
      </c>
      <c r="AO35" s="8">
        <f>SUM(Q$6:Q35)</f>
        <v>50</v>
      </c>
      <c r="AP35" s="12">
        <f t="shared" si="3"/>
        <v>1805.7420613207505</v>
      </c>
      <c r="AS35" s="12">
        <v>29</v>
      </c>
      <c r="AT35" s="12">
        <v>20</v>
      </c>
      <c r="AU35" s="12">
        <f t="shared" si="9"/>
        <v>590</v>
      </c>
      <c r="AV35" s="12">
        <f t="shared" si="10"/>
        <v>0</v>
      </c>
      <c r="AW35" s="12">
        <f>INDEX($AO$6:$AO$215,MATCH(BC35,$F$6:$F$215,0))</f>
        <v>467</v>
      </c>
      <c r="AX35" s="12">
        <f t="shared" si="11"/>
        <v>1135512.1739951316</v>
      </c>
      <c r="AY35" s="12">
        <f t="shared" si="5"/>
        <v>7650</v>
      </c>
      <c r="AZ35" s="12">
        <f t="shared" si="6"/>
        <v>10740.72380952381</v>
      </c>
      <c r="BA35" s="12">
        <f>AX35+SUM($AY$6:AY35)+SUM($AZ$6:AZ35)</f>
        <v>1592484.7073284648</v>
      </c>
      <c r="BB35" s="12">
        <f t="shared" si="12"/>
        <v>956200</v>
      </c>
      <c r="BC35" s="12">
        <f t="shared" si="13"/>
        <v>210</v>
      </c>
      <c r="BD35" s="12">
        <f t="shared" si="14"/>
        <v>0</v>
      </c>
      <c r="BE35" s="12">
        <f t="shared" si="15"/>
        <v>211</v>
      </c>
      <c r="BF35" s="12">
        <f t="shared" si="8"/>
        <v>636284.70732846484</v>
      </c>
    </row>
    <row r="36" spans="6:58" x14ac:dyDescent="0.35">
      <c r="F36" s="12">
        <v>31</v>
      </c>
      <c r="G36" s="8">
        <f>INDEX(验算胜率!$E$6:$I$1005,F36,MATCH($D$16,验算胜率!$E$5:$I$5,0))</f>
        <v>0.5</v>
      </c>
      <c r="H36" s="12">
        <f t="shared" si="0"/>
        <v>1500</v>
      </c>
      <c r="I36" s="12">
        <f t="shared" si="1"/>
        <v>3000</v>
      </c>
      <c r="J36" s="12">
        <v>2</v>
      </c>
      <c r="K36" s="12">
        <v>2</v>
      </c>
      <c r="L36" s="12">
        <f>MATCH(F36,关卡道具消耗!$AA$6:$AA$83,1)-2+INDEX(关卡道具消耗!$C$16:$E$16,1,MATCH(J36,关卡道具消耗!$C$17:$E$17,0))-1</f>
        <v>11</v>
      </c>
      <c r="M36" s="12">
        <f>IF($D$16=验算胜率!$F$5,验算胜率!K36,0)*H36*关卡道具消耗!$D$8/关卡道具消耗!$D$26</f>
        <v>0</v>
      </c>
      <c r="N36" s="12">
        <f>INDEX(关卡奖励!$AH$6:$AH$8,MATCH($D$14,关卡奖励!$W$6:$W$8,0))*H36</f>
        <v>1750.5</v>
      </c>
      <c r="O36" s="12">
        <f>INDEX(关卡奖励!$AI$9:$AI$11,MATCH($D$14,关卡奖励!$W$9:$W$11,0))*((1/G36)-1)*H36</f>
        <v>295.875</v>
      </c>
      <c r="P36" s="12">
        <f>I36-N36-O36</f>
        <v>953.625</v>
      </c>
      <c r="Q36" s="12">
        <f>1/G36</f>
        <v>2</v>
      </c>
      <c r="R36" s="12">
        <f>IFERROR(INDEX(base_v,MATCH($F36,base_k,1)),0)*离线奖励!$C$12</f>
        <v>6300</v>
      </c>
      <c r="S36" s="12">
        <f>IFERROR(INDEX(关卡进度奖励!$I$7:$I$15,MATCH(F36,关卡进度奖励!$D$7:$D$15,0)),0)</f>
        <v>0</v>
      </c>
      <c r="T36" s="12">
        <f>AVERAGE(签到!$E$7:$E$13)*$H36</f>
        <v>6196.5714285714284</v>
      </c>
      <c r="U36" s="12">
        <f>转盘!$C$26*H36*V36/$D$13</f>
        <v>0</v>
      </c>
      <c r="V36" s="12">
        <f t="shared" si="4"/>
        <v>0</v>
      </c>
      <c r="W36" s="12">
        <f>IFERROR(MATCH(INDEX(转盘!$C$17:$F$17,1,MATCH($D$13,转盘!$C$16:$F$16,0))*MAX(F36-转盘!$C$6,0),转盘!$L$9:$L$51,1),0)</f>
        <v>1</v>
      </c>
      <c r="X36" s="12">
        <f>IFERROR(MATCH($F36,gift_k_level,0)^0,0)*进度礼包!$C$17*$H36/$D$13</f>
        <v>0</v>
      </c>
      <c r="Y36" s="12">
        <f>IFERROR(MATCH($F36,turn_k_1,0)^0,0)*转盘!$C$42*$H36/$D$13</f>
        <v>0</v>
      </c>
      <c r="Z36" s="12">
        <f>IFERROR(MATCH($F36,gift_k_level,0)^0,0)*进度礼包!$C$34*$H36/$D$13</f>
        <v>0</v>
      </c>
      <c r="AA36" s="12">
        <f>IFERROR(MATCH($F36,gift_k_time,0)^0,0)*限时礼包!$C$15*$H36/$D$13</f>
        <v>0</v>
      </c>
      <c r="AB36" s="12">
        <f>SUM(H$6:H36)</f>
        <v>37000</v>
      </c>
      <c r="AC36" s="12">
        <f>SUM(N$6:N36)+SUM($M$6:M36)</f>
        <v>43179</v>
      </c>
      <c r="AD36" s="12">
        <f>SUM(O$6:O36)</f>
        <v>5325.9472500000002</v>
      </c>
      <c r="AE36" s="12">
        <f>SUM($P$6:P36)</f>
        <v>15495.052749999999</v>
      </c>
      <c r="AF36" s="12">
        <f>SUM(U$6:U36)</f>
        <v>3847.169811320754</v>
      </c>
      <c r="AG36" s="12">
        <f>SUM(S$6:S36)</f>
        <v>2500</v>
      </c>
      <c r="AH36" s="12">
        <f>SUM(Y$6:Y36)</f>
        <v>33317</v>
      </c>
      <c r="AI36" s="12">
        <f>SUM(X$6:X36)</f>
        <v>0</v>
      </c>
      <c r="AJ36" s="12">
        <f>SUM(Z$6:Z36)</f>
        <v>0</v>
      </c>
      <c r="AK36" s="12">
        <f>SUM(AA$6:AA36)</f>
        <v>44683.290809067075</v>
      </c>
      <c r="AL36" s="12">
        <f>F36</f>
        <v>31</v>
      </c>
      <c r="AM36" s="12">
        <f t="shared" si="2"/>
        <v>64852.117061320751</v>
      </c>
      <c r="AN36" s="12">
        <f>SUM(I$6:I36)</f>
        <v>64000</v>
      </c>
      <c r="AO36" s="8">
        <f>SUM(Q$6:Q36)</f>
        <v>52</v>
      </c>
      <c r="AP36" s="12">
        <f t="shared" si="3"/>
        <v>852.11706132075051</v>
      </c>
      <c r="AS36" s="12">
        <v>30</v>
      </c>
      <c r="AT36" s="12">
        <v>20</v>
      </c>
      <c r="AU36" s="12">
        <f t="shared" si="9"/>
        <v>610</v>
      </c>
      <c r="AV36" s="12">
        <f t="shared" si="10"/>
        <v>0</v>
      </c>
      <c r="AW36" s="12">
        <f>INDEX($AO$6:$AO$215,MATCH(BC36,$F$6:$F$215,0))</f>
        <v>467</v>
      </c>
      <c r="AX36" s="12">
        <f t="shared" si="11"/>
        <v>1135512.1739951316</v>
      </c>
      <c r="AY36" s="12">
        <f t="shared" si="5"/>
        <v>7650</v>
      </c>
      <c r="AZ36" s="12">
        <f t="shared" si="6"/>
        <v>10740.72380952381</v>
      </c>
      <c r="BA36" s="12">
        <f>AX36+SUM($AY$6:AY36)+SUM($AZ$6:AZ36)</f>
        <v>1610875.4311379888</v>
      </c>
      <c r="BB36" s="12">
        <f t="shared" si="12"/>
        <v>956200</v>
      </c>
      <c r="BC36" s="12">
        <f t="shared" si="13"/>
        <v>210</v>
      </c>
      <c r="BD36" s="12">
        <f t="shared" si="14"/>
        <v>0</v>
      </c>
      <c r="BE36" s="12">
        <f t="shared" si="15"/>
        <v>211</v>
      </c>
      <c r="BF36" s="12">
        <f t="shared" si="8"/>
        <v>654675.43113798881</v>
      </c>
    </row>
    <row r="37" spans="6:58" x14ac:dyDescent="0.35">
      <c r="F37" s="12">
        <v>32</v>
      </c>
      <c r="G37" s="8">
        <f>INDEX(验算胜率!$E$6:$I$1005,F37,MATCH($D$16,验算胜率!$E$5:$I$5,0))</f>
        <v>0.5</v>
      </c>
      <c r="H37" s="12">
        <f t="shared" si="0"/>
        <v>1500</v>
      </c>
      <c r="I37" s="12">
        <f t="shared" si="1"/>
        <v>3000</v>
      </c>
      <c r="J37" s="12">
        <v>4</v>
      </c>
      <c r="K37" s="12">
        <v>0</v>
      </c>
      <c r="L37" s="12">
        <f>MATCH(F37,关卡道具消耗!$AA$6:$AA$83,1)-2+INDEX(关卡道具消耗!$C$16:$E$16,1,MATCH(J37,关卡道具消耗!$C$17:$E$17,0))-1</f>
        <v>12</v>
      </c>
      <c r="M37" s="12">
        <f>IF($D$16=验算胜率!$F$5,验算胜率!K37,0)*H37*关卡道具消耗!$D$8/关卡道具消耗!$D$26</f>
        <v>0</v>
      </c>
      <c r="N37" s="12">
        <f>INDEX(关卡奖励!$AH$6:$AH$8,MATCH($D$14,关卡奖励!$W$6:$W$8,0))*H37</f>
        <v>1750.5</v>
      </c>
      <c r="O37" s="12">
        <f>INDEX(关卡奖励!$AI$9:$AI$11,MATCH($D$14,关卡奖励!$W$9:$W$11,0))*((1/G37)-1)*H37</f>
        <v>295.875</v>
      </c>
      <c r="P37" s="12">
        <f>I37-N37-O37</f>
        <v>953.625</v>
      </c>
      <c r="Q37" s="12">
        <f>1/G37</f>
        <v>2</v>
      </c>
      <c r="R37" s="12">
        <f>IFERROR(INDEX(base_v,MATCH($F37,base_k,1)),0)*离线奖励!$C$12</f>
        <v>6300</v>
      </c>
      <c r="S37" s="12">
        <f>IFERROR(INDEX(关卡进度奖励!$I$7:$I$15,MATCH(F37,关卡进度奖励!$D$7:$D$15,0)),0)</f>
        <v>0</v>
      </c>
      <c r="T37" s="12">
        <f>AVERAGE(签到!$E$7:$E$13)*$H37</f>
        <v>6196.5714285714284</v>
      </c>
      <c r="U37" s="12">
        <f>转盘!$C$26*H37*V37/$D$13</f>
        <v>0</v>
      </c>
      <c r="V37" s="12">
        <f t="shared" si="4"/>
        <v>0</v>
      </c>
      <c r="W37" s="12">
        <f>IFERROR(MATCH(INDEX(转盘!$C$17:$F$17,1,MATCH($D$13,转盘!$C$16:$F$16,0))*MAX(F37-转盘!$C$6,0),转盘!$L$9:$L$51,1),0)</f>
        <v>1</v>
      </c>
      <c r="X37" s="12">
        <f>IFERROR(MATCH($F37,gift_k_level,0)^0,0)*进度礼包!$C$17*$H37/$D$13</f>
        <v>0</v>
      </c>
      <c r="Y37" s="12">
        <f>IFERROR(MATCH($F37,turn_k_1,0)^0,0)*转盘!$C$42*$H37/$D$13</f>
        <v>0</v>
      </c>
      <c r="Z37" s="12">
        <f>IFERROR(MATCH($F37,gift_k_level,0)^0,0)*进度礼包!$C$34*$H37/$D$13</f>
        <v>0</v>
      </c>
      <c r="AA37" s="12">
        <f>IFERROR(MATCH($F37,gift_k_time,0)^0,0)*限时礼包!$C$15*$H37/$D$13</f>
        <v>0</v>
      </c>
      <c r="AB37" s="12">
        <f>SUM(H$6:H37)</f>
        <v>38500</v>
      </c>
      <c r="AC37" s="12">
        <f>SUM(N$6:N37)+SUM($M$6:M37)</f>
        <v>44929.5</v>
      </c>
      <c r="AD37" s="12">
        <f>SUM(O$6:O37)</f>
        <v>5621.8222500000002</v>
      </c>
      <c r="AE37" s="12">
        <f>SUM($P$6:P37)</f>
        <v>16448.677749999999</v>
      </c>
      <c r="AF37" s="12">
        <f>SUM(U$6:U37)</f>
        <v>3847.169811320754</v>
      </c>
      <c r="AG37" s="12">
        <f>SUM(S$6:S37)</f>
        <v>2500</v>
      </c>
      <c r="AH37" s="12">
        <f>SUM(Y$6:Y37)</f>
        <v>33317</v>
      </c>
      <c r="AI37" s="12">
        <f>SUM(X$6:X37)</f>
        <v>0</v>
      </c>
      <c r="AJ37" s="12">
        <f>SUM(Z$6:Z37)</f>
        <v>0</v>
      </c>
      <c r="AK37" s="12">
        <f>SUM(AA$6:AA37)</f>
        <v>44683.290809067075</v>
      </c>
      <c r="AL37" s="12">
        <f>F37</f>
        <v>32</v>
      </c>
      <c r="AM37" s="12">
        <f t="shared" si="2"/>
        <v>66898.492061320751</v>
      </c>
      <c r="AN37" s="12">
        <f>SUM(I$6:I37)</f>
        <v>67000</v>
      </c>
      <c r="AO37" s="8">
        <f>SUM(Q$6:Q37)</f>
        <v>54</v>
      </c>
      <c r="AP37" s="12">
        <f t="shared" si="3"/>
        <v>-101.50793867924949</v>
      </c>
      <c r="AS37" s="12">
        <v>31</v>
      </c>
      <c r="AT37" s="12">
        <v>20</v>
      </c>
      <c r="AU37" s="12">
        <f t="shared" si="9"/>
        <v>630</v>
      </c>
      <c r="AV37" s="12">
        <f t="shared" si="10"/>
        <v>0</v>
      </c>
      <c r="AW37" s="12">
        <f>INDEX($AO$6:$AO$215,MATCH(BC37,$F$6:$F$215,0))</f>
        <v>467</v>
      </c>
      <c r="AX37" s="12">
        <f t="shared" si="11"/>
        <v>1135512.1739951316</v>
      </c>
      <c r="AY37" s="12">
        <f t="shared" si="5"/>
        <v>7650</v>
      </c>
      <c r="AZ37" s="12">
        <f t="shared" si="6"/>
        <v>10740.72380952381</v>
      </c>
      <c r="BA37" s="12">
        <f>AX37+SUM($AY$6:AY37)+SUM($AZ$6:AZ37)</f>
        <v>1629266.1549475126</v>
      </c>
      <c r="BB37" s="12">
        <f t="shared" si="12"/>
        <v>956200</v>
      </c>
      <c r="BC37" s="12">
        <f t="shared" si="13"/>
        <v>210</v>
      </c>
      <c r="BD37" s="12">
        <f t="shared" si="14"/>
        <v>0</v>
      </c>
      <c r="BE37" s="12">
        <f t="shared" si="15"/>
        <v>211</v>
      </c>
      <c r="BF37" s="12">
        <f t="shared" si="8"/>
        <v>673066.15494751255</v>
      </c>
    </row>
    <row r="38" spans="6:58" x14ac:dyDescent="0.35">
      <c r="F38" s="12">
        <v>33</v>
      </c>
      <c r="G38" s="8">
        <f>INDEX(验算胜率!$E$6:$I$1005,F38,MATCH($D$16,验算胜率!$E$5:$I$5,0))</f>
        <v>0.5</v>
      </c>
      <c r="H38" s="12">
        <f t="shared" si="0"/>
        <v>1500</v>
      </c>
      <c r="I38" s="12">
        <f t="shared" si="1"/>
        <v>3000</v>
      </c>
      <c r="J38" s="12">
        <v>4</v>
      </c>
      <c r="K38" s="12">
        <v>0</v>
      </c>
      <c r="L38" s="12">
        <f>MATCH(F38,关卡道具消耗!$AA$6:$AA$83,1)-2+INDEX(关卡道具消耗!$C$16:$E$16,1,MATCH(J38,关卡道具消耗!$C$17:$E$17,0))-1</f>
        <v>12</v>
      </c>
      <c r="M38" s="12">
        <f>IF($D$16=验算胜率!$F$5,验算胜率!K38,0)*H38*关卡道具消耗!$D$8/关卡道具消耗!$D$26</f>
        <v>0</v>
      </c>
      <c r="N38" s="12">
        <f>INDEX(关卡奖励!$AH$6:$AH$8,MATCH($D$14,关卡奖励!$W$6:$W$8,0))*H38</f>
        <v>1750.5</v>
      </c>
      <c r="O38" s="12">
        <f>INDEX(关卡奖励!$AI$9:$AI$11,MATCH($D$14,关卡奖励!$W$9:$W$11,0))*((1/G38)-1)*H38</f>
        <v>295.875</v>
      </c>
      <c r="P38" s="12">
        <f>I38-N38-O38</f>
        <v>953.625</v>
      </c>
      <c r="Q38" s="12">
        <f>1/G38</f>
        <v>2</v>
      </c>
      <c r="R38" s="12">
        <f>IFERROR(INDEX(base_v,MATCH($F38,base_k,1)),0)*离线奖励!$C$12</f>
        <v>6300</v>
      </c>
      <c r="S38" s="12">
        <f>IFERROR(INDEX(关卡进度奖励!$I$7:$I$15,MATCH(F38,关卡进度奖励!$D$7:$D$15,0)),0)</f>
        <v>0</v>
      </c>
      <c r="T38" s="12">
        <f>AVERAGE(签到!$E$7:$E$13)*$H38</f>
        <v>6196.5714285714284</v>
      </c>
      <c r="U38" s="12">
        <f>转盘!$C$26*H38*V38/$D$13</f>
        <v>0</v>
      </c>
      <c r="V38" s="12">
        <f t="shared" si="4"/>
        <v>0</v>
      </c>
      <c r="W38" s="12">
        <f>IFERROR(MATCH(INDEX(转盘!$C$17:$F$17,1,MATCH($D$13,转盘!$C$16:$F$16,0))*MAX(F38-转盘!$C$6,0),转盘!$L$9:$L$51,1),0)</f>
        <v>1</v>
      </c>
      <c r="X38" s="12">
        <f>IFERROR(MATCH($F38,gift_k_level,0)^0,0)*进度礼包!$C$17*$H38/$D$13</f>
        <v>0</v>
      </c>
      <c r="Y38" s="12">
        <f>IFERROR(MATCH($F38,turn_k_1,0)^0,0)*转盘!$C$42*$H38/$D$13</f>
        <v>0</v>
      </c>
      <c r="Z38" s="12">
        <f>IFERROR(MATCH($F38,gift_k_level,0)^0,0)*进度礼包!$C$34*$H38/$D$13</f>
        <v>0</v>
      </c>
      <c r="AA38" s="12">
        <f>IFERROR(MATCH($F38,gift_k_time,0)^0,0)*限时礼包!$C$15*$H38/$D$13</f>
        <v>0</v>
      </c>
      <c r="AB38" s="12">
        <f>SUM(H$6:H38)</f>
        <v>40000</v>
      </c>
      <c r="AC38" s="12">
        <f>SUM(N$6:N38)+SUM($M$6:M38)</f>
        <v>46680</v>
      </c>
      <c r="AD38" s="12">
        <f>SUM(O$6:O38)</f>
        <v>5917.6972500000002</v>
      </c>
      <c r="AE38" s="12">
        <f>SUM($P$6:P38)</f>
        <v>17402.302749999999</v>
      </c>
      <c r="AF38" s="12">
        <f>SUM(U$6:U38)</f>
        <v>3847.169811320754</v>
      </c>
      <c r="AG38" s="12">
        <f>SUM(S$6:S38)</f>
        <v>2500</v>
      </c>
      <c r="AH38" s="12">
        <f>SUM(Y$6:Y38)</f>
        <v>33317</v>
      </c>
      <c r="AI38" s="12">
        <f>SUM(X$6:X38)</f>
        <v>0</v>
      </c>
      <c r="AJ38" s="12">
        <f>SUM(Z$6:Z38)</f>
        <v>0</v>
      </c>
      <c r="AK38" s="12">
        <f>SUM(AA$6:AA38)</f>
        <v>44683.290809067075</v>
      </c>
      <c r="AL38" s="12">
        <f>F38</f>
        <v>33</v>
      </c>
      <c r="AM38" s="12">
        <f t="shared" si="2"/>
        <v>68944.867061320751</v>
      </c>
      <c r="AN38" s="12">
        <f>SUM(I$6:I38)</f>
        <v>70000</v>
      </c>
      <c r="AO38" s="8">
        <f>SUM(Q$6:Q38)</f>
        <v>56</v>
      </c>
      <c r="AP38" s="12">
        <f t="shared" si="3"/>
        <v>-1055.1329386792495</v>
      </c>
      <c r="AS38" s="12">
        <v>32</v>
      </c>
      <c r="AT38" s="12">
        <v>20</v>
      </c>
      <c r="AU38" s="12">
        <f t="shared" si="9"/>
        <v>650</v>
      </c>
      <c r="AV38" s="12">
        <f t="shared" si="10"/>
        <v>0</v>
      </c>
      <c r="AW38" s="12">
        <f>INDEX($AO$6:$AO$215,MATCH(BC38,$F$6:$F$215,0))</f>
        <v>467</v>
      </c>
      <c r="AX38" s="12">
        <f t="shared" si="11"/>
        <v>1135512.1739951316</v>
      </c>
      <c r="AY38" s="12">
        <f t="shared" si="5"/>
        <v>7650</v>
      </c>
      <c r="AZ38" s="12">
        <f t="shared" si="6"/>
        <v>10740.72380952381</v>
      </c>
      <c r="BA38" s="12">
        <f>AX38+SUM($AY$6:AY38)+SUM($AZ$6:AZ38)</f>
        <v>1647656.8787570363</v>
      </c>
      <c r="BB38" s="12">
        <f t="shared" si="12"/>
        <v>956200</v>
      </c>
      <c r="BC38" s="12">
        <f t="shared" si="13"/>
        <v>210</v>
      </c>
      <c r="BD38" s="12">
        <f t="shared" si="14"/>
        <v>0</v>
      </c>
      <c r="BE38" s="12">
        <f t="shared" si="15"/>
        <v>211</v>
      </c>
      <c r="BF38" s="12">
        <f t="shared" si="8"/>
        <v>691456.87875703629</v>
      </c>
    </row>
    <row r="39" spans="6:58" x14ac:dyDescent="0.35">
      <c r="F39" s="12">
        <v>34</v>
      </c>
      <c r="G39" s="8">
        <f>INDEX(验算胜率!$E$6:$I$1005,F39,MATCH($D$16,验算胜率!$E$5:$I$5,0))</f>
        <v>0.5</v>
      </c>
      <c r="H39" s="12">
        <f t="shared" si="0"/>
        <v>1500</v>
      </c>
      <c r="I39" s="12">
        <f t="shared" si="1"/>
        <v>3000</v>
      </c>
      <c r="J39" s="12">
        <v>4</v>
      </c>
      <c r="K39" s="12">
        <v>1</v>
      </c>
      <c r="L39" s="12">
        <f>MATCH(F39,关卡道具消耗!$AA$6:$AA$83,1)-2+INDEX(关卡道具消耗!$C$16:$E$16,1,MATCH(J39,关卡道具消耗!$C$17:$E$17,0))-1</f>
        <v>12</v>
      </c>
      <c r="M39" s="12">
        <f>IF($D$16=验算胜率!$F$5,验算胜率!K39,0)*H39*关卡道具消耗!$D$8/关卡道具消耗!$D$26</f>
        <v>0</v>
      </c>
      <c r="N39" s="12">
        <f>INDEX(关卡奖励!$AH$6:$AH$8,MATCH($D$14,关卡奖励!$W$6:$W$8,0))*H39</f>
        <v>1750.5</v>
      </c>
      <c r="O39" s="12">
        <f>INDEX(关卡奖励!$AI$9:$AI$11,MATCH($D$14,关卡奖励!$W$9:$W$11,0))*((1/G39)-1)*H39</f>
        <v>295.875</v>
      </c>
      <c r="P39" s="12">
        <f>I39-N39-O39</f>
        <v>953.625</v>
      </c>
      <c r="Q39" s="12">
        <f>1/G39</f>
        <v>2</v>
      </c>
      <c r="R39" s="12">
        <f>IFERROR(INDEX(base_v,MATCH($F39,base_k,1)),0)*离线奖励!$C$12</f>
        <v>6300</v>
      </c>
      <c r="S39" s="12">
        <f>IFERROR(INDEX(关卡进度奖励!$I$7:$I$15,MATCH(F39,关卡进度奖励!$D$7:$D$15,0)),0)</f>
        <v>0</v>
      </c>
      <c r="T39" s="12">
        <f>AVERAGE(签到!$E$7:$E$13)*$H39</f>
        <v>6196.5714285714284</v>
      </c>
      <c r="U39" s="12">
        <f>转盘!$C$26*H39*V39/$D$13</f>
        <v>0</v>
      </c>
      <c r="V39" s="12">
        <f t="shared" si="4"/>
        <v>0</v>
      </c>
      <c r="W39" s="12">
        <f>IFERROR(MATCH(INDEX(转盘!$C$17:$F$17,1,MATCH($D$13,转盘!$C$16:$F$16,0))*MAX(F39-转盘!$C$6,0),转盘!$L$9:$L$51,1),0)</f>
        <v>1</v>
      </c>
      <c r="X39" s="12">
        <f>IFERROR(MATCH($F39,gift_k_level,0)^0,0)*进度礼包!$C$17*$H39/$D$13</f>
        <v>0</v>
      </c>
      <c r="Y39" s="12">
        <f>IFERROR(MATCH($F39,turn_k_1,0)^0,0)*转盘!$C$42*$H39/$D$13</f>
        <v>0</v>
      </c>
      <c r="Z39" s="12">
        <f>IFERROR(MATCH($F39,gift_k_level,0)^0,0)*进度礼包!$C$34*$H39/$D$13</f>
        <v>0</v>
      </c>
      <c r="AA39" s="12">
        <f>IFERROR(MATCH($F39,gift_k_time,0)^0,0)*限时礼包!$C$15*$H39/$D$13</f>
        <v>0</v>
      </c>
      <c r="AB39" s="12">
        <f>SUM(H$6:H39)</f>
        <v>41500</v>
      </c>
      <c r="AC39" s="12">
        <f>SUM(N$6:N39)+SUM($M$6:M39)</f>
        <v>48430.5</v>
      </c>
      <c r="AD39" s="12">
        <f>SUM(O$6:O39)</f>
        <v>6213.5722500000002</v>
      </c>
      <c r="AE39" s="12">
        <f>SUM($P$6:P39)</f>
        <v>18355.927749999999</v>
      </c>
      <c r="AF39" s="12">
        <f>SUM(U$6:U39)</f>
        <v>3847.169811320754</v>
      </c>
      <c r="AG39" s="12">
        <f>SUM(S$6:S39)</f>
        <v>2500</v>
      </c>
      <c r="AH39" s="12">
        <f>SUM(Y$6:Y39)</f>
        <v>33317</v>
      </c>
      <c r="AI39" s="12">
        <f>SUM(X$6:X39)</f>
        <v>0</v>
      </c>
      <c r="AJ39" s="12">
        <f>SUM(Z$6:Z39)</f>
        <v>0</v>
      </c>
      <c r="AK39" s="12">
        <f>SUM(AA$6:AA39)</f>
        <v>44683.290809067075</v>
      </c>
      <c r="AL39" s="12">
        <f>F39</f>
        <v>34</v>
      </c>
      <c r="AM39" s="12">
        <f t="shared" si="2"/>
        <v>70991.242061320751</v>
      </c>
      <c r="AN39" s="12">
        <f>SUM(I$6:I39)</f>
        <v>73000</v>
      </c>
      <c r="AO39" s="8">
        <f>SUM(Q$6:Q39)</f>
        <v>58</v>
      </c>
      <c r="AP39" s="12">
        <f t="shared" si="3"/>
        <v>-2008.7579386792495</v>
      </c>
      <c r="AS39" s="12">
        <v>33</v>
      </c>
      <c r="AT39" s="12">
        <v>20</v>
      </c>
      <c r="AU39" s="12">
        <f t="shared" si="9"/>
        <v>670</v>
      </c>
      <c r="AV39" s="12">
        <f t="shared" si="10"/>
        <v>0</v>
      </c>
      <c r="AW39" s="12">
        <f>INDEX($AO$6:$AO$215,MATCH(BC39,$F$6:$F$215,0))</f>
        <v>467</v>
      </c>
      <c r="AX39" s="12">
        <f t="shared" si="11"/>
        <v>1135512.1739951316</v>
      </c>
      <c r="AY39" s="12">
        <f t="shared" si="5"/>
        <v>7650</v>
      </c>
      <c r="AZ39" s="12">
        <f t="shared" si="6"/>
        <v>10740.72380952381</v>
      </c>
      <c r="BA39" s="12">
        <f>AX39+SUM($AY$6:AY39)+SUM($AZ$6:AZ39)</f>
        <v>1666047.60256656</v>
      </c>
      <c r="BB39" s="12">
        <f t="shared" si="12"/>
        <v>956200</v>
      </c>
      <c r="BC39" s="12">
        <f t="shared" si="13"/>
        <v>210</v>
      </c>
      <c r="BD39" s="12">
        <f t="shared" si="14"/>
        <v>0</v>
      </c>
      <c r="BE39" s="12">
        <f t="shared" si="15"/>
        <v>211</v>
      </c>
      <c r="BF39" s="12">
        <f t="shared" si="8"/>
        <v>709847.60256656003</v>
      </c>
    </row>
    <row r="40" spans="6:58" x14ac:dyDescent="0.35">
      <c r="F40" s="12">
        <v>35</v>
      </c>
      <c r="G40" s="8">
        <f>INDEX(验算胜率!$E$6:$I$1005,F40,MATCH($D$16,验算胜率!$E$5:$I$5,0))</f>
        <v>0.5</v>
      </c>
      <c r="H40" s="12">
        <f t="shared" si="0"/>
        <v>1800</v>
      </c>
      <c r="I40" s="12">
        <f t="shared" si="1"/>
        <v>3600</v>
      </c>
      <c r="J40" s="12">
        <v>4</v>
      </c>
      <c r="K40" s="12">
        <v>1</v>
      </c>
      <c r="L40" s="12">
        <f>MATCH(F40,关卡道具消耗!$AA$6:$AA$83,1)-2+INDEX(关卡道具消耗!$C$16:$E$16,1,MATCH(J40,关卡道具消耗!$C$17:$E$17,0))-1</f>
        <v>15</v>
      </c>
      <c r="M40" s="12">
        <f>IF($D$16=验算胜率!$F$5,验算胜率!K40,0)*H40*关卡道具消耗!$D$8/关卡道具消耗!$D$26</f>
        <v>0</v>
      </c>
      <c r="N40" s="12">
        <f>INDEX(关卡奖励!$AH$6:$AH$8,MATCH($D$14,关卡奖励!$W$6:$W$8,0))*H40</f>
        <v>2100.6</v>
      </c>
      <c r="O40" s="12">
        <f>INDEX(关卡奖励!$AI$9:$AI$11,MATCH($D$14,关卡奖励!$W$9:$W$11,0))*((1/G40)-1)*H40</f>
        <v>355.05</v>
      </c>
      <c r="P40" s="12">
        <f>I40-N40-O40</f>
        <v>1144.3500000000001</v>
      </c>
      <c r="Q40" s="12">
        <f>1/G40</f>
        <v>2</v>
      </c>
      <c r="R40" s="12">
        <f>IFERROR(INDEX(base_v,MATCH($F40,base_k,1)),0)*离线奖励!$C$12</f>
        <v>6300</v>
      </c>
      <c r="S40" s="12">
        <f>IFERROR(INDEX(关卡进度奖励!$I$7:$I$15,MATCH(F40,关卡进度奖励!$D$7:$D$15,0)),0)</f>
        <v>0</v>
      </c>
      <c r="T40" s="12">
        <f>AVERAGE(签到!$E$7:$E$13)*$H40</f>
        <v>7435.8857142857141</v>
      </c>
      <c r="U40" s="12">
        <f>转盘!$C$26*H40*V40/$D$13</f>
        <v>0</v>
      </c>
      <c r="V40" s="12">
        <f t="shared" si="4"/>
        <v>0</v>
      </c>
      <c r="W40" s="12">
        <f>IFERROR(MATCH(INDEX(转盘!$C$17:$F$17,1,MATCH($D$13,转盘!$C$16:$F$16,0))*MAX(F40-转盘!$C$6,0),转盘!$L$9:$L$51,1),0)</f>
        <v>1</v>
      </c>
      <c r="X40" s="12">
        <f>IFERROR(MATCH($F40,gift_k_level,0)^0,0)*进度礼包!$C$17*$H40/$D$13</f>
        <v>0</v>
      </c>
      <c r="Y40" s="12">
        <f>IFERROR(MATCH($F40,turn_k_1,0)^0,0)*转盘!$C$42*$H40/$D$13</f>
        <v>0</v>
      </c>
      <c r="Z40" s="12">
        <f>IFERROR(MATCH($F40,gift_k_level,0)^0,0)*进度礼包!$C$34*$H40/$D$13</f>
        <v>0</v>
      </c>
      <c r="AA40" s="12">
        <f>IFERROR(MATCH($F40,gift_k_time,0)^0,0)*限时礼包!$C$15*$H40/$D$13</f>
        <v>0</v>
      </c>
      <c r="AB40" s="12">
        <f>SUM(H$6:H40)</f>
        <v>43300</v>
      </c>
      <c r="AC40" s="12">
        <f>SUM(N$6:N40)+SUM($M$6:M40)</f>
        <v>50531.1</v>
      </c>
      <c r="AD40" s="12">
        <f>SUM(O$6:O40)</f>
        <v>6568.6222500000003</v>
      </c>
      <c r="AE40" s="12">
        <f>SUM($P$6:P40)</f>
        <v>19500.277749999997</v>
      </c>
      <c r="AF40" s="12">
        <f>SUM(U$6:U40)</f>
        <v>3847.169811320754</v>
      </c>
      <c r="AG40" s="12">
        <f>SUM(S$6:S40)</f>
        <v>2500</v>
      </c>
      <c r="AH40" s="12">
        <f>SUM(Y$6:Y40)</f>
        <v>33317</v>
      </c>
      <c r="AI40" s="12">
        <f>SUM(X$6:X40)</f>
        <v>0</v>
      </c>
      <c r="AJ40" s="12">
        <f>SUM(Z$6:Z40)</f>
        <v>0</v>
      </c>
      <c r="AK40" s="12">
        <f>SUM(AA$6:AA40)</f>
        <v>44683.290809067075</v>
      </c>
      <c r="AL40" s="12">
        <f>F40</f>
        <v>35</v>
      </c>
      <c r="AM40" s="12">
        <f t="shared" si="2"/>
        <v>73446.892061320745</v>
      </c>
      <c r="AN40" s="12">
        <f>SUM(I$6:I40)</f>
        <v>76600</v>
      </c>
      <c r="AO40" s="8">
        <f>SUM(Q$6:Q40)</f>
        <v>60</v>
      </c>
      <c r="AP40" s="12">
        <f t="shared" si="3"/>
        <v>-3153.1079386792553</v>
      </c>
      <c r="AS40" s="12">
        <v>34</v>
      </c>
      <c r="AT40" s="12">
        <v>20</v>
      </c>
      <c r="AU40" s="12">
        <f t="shared" si="9"/>
        <v>690</v>
      </c>
      <c r="AV40" s="12">
        <f t="shared" si="10"/>
        <v>0</v>
      </c>
      <c r="AW40" s="12">
        <f>INDEX($AO$6:$AO$215,MATCH(BC40,$F$6:$F$215,0))</f>
        <v>467</v>
      </c>
      <c r="AX40" s="12">
        <f t="shared" si="11"/>
        <v>1135512.1739951316</v>
      </c>
      <c r="AY40" s="12">
        <f t="shared" si="5"/>
        <v>7650</v>
      </c>
      <c r="AZ40" s="12">
        <f t="shared" si="6"/>
        <v>10740.72380952381</v>
      </c>
      <c r="BA40" s="12">
        <f>AX40+SUM($AY$6:AY40)+SUM($AZ$6:AZ40)</f>
        <v>1684438.3263760838</v>
      </c>
      <c r="BB40" s="12">
        <f t="shared" si="12"/>
        <v>956200</v>
      </c>
      <c r="BC40" s="12">
        <f t="shared" si="13"/>
        <v>210</v>
      </c>
      <c r="BD40" s="12">
        <f t="shared" si="14"/>
        <v>0</v>
      </c>
      <c r="BE40" s="12">
        <f t="shared" si="15"/>
        <v>211</v>
      </c>
      <c r="BF40" s="12">
        <f t="shared" si="8"/>
        <v>728238.32637608377</v>
      </c>
    </row>
    <row r="41" spans="6:58" x14ac:dyDescent="0.35">
      <c r="F41" s="12">
        <v>36</v>
      </c>
      <c r="G41" s="8">
        <f>INDEX(验算胜率!$E$6:$I$1005,F41,MATCH($D$16,验算胜率!$E$5:$I$5,0))</f>
        <v>0.5</v>
      </c>
      <c r="H41" s="12">
        <f t="shared" si="0"/>
        <v>1800</v>
      </c>
      <c r="I41" s="12">
        <f t="shared" si="1"/>
        <v>3600</v>
      </c>
      <c r="J41" s="12">
        <v>4</v>
      </c>
      <c r="K41" s="12">
        <v>0</v>
      </c>
      <c r="L41" s="12">
        <f>MATCH(F41,关卡道具消耗!$AA$6:$AA$83,1)-2+INDEX(关卡道具消耗!$C$16:$E$16,1,MATCH(J41,关卡道具消耗!$C$17:$E$17,0))-1</f>
        <v>15</v>
      </c>
      <c r="M41" s="12">
        <f>IF($D$16=验算胜率!$F$5,验算胜率!K41,0)*H41*关卡道具消耗!$D$8/关卡道具消耗!$D$26</f>
        <v>0</v>
      </c>
      <c r="N41" s="12">
        <f>INDEX(关卡奖励!$AH$6:$AH$8,MATCH($D$14,关卡奖励!$W$6:$W$8,0))*H41</f>
        <v>2100.6</v>
      </c>
      <c r="O41" s="12">
        <f>INDEX(关卡奖励!$AI$9:$AI$11,MATCH($D$14,关卡奖励!$W$9:$W$11,0))*((1/G41)-1)*H41</f>
        <v>355.05</v>
      </c>
      <c r="P41" s="12">
        <f>I41-N41-O41</f>
        <v>1144.3500000000001</v>
      </c>
      <c r="Q41" s="12">
        <f>1/G41</f>
        <v>2</v>
      </c>
      <c r="R41" s="12">
        <f>IFERROR(INDEX(base_v,MATCH($F41,base_k,1)),0)*离线奖励!$C$12</f>
        <v>6300</v>
      </c>
      <c r="S41" s="12">
        <f>IFERROR(INDEX(关卡进度奖励!$I$7:$I$15,MATCH(F41,关卡进度奖励!$D$7:$D$15,0)),0)</f>
        <v>0</v>
      </c>
      <c r="T41" s="12">
        <f>AVERAGE(签到!$E$7:$E$13)*$H41</f>
        <v>7435.8857142857141</v>
      </c>
      <c r="U41" s="12">
        <f>转盘!$C$26*H41*V41/$D$13</f>
        <v>0</v>
      </c>
      <c r="V41" s="12">
        <f t="shared" si="4"/>
        <v>0</v>
      </c>
      <c r="W41" s="12">
        <f>IFERROR(MATCH(INDEX(转盘!$C$17:$F$17,1,MATCH($D$13,转盘!$C$16:$F$16,0))*MAX(F41-转盘!$C$6,0),转盘!$L$9:$L$51,1),0)</f>
        <v>1</v>
      </c>
      <c r="X41" s="12">
        <f>IFERROR(MATCH($F41,gift_k_level,0)^0,0)*进度礼包!$C$17*$H41/$D$13</f>
        <v>0</v>
      </c>
      <c r="Y41" s="12">
        <f>IFERROR(MATCH($F41,turn_k_1,0)^0,0)*转盘!$C$42*$H41/$D$13</f>
        <v>59970.6</v>
      </c>
      <c r="Z41" s="12">
        <f>IFERROR(MATCH($F41,gift_k_level,0)^0,0)*进度礼包!$C$34*$H41/$D$13</f>
        <v>0</v>
      </c>
      <c r="AA41" s="12">
        <f>IFERROR(MATCH($F41,gift_k_time,0)^0,0)*限时礼包!$C$15*$H41/$D$13</f>
        <v>0</v>
      </c>
      <c r="AB41" s="12">
        <f>SUM(H$6:H41)</f>
        <v>45100</v>
      </c>
      <c r="AC41" s="12">
        <f>SUM(N$6:N41)+SUM($M$6:M41)</f>
        <v>52631.7</v>
      </c>
      <c r="AD41" s="12">
        <f>SUM(O$6:O41)</f>
        <v>6923.6722500000005</v>
      </c>
      <c r="AE41" s="12">
        <f>SUM($P$6:P41)</f>
        <v>20644.627749999996</v>
      </c>
      <c r="AF41" s="12">
        <f>SUM(U$6:U41)</f>
        <v>3847.169811320754</v>
      </c>
      <c r="AG41" s="12">
        <f>SUM(S$6:S41)</f>
        <v>2500</v>
      </c>
      <c r="AH41" s="12">
        <f>SUM(Y$6:Y41)</f>
        <v>93287.6</v>
      </c>
      <c r="AI41" s="12">
        <f>SUM(X$6:X41)</f>
        <v>0</v>
      </c>
      <c r="AJ41" s="12">
        <f>SUM(Z$6:Z41)</f>
        <v>0</v>
      </c>
      <c r="AK41" s="12">
        <f>SUM(AA$6:AA41)</f>
        <v>44683.290809067075</v>
      </c>
      <c r="AL41" s="12">
        <f>F41</f>
        <v>36</v>
      </c>
      <c r="AM41" s="12">
        <f t="shared" si="2"/>
        <v>75902.542061320753</v>
      </c>
      <c r="AN41" s="12">
        <f>SUM(I$6:I41)</f>
        <v>80200</v>
      </c>
      <c r="AO41" s="8">
        <f>SUM(Q$6:Q41)</f>
        <v>62</v>
      </c>
      <c r="AP41" s="12">
        <f t="shared" si="3"/>
        <v>-4297.4579386792466</v>
      </c>
      <c r="AS41" s="12">
        <v>35</v>
      </c>
      <c r="AT41" s="12">
        <v>20</v>
      </c>
      <c r="AU41" s="12">
        <f t="shared" si="9"/>
        <v>710</v>
      </c>
      <c r="AV41" s="12">
        <f t="shared" si="10"/>
        <v>0</v>
      </c>
      <c r="AW41" s="12">
        <f>INDEX($AO$6:$AO$215,MATCH(BC41,$F$6:$F$215,0))</f>
        <v>467</v>
      </c>
      <c r="AX41" s="12">
        <f t="shared" si="11"/>
        <v>1135512.1739951316</v>
      </c>
      <c r="AY41" s="12">
        <f t="shared" si="5"/>
        <v>7650</v>
      </c>
      <c r="AZ41" s="12">
        <f t="shared" si="6"/>
        <v>10740.72380952381</v>
      </c>
      <c r="BA41" s="12">
        <f>AX41+SUM($AY$6:AY41)+SUM($AZ$6:AZ41)</f>
        <v>1702829.0501856077</v>
      </c>
      <c r="BB41" s="12">
        <f t="shared" si="12"/>
        <v>956200</v>
      </c>
      <c r="BC41" s="12">
        <f t="shared" si="13"/>
        <v>210</v>
      </c>
      <c r="BD41" s="12">
        <f t="shared" si="14"/>
        <v>0</v>
      </c>
      <c r="BE41" s="12">
        <f t="shared" si="15"/>
        <v>211</v>
      </c>
      <c r="BF41" s="12">
        <f t="shared" si="8"/>
        <v>746629.05018560775</v>
      </c>
    </row>
    <row r="42" spans="6:58" x14ac:dyDescent="0.35">
      <c r="F42" s="12">
        <v>37</v>
      </c>
      <c r="G42" s="8">
        <f>INDEX(验算胜率!$E$6:$I$1005,F42,MATCH($D$16,验算胜率!$E$5:$I$5,0))</f>
        <v>0.5</v>
      </c>
      <c r="H42" s="12">
        <f t="shared" si="0"/>
        <v>1800</v>
      </c>
      <c r="I42" s="12">
        <f t="shared" si="1"/>
        <v>3600</v>
      </c>
      <c r="J42" s="12">
        <v>4</v>
      </c>
      <c r="K42" s="12">
        <v>0</v>
      </c>
      <c r="L42" s="12">
        <f>MATCH(F42,关卡道具消耗!$AA$6:$AA$83,1)-2+INDEX(关卡道具消耗!$C$16:$E$16,1,MATCH(J42,关卡道具消耗!$C$17:$E$17,0))-1</f>
        <v>15</v>
      </c>
      <c r="M42" s="12">
        <f>IF($D$16=验算胜率!$F$5,验算胜率!K42,0)*H42*关卡道具消耗!$D$8/关卡道具消耗!$D$26</f>
        <v>0</v>
      </c>
      <c r="N42" s="12">
        <f>INDEX(关卡奖励!$AH$6:$AH$8,MATCH($D$14,关卡奖励!$W$6:$W$8,0))*H42</f>
        <v>2100.6</v>
      </c>
      <c r="O42" s="12">
        <f>INDEX(关卡奖励!$AI$9:$AI$11,MATCH($D$14,关卡奖励!$W$9:$W$11,0))*((1/G42)-1)*H42</f>
        <v>355.05</v>
      </c>
      <c r="P42" s="12">
        <f>I42-N42-O42</f>
        <v>1144.3500000000001</v>
      </c>
      <c r="Q42" s="12">
        <f>1/G42</f>
        <v>2</v>
      </c>
      <c r="R42" s="12">
        <f>IFERROR(INDEX(base_v,MATCH($F42,base_k,1)),0)*离线奖励!$C$12</f>
        <v>6300</v>
      </c>
      <c r="S42" s="12">
        <f>IFERROR(INDEX(关卡进度奖励!$I$7:$I$15,MATCH(F42,关卡进度奖励!$D$7:$D$15,0)),0)</f>
        <v>0</v>
      </c>
      <c r="T42" s="12">
        <f>AVERAGE(签到!$E$7:$E$13)*$H42</f>
        <v>7435.8857142857141</v>
      </c>
      <c r="U42" s="12">
        <f>转盘!$C$26*H42*V42/$D$13</f>
        <v>6924.9056603773579</v>
      </c>
      <c r="V42" s="12">
        <f t="shared" si="4"/>
        <v>1</v>
      </c>
      <c r="W42" s="12">
        <f>IFERROR(MATCH(INDEX(转盘!$C$17:$F$17,1,MATCH($D$13,转盘!$C$16:$F$16,0))*MAX(F42-转盘!$C$6,0),转盘!$L$9:$L$51,1),0)</f>
        <v>2</v>
      </c>
      <c r="X42" s="12">
        <f>IFERROR(MATCH($F42,gift_k_level,0)^0,0)*进度礼包!$C$17*$H42/$D$13</f>
        <v>0</v>
      </c>
      <c r="Y42" s="12">
        <f>IFERROR(MATCH($F42,turn_k_1,0)^0,0)*转盘!$C$42*$H42/$D$13</f>
        <v>0</v>
      </c>
      <c r="Z42" s="12">
        <f>IFERROR(MATCH($F42,gift_k_level,0)^0,0)*进度礼包!$C$34*$H42/$D$13</f>
        <v>0</v>
      </c>
      <c r="AA42" s="12">
        <f>IFERROR(MATCH($F42,gift_k_time,0)^0,0)*限时礼包!$C$15*$H42/$D$13</f>
        <v>53619.94897088049</v>
      </c>
      <c r="AB42" s="12">
        <f>SUM(H$6:H42)</f>
        <v>46900</v>
      </c>
      <c r="AC42" s="12">
        <f>SUM(N$6:N42)+SUM($M$6:M42)</f>
        <v>54732.299999999996</v>
      </c>
      <c r="AD42" s="12">
        <f>SUM(O$6:O42)</f>
        <v>7278.7222500000007</v>
      </c>
      <c r="AE42" s="12">
        <f>SUM($P$6:P42)</f>
        <v>21788.977749999995</v>
      </c>
      <c r="AF42" s="12">
        <f>SUM(U$6:U42)</f>
        <v>10772.075471698112</v>
      </c>
      <c r="AG42" s="12">
        <f>SUM(S$6:S42)</f>
        <v>2500</v>
      </c>
      <c r="AH42" s="12">
        <f>SUM(Y$6:Y42)</f>
        <v>93287.6</v>
      </c>
      <c r="AI42" s="12">
        <f>SUM(X$6:X42)</f>
        <v>0</v>
      </c>
      <c r="AJ42" s="12">
        <f>SUM(Z$6:Z42)</f>
        <v>0</v>
      </c>
      <c r="AK42" s="12">
        <f>SUM(AA$6:AA42)</f>
        <v>98303.239779947558</v>
      </c>
      <c r="AL42" s="12">
        <f>F42</f>
        <v>37</v>
      </c>
      <c r="AM42" s="12">
        <f t="shared" si="2"/>
        <v>85283.097721698112</v>
      </c>
      <c r="AN42" s="12">
        <f>SUM(I$6:I42)</f>
        <v>83800</v>
      </c>
      <c r="AO42" s="8">
        <f>SUM(Q$6:Q42)</f>
        <v>64</v>
      </c>
      <c r="AP42" s="12">
        <f t="shared" si="3"/>
        <v>1483.0977216981119</v>
      </c>
      <c r="AS42" s="12">
        <v>36</v>
      </c>
      <c r="AT42" s="12">
        <v>20</v>
      </c>
      <c r="AU42" s="12">
        <f t="shared" si="9"/>
        <v>730</v>
      </c>
      <c r="AV42" s="12">
        <f t="shared" si="10"/>
        <v>0</v>
      </c>
      <c r="AW42" s="12">
        <f>INDEX($AO$6:$AO$215,MATCH(BC42,$F$6:$F$215,0))</f>
        <v>467</v>
      </c>
      <c r="AX42" s="12">
        <f t="shared" si="11"/>
        <v>1135512.1739951316</v>
      </c>
      <c r="AY42" s="12">
        <f t="shared" si="5"/>
        <v>7650</v>
      </c>
      <c r="AZ42" s="12">
        <f t="shared" si="6"/>
        <v>10740.72380952381</v>
      </c>
      <c r="BA42" s="12">
        <f>AX42+SUM($AY$6:AY42)+SUM($AZ$6:AZ42)</f>
        <v>1721219.7739951315</v>
      </c>
      <c r="BB42" s="12">
        <f t="shared" si="12"/>
        <v>956200</v>
      </c>
      <c r="BC42" s="12">
        <f t="shared" si="13"/>
        <v>210</v>
      </c>
      <c r="BD42" s="12">
        <f t="shared" si="14"/>
        <v>0</v>
      </c>
      <c r="BE42" s="12">
        <f t="shared" si="15"/>
        <v>211</v>
      </c>
      <c r="BF42" s="12">
        <f t="shared" si="8"/>
        <v>765019.77399513149</v>
      </c>
    </row>
    <row r="43" spans="6:58" x14ac:dyDescent="0.35">
      <c r="F43" s="12">
        <v>38</v>
      </c>
      <c r="G43" s="8">
        <f>INDEX(验算胜率!$E$6:$I$1005,F43,MATCH($D$16,验算胜率!$E$5:$I$5,0))</f>
        <v>0.5</v>
      </c>
      <c r="H43" s="12">
        <f t="shared" si="0"/>
        <v>1800</v>
      </c>
      <c r="I43" s="12">
        <f t="shared" si="1"/>
        <v>3600</v>
      </c>
      <c r="J43" s="12">
        <v>4</v>
      </c>
      <c r="K43" s="12">
        <v>4</v>
      </c>
      <c r="L43" s="12">
        <f>MATCH(F43,关卡道具消耗!$AA$6:$AA$83,1)-2+INDEX(关卡道具消耗!$C$16:$E$16,1,MATCH(J43,关卡道具消耗!$C$17:$E$17,0))-1</f>
        <v>15</v>
      </c>
      <c r="M43" s="12">
        <f>IF($D$16=验算胜率!$F$5,验算胜率!K43,0)*H43*关卡道具消耗!$D$8/关卡道具消耗!$D$26</f>
        <v>0</v>
      </c>
      <c r="N43" s="12">
        <f>INDEX(关卡奖励!$AH$6:$AH$8,MATCH($D$14,关卡奖励!$W$6:$W$8,0))*H43</f>
        <v>2100.6</v>
      </c>
      <c r="O43" s="12">
        <f>INDEX(关卡奖励!$AI$9:$AI$11,MATCH($D$14,关卡奖励!$W$9:$W$11,0))*((1/G43)-1)*H43</f>
        <v>355.05</v>
      </c>
      <c r="P43" s="12">
        <f>I43-N43-O43</f>
        <v>1144.3500000000001</v>
      </c>
      <c r="Q43" s="12">
        <f>1/G43</f>
        <v>2</v>
      </c>
      <c r="R43" s="12">
        <f>IFERROR(INDEX(base_v,MATCH($F43,base_k,1)),0)*离线奖励!$C$12</f>
        <v>6300</v>
      </c>
      <c r="S43" s="12">
        <f>IFERROR(INDEX(关卡进度奖励!$I$7:$I$15,MATCH(F43,关卡进度奖励!$D$7:$D$15,0)),0)</f>
        <v>0</v>
      </c>
      <c r="T43" s="12">
        <f>AVERAGE(签到!$E$7:$E$13)*$H43</f>
        <v>7435.8857142857141</v>
      </c>
      <c r="U43" s="12">
        <f>转盘!$C$26*H43*V43/$D$13</f>
        <v>0</v>
      </c>
      <c r="V43" s="12">
        <f t="shared" si="4"/>
        <v>0</v>
      </c>
      <c r="W43" s="12">
        <f>IFERROR(MATCH(INDEX(转盘!$C$17:$F$17,1,MATCH($D$13,转盘!$C$16:$F$16,0))*MAX(F43-转盘!$C$6,0),转盘!$L$9:$L$51,1),0)</f>
        <v>2</v>
      </c>
      <c r="X43" s="12">
        <f>IFERROR(MATCH($F43,gift_k_level,0)^0,0)*进度礼包!$C$17*$H43/$D$13</f>
        <v>0</v>
      </c>
      <c r="Y43" s="12">
        <f>IFERROR(MATCH($F43,turn_k_1,0)^0,0)*转盘!$C$42*$H43/$D$13</f>
        <v>0</v>
      </c>
      <c r="Z43" s="12">
        <f>IFERROR(MATCH($F43,gift_k_level,0)^0,0)*进度礼包!$C$34*$H43/$D$13</f>
        <v>0</v>
      </c>
      <c r="AA43" s="12">
        <f>IFERROR(MATCH($F43,gift_k_time,0)^0,0)*限时礼包!$C$15*$H43/$D$13</f>
        <v>0</v>
      </c>
      <c r="AB43" s="12">
        <f>SUM(H$6:H43)</f>
        <v>48700</v>
      </c>
      <c r="AC43" s="12">
        <f>SUM(N$6:N43)+SUM($M$6:M43)</f>
        <v>56832.899999999994</v>
      </c>
      <c r="AD43" s="12">
        <f>SUM(O$6:O43)</f>
        <v>7633.7722500000009</v>
      </c>
      <c r="AE43" s="12">
        <f>SUM($P$6:P43)</f>
        <v>22933.327749999993</v>
      </c>
      <c r="AF43" s="12">
        <f>SUM(U$6:U43)</f>
        <v>10772.075471698112</v>
      </c>
      <c r="AG43" s="12">
        <f>SUM(S$6:S43)</f>
        <v>2500</v>
      </c>
      <c r="AH43" s="12">
        <f>SUM(Y$6:Y43)</f>
        <v>93287.6</v>
      </c>
      <c r="AI43" s="12">
        <f>SUM(X$6:X43)</f>
        <v>0</v>
      </c>
      <c r="AJ43" s="12">
        <f>SUM(Z$6:Z43)</f>
        <v>0</v>
      </c>
      <c r="AK43" s="12">
        <f>SUM(AA$6:AA43)</f>
        <v>98303.239779947558</v>
      </c>
      <c r="AL43" s="12">
        <f>F43</f>
        <v>38</v>
      </c>
      <c r="AM43" s="12">
        <f t="shared" si="2"/>
        <v>87738.747721698106</v>
      </c>
      <c r="AN43" s="12">
        <f>SUM(I$6:I43)</f>
        <v>87400</v>
      </c>
      <c r="AO43" s="8">
        <f>SUM(Q$6:Q43)</f>
        <v>66</v>
      </c>
      <c r="AP43" s="12">
        <f t="shared" si="3"/>
        <v>338.74772169810603</v>
      </c>
      <c r="AS43" s="12">
        <v>37</v>
      </c>
      <c r="AT43" s="12">
        <v>20</v>
      </c>
      <c r="AU43" s="12">
        <f t="shared" si="9"/>
        <v>750</v>
      </c>
      <c r="AV43" s="12">
        <f t="shared" si="10"/>
        <v>0</v>
      </c>
      <c r="AW43" s="12">
        <f>INDEX($AO$6:$AO$215,MATCH(BC43,$F$6:$F$215,0))</f>
        <v>467</v>
      </c>
      <c r="AX43" s="12">
        <f t="shared" si="11"/>
        <v>1135512.1739951316</v>
      </c>
      <c r="AY43" s="12">
        <f t="shared" si="5"/>
        <v>7650</v>
      </c>
      <c r="AZ43" s="12">
        <f t="shared" si="6"/>
        <v>10740.72380952381</v>
      </c>
      <c r="BA43" s="12">
        <f>AX43+SUM($AY$6:AY43)+SUM($AZ$6:AZ43)</f>
        <v>1739610.4978046552</v>
      </c>
      <c r="BB43" s="12">
        <f t="shared" si="12"/>
        <v>956200</v>
      </c>
      <c r="BC43" s="12">
        <f t="shared" si="13"/>
        <v>210</v>
      </c>
      <c r="BD43" s="12">
        <f t="shared" si="14"/>
        <v>0</v>
      </c>
      <c r="BE43" s="12">
        <f t="shared" si="15"/>
        <v>211</v>
      </c>
      <c r="BF43" s="12">
        <f t="shared" si="8"/>
        <v>783410.49780465523</v>
      </c>
    </row>
    <row r="44" spans="6:58" x14ac:dyDescent="0.35">
      <c r="F44" s="12">
        <v>39</v>
      </c>
      <c r="G44" s="8">
        <f>INDEX(验算胜率!$E$6:$I$1005,F44,MATCH($D$16,验算胜率!$E$5:$I$5,0))</f>
        <v>0.5</v>
      </c>
      <c r="H44" s="12">
        <f t="shared" si="0"/>
        <v>1800</v>
      </c>
      <c r="I44" s="12">
        <f t="shared" si="1"/>
        <v>3600</v>
      </c>
      <c r="J44" s="12">
        <v>4</v>
      </c>
      <c r="K44" s="12">
        <v>2</v>
      </c>
      <c r="L44" s="12">
        <f>MATCH(F44,关卡道具消耗!$AA$6:$AA$83,1)-2+INDEX(关卡道具消耗!$C$16:$E$16,1,MATCH(J44,关卡道具消耗!$C$17:$E$17,0))-1</f>
        <v>15</v>
      </c>
      <c r="M44" s="12">
        <f>IF($D$16=验算胜率!$F$5,验算胜率!K44,0)*H44*关卡道具消耗!$D$8/关卡道具消耗!$D$26</f>
        <v>0</v>
      </c>
      <c r="N44" s="12">
        <f>INDEX(关卡奖励!$AH$6:$AH$8,MATCH($D$14,关卡奖励!$W$6:$W$8,0))*H44</f>
        <v>2100.6</v>
      </c>
      <c r="O44" s="12">
        <f>INDEX(关卡奖励!$AI$9:$AI$11,MATCH($D$14,关卡奖励!$W$9:$W$11,0))*((1/G44)-1)*H44</f>
        <v>355.05</v>
      </c>
      <c r="P44" s="12">
        <f>I44-N44-O44</f>
        <v>1144.3500000000001</v>
      </c>
      <c r="Q44" s="12">
        <f>1/G44</f>
        <v>2</v>
      </c>
      <c r="R44" s="12">
        <f>IFERROR(INDEX(base_v,MATCH($F44,base_k,1)),0)*离线奖励!$C$12</f>
        <v>6300</v>
      </c>
      <c r="S44" s="12">
        <f>IFERROR(INDEX(关卡进度奖励!$I$7:$I$15,MATCH(F44,关卡进度奖励!$D$7:$D$15,0)),0)</f>
        <v>0</v>
      </c>
      <c r="T44" s="12">
        <f>AVERAGE(签到!$E$7:$E$13)*$H44</f>
        <v>7435.8857142857141</v>
      </c>
      <c r="U44" s="12">
        <f>转盘!$C$26*H44*V44/$D$13</f>
        <v>0</v>
      </c>
      <c r="V44" s="12">
        <f t="shared" si="4"/>
        <v>0</v>
      </c>
      <c r="W44" s="12">
        <f>IFERROR(MATCH(INDEX(转盘!$C$17:$F$17,1,MATCH($D$13,转盘!$C$16:$F$16,0))*MAX(F44-转盘!$C$6,0),转盘!$L$9:$L$51,1),0)</f>
        <v>2</v>
      </c>
      <c r="X44" s="12">
        <f>IFERROR(MATCH($F44,gift_k_level,0)^0,0)*进度礼包!$C$17*$H44/$D$13</f>
        <v>0</v>
      </c>
      <c r="Y44" s="12">
        <f>IFERROR(MATCH($F44,turn_k_1,0)^0,0)*转盘!$C$42*$H44/$D$13</f>
        <v>0</v>
      </c>
      <c r="Z44" s="12">
        <f>IFERROR(MATCH($F44,gift_k_level,0)^0,0)*进度礼包!$C$34*$H44/$D$13</f>
        <v>0</v>
      </c>
      <c r="AA44" s="12">
        <f>IFERROR(MATCH($F44,gift_k_time,0)^0,0)*限时礼包!$C$15*$H44/$D$13</f>
        <v>0</v>
      </c>
      <c r="AB44" s="12">
        <f>SUM(H$6:H44)</f>
        <v>50500</v>
      </c>
      <c r="AC44" s="12">
        <f>SUM(N$6:N44)+SUM($M$6:M44)</f>
        <v>58933.499999999993</v>
      </c>
      <c r="AD44" s="12">
        <f>SUM(O$6:O44)</f>
        <v>7988.8222500000011</v>
      </c>
      <c r="AE44" s="12">
        <f>SUM($P$6:P44)</f>
        <v>24077.677749999992</v>
      </c>
      <c r="AF44" s="12">
        <f>SUM(U$6:U44)</f>
        <v>10772.075471698112</v>
      </c>
      <c r="AG44" s="12">
        <f>SUM(S$6:S44)</f>
        <v>2500</v>
      </c>
      <c r="AH44" s="12">
        <f>SUM(Y$6:Y44)</f>
        <v>93287.6</v>
      </c>
      <c r="AI44" s="12">
        <f>SUM(X$6:X44)</f>
        <v>0</v>
      </c>
      <c r="AJ44" s="12">
        <f>SUM(Z$6:Z44)</f>
        <v>0</v>
      </c>
      <c r="AK44" s="12">
        <f>SUM(AA$6:AA44)</f>
        <v>98303.239779947558</v>
      </c>
      <c r="AL44" s="12">
        <f>F44</f>
        <v>39</v>
      </c>
      <c r="AM44" s="12">
        <f t="shared" si="2"/>
        <v>90194.397721698115</v>
      </c>
      <c r="AN44" s="12">
        <f>SUM(I$6:I44)</f>
        <v>91000</v>
      </c>
      <c r="AO44" s="8">
        <f>SUM(Q$6:Q44)</f>
        <v>68</v>
      </c>
      <c r="AP44" s="12">
        <f t="shared" si="3"/>
        <v>-805.60227830188524</v>
      </c>
      <c r="AS44" s="12">
        <v>38</v>
      </c>
      <c r="AT44" s="12">
        <v>20</v>
      </c>
      <c r="AU44" s="12">
        <f t="shared" si="9"/>
        <v>770</v>
      </c>
      <c r="AV44" s="12">
        <f t="shared" si="10"/>
        <v>0</v>
      </c>
      <c r="AW44" s="12">
        <f>INDEX($AO$6:$AO$215,MATCH(BC44,$F$6:$F$215,0))</f>
        <v>467</v>
      </c>
      <c r="AX44" s="12">
        <f t="shared" si="11"/>
        <v>1135512.1739951316</v>
      </c>
      <c r="AY44" s="12">
        <f t="shared" si="5"/>
        <v>7650</v>
      </c>
      <c r="AZ44" s="12">
        <f t="shared" si="6"/>
        <v>10740.72380952381</v>
      </c>
      <c r="BA44" s="12">
        <f>AX44+SUM($AY$6:AY44)+SUM($AZ$6:AZ44)</f>
        <v>1758001.2216141792</v>
      </c>
      <c r="BB44" s="12">
        <f t="shared" si="12"/>
        <v>956200</v>
      </c>
      <c r="BC44" s="12">
        <f t="shared" si="13"/>
        <v>210</v>
      </c>
      <c r="BD44" s="12">
        <f t="shared" si="14"/>
        <v>0</v>
      </c>
      <c r="BE44" s="12">
        <f t="shared" si="15"/>
        <v>211</v>
      </c>
      <c r="BF44" s="12">
        <f t="shared" si="8"/>
        <v>801801.2216141792</v>
      </c>
    </row>
    <row r="45" spans="6:58" x14ac:dyDescent="0.35">
      <c r="F45" s="12">
        <v>40</v>
      </c>
      <c r="G45" s="8">
        <f>INDEX(验算胜率!$E$6:$I$1005,F45,MATCH($D$16,验算胜率!$E$5:$I$5,0))</f>
        <v>0.5</v>
      </c>
      <c r="H45" s="12">
        <f t="shared" si="0"/>
        <v>1800</v>
      </c>
      <c r="I45" s="12">
        <f t="shared" si="1"/>
        <v>3600</v>
      </c>
      <c r="J45" s="12">
        <v>4</v>
      </c>
      <c r="K45" s="12">
        <v>0</v>
      </c>
      <c r="L45" s="12">
        <f>MATCH(F45,关卡道具消耗!$AA$6:$AA$83,1)-2+INDEX(关卡道具消耗!$C$16:$E$16,1,MATCH(J45,关卡道具消耗!$C$17:$E$17,0))-1</f>
        <v>15</v>
      </c>
      <c r="M45" s="12">
        <f>IF($D$16=验算胜率!$F$5,验算胜率!K45,0)*H45*关卡道具消耗!$D$8/关卡道具消耗!$D$26</f>
        <v>0</v>
      </c>
      <c r="N45" s="12">
        <f>INDEX(关卡奖励!$AH$6:$AH$8,MATCH($D$14,关卡奖励!$W$6:$W$8,0))*H45</f>
        <v>2100.6</v>
      </c>
      <c r="O45" s="12">
        <f>INDEX(关卡奖励!$AI$9:$AI$11,MATCH($D$14,关卡奖励!$W$9:$W$11,0))*((1/G45)-1)*H45</f>
        <v>355.05</v>
      </c>
      <c r="P45" s="12">
        <f>I45-N45-O45</f>
        <v>1144.3500000000001</v>
      </c>
      <c r="Q45" s="12">
        <f>1/G45</f>
        <v>2</v>
      </c>
      <c r="R45" s="12">
        <f>IFERROR(INDEX(base_v,MATCH($F45,base_k,1)),0)*离线奖励!$C$12</f>
        <v>6300</v>
      </c>
      <c r="S45" s="12">
        <f>IFERROR(INDEX(关卡进度奖励!$I$7:$I$15,MATCH(F45,关卡进度奖励!$D$7:$D$15,0)),0)</f>
        <v>0</v>
      </c>
      <c r="T45" s="12">
        <f>AVERAGE(签到!$E$7:$E$13)*$H45</f>
        <v>7435.8857142857141</v>
      </c>
      <c r="U45" s="12">
        <f>转盘!$C$26*H45*V45/$D$13</f>
        <v>0</v>
      </c>
      <c r="V45" s="12">
        <f t="shared" si="4"/>
        <v>0</v>
      </c>
      <c r="W45" s="12">
        <f>IFERROR(MATCH(INDEX(转盘!$C$17:$F$17,1,MATCH($D$13,转盘!$C$16:$F$16,0))*MAX(F45-转盘!$C$6,0),转盘!$L$9:$L$51,1),0)</f>
        <v>2</v>
      </c>
      <c r="X45" s="12">
        <f>IFERROR(MATCH($F45,gift_k_level,0)^0,0)*进度礼包!$C$17*$H45/$D$13</f>
        <v>0</v>
      </c>
      <c r="Y45" s="12">
        <f>IFERROR(MATCH($F45,turn_k_1,0)^0,0)*转盘!$C$42*$H45/$D$13</f>
        <v>0</v>
      </c>
      <c r="Z45" s="12">
        <f>IFERROR(MATCH($F45,gift_k_level,0)^0,0)*进度礼包!$C$34*$H45/$D$13</f>
        <v>0</v>
      </c>
      <c r="AA45" s="12">
        <f>IFERROR(MATCH($F45,gift_k_time,0)^0,0)*限时礼包!$C$15*$H45/$D$13</f>
        <v>0</v>
      </c>
      <c r="AB45" s="12">
        <f>SUM(H$6:H45)</f>
        <v>52300</v>
      </c>
      <c r="AC45" s="12">
        <f>SUM(N$6:N45)+SUM($M$6:M45)</f>
        <v>61034.099999999991</v>
      </c>
      <c r="AD45" s="12">
        <f>SUM(O$6:O45)</f>
        <v>8343.8722500000003</v>
      </c>
      <c r="AE45" s="12">
        <f>SUM($P$6:P45)</f>
        <v>25222.02774999999</v>
      </c>
      <c r="AF45" s="12">
        <f>SUM(U$6:U45)</f>
        <v>10772.075471698112</v>
      </c>
      <c r="AG45" s="12">
        <f>SUM(S$6:S45)</f>
        <v>2500</v>
      </c>
      <c r="AH45" s="12">
        <f>SUM(Y$6:Y45)</f>
        <v>93287.6</v>
      </c>
      <c r="AI45" s="12">
        <f>SUM(X$6:X45)</f>
        <v>0</v>
      </c>
      <c r="AJ45" s="12">
        <f>SUM(Z$6:Z45)</f>
        <v>0</v>
      </c>
      <c r="AK45" s="12">
        <f>SUM(AA$6:AA45)</f>
        <v>98303.239779947558</v>
      </c>
      <c r="AL45" s="12">
        <f>F45</f>
        <v>40</v>
      </c>
      <c r="AM45" s="12">
        <f t="shared" si="2"/>
        <v>92650.047721698109</v>
      </c>
      <c r="AN45" s="12">
        <f>SUM(I$6:I45)</f>
        <v>94600</v>
      </c>
      <c r="AO45" s="8">
        <f>SUM(Q$6:Q45)</f>
        <v>70</v>
      </c>
      <c r="AP45" s="12">
        <f t="shared" si="3"/>
        <v>-1949.9522783018911</v>
      </c>
      <c r="AS45" s="12">
        <v>39</v>
      </c>
      <c r="AT45" s="12">
        <v>20</v>
      </c>
      <c r="AU45" s="12">
        <f t="shared" si="9"/>
        <v>790</v>
      </c>
      <c r="AV45" s="12">
        <f t="shared" si="10"/>
        <v>0</v>
      </c>
      <c r="AW45" s="12">
        <f>INDEX($AO$6:$AO$215,MATCH(BC45,$F$6:$F$215,0))</f>
        <v>467</v>
      </c>
      <c r="AX45" s="12">
        <f t="shared" si="11"/>
        <v>1135512.1739951316</v>
      </c>
      <c r="AY45" s="12">
        <f t="shared" si="5"/>
        <v>7650</v>
      </c>
      <c r="AZ45" s="12">
        <f t="shared" si="6"/>
        <v>10740.72380952381</v>
      </c>
      <c r="BA45" s="12">
        <f>AX45+SUM($AY$6:AY45)+SUM($AZ$6:AZ45)</f>
        <v>1776391.9454237029</v>
      </c>
      <c r="BB45" s="12">
        <f t="shared" si="12"/>
        <v>956200</v>
      </c>
      <c r="BC45" s="12">
        <f t="shared" si="13"/>
        <v>210</v>
      </c>
      <c r="BD45" s="12">
        <f t="shared" si="14"/>
        <v>0</v>
      </c>
      <c r="BE45" s="12">
        <f t="shared" si="15"/>
        <v>211</v>
      </c>
      <c r="BF45" s="12">
        <f t="shared" si="8"/>
        <v>820191.94542370294</v>
      </c>
    </row>
    <row r="46" spans="6:58" x14ac:dyDescent="0.35">
      <c r="F46" s="12">
        <v>41</v>
      </c>
      <c r="G46" s="8">
        <f>INDEX(验算胜率!$E$6:$I$1005,F46,MATCH($D$16,验算胜率!$E$5:$I$5,0))</f>
        <v>0.5</v>
      </c>
      <c r="H46" s="12">
        <f t="shared" si="0"/>
        <v>1800</v>
      </c>
      <c r="I46" s="12">
        <f t="shared" si="1"/>
        <v>3600</v>
      </c>
      <c r="J46" s="12">
        <v>4</v>
      </c>
      <c r="K46" s="12">
        <v>0</v>
      </c>
      <c r="L46" s="12">
        <f>MATCH(F46,关卡道具消耗!$AA$6:$AA$83,1)-2+INDEX(关卡道具消耗!$C$16:$E$16,1,MATCH(J46,关卡道具消耗!$C$17:$E$17,0))-1</f>
        <v>15</v>
      </c>
      <c r="M46" s="12">
        <f>IF($D$16=验算胜率!$F$5,验算胜率!K46,0)*H46*关卡道具消耗!$D$8/关卡道具消耗!$D$26</f>
        <v>0</v>
      </c>
      <c r="N46" s="12">
        <f>INDEX(关卡奖励!$AH$6:$AH$8,MATCH($D$14,关卡奖励!$W$6:$W$8,0))*H46</f>
        <v>2100.6</v>
      </c>
      <c r="O46" s="12">
        <f>INDEX(关卡奖励!$AI$9:$AI$11,MATCH($D$14,关卡奖励!$W$9:$W$11,0))*((1/G46)-1)*H46</f>
        <v>355.05</v>
      </c>
      <c r="P46" s="12">
        <f>I46-N46-O46</f>
        <v>1144.3500000000001</v>
      </c>
      <c r="Q46" s="12">
        <f>1/G46</f>
        <v>2</v>
      </c>
      <c r="R46" s="12">
        <f>IFERROR(INDEX(base_v,MATCH($F46,base_k,1)),0)*离线奖励!$C$12</f>
        <v>6300</v>
      </c>
      <c r="S46" s="12">
        <f>IFERROR(INDEX(关卡进度奖励!$I$7:$I$15,MATCH(F46,关卡进度奖励!$D$7:$D$15,0)),0)</f>
        <v>0</v>
      </c>
      <c r="T46" s="12">
        <f>AVERAGE(签到!$E$7:$E$13)*$H46</f>
        <v>7435.8857142857141</v>
      </c>
      <c r="U46" s="12">
        <f>转盘!$C$26*H46*V46/$D$13</f>
        <v>0</v>
      </c>
      <c r="V46" s="12">
        <f t="shared" si="4"/>
        <v>0</v>
      </c>
      <c r="W46" s="12">
        <f>IFERROR(MATCH(INDEX(转盘!$C$17:$F$17,1,MATCH($D$13,转盘!$C$16:$F$16,0))*MAX(F46-转盘!$C$6,0),转盘!$L$9:$L$51,1),0)</f>
        <v>2</v>
      </c>
      <c r="X46" s="12">
        <f>IFERROR(MATCH($F46,gift_k_level,0)^0,0)*进度礼包!$C$17*$H46/$D$13</f>
        <v>0</v>
      </c>
      <c r="Y46" s="12">
        <f>IFERROR(MATCH($F46,turn_k_1,0)^0,0)*转盘!$C$42*$H46/$D$13</f>
        <v>0</v>
      </c>
      <c r="Z46" s="12">
        <f>IFERROR(MATCH($F46,gift_k_level,0)^0,0)*进度礼包!$C$34*$H46/$D$13</f>
        <v>0</v>
      </c>
      <c r="AA46" s="12">
        <f>IFERROR(MATCH($F46,gift_k_time,0)^0,0)*限时礼包!$C$15*$H46/$D$13</f>
        <v>0</v>
      </c>
      <c r="AB46" s="12">
        <f>SUM(H$6:H46)</f>
        <v>54100</v>
      </c>
      <c r="AC46" s="12">
        <f>SUM(N$6:N46)+SUM($M$6:M46)</f>
        <v>63134.69999999999</v>
      </c>
      <c r="AD46" s="12">
        <f>SUM(O$6:O46)</f>
        <v>8698.9222499999996</v>
      </c>
      <c r="AE46" s="12">
        <f>SUM($P$6:P46)</f>
        <v>26366.377749999989</v>
      </c>
      <c r="AF46" s="12">
        <f>SUM(U$6:U46)</f>
        <v>10772.075471698112</v>
      </c>
      <c r="AG46" s="12">
        <f>SUM(S$6:S46)</f>
        <v>2500</v>
      </c>
      <c r="AH46" s="12">
        <f>SUM(Y$6:Y46)</f>
        <v>93287.6</v>
      </c>
      <c r="AI46" s="12">
        <f>SUM(X$6:X46)</f>
        <v>0</v>
      </c>
      <c r="AJ46" s="12">
        <f>SUM(Z$6:Z46)</f>
        <v>0</v>
      </c>
      <c r="AK46" s="12">
        <f>SUM(AA$6:AA46)</f>
        <v>98303.239779947558</v>
      </c>
      <c r="AL46" s="12">
        <f>F46</f>
        <v>41</v>
      </c>
      <c r="AM46" s="12">
        <f t="shared" si="2"/>
        <v>95105.697721698103</v>
      </c>
      <c r="AN46" s="12">
        <f>SUM(I$6:I46)</f>
        <v>98200</v>
      </c>
      <c r="AO46" s="8">
        <f>SUM(Q$6:Q46)</f>
        <v>72</v>
      </c>
      <c r="AP46" s="12">
        <f t="shared" si="3"/>
        <v>-3094.3022783018969</v>
      </c>
      <c r="AS46" s="12">
        <v>40</v>
      </c>
      <c r="AT46" s="12">
        <v>20</v>
      </c>
      <c r="AU46" s="12">
        <f t="shared" si="9"/>
        <v>810</v>
      </c>
      <c r="AV46" s="12">
        <f t="shared" si="10"/>
        <v>0</v>
      </c>
      <c r="AW46" s="12">
        <f>INDEX($AO$6:$AO$215,MATCH(BC46,$F$6:$F$215,0))</f>
        <v>467</v>
      </c>
      <c r="AX46" s="12">
        <f t="shared" si="11"/>
        <v>1135512.1739951316</v>
      </c>
      <c r="AY46" s="12">
        <f t="shared" si="5"/>
        <v>7650</v>
      </c>
      <c r="AZ46" s="12">
        <f t="shared" si="6"/>
        <v>10740.72380952381</v>
      </c>
      <c r="BA46" s="12">
        <f>AX46+SUM($AY$6:AY46)+SUM($AZ$6:AZ46)</f>
        <v>1794782.6692332267</v>
      </c>
      <c r="BB46" s="12">
        <f t="shared" si="12"/>
        <v>956200</v>
      </c>
      <c r="BC46" s="12">
        <f t="shared" si="13"/>
        <v>210</v>
      </c>
      <c r="BD46" s="12">
        <f t="shared" si="14"/>
        <v>0</v>
      </c>
      <c r="BE46" s="12">
        <f t="shared" si="15"/>
        <v>211</v>
      </c>
      <c r="BF46" s="12">
        <f t="shared" si="8"/>
        <v>838582.66923322668</v>
      </c>
    </row>
    <row r="47" spans="6:58" x14ac:dyDescent="0.35">
      <c r="F47" s="12">
        <v>42</v>
      </c>
      <c r="G47" s="8">
        <f>INDEX(验算胜率!$E$6:$I$1005,F47,MATCH($D$16,验算胜率!$E$5:$I$5,0))</f>
        <v>0.5</v>
      </c>
      <c r="H47" s="12">
        <f t="shared" si="0"/>
        <v>1800</v>
      </c>
      <c r="I47" s="12">
        <f t="shared" si="1"/>
        <v>3600</v>
      </c>
      <c r="J47" s="12">
        <v>4</v>
      </c>
      <c r="K47" s="12">
        <v>2</v>
      </c>
      <c r="L47" s="12">
        <f>MATCH(F47,关卡道具消耗!$AA$6:$AA$83,1)-2+INDEX(关卡道具消耗!$C$16:$E$16,1,MATCH(J47,关卡道具消耗!$C$17:$E$17,0))-1</f>
        <v>15</v>
      </c>
      <c r="M47" s="12">
        <f>IF($D$16=验算胜率!$F$5,验算胜率!K47,0)*H47*关卡道具消耗!$D$8/关卡道具消耗!$D$26</f>
        <v>0</v>
      </c>
      <c r="N47" s="12">
        <f>INDEX(关卡奖励!$AH$6:$AH$8,MATCH($D$14,关卡奖励!$W$6:$W$8,0))*H47</f>
        <v>2100.6</v>
      </c>
      <c r="O47" s="12">
        <f>INDEX(关卡奖励!$AI$9:$AI$11,MATCH($D$14,关卡奖励!$W$9:$W$11,0))*((1/G47)-1)*H47</f>
        <v>355.05</v>
      </c>
      <c r="P47" s="12">
        <f>I47-N47-O47</f>
        <v>1144.3500000000001</v>
      </c>
      <c r="Q47" s="12">
        <f>1/G47</f>
        <v>2</v>
      </c>
      <c r="R47" s="12">
        <f>IFERROR(INDEX(base_v,MATCH($F47,base_k,1)),0)*离线奖励!$C$12</f>
        <v>6300</v>
      </c>
      <c r="S47" s="12">
        <f>IFERROR(INDEX(关卡进度奖励!$I$7:$I$15,MATCH(F47,关卡进度奖励!$D$7:$D$15,0)),0)</f>
        <v>0</v>
      </c>
      <c r="T47" s="12">
        <f>AVERAGE(签到!$E$7:$E$13)*$H47</f>
        <v>7435.8857142857141</v>
      </c>
      <c r="U47" s="12">
        <f>转盘!$C$26*H47*V47/$D$13</f>
        <v>0</v>
      </c>
      <c r="V47" s="12">
        <f t="shared" si="4"/>
        <v>0</v>
      </c>
      <c r="W47" s="12">
        <f>IFERROR(MATCH(INDEX(转盘!$C$17:$F$17,1,MATCH($D$13,转盘!$C$16:$F$16,0))*MAX(F47-转盘!$C$6,0),转盘!$L$9:$L$51,1),0)</f>
        <v>2</v>
      </c>
      <c r="X47" s="12">
        <f>IFERROR(MATCH($F47,gift_k_level,0)^0,0)*进度礼包!$C$17*$H47/$D$13</f>
        <v>0</v>
      </c>
      <c r="Y47" s="12">
        <f>IFERROR(MATCH($F47,turn_k_1,0)^0,0)*转盘!$C$42*$H47/$D$13</f>
        <v>0</v>
      </c>
      <c r="Z47" s="12">
        <f>IFERROR(MATCH($F47,gift_k_level,0)^0,0)*进度礼包!$C$34*$H47/$D$13</f>
        <v>0</v>
      </c>
      <c r="AA47" s="12">
        <f>IFERROR(MATCH($F47,gift_k_time,0)^0,0)*限时礼包!$C$15*$H47/$D$13</f>
        <v>0</v>
      </c>
      <c r="AB47" s="12">
        <f>SUM(H$6:H47)</f>
        <v>55900</v>
      </c>
      <c r="AC47" s="12">
        <f>SUM(N$6:N47)+SUM($M$6:M47)</f>
        <v>65235.299999999988</v>
      </c>
      <c r="AD47" s="12">
        <f>SUM(O$6:O47)</f>
        <v>9053.9722499999989</v>
      </c>
      <c r="AE47" s="12">
        <f>SUM($P$6:P47)</f>
        <v>27510.727749999987</v>
      </c>
      <c r="AF47" s="12">
        <f>SUM(U$6:U47)</f>
        <v>10772.075471698112</v>
      </c>
      <c r="AG47" s="12">
        <f>SUM(S$6:S47)</f>
        <v>2500</v>
      </c>
      <c r="AH47" s="12">
        <f>SUM(Y$6:Y47)</f>
        <v>93287.6</v>
      </c>
      <c r="AI47" s="12">
        <f>SUM(X$6:X47)</f>
        <v>0</v>
      </c>
      <c r="AJ47" s="12">
        <f>SUM(Z$6:Z47)</f>
        <v>0</v>
      </c>
      <c r="AK47" s="12">
        <f>SUM(AA$6:AA47)</f>
        <v>98303.239779947558</v>
      </c>
      <c r="AL47" s="12">
        <f>F47</f>
        <v>42</v>
      </c>
      <c r="AM47" s="12">
        <f t="shared" si="2"/>
        <v>97561.347721698097</v>
      </c>
      <c r="AN47" s="12">
        <f>SUM(I$6:I47)</f>
        <v>101800</v>
      </c>
      <c r="AO47" s="8">
        <f>SUM(Q$6:Q47)</f>
        <v>74</v>
      </c>
      <c r="AP47" s="12">
        <f t="shared" si="3"/>
        <v>-4238.6522783019027</v>
      </c>
      <c r="AS47" s="12">
        <v>41</v>
      </c>
      <c r="AT47" s="12">
        <v>20</v>
      </c>
      <c r="AU47" s="12">
        <f t="shared" si="9"/>
        <v>830</v>
      </c>
      <c r="AV47" s="12">
        <f t="shared" si="10"/>
        <v>0</v>
      </c>
      <c r="AW47" s="12">
        <f>INDEX($AO$6:$AO$215,MATCH(BC47,$F$6:$F$215,0))</f>
        <v>467</v>
      </c>
      <c r="AX47" s="12">
        <f t="shared" si="11"/>
        <v>1135512.1739951316</v>
      </c>
      <c r="AY47" s="12">
        <f t="shared" si="5"/>
        <v>7650</v>
      </c>
      <c r="AZ47" s="12">
        <f t="shared" si="6"/>
        <v>10740.72380952381</v>
      </c>
      <c r="BA47" s="12">
        <f>AX47+SUM($AY$6:AY47)+SUM($AZ$6:AZ47)</f>
        <v>1813173.3930427504</v>
      </c>
      <c r="BB47" s="12">
        <f t="shared" si="12"/>
        <v>956200</v>
      </c>
      <c r="BC47" s="12">
        <f t="shared" si="13"/>
        <v>210</v>
      </c>
      <c r="BD47" s="12">
        <f t="shared" si="14"/>
        <v>0</v>
      </c>
      <c r="BE47" s="12">
        <f t="shared" si="15"/>
        <v>211</v>
      </c>
      <c r="BF47" s="12">
        <f t="shared" si="8"/>
        <v>856973.39304275042</v>
      </c>
    </row>
    <row r="48" spans="6:58" x14ac:dyDescent="0.35">
      <c r="F48" s="12">
        <v>43</v>
      </c>
      <c r="G48" s="8">
        <f>INDEX(验算胜率!$E$6:$I$1005,F48,MATCH($D$16,验算胜率!$E$5:$I$5,0))</f>
        <v>0.5</v>
      </c>
      <c r="H48" s="12">
        <f t="shared" si="0"/>
        <v>1800</v>
      </c>
      <c r="I48" s="12">
        <f t="shared" si="1"/>
        <v>3600</v>
      </c>
      <c r="J48" s="12">
        <v>4</v>
      </c>
      <c r="K48" s="12">
        <v>2</v>
      </c>
      <c r="L48" s="12">
        <f>MATCH(F48,关卡道具消耗!$AA$6:$AA$83,1)-2+INDEX(关卡道具消耗!$C$16:$E$16,1,MATCH(J48,关卡道具消耗!$C$17:$E$17,0))-1</f>
        <v>15</v>
      </c>
      <c r="M48" s="12">
        <f>IF($D$16=验算胜率!$F$5,验算胜率!K48,0)*H48*关卡道具消耗!$D$8/关卡道具消耗!$D$26</f>
        <v>0</v>
      </c>
      <c r="N48" s="12">
        <f>INDEX(关卡奖励!$AH$6:$AH$8,MATCH($D$14,关卡奖励!$W$6:$W$8,0))*H48</f>
        <v>2100.6</v>
      </c>
      <c r="O48" s="12">
        <f>INDEX(关卡奖励!$AI$9:$AI$11,MATCH($D$14,关卡奖励!$W$9:$W$11,0))*((1/G48)-1)*H48</f>
        <v>355.05</v>
      </c>
      <c r="P48" s="12">
        <f>I48-N48-O48</f>
        <v>1144.3500000000001</v>
      </c>
      <c r="Q48" s="12">
        <f>1/G48</f>
        <v>2</v>
      </c>
      <c r="R48" s="12">
        <f>IFERROR(INDEX(base_v,MATCH($F48,base_k,1)),0)*离线奖励!$C$12</f>
        <v>6300</v>
      </c>
      <c r="S48" s="12">
        <f>IFERROR(INDEX(关卡进度奖励!$I$7:$I$15,MATCH(F48,关卡进度奖励!$D$7:$D$15,0)),0)</f>
        <v>0</v>
      </c>
      <c r="T48" s="12">
        <f>AVERAGE(签到!$E$7:$E$13)*$H48</f>
        <v>7435.8857142857141</v>
      </c>
      <c r="U48" s="12">
        <f>转盘!$C$26*H48*V48/$D$13</f>
        <v>0</v>
      </c>
      <c r="V48" s="12">
        <f t="shared" si="4"/>
        <v>0</v>
      </c>
      <c r="W48" s="12">
        <f>IFERROR(MATCH(INDEX(转盘!$C$17:$F$17,1,MATCH($D$13,转盘!$C$16:$F$16,0))*MAX(F48-转盘!$C$6,0),转盘!$L$9:$L$51,1),0)</f>
        <v>2</v>
      </c>
      <c r="X48" s="12">
        <f>IFERROR(MATCH($F48,gift_k_level,0)^0,0)*进度礼包!$C$17*$H48/$D$13</f>
        <v>0</v>
      </c>
      <c r="Y48" s="12">
        <f>IFERROR(MATCH($F48,turn_k_1,0)^0,0)*转盘!$C$42*$H48/$D$13</f>
        <v>0</v>
      </c>
      <c r="Z48" s="12">
        <f>IFERROR(MATCH($F48,gift_k_level,0)^0,0)*进度礼包!$C$34*$H48/$D$13</f>
        <v>0</v>
      </c>
      <c r="AA48" s="12">
        <f>IFERROR(MATCH($F48,gift_k_time,0)^0,0)*限时礼包!$C$15*$H48/$D$13</f>
        <v>0</v>
      </c>
      <c r="AB48" s="12">
        <f>SUM(H$6:H48)</f>
        <v>57700</v>
      </c>
      <c r="AC48" s="12">
        <f>SUM(N$6:N48)+SUM($M$6:M48)</f>
        <v>67335.899999999994</v>
      </c>
      <c r="AD48" s="12">
        <f>SUM(O$6:O48)</f>
        <v>9409.0222499999982</v>
      </c>
      <c r="AE48" s="12">
        <f>SUM($P$6:P48)</f>
        <v>28655.077749999986</v>
      </c>
      <c r="AF48" s="12">
        <f>SUM(U$6:U48)</f>
        <v>10772.075471698112</v>
      </c>
      <c r="AG48" s="12">
        <f>SUM(S$6:S48)</f>
        <v>2500</v>
      </c>
      <c r="AH48" s="12">
        <f>SUM(Y$6:Y48)</f>
        <v>93287.6</v>
      </c>
      <c r="AI48" s="12">
        <f>SUM(X$6:X48)</f>
        <v>0</v>
      </c>
      <c r="AJ48" s="12">
        <f>SUM(Z$6:Z48)</f>
        <v>0</v>
      </c>
      <c r="AK48" s="12">
        <f>SUM(AA$6:AA48)</f>
        <v>98303.239779947558</v>
      </c>
      <c r="AL48" s="12">
        <f>F48</f>
        <v>43</v>
      </c>
      <c r="AM48" s="12">
        <f t="shared" si="2"/>
        <v>100016.99772169811</v>
      </c>
      <c r="AN48" s="12">
        <f>SUM(I$6:I48)</f>
        <v>105400</v>
      </c>
      <c r="AO48" s="8">
        <f>SUM(Q$6:Q48)</f>
        <v>76</v>
      </c>
      <c r="AP48" s="12">
        <f t="shared" si="3"/>
        <v>-5383.002278301894</v>
      </c>
      <c r="AS48" s="12">
        <v>42</v>
      </c>
      <c r="AT48" s="12">
        <v>20</v>
      </c>
      <c r="AU48" s="12">
        <f t="shared" si="9"/>
        <v>850</v>
      </c>
      <c r="AV48" s="12">
        <f t="shared" si="10"/>
        <v>0</v>
      </c>
      <c r="AW48" s="12">
        <f>INDEX($AO$6:$AO$215,MATCH(BC48,$F$6:$F$215,0))</f>
        <v>467</v>
      </c>
      <c r="AX48" s="12">
        <f t="shared" si="11"/>
        <v>1135512.1739951316</v>
      </c>
      <c r="AY48" s="12">
        <f t="shared" si="5"/>
        <v>7650</v>
      </c>
      <c r="AZ48" s="12">
        <f t="shared" si="6"/>
        <v>10740.72380952381</v>
      </c>
      <c r="BA48" s="12">
        <f>AX48+SUM($AY$6:AY48)+SUM($AZ$6:AZ48)</f>
        <v>1831564.1168522742</v>
      </c>
      <c r="BB48" s="12">
        <f t="shared" si="12"/>
        <v>956200</v>
      </c>
      <c r="BC48" s="12">
        <f t="shared" si="13"/>
        <v>210</v>
      </c>
      <c r="BD48" s="12">
        <f t="shared" si="14"/>
        <v>0</v>
      </c>
      <c r="BE48" s="12">
        <f t="shared" si="15"/>
        <v>211</v>
      </c>
      <c r="BF48" s="12">
        <f t="shared" si="8"/>
        <v>875364.11685227416</v>
      </c>
    </row>
    <row r="49" spans="6:58" x14ac:dyDescent="0.35">
      <c r="F49" s="12">
        <v>44</v>
      </c>
      <c r="G49" s="8">
        <f>INDEX(验算胜率!$E$6:$I$1005,F49,MATCH($D$16,验算胜率!$E$5:$I$5,0))</f>
        <v>0.5</v>
      </c>
      <c r="H49" s="12">
        <f t="shared" si="0"/>
        <v>1800</v>
      </c>
      <c r="I49" s="12">
        <f t="shared" si="1"/>
        <v>3600</v>
      </c>
      <c r="J49" s="12">
        <v>4</v>
      </c>
      <c r="K49" s="12">
        <v>1</v>
      </c>
      <c r="L49" s="12">
        <f>MATCH(F49,关卡道具消耗!$AA$6:$AA$83,1)-2+INDEX(关卡道具消耗!$C$16:$E$16,1,MATCH(J49,关卡道具消耗!$C$17:$E$17,0))-1</f>
        <v>15</v>
      </c>
      <c r="M49" s="12">
        <f>IF($D$16=验算胜率!$F$5,验算胜率!K49,0)*H49*关卡道具消耗!$D$8/关卡道具消耗!$D$26</f>
        <v>0</v>
      </c>
      <c r="N49" s="12">
        <f>INDEX(关卡奖励!$AH$6:$AH$8,MATCH($D$14,关卡奖励!$W$6:$W$8,0))*H49</f>
        <v>2100.6</v>
      </c>
      <c r="O49" s="12">
        <f>INDEX(关卡奖励!$AI$9:$AI$11,MATCH($D$14,关卡奖励!$W$9:$W$11,0))*((1/G49)-1)*H49</f>
        <v>355.05</v>
      </c>
      <c r="P49" s="12">
        <f>I49-N49-O49</f>
        <v>1144.3500000000001</v>
      </c>
      <c r="Q49" s="12">
        <f>1/G49</f>
        <v>2</v>
      </c>
      <c r="R49" s="12">
        <f>IFERROR(INDEX(base_v,MATCH($F49,base_k,1)),0)*离线奖励!$C$12</f>
        <v>6300</v>
      </c>
      <c r="S49" s="12">
        <f>IFERROR(INDEX(关卡进度奖励!$I$7:$I$15,MATCH(F49,关卡进度奖励!$D$7:$D$15,0)),0)</f>
        <v>0</v>
      </c>
      <c r="T49" s="12">
        <f>AVERAGE(签到!$E$7:$E$13)*$H49</f>
        <v>7435.8857142857141</v>
      </c>
      <c r="U49" s="12">
        <f>转盘!$C$26*H49*V49/$D$13</f>
        <v>0</v>
      </c>
      <c r="V49" s="12">
        <f t="shared" si="4"/>
        <v>0</v>
      </c>
      <c r="W49" s="12">
        <f>IFERROR(MATCH(INDEX(转盘!$C$17:$F$17,1,MATCH($D$13,转盘!$C$16:$F$16,0))*MAX(F49-转盘!$C$6,0),转盘!$L$9:$L$51,1),0)</f>
        <v>2</v>
      </c>
      <c r="X49" s="12">
        <f>IFERROR(MATCH($F49,gift_k_level,0)^0,0)*进度礼包!$C$17*$H49/$D$13</f>
        <v>0</v>
      </c>
      <c r="Y49" s="12">
        <f>IFERROR(MATCH($F49,turn_k_1,0)^0,0)*转盘!$C$42*$H49/$D$13</f>
        <v>0</v>
      </c>
      <c r="Z49" s="12">
        <f>IFERROR(MATCH($F49,gift_k_level,0)^0,0)*进度礼包!$C$34*$H49/$D$13</f>
        <v>0</v>
      </c>
      <c r="AA49" s="12">
        <f>IFERROR(MATCH($F49,gift_k_time,0)^0,0)*限时礼包!$C$15*$H49/$D$13</f>
        <v>0</v>
      </c>
      <c r="AB49" s="12">
        <f>SUM(H$6:H49)</f>
        <v>59500</v>
      </c>
      <c r="AC49" s="12">
        <f>SUM(N$6:N49)+SUM($M$6:M49)</f>
        <v>69436.5</v>
      </c>
      <c r="AD49" s="12">
        <f>SUM(O$6:O49)</f>
        <v>9764.0722499999974</v>
      </c>
      <c r="AE49" s="12">
        <f>SUM($P$6:P49)</f>
        <v>29799.427749999984</v>
      </c>
      <c r="AF49" s="12">
        <f>SUM(U$6:U49)</f>
        <v>10772.075471698112</v>
      </c>
      <c r="AG49" s="12">
        <f>SUM(S$6:S49)</f>
        <v>2500</v>
      </c>
      <c r="AH49" s="12">
        <f>SUM(Y$6:Y49)</f>
        <v>93287.6</v>
      </c>
      <c r="AI49" s="12">
        <f>SUM(X$6:X49)</f>
        <v>0</v>
      </c>
      <c r="AJ49" s="12">
        <f>SUM(Z$6:Z49)</f>
        <v>0</v>
      </c>
      <c r="AK49" s="12">
        <f>SUM(AA$6:AA49)</f>
        <v>98303.239779947558</v>
      </c>
      <c r="AL49" s="12">
        <f>F49</f>
        <v>44</v>
      </c>
      <c r="AM49" s="12">
        <f t="shared" si="2"/>
        <v>102472.64772169811</v>
      </c>
      <c r="AN49" s="12">
        <f>SUM(I$6:I49)</f>
        <v>109000</v>
      </c>
      <c r="AO49" s="8">
        <f>SUM(Q$6:Q49)</f>
        <v>78</v>
      </c>
      <c r="AP49" s="12">
        <f t="shared" si="3"/>
        <v>-6527.3522783018852</v>
      </c>
      <c r="AS49" s="12">
        <v>43</v>
      </c>
      <c r="AT49" s="12">
        <v>20</v>
      </c>
      <c r="AU49" s="12">
        <f t="shared" si="9"/>
        <v>870</v>
      </c>
      <c r="AV49" s="12">
        <f t="shared" si="10"/>
        <v>0</v>
      </c>
      <c r="AW49" s="12">
        <f>INDEX($AO$6:$AO$215,MATCH(BC49,$F$6:$F$215,0))</f>
        <v>467</v>
      </c>
      <c r="AX49" s="12">
        <f t="shared" si="11"/>
        <v>1135512.1739951316</v>
      </c>
      <c r="AY49" s="12">
        <f t="shared" si="5"/>
        <v>7650</v>
      </c>
      <c r="AZ49" s="12">
        <f t="shared" si="6"/>
        <v>10740.72380952381</v>
      </c>
      <c r="BA49" s="12">
        <f>AX49+SUM($AY$6:AY49)+SUM($AZ$6:AZ49)</f>
        <v>1849954.8406617981</v>
      </c>
      <c r="BB49" s="12">
        <f t="shared" si="12"/>
        <v>956200</v>
      </c>
      <c r="BC49" s="12">
        <f t="shared" si="13"/>
        <v>210</v>
      </c>
      <c r="BD49" s="12">
        <f t="shared" si="14"/>
        <v>0</v>
      </c>
      <c r="BE49" s="12">
        <f t="shared" si="15"/>
        <v>211</v>
      </c>
      <c r="BF49" s="12">
        <f t="shared" si="8"/>
        <v>893754.84066179814</v>
      </c>
    </row>
    <row r="50" spans="6:58" x14ac:dyDescent="0.35">
      <c r="F50" s="12">
        <v>45</v>
      </c>
      <c r="G50" s="8">
        <f>INDEX(验算胜率!$E$6:$I$1005,F50,MATCH($D$16,验算胜率!$E$5:$I$5,0))</f>
        <v>0.5</v>
      </c>
      <c r="H50" s="12">
        <f t="shared" si="0"/>
        <v>1800</v>
      </c>
      <c r="I50" s="12">
        <f t="shared" si="1"/>
        <v>3600</v>
      </c>
      <c r="J50" s="12">
        <v>4</v>
      </c>
      <c r="K50" s="12">
        <v>2</v>
      </c>
      <c r="L50" s="12">
        <f>MATCH(F50,关卡道具消耗!$AA$6:$AA$83,1)-2+INDEX(关卡道具消耗!$C$16:$E$16,1,MATCH(J50,关卡道具消耗!$C$17:$E$17,0))-1</f>
        <v>15</v>
      </c>
      <c r="M50" s="12">
        <f>IF($D$16=验算胜率!$F$5,验算胜率!K50,0)*H50*关卡道具消耗!$D$8/关卡道具消耗!$D$26</f>
        <v>0</v>
      </c>
      <c r="N50" s="12">
        <f>INDEX(关卡奖励!$AH$6:$AH$8,MATCH($D$14,关卡奖励!$W$6:$W$8,0))*H50</f>
        <v>2100.6</v>
      </c>
      <c r="O50" s="12">
        <f>INDEX(关卡奖励!$AI$9:$AI$11,MATCH($D$14,关卡奖励!$W$9:$W$11,0))*((1/G50)-1)*H50</f>
        <v>355.05</v>
      </c>
      <c r="P50" s="12">
        <f>I50-N50-O50</f>
        <v>1144.3500000000001</v>
      </c>
      <c r="Q50" s="12">
        <f>1/G50</f>
        <v>2</v>
      </c>
      <c r="R50" s="12">
        <f>IFERROR(INDEX(base_v,MATCH($F50,base_k,1)),0)*离线奖励!$C$12</f>
        <v>6300</v>
      </c>
      <c r="S50" s="12">
        <f>IFERROR(INDEX(关卡进度奖励!$I$7:$I$15,MATCH(F50,关卡进度奖励!$D$7:$D$15,0)),0)</f>
        <v>0</v>
      </c>
      <c r="T50" s="12">
        <f>AVERAGE(签到!$E$7:$E$13)*$H50</f>
        <v>7435.8857142857141</v>
      </c>
      <c r="U50" s="12">
        <f>转盘!$C$26*H50*V50/$D$13</f>
        <v>0</v>
      </c>
      <c r="V50" s="12">
        <f t="shared" si="4"/>
        <v>0</v>
      </c>
      <c r="W50" s="12">
        <f>IFERROR(MATCH(INDEX(转盘!$C$17:$F$17,1,MATCH($D$13,转盘!$C$16:$F$16,0))*MAX(F50-转盘!$C$6,0),转盘!$L$9:$L$51,1),0)</f>
        <v>2</v>
      </c>
      <c r="X50" s="12">
        <f>IFERROR(MATCH($F50,gift_k_level,0)^0,0)*进度礼包!$C$17*$H50/$D$13</f>
        <v>0</v>
      </c>
      <c r="Y50" s="12">
        <f>IFERROR(MATCH($F50,turn_k_1,0)^0,0)*转盘!$C$42*$H50/$D$13</f>
        <v>0</v>
      </c>
      <c r="Z50" s="12">
        <f>IFERROR(MATCH($F50,gift_k_level,0)^0,0)*进度礼包!$C$34*$H50/$D$13</f>
        <v>0</v>
      </c>
      <c r="AA50" s="12">
        <f>IFERROR(MATCH($F50,gift_k_time,0)^0,0)*限时礼包!$C$15*$H50/$D$13</f>
        <v>0</v>
      </c>
      <c r="AB50" s="12">
        <f>SUM(H$6:H50)</f>
        <v>61300</v>
      </c>
      <c r="AC50" s="12">
        <f>SUM(N$6:N50)+SUM($M$6:M50)</f>
        <v>71537.100000000006</v>
      </c>
      <c r="AD50" s="12">
        <f>SUM(O$6:O50)</f>
        <v>10119.122249999997</v>
      </c>
      <c r="AE50" s="12">
        <f>SUM($P$6:P50)</f>
        <v>30943.777749999983</v>
      </c>
      <c r="AF50" s="12">
        <f>SUM(U$6:U50)</f>
        <v>10772.075471698112</v>
      </c>
      <c r="AG50" s="12">
        <f>SUM(S$6:S50)</f>
        <v>2500</v>
      </c>
      <c r="AH50" s="12">
        <f>SUM(Y$6:Y50)</f>
        <v>93287.6</v>
      </c>
      <c r="AI50" s="12">
        <f>SUM(X$6:X50)</f>
        <v>0</v>
      </c>
      <c r="AJ50" s="12">
        <f>SUM(Z$6:Z50)</f>
        <v>0</v>
      </c>
      <c r="AK50" s="12">
        <f>SUM(AA$6:AA50)</f>
        <v>98303.239779947558</v>
      </c>
      <c r="AL50" s="12">
        <f>F50</f>
        <v>45</v>
      </c>
      <c r="AM50" s="12">
        <f t="shared" si="2"/>
        <v>104928.29772169812</v>
      </c>
      <c r="AN50" s="12">
        <f>SUM(I$6:I50)</f>
        <v>112600</v>
      </c>
      <c r="AO50" s="8">
        <f>SUM(Q$6:Q50)</f>
        <v>80</v>
      </c>
      <c r="AP50" s="12">
        <f t="shared" si="3"/>
        <v>-7671.7022783018765</v>
      </c>
      <c r="AS50" s="12">
        <v>44</v>
      </c>
      <c r="AT50" s="12">
        <v>20</v>
      </c>
      <c r="AU50" s="12">
        <f t="shared" si="9"/>
        <v>890</v>
      </c>
      <c r="AV50" s="12">
        <f t="shared" si="10"/>
        <v>0</v>
      </c>
      <c r="AW50" s="12">
        <f>INDEX($AO$6:$AO$215,MATCH(BC50,$F$6:$F$215,0))</f>
        <v>467</v>
      </c>
      <c r="AX50" s="12">
        <f t="shared" si="11"/>
        <v>1135512.1739951316</v>
      </c>
      <c r="AY50" s="12">
        <f t="shared" si="5"/>
        <v>7650</v>
      </c>
      <c r="AZ50" s="12">
        <f t="shared" si="6"/>
        <v>10740.72380952381</v>
      </c>
      <c r="BA50" s="12">
        <f>AX50+SUM($AY$6:AY50)+SUM($AZ$6:AZ50)</f>
        <v>1868345.5644713219</v>
      </c>
      <c r="BB50" s="12">
        <f t="shared" si="12"/>
        <v>956200</v>
      </c>
      <c r="BC50" s="12">
        <f t="shared" si="13"/>
        <v>210</v>
      </c>
      <c r="BD50" s="12">
        <f t="shared" si="14"/>
        <v>0</v>
      </c>
      <c r="BE50" s="12">
        <f t="shared" si="15"/>
        <v>211</v>
      </c>
      <c r="BF50" s="12">
        <f t="shared" si="8"/>
        <v>912145.56447132188</v>
      </c>
    </row>
    <row r="51" spans="6:58" x14ac:dyDescent="0.35">
      <c r="F51" s="12">
        <v>46</v>
      </c>
      <c r="G51" s="8">
        <f>INDEX(验算胜率!$E$6:$I$1005,F51,MATCH($D$16,验算胜率!$E$5:$I$5,0))</f>
        <v>0.5</v>
      </c>
      <c r="H51" s="12">
        <f t="shared" si="0"/>
        <v>1800</v>
      </c>
      <c r="I51" s="12">
        <f t="shared" si="1"/>
        <v>3600</v>
      </c>
      <c r="J51" s="12">
        <v>4</v>
      </c>
      <c r="K51" s="12">
        <v>0</v>
      </c>
      <c r="L51" s="12">
        <f>MATCH(F51,关卡道具消耗!$AA$6:$AA$83,1)-2+INDEX(关卡道具消耗!$C$16:$E$16,1,MATCH(J51,关卡道具消耗!$C$17:$E$17,0))-1</f>
        <v>15</v>
      </c>
      <c r="M51" s="12">
        <f>IF($D$16=验算胜率!$F$5,验算胜率!K51,0)*H51*关卡道具消耗!$D$8/关卡道具消耗!$D$26</f>
        <v>0</v>
      </c>
      <c r="N51" s="12">
        <f>INDEX(关卡奖励!$AH$6:$AH$8,MATCH($D$14,关卡奖励!$W$6:$W$8,0))*H51</f>
        <v>2100.6</v>
      </c>
      <c r="O51" s="12">
        <f>INDEX(关卡奖励!$AI$9:$AI$11,MATCH($D$14,关卡奖励!$W$9:$W$11,0))*((1/G51)-1)*H51</f>
        <v>355.05</v>
      </c>
      <c r="P51" s="12">
        <f>I51-N51-O51</f>
        <v>1144.3500000000001</v>
      </c>
      <c r="Q51" s="12">
        <f>1/G51</f>
        <v>2</v>
      </c>
      <c r="R51" s="12">
        <f>IFERROR(INDEX(base_v,MATCH($F51,base_k,1)),0)*离线奖励!$C$12</f>
        <v>6300</v>
      </c>
      <c r="S51" s="12">
        <f>IFERROR(INDEX(关卡进度奖励!$I$7:$I$15,MATCH(F51,关卡进度奖励!$D$7:$D$15,0)),0)</f>
        <v>0</v>
      </c>
      <c r="T51" s="12">
        <f>AVERAGE(签到!$E$7:$E$13)*$H51</f>
        <v>7435.8857142857141</v>
      </c>
      <c r="U51" s="12">
        <f>转盘!$C$26*H51*V51/$D$13</f>
        <v>0</v>
      </c>
      <c r="V51" s="12">
        <f t="shared" si="4"/>
        <v>0</v>
      </c>
      <c r="W51" s="12">
        <f>IFERROR(MATCH(INDEX(转盘!$C$17:$F$17,1,MATCH($D$13,转盘!$C$16:$F$16,0))*MAX(F51-转盘!$C$6,0),转盘!$L$9:$L$51,1),0)</f>
        <v>2</v>
      </c>
      <c r="X51" s="12">
        <f>IFERROR(MATCH($F51,gift_k_level,0)^0,0)*进度礼包!$C$17*$H51/$D$13</f>
        <v>0</v>
      </c>
      <c r="Y51" s="12">
        <f>IFERROR(MATCH($F51,turn_k_1,0)^0,0)*转盘!$C$42*$H51/$D$13</f>
        <v>0</v>
      </c>
      <c r="Z51" s="12">
        <f>IFERROR(MATCH($F51,gift_k_level,0)^0,0)*进度礼包!$C$34*$H51/$D$13</f>
        <v>0</v>
      </c>
      <c r="AA51" s="12">
        <f>IFERROR(MATCH($F51,gift_k_time,0)^0,0)*限时礼包!$C$15*$H51/$D$13</f>
        <v>0</v>
      </c>
      <c r="AB51" s="12">
        <f>SUM(H$6:H51)</f>
        <v>63100</v>
      </c>
      <c r="AC51" s="12">
        <f>SUM(N$6:N51)+SUM($M$6:M51)</f>
        <v>73637.700000000012</v>
      </c>
      <c r="AD51" s="12">
        <f>SUM(O$6:O51)</f>
        <v>10474.172249999996</v>
      </c>
      <c r="AE51" s="12">
        <f>SUM($P$6:P51)</f>
        <v>32088.127749999981</v>
      </c>
      <c r="AF51" s="12">
        <f>SUM(U$6:U51)</f>
        <v>10772.075471698112</v>
      </c>
      <c r="AG51" s="12">
        <f>SUM(S$6:S51)</f>
        <v>2500</v>
      </c>
      <c r="AH51" s="12">
        <f>SUM(Y$6:Y51)</f>
        <v>93287.6</v>
      </c>
      <c r="AI51" s="12">
        <f>SUM(X$6:X51)</f>
        <v>0</v>
      </c>
      <c r="AJ51" s="12">
        <f>SUM(Z$6:Z51)</f>
        <v>0</v>
      </c>
      <c r="AK51" s="12">
        <f>SUM(AA$6:AA51)</f>
        <v>98303.239779947558</v>
      </c>
      <c r="AL51" s="12">
        <f>F51</f>
        <v>46</v>
      </c>
      <c r="AM51" s="12">
        <f t="shared" si="2"/>
        <v>107383.94772169813</v>
      </c>
      <c r="AN51" s="12">
        <f>SUM(I$6:I51)</f>
        <v>116200</v>
      </c>
      <c r="AO51" s="8">
        <f>SUM(Q$6:Q51)</f>
        <v>82</v>
      </c>
      <c r="AP51" s="12">
        <f t="shared" si="3"/>
        <v>-8816.0522783018678</v>
      </c>
      <c r="AS51" s="12">
        <v>45</v>
      </c>
      <c r="AT51" s="12">
        <v>20</v>
      </c>
      <c r="AU51" s="12">
        <f t="shared" si="9"/>
        <v>910</v>
      </c>
      <c r="AV51" s="12">
        <f t="shared" si="10"/>
        <v>0</v>
      </c>
      <c r="AW51" s="12">
        <f>INDEX($AO$6:$AO$215,MATCH(BC51,$F$6:$F$215,0))</f>
        <v>467</v>
      </c>
      <c r="AX51" s="12">
        <f t="shared" si="11"/>
        <v>1135512.1739951316</v>
      </c>
      <c r="AY51" s="12">
        <f t="shared" si="5"/>
        <v>7650</v>
      </c>
      <c r="AZ51" s="12">
        <f t="shared" si="6"/>
        <v>10740.72380952381</v>
      </c>
      <c r="BA51" s="12">
        <f>AX51+SUM($AY$6:AY51)+SUM($AZ$6:AZ51)</f>
        <v>1886736.2882808456</v>
      </c>
      <c r="BB51" s="12">
        <f t="shared" si="12"/>
        <v>956200</v>
      </c>
      <c r="BC51" s="12">
        <f t="shared" si="13"/>
        <v>210</v>
      </c>
      <c r="BD51" s="12">
        <f t="shared" si="14"/>
        <v>0</v>
      </c>
      <c r="BE51" s="12">
        <f t="shared" si="15"/>
        <v>211</v>
      </c>
      <c r="BF51" s="12">
        <f t="shared" si="8"/>
        <v>930536.28828084562</v>
      </c>
    </row>
    <row r="52" spans="6:58" x14ac:dyDescent="0.35">
      <c r="F52" s="12">
        <v>47</v>
      </c>
      <c r="G52" s="8">
        <f>INDEX(验算胜率!$E$6:$I$1005,F52,MATCH($D$16,验算胜率!$E$5:$I$5,0))</f>
        <v>0.5</v>
      </c>
      <c r="H52" s="12">
        <f t="shared" si="0"/>
        <v>1800</v>
      </c>
      <c r="I52" s="12">
        <f t="shared" si="1"/>
        <v>3600</v>
      </c>
      <c r="J52" s="12">
        <v>4</v>
      </c>
      <c r="K52" s="12">
        <v>1</v>
      </c>
      <c r="L52" s="12">
        <f>MATCH(F52,关卡道具消耗!$AA$6:$AA$83,1)-2+INDEX(关卡道具消耗!$C$16:$E$16,1,MATCH(J52,关卡道具消耗!$C$17:$E$17,0))-1</f>
        <v>18</v>
      </c>
      <c r="M52" s="12">
        <f>IF($D$16=验算胜率!$F$5,验算胜率!K52,0)*H52*关卡道具消耗!$D$8/关卡道具消耗!$D$26</f>
        <v>0</v>
      </c>
      <c r="N52" s="12">
        <f>INDEX(关卡奖励!$AH$6:$AH$8,MATCH($D$14,关卡奖励!$W$6:$W$8,0))*H52</f>
        <v>2100.6</v>
      </c>
      <c r="O52" s="12">
        <f>INDEX(关卡奖励!$AI$9:$AI$11,MATCH($D$14,关卡奖励!$W$9:$W$11,0))*((1/G52)-1)*H52</f>
        <v>355.05</v>
      </c>
      <c r="P52" s="12">
        <f>I52-N52-O52</f>
        <v>1144.3500000000001</v>
      </c>
      <c r="Q52" s="12">
        <f>1/G52</f>
        <v>2</v>
      </c>
      <c r="R52" s="12">
        <f>IFERROR(INDEX(base_v,MATCH($F52,base_k,1)),0)*离线奖励!$C$12</f>
        <v>6450</v>
      </c>
      <c r="S52" s="12">
        <f>IFERROR(INDEX(关卡进度奖励!$I$7:$I$15,MATCH(F52,关卡进度奖励!$D$7:$D$15,0)),0)</f>
        <v>0</v>
      </c>
      <c r="T52" s="12">
        <f>AVERAGE(签到!$E$7:$E$13)*$H52</f>
        <v>7435.8857142857141</v>
      </c>
      <c r="U52" s="12">
        <f>转盘!$C$26*H52*V52/$D$13</f>
        <v>0</v>
      </c>
      <c r="V52" s="12">
        <f t="shared" si="4"/>
        <v>0</v>
      </c>
      <c r="W52" s="12">
        <f>IFERROR(MATCH(INDEX(转盘!$C$17:$F$17,1,MATCH($D$13,转盘!$C$16:$F$16,0))*MAX(F52-转盘!$C$6,0),转盘!$L$9:$L$51,1),0)</f>
        <v>2</v>
      </c>
      <c r="X52" s="12">
        <f>IFERROR(MATCH($F52,gift_k_level,0)^0,0)*进度礼包!$C$17*$H52/$D$13</f>
        <v>0</v>
      </c>
      <c r="Y52" s="12">
        <f>IFERROR(MATCH($F52,turn_k_1,0)^0,0)*转盘!$C$42*$H52/$D$13</f>
        <v>0</v>
      </c>
      <c r="Z52" s="12">
        <f>IFERROR(MATCH($F52,gift_k_level,0)^0,0)*进度礼包!$C$34*$H52/$D$13</f>
        <v>0</v>
      </c>
      <c r="AA52" s="12">
        <f>IFERROR(MATCH($F52,gift_k_time,0)^0,0)*限时礼包!$C$15*$H52/$D$13</f>
        <v>0</v>
      </c>
      <c r="AB52" s="12">
        <f>SUM(H$6:H52)</f>
        <v>64900</v>
      </c>
      <c r="AC52" s="12">
        <f>SUM(N$6:N52)+SUM($M$6:M52)</f>
        <v>75738.300000000017</v>
      </c>
      <c r="AD52" s="12">
        <f>SUM(O$6:O52)</f>
        <v>10829.222249999995</v>
      </c>
      <c r="AE52" s="12">
        <f>SUM($P$6:P52)</f>
        <v>33232.477749999984</v>
      </c>
      <c r="AF52" s="12">
        <f>SUM(U$6:U52)</f>
        <v>10772.075471698112</v>
      </c>
      <c r="AG52" s="12">
        <f>SUM(S$6:S52)</f>
        <v>2500</v>
      </c>
      <c r="AH52" s="12">
        <f>SUM(Y$6:Y52)</f>
        <v>93287.6</v>
      </c>
      <c r="AI52" s="12">
        <f>SUM(X$6:X52)</f>
        <v>0</v>
      </c>
      <c r="AJ52" s="12">
        <f>SUM(Z$6:Z52)</f>
        <v>0</v>
      </c>
      <c r="AK52" s="12">
        <f>SUM(AA$6:AA52)</f>
        <v>98303.239779947558</v>
      </c>
      <c r="AL52" s="12">
        <f>F52</f>
        <v>47</v>
      </c>
      <c r="AM52" s="12">
        <f t="shared" si="2"/>
        <v>109839.59772169813</v>
      </c>
      <c r="AN52" s="12">
        <f>SUM(I$6:I52)</f>
        <v>119800</v>
      </c>
      <c r="AO52" s="8">
        <f>SUM(Q$6:Q52)</f>
        <v>84</v>
      </c>
      <c r="AP52" s="12">
        <f t="shared" si="3"/>
        <v>-9960.4022783018736</v>
      </c>
      <c r="AS52" s="12">
        <v>46</v>
      </c>
      <c r="AT52" s="12">
        <v>20</v>
      </c>
      <c r="AU52" s="12">
        <f t="shared" si="9"/>
        <v>930</v>
      </c>
      <c r="AV52" s="12">
        <f t="shared" si="10"/>
        <v>0</v>
      </c>
      <c r="AW52" s="12">
        <f>INDEX($AO$6:$AO$215,MATCH(BC52,$F$6:$F$215,0))</f>
        <v>467</v>
      </c>
      <c r="AX52" s="12">
        <f t="shared" si="11"/>
        <v>1135512.1739951316</v>
      </c>
      <c r="AY52" s="12">
        <f t="shared" si="5"/>
        <v>7650</v>
      </c>
      <c r="AZ52" s="12">
        <f t="shared" si="6"/>
        <v>10740.72380952381</v>
      </c>
      <c r="BA52" s="12">
        <f>AX52+SUM($AY$6:AY52)+SUM($AZ$6:AZ52)</f>
        <v>1905127.0120903696</v>
      </c>
      <c r="BB52" s="12">
        <f t="shared" si="12"/>
        <v>956200</v>
      </c>
      <c r="BC52" s="12">
        <f t="shared" si="13"/>
        <v>210</v>
      </c>
      <c r="BD52" s="12">
        <f t="shared" si="14"/>
        <v>0</v>
      </c>
      <c r="BE52" s="12">
        <f t="shared" si="15"/>
        <v>211</v>
      </c>
      <c r="BF52" s="12">
        <f t="shared" si="8"/>
        <v>948927.01209036959</v>
      </c>
    </row>
    <row r="53" spans="6:58" x14ac:dyDescent="0.35">
      <c r="F53" s="12">
        <v>48</v>
      </c>
      <c r="G53" s="8">
        <f>INDEX(验算胜率!$E$6:$I$1005,F53,MATCH($D$16,验算胜率!$E$5:$I$5,0))</f>
        <v>0.5</v>
      </c>
      <c r="H53" s="12">
        <f t="shared" si="0"/>
        <v>1800</v>
      </c>
      <c r="I53" s="12">
        <f t="shared" si="1"/>
        <v>3600</v>
      </c>
      <c r="J53" s="12">
        <v>4</v>
      </c>
      <c r="K53" s="12">
        <v>2</v>
      </c>
      <c r="L53" s="12">
        <f>MATCH(F53,关卡道具消耗!$AA$6:$AA$83,1)-2+INDEX(关卡道具消耗!$C$16:$E$16,1,MATCH(J53,关卡道具消耗!$C$17:$E$17,0))-1</f>
        <v>18</v>
      </c>
      <c r="M53" s="12">
        <f>IF($D$16=验算胜率!$F$5,验算胜率!K53,0)*H53*关卡道具消耗!$D$8/关卡道具消耗!$D$26</f>
        <v>0</v>
      </c>
      <c r="N53" s="12">
        <f>INDEX(关卡奖励!$AH$6:$AH$8,MATCH($D$14,关卡奖励!$W$6:$W$8,0))*H53</f>
        <v>2100.6</v>
      </c>
      <c r="O53" s="12">
        <f>INDEX(关卡奖励!$AI$9:$AI$11,MATCH($D$14,关卡奖励!$W$9:$W$11,0))*((1/G53)-1)*H53</f>
        <v>355.05</v>
      </c>
      <c r="P53" s="12">
        <f>I53-N53-O53</f>
        <v>1144.3500000000001</v>
      </c>
      <c r="Q53" s="12">
        <f>1/G53</f>
        <v>2</v>
      </c>
      <c r="R53" s="12">
        <f>IFERROR(INDEX(base_v,MATCH($F53,base_k,1)),0)*离线奖励!$C$12</f>
        <v>6450</v>
      </c>
      <c r="S53" s="12">
        <f>IFERROR(INDEX(关卡进度奖励!$I$7:$I$15,MATCH(F53,关卡进度奖励!$D$7:$D$15,0)),0)</f>
        <v>0</v>
      </c>
      <c r="T53" s="12">
        <f>AVERAGE(签到!$E$7:$E$13)*$H53</f>
        <v>7435.8857142857141</v>
      </c>
      <c r="U53" s="12">
        <f>转盘!$C$26*H53*V53/$D$13</f>
        <v>0</v>
      </c>
      <c r="V53" s="12">
        <f t="shared" si="4"/>
        <v>0</v>
      </c>
      <c r="W53" s="12">
        <f>IFERROR(MATCH(INDEX(转盘!$C$17:$F$17,1,MATCH($D$13,转盘!$C$16:$F$16,0))*MAX(F53-转盘!$C$6,0),转盘!$L$9:$L$51,1),0)</f>
        <v>2</v>
      </c>
      <c r="X53" s="12">
        <f>IFERROR(MATCH($F53,gift_k_level,0)^0,0)*进度礼包!$C$17*$H53/$D$13</f>
        <v>0</v>
      </c>
      <c r="Y53" s="12">
        <f>IFERROR(MATCH($F53,turn_k_1,0)^0,0)*转盘!$C$42*$H53/$D$13</f>
        <v>0</v>
      </c>
      <c r="Z53" s="12">
        <f>IFERROR(MATCH($F53,gift_k_level,0)^0,0)*进度礼包!$C$34*$H53/$D$13</f>
        <v>0</v>
      </c>
      <c r="AA53" s="12">
        <f>IFERROR(MATCH($F53,gift_k_time,0)^0,0)*限时礼包!$C$15*$H53/$D$13</f>
        <v>0</v>
      </c>
      <c r="AB53" s="12">
        <f>SUM(H$6:H53)</f>
        <v>66700</v>
      </c>
      <c r="AC53" s="12">
        <f>SUM(N$6:N53)+SUM($M$6:M53)</f>
        <v>77838.900000000023</v>
      </c>
      <c r="AD53" s="12">
        <f>SUM(O$6:O53)</f>
        <v>11184.272249999995</v>
      </c>
      <c r="AE53" s="12">
        <f>SUM($P$6:P53)</f>
        <v>34376.827749999982</v>
      </c>
      <c r="AF53" s="12">
        <f>SUM(U$6:U53)</f>
        <v>10772.075471698112</v>
      </c>
      <c r="AG53" s="12">
        <f>SUM(S$6:S53)</f>
        <v>2500</v>
      </c>
      <c r="AH53" s="12">
        <f>SUM(Y$6:Y53)</f>
        <v>93287.6</v>
      </c>
      <c r="AI53" s="12">
        <f>SUM(X$6:X53)</f>
        <v>0</v>
      </c>
      <c r="AJ53" s="12">
        <f>SUM(Z$6:Z53)</f>
        <v>0</v>
      </c>
      <c r="AK53" s="12">
        <f>SUM(AA$6:AA53)</f>
        <v>98303.239779947558</v>
      </c>
      <c r="AL53" s="12">
        <f>F53</f>
        <v>48</v>
      </c>
      <c r="AM53" s="12">
        <f t="shared" si="2"/>
        <v>112295.24772169814</v>
      </c>
      <c r="AN53" s="12">
        <f>SUM(I$6:I53)</f>
        <v>123400</v>
      </c>
      <c r="AO53" s="8">
        <f>SUM(Q$6:Q53)</f>
        <v>86</v>
      </c>
      <c r="AP53" s="12">
        <f t="shared" si="3"/>
        <v>-11104.752278301865</v>
      </c>
      <c r="AS53" s="12">
        <v>47</v>
      </c>
      <c r="AT53" s="12">
        <v>20</v>
      </c>
      <c r="AU53" s="12">
        <f t="shared" si="9"/>
        <v>950</v>
      </c>
      <c r="AV53" s="12">
        <f t="shared" si="10"/>
        <v>0</v>
      </c>
      <c r="AW53" s="12">
        <f>INDEX($AO$6:$AO$215,MATCH(BC53,$F$6:$F$215,0))</f>
        <v>467</v>
      </c>
      <c r="AX53" s="12">
        <f t="shared" si="11"/>
        <v>1135512.1739951316</v>
      </c>
      <c r="AY53" s="12">
        <f t="shared" si="5"/>
        <v>7650</v>
      </c>
      <c r="AZ53" s="12">
        <f t="shared" si="6"/>
        <v>10740.72380952381</v>
      </c>
      <c r="BA53" s="12">
        <f>AX53+SUM($AY$6:AY53)+SUM($AZ$6:AZ53)</f>
        <v>1923517.7358998933</v>
      </c>
      <c r="BB53" s="12">
        <f t="shared" si="12"/>
        <v>956200</v>
      </c>
      <c r="BC53" s="12">
        <f t="shared" si="13"/>
        <v>210</v>
      </c>
      <c r="BD53" s="12">
        <f t="shared" si="14"/>
        <v>0</v>
      </c>
      <c r="BE53" s="12">
        <f t="shared" si="15"/>
        <v>211</v>
      </c>
      <c r="BF53" s="12">
        <f t="shared" si="8"/>
        <v>967317.73589989333</v>
      </c>
    </row>
    <row r="54" spans="6:58" x14ac:dyDescent="0.35">
      <c r="F54" s="12">
        <v>49</v>
      </c>
      <c r="G54" s="8">
        <f>INDEX(验算胜率!$E$6:$I$1005,F54,MATCH($D$16,验算胜率!$E$5:$I$5,0))</f>
        <v>0.2</v>
      </c>
      <c r="H54" s="12">
        <f t="shared" si="0"/>
        <v>1800</v>
      </c>
      <c r="I54" s="12">
        <f t="shared" si="1"/>
        <v>9000</v>
      </c>
      <c r="J54" s="12">
        <v>4</v>
      </c>
      <c r="K54" s="12">
        <v>1</v>
      </c>
      <c r="L54" s="12">
        <f>MATCH(F54,关卡道具消耗!$AA$6:$AA$83,1)-2+INDEX(关卡道具消耗!$C$16:$E$16,1,MATCH(J54,关卡道具消耗!$C$17:$E$17,0))-1</f>
        <v>18</v>
      </c>
      <c r="M54" s="12">
        <f>IF($D$16=验算胜率!$F$5,验算胜率!K54,0)*H54*关卡道具消耗!$D$8/关卡道具消耗!$D$26</f>
        <v>0</v>
      </c>
      <c r="N54" s="12">
        <f>INDEX(关卡奖励!$AH$6:$AH$8,MATCH($D$14,关卡奖励!$W$6:$W$8,0))*H54*IF(G54&lt;0.3,1,2)</f>
        <v>2100.6</v>
      </c>
      <c r="O54" s="12">
        <f>INDEX(关卡奖励!$AI$9:$AI$11,MATCH($D$14,关卡奖励!$W$9:$W$11,0))*((1/G54)-1)*H54</f>
        <v>1420.2</v>
      </c>
      <c r="P54" s="12">
        <f>I54-N54-O54</f>
        <v>5479.2</v>
      </c>
      <c r="Q54" s="12">
        <f>1/G54</f>
        <v>5</v>
      </c>
      <c r="R54" s="12">
        <f>IFERROR(INDEX(base_v,MATCH($F54,base_k,1)),0)*离线奖励!$C$12</f>
        <v>6450</v>
      </c>
      <c r="S54" s="12">
        <f>IFERROR(INDEX(关卡进度奖励!$I$7:$I$15,MATCH(F54,关卡进度奖励!$D$7:$D$15,0)),0)</f>
        <v>2000</v>
      </c>
      <c r="T54" s="12">
        <f>AVERAGE(签到!$E$7:$E$13)*$H54</f>
        <v>7435.8857142857141</v>
      </c>
      <c r="U54" s="12">
        <f>转盘!$C$26*H54*V54/$D$13</f>
        <v>0</v>
      </c>
      <c r="V54" s="12">
        <f t="shared" si="4"/>
        <v>0</v>
      </c>
      <c r="W54" s="12">
        <f>IFERROR(MATCH(INDEX(转盘!$C$17:$F$17,1,MATCH($D$13,转盘!$C$16:$F$16,0))*MAX(F54-转盘!$C$6,0),转盘!$L$9:$L$51,1),0)</f>
        <v>2</v>
      </c>
      <c r="X54" s="12">
        <f>IFERROR(MATCH($F54,gift_k_level,0)^0,0)*进度礼包!$C$17*$H54/$D$13</f>
        <v>0</v>
      </c>
      <c r="Y54" s="12">
        <f>IFERROR(MATCH($F54,turn_k_1,0)^0,0)*转盘!$C$42*$H54/$D$13</f>
        <v>0</v>
      </c>
      <c r="Z54" s="12">
        <f>IFERROR(MATCH($F54,gift_k_level,0)^0,0)*进度礼包!$C$34*$H54/$D$13</f>
        <v>0</v>
      </c>
      <c r="AA54" s="12">
        <f>IFERROR(MATCH($F54,gift_k_time,0)^0,0)*限时礼包!$C$15*$H54/$D$13</f>
        <v>0</v>
      </c>
      <c r="AB54" s="12">
        <f>SUM(H$6:H54)</f>
        <v>68500</v>
      </c>
      <c r="AC54" s="12">
        <f>SUM(N$6:N54)+SUM($M$6:M54)</f>
        <v>79939.500000000029</v>
      </c>
      <c r="AD54" s="12">
        <f>SUM(O$6:O54)</f>
        <v>12604.472249999995</v>
      </c>
      <c r="AE54" s="12">
        <f>SUM($P$6:P54)</f>
        <v>39856.027749999979</v>
      </c>
      <c r="AF54" s="12">
        <f>SUM(U$6:U54)</f>
        <v>10772.075471698112</v>
      </c>
      <c r="AG54" s="12">
        <f>SUM(S$6:S54)</f>
        <v>4500</v>
      </c>
      <c r="AH54" s="12">
        <f>SUM(Y$6:Y54)</f>
        <v>93287.6</v>
      </c>
      <c r="AI54" s="12">
        <f>SUM(X$6:X54)</f>
        <v>0</v>
      </c>
      <c r="AJ54" s="12">
        <f>SUM(Z$6:Z54)</f>
        <v>0</v>
      </c>
      <c r="AK54" s="12">
        <f>SUM(AA$6:AA54)</f>
        <v>98303.239779947558</v>
      </c>
      <c r="AL54" s="12">
        <f>F54</f>
        <v>49</v>
      </c>
      <c r="AM54" s="12">
        <f t="shared" si="2"/>
        <v>117816.04772169814</v>
      </c>
      <c r="AN54" s="12">
        <f>SUM(I$6:I54)</f>
        <v>132400</v>
      </c>
      <c r="AO54" s="8">
        <f>SUM(Q$6:Q54)</f>
        <v>91</v>
      </c>
      <c r="AP54" s="12">
        <f t="shared" si="3"/>
        <v>-14583.952278301862</v>
      </c>
      <c r="AS54" s="12">
        <v>48</v>
      </c>
      <c r="AT54" s="12">
        <v>20</v>
      </c>
      <c r="AU54" s="12">
        <f t="shared" si="9"/>
        <v>970</v>
      </c>
      <c r="AV54" s="12">
        <f t="shared" si="10"/>
        <v>0</v>
      </c>
      <c r="AW54" s="12">
        <f>INDEX($AO$6:$AO$215,MATCH(BC54,$F$6:$F$215,0))</f>
        <v>467</v>
      </c>
      <c r="AX54" s="12">
        <f t="shared" si="11"/>
        <v>1135512.1739951316</v>
      </c>
      <c r="AY54" s="12">
        <f t="shared" si="5"/>
        <v>7650</v>
      </c>
      <c r="AZ54" s="12">
        <f t="shared" si="6"/>
        <v>10740.72380952381</v>
      </c>
      <c r="BA54" s="12">
        <f>AX54+SUM($AY$6:AY54)+SUM($AZ$6:AZ54)</f>
        <v>1941908.4597094171</v>
      </c>
      <c r="BB54" s="12">
        <f t="shared" si="12"/>
        <v>956200</v>
      </c>
      <c r="BC54" s="12">
        <f t="shared" si="13"/>
        <v>210</v>
      </c>
      <c r="BD54" s="12">
        <f t="shared" si="14"/>
        <v>0</v>
      </c>
      <c r="BE54" s="12">
        <f t="shared" si="15"/>
        <v>211</v>
      </c>
      <c r="BF54" s="12">
        <f t="shared" si="8"/>
        <v>985708.45970941707</v>
      </c>
    </row>
    <row r="55" spans="6:58" x14ac:dyDescent="0.35">
      <c r="F55" s="12">
        <v>50</v>
      </c>
      <c r="G55" s="8">
        <f>INDEX(验算胜率!$E$6:$I$1005,F55,MATCH($D$16,验算胜率!$E$5:$I$5,0))</f>
        <v>0.5</v>
      </c>
      <c r="H55" s="12">
        <f t="shared" si="0"/>
        <v>1800</v>
      </c>
      <c r="I55" s="12">
        <f t="shared" si="1"/>
        <v>3600</v>
      </c>
      <c r="J55" s="12">
        <v>4</v>
      </c>
      <c r="K55" s="12">
        <v>2</v>
      </c>
      <c r="L55" s="12">
        <f>MATCH(F55,关卡道具消耗!$AA$6:$AA$83,1)-2+INDEX(关卡道具消耗!$C$16:$E$16,1,MATCH(J55,关卡道具消耗!$C$17:$E$17,0))-1</f>
        <v>18</v>
      </c>
      <c r="M55" s="12">
        <f>IF($D$16=验算胜率!$F$5,验算胜率!K55,0)*H55*关卡道具消耗!$D$8/关卡道具消耗!$D$26</f>
        <v>0</v>
      </c>
      <c r="N55" s="12">
        <f>INDEX(关卡奖励!$AH$6:$AH$8,MATCH($D$14,关卡奖励!$W$6:$W$8,0))*H55*IF(G55&lt;0.3,1,2)</f>
        <v>4201.2</v>
      </c>
      <c r="O55" s="12">
        <f>INDEX(关卡奖励!$AI$9:$AI$11,MATCH($D$14,关卡奖励!$W$9:$W$11,0))*((1/G55)-1)*H55</f>
        <v>355.05</v>
      </c>
      <c r="P55" s="12">
        <f>I55-N55-O55</f>
        <v>-956.24999999999977</v>
      </c>
      <c r="Q55" s="12">
        <f>1/G55</f>
        <v>2</v>
      </c>
      <c r="R55" s="12">
        <f>IFERROR(INDEX(base_v,MATCH($F55,base_k,1)),0)*离线奖励!$C$12</f>
        <v>6450</v>
      </c>
      <c r="S55" s="12">
        <f>IFERROR(INDEX(关卡进度奖励!$I$7:$I$15,MATCH(F55,关卡进度奖励!$D$7:$D$15,0)),0)</f>
        <v>0</v>
      </c>
      <c r="T55" s="12">
        <f>AVERAGE(签到!$E$7:$E$13)*$H55</f>
        <v>7435.8857142857141</v>
      </c>
      <c r="U55" s="12">
        <f>转盘!$C$26*H55*V55/$D$13</f>
        <v>0</v>
      </c>
      <c r="V55" s="12">
        <f t="shared" si="4"/>
        <v>0</v>
      </c>
      <c r="W55" s="12">
        <f>IFERROR(MATCH(INDEX(转盘!$C$17:$F$17,1,MATCH($D$13,转盘!$C$16:$F$16,0))*MAX(F55-转盘!$C$6,0),转盘!$L$9:$L$51,1),0)</f>
        <v>2</v>
      </c>
      <c r="X55" s="12">
        <f>IFERROR(MATCH($F55,gift_k_level,0)^0,0)*进度礼包!$C$17*$H55/$D$13</f>
        <v>0</v>
      </c>
      <c r="Y55" s="12">
        <f>IFERROR(MATCH($F55,turn_k_1,0)^0,0)*转盘!$C$42*$H55/$D$13</f>
        <v>0</v>
      </c>
      <c r="Z55" s="12">
        <f>IFERROR(MATCH($F55,gift_k_level,0)^0,0)*进度礼包!$C$34*$H55/$D$13</f>
        <v>0</v>
      </c>
      <c r="AA55" s="12">
        <f>IFERROR(MATCH($F55,gift_k_time,0)^0,0)*限时礼包!$C$15*$H55/$D$13</f>
        <v>0</v>
      </c>
      <c r="AB55" s="12">
        <f>SUM(H$6:H55)</f>
        <v>70300</v>
      </c>
      <c r="AC55" s="12">
        <f>SUM(N$6:N55)+SUM($M$6:M55)</f>
        <v>84140.700000000026</v>
      </c>
      <c r="AD55" s="12">
        <f>SUM(O$6:O55)</f>
        <v>12959.522249999995</v>
      </c>
      <c r="AE55" s="12">
        <f>SUM($P$6:P55)</f>
        <v>38899.777749999979</v>
      </c>
      <c r="AF55" s="12">
        <f>SUM(U$6:U55)</f>
        <v>10772.075471698112</v>
      </c>
      <c r="AG55" s="12">
        <f>SUM(S$6:S55)</f>
        <v>4500</v>
      </c>
      <c r="AH55" s="12">
        <f>SUM(Y$6:Y55)</f>
        <v>93287.6</v>
      </c>
      <c r="AI55" s="12">
        <f>SUM(X$6:X55)</f>
        <v>0</v>
      </c>
      <c r="AJ55" s="12">
        <f>SUM(Z$6:Z55)</f>
        <v>0</v>
      </c>
      <c r="AK55" s="12">
        <f>SUM(AA$6:AA55)</f>
        <v>98303.239779947558</v>
      </c>
      <c r="AL55" s="12">
        <f>F55</f>
        <v>50</v>
      </c>
      <c r="AM55" s="12">
        <f t="shared" si="2"/>
        <v>122372.29772169814</v>
      </c>
      <c r="AN55" s="12">
        <f>SUM(I$6:I55)</f>
        <v>136000</v>
      </c>
      <c r="AO55" s="8">
        <f>SUM(Q$6:Q55)</f>
        <v>93</v>
      </c>
      <c r="AP55" s="12">
        <f t="shared" si="3"/>
        <v>-13627.702278301862</v>
      </c>
      <c r="AS55" s="12">
        <v>49</v>
      </c>
      <c r="AT55" s="12">
        <v>20</v>
      </c>
      <c r="AU55" s="12">
        <f t="shared" si="9"/>
        <v>990</v>
      </c>
      <c r="AV55" s="12">
        <f t="shared" si="10"/>
        <v>0</v>
      </c>
      <c r="AW55" s="12">
        <f>INDEX($AO$6:$AO$215,MATCH(BC55,$F$6:$F$215,0))</f>
        <v>467</v>
      </c>
      <c r="AX55" s="12">
        <f t="shared" si="11"/>
        <v>1135512.1739951316</v>
      </c>
      <c r="AY55" s="12">
        <f t="shared" si="5"/>
        <v>7650</v>
      </c>
      <c r="AZ55" s="12">
        <f t="shared" si="6"/>
        <v>10740.72380952381</v>
      </c>
      <c r="BA55" s="12">
        <f>AX55+SUM($AY$6:AY55)+SUM($AZ$6:AZ55)</f>
        <v>1960299.1835189408</v>
      </c>
      <c r="BB55" s="12">
        <f t="shared" si="12"/>
        <v>956200</v>
      </c>
      <c r="BC55" s="12">
        <f t="shared" si="13"/>
        <v>210</v>
      </c>
      <c r="BD55" s="12">
        <f t="shared" si="14"/>
        <v>0</v>
      </c>
      <c r="BE55" s="12">
        <f t="shared" si="15"/>
        <v>211</v>
      </c>
      <c r="BF55" s="12">
        <f t="shared" si="8"/>
        <v>1004099.1835189408</v>
      </c>
    </row>
    <row r="56" spans="6:58" x14ac:dyDescent="0.35">
      <c r="F56" s="12">
        <v>51</v>
      </c>
      <c r="G56" s="8">
        <f>INDEX(验算胜率!$E$6:$I$1005,F56,MATCH($D$16,验算胜率!$E$5:$I$5,0))</f>
        <v>0.5</v>
      </c>
      <c r="H56" s="12">
        <f t="shared" si="0"/>
        <v>1800</v>
      </c>
      <c r="I56" s="12">
        <f t="shared" si="1"/>
        <v>3600</v>
      </c>
      <c r="J56" s="12">
        <v>4</v>
      </c>
      <c r="K56" s="12">
        <v>2</v>
      </c>
      <c r="L56" s="12">
        <f>MATCH(F56,关卡道具消耗!$AA$6:$AA$83,1)-2+INDEX(关卡道具消耗!$C$16:$E$16,1,MATCH(J56,关卡道具消耗!$C$17:$E$17,0))-1</f>
        <v>18</v>
      </c>
      <c r="M56" s="12">
        <f>IF($D$16=验算胜率!$F$5,验算胜率!K56,0)*H56*关卡道具消耗!$D$8/关卡道具消耗!$D$26</f>
        <v>0</v>
      </c>
      <c r="N56" s="12">
        <f>INDEX(关卡奖励!$AH$6:$AH$8,MATCH($D$14,关卡奖励!$W$6:$W$8,0))*H56*IF(G56&lt;0.3,1,2)</f>
        <v>4201.2</v>
      </c>
      <c r="O56" s="12">
        <f>INDEX(关卡奖励!$AI$9:$AI$11,MATCH($D$14,关卡奖励!$W$9:$W$11,0))*((1/G56)-1)*H56</f>
        <v>355.05</v>
      </c>
      <c r="P56" s="12">
        <f>I56-N56-O56</f>
        <v>-956.24999999999977</v>
      </c>
      <c r="Q56" s="12">
        <f>1/G56</f>
        <v>2</v>
      </c>
      <c r="R56" s="12">
        <f>IFERROR(INDEX(base_v,MATCH($F56,base_k,1)),0)*离线奖励!$C$12</f>
        <v>6450</v>
      </c>
      <c r="S56" s="12">
        <f>IFERROR(INDEX(关卡进度奖励!$I$7:$I$15,MATCH(F56,关卡进度奖励!$D$7:$D$15,0)),0)</f>
        <v>0</v>
      </c>
      <c r="T56" s="12">
        <f>AVERAGE(签到!$E$7:$E$13)*$H56</f>
        <v>7435.8857142857141</v>
      </c>
      <c r="U56" s="12">
        <f>转盘!$C$26*H56*V56/$D$13</f>
        <v>0</v>
      </c>
      <c r="V56" s="12">
        <f t="shared" si="4"/>
        <v>0</v>
      </c>
      <c r="W56" s="12">
        <f>IFERROR(MATCH(INDEX(转盘!$C$17:$F$17,1,MATCH($D$13,转盘!$C$16:$F$16,0))*MAX(F56-转盘!$C$6,0),转盘!$L$9:$L$51,1),0)</f>
        <v>2</v>
      </c>
      <c r="X56" s="12">
        <f>IFERROR(MATCH($F56,gift_k_level,0)^0,0)*进度礼包!$C$17*$H56/$D$13</f>
        <v>0</v>
      </c>
      <c r="Y56" s="12">
        <f>IFERROR(MATCH($F56,turn_k_1,0)^0,0)*转盘!$C$42*$H56/$D$13</f>
        <v>0</v>
      </c>
      <c r="Z56" s="12">
        <f>IFERROR(MATCH($F56,gift_k_level,0)^0,0)*进度礼包!$C$34*$H56/$D$13</f>
        <v>0</v>
      </c>
      <c r="AA56" s="12">
        <f>IFERROR(MATCH($F56,gift_k_time,0)^0,0)*限时礼包!$C$15*$H56/$D$13</f>
        <v>0</v>
      </c>
      <c r="AB56" s="12">
        <f>SUM(H$6:H56)</f>
        <v>72100</v>
      </c>
      <c r="AC56" s="12">
        <f>SUM(N$6:N56)+SUM($M$6:M56)</f>
        <v>88341.900000000023</v>
      </c>
      <c r="AD56" s="12">
        <f>SUM(O$6:O56)</f>
        <v>13314.572249999994</v>
      </c>
      <c r="AE56" s="12">
        <f>SUM($P$6:P56)</f>
        <v>37943.527749999979</v>
      </c>
      <c r="AF56" s="12">
        <f>SUM(U$6:U56)</f>
        <v>10772.075471698112</v>
      </c>
      <c r="AG56" s="12">
        <f>SUM(S$6:S56)</f>
        <v>4500</v>
      </c>
      <c r="AH56" s="12">
        <f>SUM(Y$6:Y56)</f>
        <v>93287.6</v>
      </c>
      <c r="AI56" s="12">
        <f>SUM(X$6:X56)</f>
        <v>0</v>
      </c>
      <c r="AJ56" s="12">
        <f>SUM(Z$6:Z56)</f>
        <v>0</v>
      </c>
      <c r="AK56" s="12">
        <f>SUM(AA$6:AA56)</f>
        <v>98303.239779947558</v>
      </c>
      <c r="AL56" s="12">
        <f>F56</f>
        <v>51</v>
      </c>
      <c r="AM56" s="12">
        <f t="shared" si="2"/>
        <v>126928.54772169814</v>
      </c>
      <c r="AN56" s="12">
        <f>SUM(I$6:I56)</f>
        <v>139600</v>
      </c>
      <c r="AO56" s="8">
        <f>SUM(Q$6:Q56)</f>
        <v>95</v>
      </c>
      <c r="AP56" s="12">
        <f t="shared" si="3"/>
        <v>-12671.452278301862</v>
      </c>
      <c r="AS56" s="12">
        <v>50</v>
      </c>
      <c r="AT56" s="12">
        <v>20</v>
      </c>
      <c r="AU56" s="12">
        <f t="shared" si="9"/>
        <v>1010</v>
      </c>
      <c r="AV56" s="12">
        <f t="shared" si="10"/>
        <v>0</v>
      </c>
      <c r="AW56" s="12">
        <f>INDEX($AO$6:$AO$215,MATCH(BC56,$F$6:$F$215,0))</f>
        <v>467</v>
      </c>
      <c r="AX56" s="12">
        <f t="shared" si="11"/>
        <v>1135512.1739951316</v>
      </c>
      <c r="AY56" s="12">
        <f t="shared" si="5"/>
        <v>7650</v>
      </c>
      <c r="AZ56" s="12">
        <f t="shared" si="6"/>
        <v>10740.72380952381</v>
      </c>
      <c r="BA56" s="12">
        <f>AX56+SUM($AY$6:AY56)+SUM($AZ$6:AZ56)</f>
        <v>1978689.9073284646</v>
      </c>
      <c r="BB56" s="12">
        <f t="shared" si="12"/>
        <v>956200</v>
      </c>
      <c r="BC56" s="12">
        <f t="shared" si="13"/>
        <v>210</v>
      </c>
      <c r="BD56" s="12">
        <f t="shared" si="14"/>
        <v>0</v>
      </c>
      <c r="BE56" s="12">
        <f t="shared" si="15"/>
        <v>211</v>
      </c>
      <c r="BF56" s="12">
        <f t="shared" si="8"/>
        <v>1022489.9073284646</v>
      </c>
    </row>
    <row r="57" spans="6:58" x14ac:dyDescent="0.35">
      <c r="F57" s="12">
        <v>52</v>
      </c>
      <c r="G57" s="8">
        <f>INDEX(验算胜率!$E$6:$I$1005,F57,MATCH($D$16,验算胜率!$E$5:$I$5,0))</f>
        <v>0.5</v>
      </c>
      <c r="H57" s="12">
        <f t="shared" si="0"/>
        <v>1800</v>
      </c>
      <c r="I57" s="12">
        <f t="shared" si="1"/>
        <v>3600</v>
      </c>
      <c r="J57" s="12">
        <v>4</v>
      </c>
      <c r="K57" s="12">
        <v>0</v>
      </c>
      <c r="L57" s="12">
        <f>MATCH(F57,关卡道具消耗!$AA$6:$AA$83,1)-2+INDEX(关卡道具消耗!$C$16:$E$16,1,MATCH(J57,关卡道具消耗!$C$17:$E$17,0))-1</f>
        <v>18</v>
      </c>
      <c r="M57" s="12">
        <f>IF($D$16=验算胜率!$F$5,验算胜率!K57,0)*H57*关卡道具消耗!$D$8/关卡道具消耗!$D$26</f>
        <v>0</v>
      </c>
      <c r="N57" s="12">
        <f>INDEX(关卡奖励!$AH$6:$AH$8,MATCH($D$14,关卡奖励!$W$6:$W$8,0))*H57*IF(G57&lt;0.3,1,2)</f>
        <v>4201.2</v>
      </c>
      <c r="O57" s="12">
        <f>INDEX(关卡奖励!$AI$9:$AI$11,MATCH($D$14,关卡奖励!$W$9:$W$11,0))*((1/G57)-1)*H57</f>
        <v>355.05</v>
      </c>
      <c r="P57" s="12">
        <f>I57-N57-O57</f>
        <v>-956.24999999999977</v>
      </c>
      <c r="Q57" s="12">
        <f>1/G57</f>
        <v>2</v>
      </c>
      <c r="R57" s="12">
        <f>IFERROR(INDEX(base_v,MATCH($F57,base_k,1)),0)*离线奖励!$C$12</f>
        <v>6450</v>
      </c>
      <c r="S57" s="12">
        <f>IFERROR(INDEX(关卡进度奖励!$I$7:$I$15,MATCH(F57,关卡进度奖励!$D$7:$D$15,0)),0)</f>
        <v>0</v>
      </c>
      <c r="T57" s="12">
        <f>AVERAGE(签到!$E$7:$E$13)*$H57</f>
        <v>7435.8857142857141</v>
      </c>
      <c r="U57" s="12">
        <f>转盘!$C$26*H57*V57/$D$13</f>
        <v>0</v>
      </c>
      <c r="V57" s="12">
        <f t="shared" si="4"/>
        <v>0</v>
      </c>
      <c r="W57" s="12">
        <f>IFERROR(MATCH(INDEX(转盘!$C$17:$F$17,1,MATCH($D$13,转盘!$C$16:$F$16,0))*MAX(F57-转盘!$C$6,0),转盘!$L$9:$L$51,1),0)</f>
        <v>2</v>
      </c>
      <c r="X57" s="12">
        <f>IFERROR(MATCH($F57,gift_k_level,0)^0,0)*进度礼包!$C$17*$H57/$D$13</f>
        <v>0</v>
      </c>
      <c r="Y57" s="12">
        <f>IFERROR(MATCH($F57,turn_k_1,0)^0,0)*转盘!$C$42*$H57/$D$13</f>
        <v>0</v>
      </c>
      <c r="Z57" s="12">
        <f>IFERROR(MATCH($F57,gift_k_level,0)^0,0)*进度礼包!$C$34*$H57/$D$13</f>
        <v>0</v>
      </c>
      <c r="AA57" s="12">
        <f>IFERROR(MATCH($F57,gift_k_time,0)^0,0)*限时礼包!$C$15*$H57/$D$13</f>
        <v>0</v>
      </c>
      <c r="AB57" s="12">
        <f>SUM(H$6:H57)</f>
        <v>73900</v>
      </c>
      <c r="AC57" s="12">
        <f>SUM(N$6:N57)+SUM($M$6:M57)</f>
        <v>92543.10000000002</v>
      </c>
      <c r="AD57" s="12">
        <f>SUM(O$6:O57)</f>
        <v>13669.622249999993</v>
      </c>
      <c r="AE57" s="12">
        <f>SUM($P$6:P57)</f>
        <v>36987.277749999979</v>
      </c>
      <c r="AF57" s="12">
        <f>SUM(U$6:U57)</f>
        <v>10772.075471698112</v>
      </c>
      <c r="AG57" s="12">
        <f>SUM(S$6:S57)</f>
        <v>4500</v>
      </c>
      <c r="AH57" s="12">
        <f>SUM(Y$6:Y57)</f>
        <v>93287.6</v>
      </c>
      <c r="AI57" s="12">
        <f>SUM(X$6:X57)</f>
        <v>0</v>
      </c>
      <c r="AJ57" s="12">
        <f>SUM(Z$6:Z57)</f>
        <v>0</v>
      </c>
      <c r="AK57" s="12">
        <f>SUM(AA$6:AA57)</f>
        <v>98303.239779947558</v>
      </c>
      <c r="AL57" s="12">
        <f>F57</f>
        <v>52</v>
      </c>
      <c r="AM57" s="12">
        <f t="shared" si="2"/>
        <v>131484.79772169812</v>
      </c>
      <c r="AN57" s="12">
        <f>SUM(I$6:I57)</f>
        <v>143200</v>
      </c>
      <c r="AO57" s="8">
        <f>SUM(Q$6:Q57)</f>
        <v>97</v>
      </c>
      <c r="AP57" s="12">
        <f t="shared" si="3"/>
        <v>-11715.202278301877</v>
      </c>
      <c r="AS57" s="12">
        <v>51</v>
      </c>
      <c r="AT57" s="12">
        <v>20</v>
      </c>
      <c r="AU57" s="12">
        <f t="shared" si="9"/>
        <v>1030</v>
      </c>
      <c r="AV57" s="12">
        <f t="shared" si="10"/>
        <v>0</v>
      </c>
      <c r="AW57" s="12">
        <f>INDEX($AO$6:$AO$215,MATCH(BC57,$F$6:$F$215,0))</f>
        <v>467</v>
      </c>
      <c r="AX57" s="12">
        <f t="shared" si="11"/>
        <v>1135512.1739951316</v>
      </c>
      <c r="AY57" s="12">
        <f t="shared" si="5"/>
        <v>7650</v>
      </c>
      <c r="AZ57" s="12">
        <f t="shared" si="6"/>
        <v>10740.72380952381</v>
      </c>
      <c r="BA57" s="12">
        <f>AX57+SUM($AY$6:AY57)+SUM($AZ$6:AZ57)</f>
        <v>1997080.6311379885</v>
      </c>
      <c r="BB57" s="12">
        <f t="shared" si="12"/>
        <v>956200</v>
      </c>
      <c r="BC57" s="12">
        <f t="shared" si="13"/>
        <v>210</v>
      </c>
      <c r="BD57" s="12">
        <f t="shared" si="14"/>
        <v>0</v>
      </c>
      <c r="BE57" s="12">
        <f t="shared" si="15"/>
        <v>211</v>
      </c>
      <c r="BF57" s="12">
        <f t="shared" si="8"/>
        <v>1040880.6311379885</v>
      </c>
    </row>
    <row r="58" spans="6:58" x14ac:dyDescent="0.35">
      <c r="F58" s="12">
        <v>53</v>
      </c>
      <c r="G58" s="8">
        <f>INDEX(验算胜率!$E$6:$I$1005,F58,MATCH($D$16,验算胜率!$E$5:$I$5,0))</f>
        <v>0.5</v>
      </c>
      <c r="H58" s="12">
        <f t="shared" si="0"/>
        <v>1800</v>
      </c>
      <c r="I58" s="12">
        <f t="shared" si="1"/>
        <v>3600</v>
      </c>
      <c r="J58" s="12">
        <v>4</v>
      </c>
      <c r="K58" s="12">
        <v>0</v>
      </c>
      <c r="L58" s="12">
        <f>MATCH(F58,关卡道具消耗!$AA$6:$AA$83,1)-2+INDEX(关卡道具消耗!$C$16:$E$16,1,MATCH(J58,关卡道具消耗!$C$17:$E$17,0))-1</f>
        <v>18</v>
      </c>
      <c r="M58" s="12">
        <f>IF($D$16=验算胜率!$F$5,验算胜率!K58,0)*H58*关卡道具消耗!$D$8/关卡道具消耗!$D$26</f>
        <v>0</v>
      </c>
      <c r="N58" s="12">
        <f>INDEX(关卡奖励!$AH$6:$AH$8,MATCH($D$14,关卡奖励!$W$6:$W$8,0))*H58*IF(G58&lt;0.3,1,2)</f>
        <v>4201.2</v>
      </c>
      <c r="O58" s="12">
        <f>INDEX(关卡奖励!$AI$9:$AI$11,MATCH($D$14,关卡奖励!$W$9:$W$11,0))*((1/G58)-1)*H58</f>
        <v>355.05</v>
      </c>
      <c r="P58" s="12">
        <f>I58-N58-O58</f>
        <v>-956.24999999999977</v>
      </c>
      <c r="Q58" s="12">
        <f>1/G58</f>
        <v>2</v>
      </c>
      <c r="R58" s="12">
        <f>IFERROR(INDEX(base_v,MATCH($F58,base_k,1)),0)*离线奖励!$C$12</f>
        <v>6450</v>
      </c>
      <c r="S58" s="12">
        <f>IFERROR(INDEX(关卡进度奖励!$I$7:$I$15,MATCH(F58,关卡进度奖励!$D$7:$D$15,0)),0)</f>
        <v>0</v>
      </c>
      <c r="T58" s="12">
        <f>AVERAGE(签到!$E$7:$E$13)*$H58</f>
        <v>7435.8857142857141</v>
      </c>
      <c r="U58" s="12">
        <f>转盘!$C$26*H58*V58/$D$13</f>
        <v>0</v>
      </c>
      <c r="V58" s="12">
        <f t="shared" si="4"/>
        <v>0</v>
      </c>
      <c r="W58" s="12">
        <f>IFERROR(MATCH(INDEX(转盘!$C$17:$F$17,1,MATCH($D$13,转盘!$C$16:$F$16,0))*MAX(F58-转盘!$C$6,0),转盘!$L$9:$L$51,1),0)</f>
        <v>2</v>
      </c>
      <c r="X58" s="12">
        <f>IFERROR(MATCH($F58,gift_k_level,0)^0,0)*进度礼包!$C$17*$H58/$D$13</f>
        <v>0</v>
      </c>
      <c r="Y58" s="12">
        <f>IFERROR(MATCH($F58,turn_k_1,0)^0,0)*转盘!$C$42*$H58/$D$13</f>
        <v>0</v>
      </c>
      <c r="Z58" s="12">
        <f>IFERROR(MATCH($F58,gift_k_level,0)^0,0)*进度礼包!$C$34*$H58/$D$13</f>
        <v>0</v>
      </c>
      <c r="AA58" s="12">
        <f>IFERROR(MATCH($F58,gift_k_time,0)^0,0)*限时礼包!$C$15*$H58/$D$13</f>
        <v>0</v>
      </c>
      <c r="AB58" s="12">
        <f>SUM(H$6:H58)</f>
        <v>75700</v>
      </c>
      <c r="AC58" s="12">
        <f>SUM(N$6:N58)+SUM($M$6:M58)</f>
        <v>96744.300000000017</v>
      </c>
      <c r="AD58" s="12">
        <f>SUM(O$6:O58)</f>
        <v>14024.672249999992</v>
      </c>
      <c r="AE58" s="12">
        <f>SUM($P$6:P58)</f>
        <v>36031.027749999979</v>
      </c>
      <c r="AF58" s="12">
        <f>SUM(U$6:U58)</f>
        <v>10772.075471698112</v>
      </c>
      <c r="AG58" s="12">
        <f>SUM(S$6:S58)</f>
        <v>4500</v>
      </c>
      <c r="AH58" s="12">
        <f>SUM(Y$6:Y58)</f>
        <v>93287.6</v>
      </c>
      <c r="AI58" s="12">
        <f>SUM(X$6:X58)</f>
        <v>0</v>
      </c>
      <c r="AJ58" s="12">
        <f>SUM(Z$6:Z58)</f>
        <v>0</v>
      </c>
      <c r="AK58" s="12">
        <f>SUM(AA$6:AA58)</f>
        <v>98303.239779947558</v>
      </c>
      <c r="AL58" s="12">
        <f>F58</f>
        <v>53</v>
      </c>
      <c r="AM58" s="12">
        <f t="shared" si="2"/>
        <v>136041.04772169812</v>
      </c>
      <c r="AN58" s="12">
        <f>SUM(I$6:I58)</f>
        <v>146800</v>
      </c>
      <c r="AO58" s="8">
        <f>SUM(Q$6:Q58)</f>
        <v>99</v>
      </c>
      <c r="AP58" s="12">
        <f t="shared" si="3"/>
        <v>-10758.952278301877</v>
      </c>
      <c r="AS58" s="12">
        <v>52</v>
      </c>
      <c r="AT58" s="12">
        <v>20</v>
      </c>
      <c r="AU58" s="12">
        <f t="shared" si="9"/>
        <v>1050</v>
      </c>
      <c r="AV58" s="12">
        <f t="shared" si="10"/>
        <v>0</v>
      </c>
      <c r="AW58" s="12">
        <f>INDEX($AO$6:$AO$215,MATCH(BC58,$F$6:$F$215,0))</f>
        <v>467</v>
      </c>
      <c r="AX58" s="12">
        <f t="shared" si="11"/>
        <v>1135512.1739951316</v>
      </c>
      <c r="AY58" s="12">
        <f t="shared" si="5"/>
        <v>7650</v>
      </c>
      <c r="AZ58" s="12">
        <f t="shared" si="6"/>
        <v>10740.72380952381</v>
      </c>
      <c r="BA58" s="12">
        <f>AX58+SUM($AY$6:AY58)+SUM($AZ$6:AZ58)</f>
        <v>2015471.3549475123</v>
      </c>
      <c r="BB58" s="12">
        <f t="shared" si="12"/>
        <v>956200</v>
      </c>
      <c r="BC58" s="12">
        <f t="shared" si="13"/>
        <v>210</v>
      </c>
      <c r="BD58" s="12">
        <f t="shared" si="14"/>
        <v>0</v>
      </c>
      <c r="BE58" s="12">
        <f t="shared" si="15"/>
        <v>211</v>
      </c>
      <c r="BF58" s="12">
        <f t="shared" si="8"/>
        <v>1059271.3549475123</v>
      </c>
    </row>
    <row r="59" spans="6:58" x14ac:dyDescent="0.35">
      <c r="F59" s="12">
        <v>54</v>
      </c>
      <c r="G59" s="8">
        <f>INDEX(验算胜率!$E$6:$I$1005,F59,MATCH($D$16,验算胜率!$E$5:$I$5,0))</f>
        <v>0.2</v>
      </c>
      <c r="H59" s="12">
        <f t="shared" si="0"/>
        <v>1800</v>
      </c>
      <c r="I59" s="12">
        <f t="shared" si="1"/>
        <v>9000</v>
      </c>
      <c r="J59" s="12">
        <v>4</v>
      </c>
      <c r="K59" s="12">
        <v>0</v>
      </c>
      <c r="L59" s="12">
        <f>MATCH(F59,关卡道具消耗!$AA$6:$AA$83,1)-2+INDEX(关卡道具消耗!$C$16:$E$16,1,MATCH(J59,关卡道具消耗!$C$17:$E$17,0))-1</f>
        <v>18</v>
      </c>
      <c r="M59" s="12">
        <f>IF($D$16=验算胜率!$F$5,验算胜率!K59,0)*H59*关卡道具消耗!$D$8/关卡道具消耗!$D$26</f>
        <v>0</v>
      </c>
      <c r="N59" s="12">
        <f>INDEX(关卡奖励!$AH$6:$AH$8,MATCH($D$14,关卡奖励!$W$6:$W$8,0))*H59*IF(G59&lt;0.3,1,2)</f>
        <v>2100.6</v>
      </c>
      <c r="O59" s="12">
        <f>INDEX(关卡奖励!$AI$9:$AI$11,MATCH($D$14,关卡奖励!$W$9:$W$11,0))*((1/G59)-1)*H59</f>
        <v>1420.2</v>
      </c>
      <c r="P59" s="12">
        <f>I59-N59-O59</f>
        <v>5479.2</v>
      </c>
      <c r="Q59" s="12">
        <f>1/G59</f>
        <v>5</v>
      </c>
      <c r="R59" s="12">
        <f>IFERROR(INDEX(base_v,MATCH($F59,base_k,1)),0)*离线奖励!$C$12</f>
        <v>6450</v>
      </c>
      <c r="S59" s="12">
        <f>IFERROR(INDEX(关卡进度奖励!$I$7:$I$15,MATCH(F59,关卡进度奖励!$D$7:$D$15,0)),0)</f>
        <v>0</v>
      </c>
      <c r="T59" s="12">
        <f>AVERAGE(签到!$E$7:$E$13)*$H59</f>
        <v>7435.8857142857141</v>
      </c>
      <c r="U59" s="12">
        <f>转盘!$C$26*H59*V59/$D$13</f>
        <v>0</v>
      </c>
      <c r="V59" s="12">
        <f t="shared" si="4"/>
        <v>0</v>
      </c>
      <c r="W59" s="12">
        <f>IFERROR(MATCH(INDEX(转盘!$C$17:$F$17,1,MATCH($D$13,转盘!$C$16:$F$16,0))*MAX(F59-转盘!$C$6,0),转盘!$L$9:$L$51,1),0)</f>
        <v>2</v>
      </c>
      <c r="X59" s="12">
        <f>IFERROR(MATCH($F59,gift_k_level,0)^0,0)*进度礼包!$C$17*$H59/$D$13</f>
        <v>0</v>
      </c>
      <c r="Y59" s="12">
        <f>IFERROR(MATCH($F59,turn_k_1,0)^0,0)*转盘!$C$42*$H59/$D$13</f>
        <v>0</v>
      </c>
      <c r="Z59" s="12">
        <f>IFERROR(MATCH($F59,gift_k_level,0)^0,0)*进度礼包!$C$34*$H59/$D$13</f>
        <v>0</v>
      </c>
      <c r="AA59" s="12">
        <f>IFERROR(MATCH($F59,gift_k_time,0)^0,0)*限时礼包!$C$15*$H59/$D$13</f>
        <v>0</v>
      </c>
      <c r="AB59" s="12">
        <f>SUM(H$6:H59)</f>
        <v>77500</v>
      </c>
      <c r="AC59" s="12">
        <f>SUM(N$6:N59)+SUM($M$6:M59)</f>
        <v>98844.900000000023</v>
      </c>
      <c r="AD59" s="12">
        <f>SUM(O$6:O59)</f>
        <v>15444.872249999993</v>
      </c>
      <c r="AE59" s="12">
        <f>SUM($P$6:P59)</f>
        <v>41510.227749999976</v>
      </c>
      <c r="AF59" s="12">
        <f>SUM(U$6:U59)</f>
        <v>10772.075471698112</v>
      </c>
      <c r="AG59" s="12">
        <f>SUM(S$6:S59)</f>
        <v>4500</v>
      </c>
      <c r="AH59" s="12">
        <f>SUM(Y$6:Y59)</f>
        <v>93287.6</v>
      </c>
      <c r="AI59" s="12">
        <f>SUM(X$6:X59)</f>
        <v>0</v>
      </c>
      <c r="AJ59" s="12">
        <f>SUM(Z$6:Z59)</f>
        <v>0</v>
      </c>
      <c r="AK59" s="12">
        <f>SUM(AA$6:AA59)</f>
        <v>98303.239779947558</v>
      </c>
      <c r="AL59" s="12">
        <f>F59</f>
        <v>54</v>
      </c>
      <c r="AM59" s="12">
        <f t="shared" si="2"/>
        <v>139561.84772169811</v>
      </c>
      <c r="AN59" s="12">
        <f>SUM(I$6:I59)</f>
        <v>155800</v>
      </c>
      <c r="AO59" s="8">
        <f>SUM(Q$6:Q59)</f>
        <v>104</v>
      </c>
      <c r="AP59" s="12">
        <f t="shared" si="3"/>
        <v>-16238.152278301888</v>
      </c>
      <c r="AS59" s="12">
        <v>53</v>
      </c>
      <c r="AT59" s="12">
        <v>20</v>
      </c>
      <c r="AU59" s="12">
        <f t="shared" si="9"/>
        <v>1070</v>
      </c>
      <c r="AV59" s="12">
        <f t="shared" si="10"/>
        <v>0</v>
      </c>
      <c r="AW59" s="12">
        <f>INDEX($AO$6:$AO$215,MATCH(BC59,$F$6:$F$215,0))</f>
        <v>467</v>
      </c>
      <c r="AX59" s="12">
        <f t="shared" si="11"/>
        <v>1135512.1739951316</v>
      </c>
      <c r="AY59" s="12">
        <f t="shared" si="5"/>
        <v>7650</v>
      </c>
      <c r="AZ59" s="12">
        <f t="shared" si="6"/>
        <v>10740.72380952381</v>
      </c>
      <c r="BA59" s="12">
        <f>AX59+SUM($AY$6:AY59)+SUM($AZ$6:AZ59)</f>
        <v>2033862.078757036</v>
      </c>
      <c r="BB59" s="12">
        <f t="shared" si="12"/>
        <v>956200</v>
      </c>
      <c r="BC59" s="12">
        <f t="shared" si="13"/>
        <v>210</v>
      </c>
      <c r="BD59" s="12">
        <f t="shared" si="14"/>
        <v>0</v>
      </c>
      <c r="BE59" s="12">
        <f t="shared" si="15"/>
        <v>211</v>
      </c>
      <c r="BF59" s="12">
        <f t="shared" si="8"/>
        <v>1077662.078757036</v>
      </c>
    </row>
    <row r="60" spans="6:58" x14ac:dyDescent="0.35">
      <c r="F60" s="12">
        <v>55</v>
      </c>
      <c r="G60" s="8">
        <f>INDEX(验算胜率!$E$6:$I$1005,F60,MATCH($D$16,验算胜率!$E$5:$I$5,0))</f>
        <v>0.5</v>
      </c>
      <c r="H60" s="12">
        <f t="shared" si="0"/>
        <v>1800</v>
      </c>
      <c r="I60" s="12">
        <f t="shared" si="1"/>
        <v>3600</v>
      </c>
      <c r="J60" s="12">
        <v>4</v>
      </c>
      <c r="K60" s="12">
        <v>4</v>
      </c>
      <c r="L60" s="12">
        <f>MATCH(F60,关卡道具消耗!$AA$6:$AA$83,1)-2+INDEX(关卡道具消耗!$C$16:$E$16,1,MATCH(J60,关卡道具消耗!$C$17:$E$17,0))-1</f>
        <v>18</v>
      </c>
      <c r="M60" s="12">
        <f>IF($D$16=验算胜率!$F$5,验算胜率!K60,0)*H60*关卡道具消耗!$D$8/关卡道具消耗!$D$26</f>
        <v>0</v>
      </c>
      <c r="N60" s="12">
        <f>INDEX(关卡奖励!$AH$6:$AH$8,MATCH($D$14,关卡奖励!$W$6:$W$8,0))*H60*IF(G60&lt;0.3,1,2)</f>
        <v>4201.2</v>
      </c>
      <c r="O60" s="12">
        <f>INDEX(关卡奖励!$AI$9:$AI$11,MATCH($D$14,关卡奖励!$W$9:$W$11,0))*((1/G60)-1)*H60</f>
        <v>355.05</v>
      </c>
      <c r="P60" s="12">
        <f>I60-N60-O60</f>
        <v>-956.24999999999977</v>
      </c>
      <c r="Q60" s="12">
        <f>1/G60</f>
        <v>2</v>
      </c>
      <c r="R60" s="12">
        <f>IFERROR(INDEX(base_v,MATCH($F60,base_k,1)),0)*离线奖励!$C$12</f>
        <v>6450</v>
      </c>
      <c r="S60" s="12">
        <f>IFERROR(INDEX(关卡进度奖励!$I$7:$I$15,MATCH(F60,关卡进度奖励!$D$7:$D$15,0)),0)</f>
        <v>0</v>
      </c>
      <c r="T60" s="12">
        <f>AVERAGE(签到!$E$7:$E$13)*$H60</f>
        <v>7435.8857142857141</v>
      </c>
      <c r="U60" s="12">
        <f>转盘!$C$26*H60*V60/$D$13</f>
        <v>0</v>
      </c>
      <c r="V60" s="12">
        <f t="shared" si="4"/>
        <v>0</v>
      </c>
      <c r="W60" s="12">
        <f>IFERROR(MATCH(INDEX(转盘!$C$17:$F$17,1,MATCH($D$13,转盘!$C$16:$F$16,0))*MAX(F60-转盘!$C$6,0),转盘!$L$9:$L$51,1),0)</f>
        <v>2</v>
      </c>
      <c r="X60" s="12">
        <f>IFERROR(MATCH($F60,gift_k_level,0)^0,0)*进度礼包!$C$17*$H60/$D$13</f>
        <v>0</v>
      </c>
      <c r="Y60" s="12">
        <f>IFERROR(MATCH($F60,turn_k_1,0)^0,0)*转盘!$C$42*$H60/$D$13</f>
        <v>0</v>
      </c>
      <c r="Z60" s="12">
        <f>IFERROR(MATCH($F60,gift_k_level,0)^0,0)*进度礼包!$C$34*$H60/$D$13</f>
        <v>0</v>
      </c>
      <c r="AA60" s="12">
        <f>IFERROR(MATCH($F60,gift_k_time,0)^0,0)*限时礼包!$C$15*$H60/$D$13</f>
        <v>0</v>
      </c>
      <c r="AB60" s="12">
        <f>SUM(H$6:H60)</f>
        <v>79300</v>
      </c>
      <c r="AC60" s="12">
        <f>SUM(N$6:N60)+SUM($M$6:M60)</f>
        <v>103046.10000000002</v>
      </c>
      <c r="AD60" s="12">
        <f>SUM(O$6:O60)</f>
        <v>15799.922249999992</v>
      </c>
      <c r="AE60" s="12">
        <f>SUM($P$6:P60)</f>
        <v>40553.977749999976</v>
      </c>
      <c r="AF60" s="12">
        <f>SUM(U$6:U60)</f>
        <v>10772.075471698112</v>
      </c>
      <c r="AG60" s="12">
        <f>SUM(S$6:S60)</f>
        <v>4500</v>
      </c>
      <c r="AH60" s="12">
        <f>SUM(Y$6:Y60)</f>
        <v>93287.6</v>
      </c>
      <c r="AI60" s="12">
        <f>SUM(X$6:X60)</f>
        <v>0</v>
      </c>
      <c r="AJ60" s="12">
        <f>SUM(Z$6:Z60)</f>
        <v>0</v>
      </c>
      <c r="AK60" s="12">
        <f>SUM(AA$6:AA60)</f>
        <v>98303.239779947558</v>
      </c>
      <c r="AL60" s="12">
        <f>F60</f>
        <v>55</v>
      </c>
      <c r="AM60" s="12">
        <f t="shared" si="2"/>
        <v>144118.09772169811</v>
      </c>
      <c r="AN60" s="12">
        <f>SUM(I$6:I60)</f>
        <v>159400</v>
      </c>
      <c r="AO60" s="8">
        <f>SUM(Q$6:Q60)</f>
        <v>106</v>
      </c>
      <c r="AP60" s="12">
        <f t="shared" si="3"/>
        <v>-15281.902278301888</v>
      </c>
      <c r="AS60" s="12">
        <v>54</v>
      </c>
      <c r="AT60" s="12">
        <v>20</v>
      </c>
      <c r="AU60" s="12">
        <f t="shared" si="9"/>
        <v>1090</v>
      </c>
      <c r="AV60" s="12">
        <f t="shared" si="10"/>
        <v>0</v>
      </c>
      <c r="AW60" s="12">
        <f>INDEX($AO$6:$AO$215,MATCH(BC60,$F$6:$F$215,0))</f>
        <v>467</v>
      </c>
      <c r="AX60" s="12">
        <f t="shared" si="11"/>
        <v>1135512.1739951316</v>
      </c>
      <c r="AY60" s="12">
        <f t="shared" si="5"/>
        <v>7650</v>
      </c>
      <c r="AZ60" s="12">
        <f t="shared" si="6"/>
        <v>10740.72380952381</v>
      </c>
      <c r="BA60" s="12">
        <f>AX60+SUM($AY$6:AY60)+SUM($AZ$6:AZ60)</f>
        <v>2052252.80256656</v>
      </c>
      <c r="BB60" s="12">
        <f t="shared" si="12"/>
        <v>956200</v>
      </c>
      <c r="BC60" s="12">
        <f t="shared" si="13"/>
        <v>210</v>
      </c>
      <c r="BD60" s="12">
        <f t="shared" si="14"/>
        <v>0</v>
      </c>
      <c r="BE60" s="12">
        <f t="shared" si="15"/>
        <v>211</v>
      </c>
      <c r="BF60" s="12">
        <f t="shared" si="8"/>
        <v>1096052.80256656</v>
      </c>
    </row>
    <row r="61" spans="6:58" x14ac:dyDescent="0.35">
      <c r="F61" s="12">
        <v>56</v>
      </c>
      <c r="G61" s="8">
        <f>INDEX(验算胜率!$E$6:$I$1005,F61,MATCH($D$16,验算胜率!$E$5:$I$5,0))</f>
        <v>0.5</v>
      </c>
      <c r="H61" s="12">
        <f t="shared" si="0"/>
        <v>1800</v>
      </c>
      <c r="I61" s="12">
        <f t="shared" si="1"/>
        <v>3600</v>
      </c>
      <c r="J61" s="12">
        <v>4</v>
      </c>
      <c r="K61" s="12">
        <v>0</v>
      </c>
      <c r="L61" s="12">
        <f>MATCH(F61,关卡道具消耗!$AA$6:$AA$83,1)-2+INDEX(关卡道具消耗!$C$16:$E$16,1,MATCH(J61,关卡道具消耗!$C$17:$E$17,0))-1</f>
        <v>18</v>
      </c>
      <c r="M61" s="12">
        <f>IF($D$16=验算胜率!$F$5,验算胜率!K61,0)*H61*关卡道具消耗!$D$8/关卡道具消耗!$D$26</f>
        <v>0</v>
      </c>
      <c r="N61" s="12">
        <f>INDEX(关卡奖励!$AH$6:$AH$8,MATCH($D$14,关卡奖励!$W$6:$W$8,0))*H61*IF(G61&lt;0.3,1,2)</f>
        <v>4201.2</v>
      </c>
      <c r="O61" s="12">
        <f>INDEX(关卡奖励!$AI$9:$AI$11,MATCH($D$14,关卡奖励!$W$9:$W$11,0))*((1/G61)-1)*H61</f>
        <v>355.05</v>
      </c>
      <c r="P61" s="12">
        <f>I61-N61-O61</f>
        <v>-956.24999999999977</v>
      </c>
      <c r="Q61" s="12">
        <f>1/G61</f>
        <v>2</v>
      </c>
      <c r="R61" s="12">
        <f>IFERROR(INDEX(base_v,MATCH($F61,base_k,1)),0)*离线奖励!$C$12</f>
        <v>6450</v>
      </c>
      <c r="S61" s="12">
        <f>IFERROR(INDEX(关卡进度奖励!$I$7:$I$15,MATCH(F61,关卡进度奖励!$D$7:$D$15,0)),0)</f>
        <v>0</v>
      </c>
      <c r="T61" s="12">
        <f>AVERAGE(签到!$E$7:$E$13)*$H61</f>
        <v>7435.8857142857141</v>
      </c>
      <c r="U61" s="12">
        <f>转盘!$C$26*H61*V61/$D$13</f>
        <v>0</v>
      </c>
      <c r="V61" s="12">
        <f t="shared" si="4"/>
        <v>0</v>
      </c>
      <c r="W61" s="12">
        <f>IFERROR(MATCH(INDEX(转盘!$C$17:$F$17,1,MATCH($D$13,转盘!$C$16:$F$16,0))*MAX(F61-转盘!$C$6,0),转盘!$L$9:$L$51,1),0)</f>
        <v>2</v>
      </c>
      <c r="X61" s="12">
        <f>IFERROR(MATCH($F61,gift_k_level,0)^0,0)*进度礼包!$C$17*$H61/$D$13</f>
        <v>0</v>
      </c>
      <c r="Y61" s="12">
        <f>IFERROR(MATCH($F61,turn_k_1,0)^0,0)*转盘!$C$42*$H61/$D$13</f>
        <v>59970.6</v>
      </c>
      <c r="Z61" s="12">
        <f>IFERROR(MATCH($F61,gift_k_level,0)^0,0)*进度礼包!$C$34*$H61/$D$13</f>
        <v>0</v>
      </c>
      <c r="AA61" s="12">
        <f>IFERROR(MATCH($F61,gift_k_time,0)^0,0)*限时礼包!$C$15*$H61/$D$13</f>
        <v>0</v>
      </c>
      <c r="AB61" s="12">
        <f>SUM(H$6:H61)</f>
        <v>81100</v>
      </c>
      <c r="AC61" s="12">
        <f>SUM(N$6:N61)+SUM($M$6:M61)</f>
        <v>107247.30000000002</v>
      </c>
      <c r="AD61" s="12">
        <f>SUM(O$6:O61)</f>
        <v>16154.972249999992</v>
      </c>
      <c r="AE61" s="12">
        <f>SUM($P$6:P61)</f>
        <v>39597.727749999976</v>
      </c>
      <c r="AF61" s="12">
        <f>SUM(U$6:U61)</f>
        <v>10772.075471698112</v>
      </c>
      <c r="AG61" s="12">
        <f>SUM(S$6:S61)</f>
        <v>4500</v>
      </c>
      <c r="AH61" s="12">
        <f>SUM(Y$6:Y61)</f>
        <v>153258.20000000001</v>
      </c>
      <c r="AI61" s="12">
        <f>SUM(X$6:X61)</f>
        <v>0</v>
      </c>
      <c r="AJ61" s="12">
        <f>SUM(Z$6:Z61)</f>
        <v>0</v>
      </c>
      <c r="AK61" s="12">
        <f>SUM(AA$6:AA61)</f>
        <v>98303.239779947558</v>
      </c>
      <c r="AL61" s="12">
        <f>F61</f>
        <v>56</v>
      </c>
      <c r="AM61" s="12">
        <f t="shared" si="2"/>
        <v>148674.34772169811</v>
      </c>
      <c r="AN61" s="12">
        <f>SUM(I$6:I61)</f>
        <v>163000</v>
      </c>
      <c r="AO61" s="8">
        <f>SUM(Q$6:Q61)</f>
        <v>108</v>
      </c>
      <c r="AP61" s="12">
        <f t="shared" si="3"/>
        <v>-14325.652278301888</v>
      </c>
      <c r="AS61" s="12">
        <v>55</v>
      </c>
      <c r="AT61" s="12">
        <v>20</v>
      </c>
      <c r="AU61" s="12">
        <f t="shared" si="9"/>
        <v>1110</v>
      </c>
      <c r="AV61" s="12">
        <f t="shared" si="10"/>
        <v>0</v>
      </c>
      <c r="AW61" s="12">
        <f>INDEX($AO$6:$AO$215,MATCH(BC61,$F$6:$F$215,0))</f>
        <v>467</v>
      </c>
      <c r="AX61" s="12">
        <f t="shared" si="11"/>
        <v>1135512.1739951316</v>
      </c>
      <c r="AY61" s="12">
        <f t="shared" si="5"/>
        <v>7650</v>
      </c>
      <c r="AZ61" s="12">
        <f t="shared" si="6"/>
        <v>10740.72380952381</v>
      </c>
      <c r="BA61" s="12">
        <f>AX61+SUM($AY$6:AY61)+SUM($AZ$6:AZ61)</f>
        <v>2070643.5263760837</v>
      </c>
      <c r="BB61" s="12">
        <f t="shared" si="12"/>
        <v>956200</v>
      </c>
      <c r="BC61" s="12">
        <f t="shared" si="13"/>
        <v>210</v>
      </c>
      <c r="BD61" s="12">
        <f t="shared" si="14"/>
        <v>0</v>
      </c>
      <c r="BE61" s="12">
        <f t="shared" si="15"/>
        <v>211</v>
      </c>
      <c r="BF61" s="12">
        <f t="shared" si="8"/>
        <v>1114443.5263760837</v>
      </c>
    </row>
    <row r="62" spans="6:58" x14ac:dyDescent="0.35">
      <c r="F62" s="12">
        <v>57</v>
      </c>
      <c r="G62" s="8">
        <f>INDEX(验算胜率!$E$6:$I$1005,F62,MATCH($D$16,验算胜率!$E$5:$I$5,0))</f>
        <v>0.5</v>
      </c>
      <c r="H62" s="12">
        <f t="shared" si="0"/>
        <v>1800</v>
      </c>
      <c r="I62" s="12">
        <f t="shared" si="1"/>
        <v>3600</v>
      </c>
      <c r="J62" s="12">
        <v>4</v>
      </c>
      <c r="K62" s="12">
        <v>1</v>
      </c>
      <c r="L62" s="12">
        <f>MATCH(F62,关卡道具消耗!$AA$6:$AA$83,1)-2+INDEX(关卡道具消耗!$C$16:$E$16,1,MATCH(J62,关卡道具消耗!$C$17:$E$17,0))-1</f>
        <v>18</v>
      </c>
      <c r="M62" s="12">
        <f>IF($D$16=验算胜率!$F$5,验算胜率!K62,0)*H62*关卡道具消耗!$D$8/关卡道具消耗!$D$26</f>
        <v>0</v>
      </c>
      <c r="N62" s="12">
        <f>INDEX(关卡奖励!$AH$6:$AH$8,MATCH($D$14,关卡奖励!$W$6:$W$8,0))*H62*IF(G62&lt;0.3,1,2)</f>
        <v>4201.2</v>
      </c>
      <c r="O62" s="12">
        <f>INDEX(关卡奖励!$AI$9:$AI$11,MATCH($D$14,关卡奖励!$W$9:$W$11,0))*((1/G62)-1)*H62</f>
        <v>355.05</v>
      </c>
      <c r="P62" s="12">
        <f>I62-N62-O62</f>
        <v>-956.24999999999977</v>
      </c>
      <c r="Q62" s="12">
        <f>1/G62</f>
        <v>2</v>
      </c>
      <c r="R62" s="12">
        <f>IFERROR(INDEX(base_v,MATCH($F62,base_k,1)),0)*离线奖励!$C$12</f>
        <v>6450</v>
      </c>
      <c r="S62" s="12">
        <f>IFERROR(INDEX(关卡进度奖励!$I$7:$I$15,MATCH(F62,关卡进度奖励!$D$7:$D$15,0)),0)</f>
        <v>0</v>
      </c>
      <c r="T62" s="12">
        <f>AVERAGE(签到!$E$7:$E$13)*$H62</f>
        <v>7435.8857142857141</v>
      </c>
      <c r="U62" s="12">
        <f>转盘!$C$26*H62*V62/$D$13</f>
        <v>6924.9056603773579</v>
      </c>
      <c r="V62" s="12">
        <f t="shared" si="4"/>
        <v>1</v>
      </c>
      <c r="W62" s="12">
        <f>IFERROR(MATCH(INDEX(转盘!$C$17:$F$17,1,MATCH($D$13,转盘!$C$16:$F$16,0))*MAX(F62-转盘!$C$6,0),转盘!$L$9:$L$51,1),0)</f>
        <v>3</v>
      </c>
      <c r="X62" s="12">
        <f>IFERROR(MATCH($F62,gift_k_level,0)^0,0)*进度礼包!$C$17*$H62/$D$13</f>
        <v>0</v>
      </c>
      <c r="Y62" s="12">
        <f>IFERROR(MATCH($F62,turn_k_1,0)^0,0)*转盘!$C$42*$H62/$D$13</f>
        <v>0</v>
      </c>
      <c r="Z62" s="12">
        <f>IFERROR(MATCH($F62,gift_k_level,0)^0,0)*进度礼包!$C$34*$H62/$D$13</f>
        <v>0</v>
      </c>
      <c r="AA62" s="12">
        <f>IFERROR(MATCH($F62,gift_k_time,0)^0,0)*限时礼包!$C$15*$H62/$D$13</f>
        <v>53619.94897088049</v>
      </c>
      <c r="AB62" s="12">
        <f>SUM(H$6:H62)</f>
        <v>82900</v>
      </c>
      <c r="AC62" s="12">
        <f>SUM(N$6:N62)+SUM($M$6:M62)</f>
        <v>111448.50000000001</v>
      </c>
      <c r="AD62" s="12">
        <f>SUM(O$6:O62)</f>
        <v>16510.022249999991</v>
      </c>
      <c r="AE62" s="12">
        <f>SUM($P$6:P62)</f>
        <v>38641.477749999976</v>
      </c>
      <c r="AF62" s="12">
        <f>SUM(U$6:U62)</f>
        <v>17696.981132075471</v>
      </c>
      <c r="AG62" s="12">
        <f>SUM(S$6:S62)</f>
        <v>4500</v>
      </c>
      <c r="AH62" s="12">
        <f>SUM(Y$6:Y62)</f>
        <v>153258.20000000001</v>
      </c>
      <c r="AI62" s="12">
        <f>SUM(X$6:X62)</f>
        <v>0</v>
      </c>
      <c r="AJ62" s="12">
        <f>SUM(Z$6:Z62)</f>
        <v>0</v>
      </c>
      <c r="AK62" s="12">
        <f>SUM(AA$6:AA62)</f>
        <v>151923.18875082803</v>
      </c>
      <c r="AL62" s="12">
        <f>F62</f>
        <v>57</v>
      </c>
      <c r="AM62" s="12">
        <f t="shared" si="2"/>
        <v>160155.50338207549</v>
      </c>
      <c r="AN62" s="12">
        <f>SUM(I$6:I62)</f>
        <v>166600</v>
      </c>
      <c r="AO62" s="8">
        <f>SUM(Q$6:Q62)</f>
        <v>110</v>
      </c>
      <c r="AP62" s="12">
        <f t="shared" si="3"/>
        <v>-6444.4966179245093</v>
      </c>
      <c r="AS62" s="12">
        <v>56</v>
      </c>
      <c r="AT62" s="12">
        <v>20</v>
      </c>
      <c r="AU62" s="12">
        <f t="shared" si="9"/>
        <v>1130</v>
      </c>
      <c r="AV62" s="12">
        <f t="shared" si="10"/>
        <v>0</v>
      </c>
      <c r="AW62" s="12">
        <f>INDEX($AO$6:$AO$215,MATCH(BC62,$F$6:$F$215,0))</f>
        <v>467</v>
      </c>
      <c r="AX62" s="12">
        <f t="shared" si="11"/>
        <v>1135512.1739951316</v>
      </c>
      <c r="AY62" s="12">
        <f t="shared" si="5"/>
        <v>7650</v>
      </c>
      <c r="AZ62" s="12">
        <f t="shared" si="6"/>
        <v>10740.72380952381</v>
      </c>
      <c r="BA62" s="12">
        <f>AX62+SUM($AY$6:AY62)+SUM($AZ$6:AZ62)</f>
        <v>2089034.2501856075</v>
      </c>
      <c r="BB62" s="12">
        <f t="shared" si="12"/>
        <v>956200</v>
      </c>
      <c r="BC62" s="12">
        <f t="shared" si="13"/>
        <v>210</v>
      </c>
      <c r="BD62" s="12">
        <f t="shared" si="14"/>
        <v>0</v>
      </c>
      <c r="BE62" s="12">
        <f t="shared" si="15"/>
        <v>211</v>
      </c>
      <c r="BF62" s="12">
        <f t="shared" si="8"/>
        <v>1132834.2501856075</v>
      </c>
    </row>
    <row r="63" spans="6:58" x14ac:dyDescent="0.35">
      <c r="F63" s="12">
        <v>58</v>
      </c>
      <c r="G63" s="8">
        <f>INDEX(验算胜率!$E$6:$I$1005,F63,MATCH($D$16,验算胜率!$E$5:$I$5,0))</f>
        <v>0.5</v>
      </c>
      <c r="H63" s="12">
        <f t="shared" si="0"/>
        <v>2000</v>
      </c>
      <c r="I63" s="12">
        <f t="shared" si="1"/>
        <v>4000</v>
      </c>
      <c r="J63" s="12">
        <v>4</v>
      </c>
      <c r="K63" s="12">
        <v>1</v>
      </c>
      <c r="L63" s="12">
        <f>MATCH(F63,关卡道具消耗!$AA$6:$AA$83,1)-2+INDEX(关卡道具消耗!$C$16:$E$16,1,MATCH(J63,关卡道具消耗!$C$17:$E$17,0))-1</f>
        <v>21</v>
      </c>
      <c r="M63" s="12">
        <f>IF($D$16=验算胜率!$F$5,验算胜率!K63,0)*H63*关卡道具消耗!$D$8/关卡道具消耗!$D$26</f>
        <v>0</v>
      </c>
      <c r="N63" s="12">
        <f>INDEX(关卡奖励!$AH$6:$AH$8,MATCH($D$14,关卡奖励!$W$6:$W$8,0))*H63*IF(G63&lt;0.3,1,2)</f>
        <v>4668</v>
      </c>
      <c r="O63" s="12">
        <f>INDEX(关卡奖励!$AI$9:$AI$11,MATCH($D$14,关卡奖励!$W$9:$W$11,0))*((1/G63)-1)*H63</f>
        <v>394.5</v>
      </c>
      <c r="P63" s="12">
        <f>I63-N63-O63</f>
        <v>-1062.5</v>
      </c>
      <c r="Q63" s="12">
        <f>1/G63</f>
        <v>2</v>
      </c>
      <c r="R63" s="12">
        <f>IFERROR(INDEX(base_v,MATCH($F63,base_k,1)),0)*离线奖励!$C$12</f>
        <v>6450</v>
      </c>
      <c r="S63" s="12">
        <f>IFERROR(INDEX(关卡进度奖励!$I$7:$I$15,MATCH(F63,关卡进度奖励!$D$7:$D$15,0)),0)</f>
        <v>0</v>
      </c>
      <c r="T63" s="12">
        <f>AVERAGE(签到!$E$7:$E$13)*$H63</f>
        <v>8262.0952380952385</v>
      </c>
      <c r="U63" s="12">
        <f>转盘!$C$26*H63*V63/$D$13</f>
        <v>0</v>
      </c>
      <c r="V63" s="12">
        <f t="shared" si="4"/>
        <v>0</v>
      </c>
      <c r="W63" s="12">
        <f>IFERROR(MATCH(INDEX(转盘!$C$17:$F$17,1,MATCH($D$13,转盘!$C$16:$F$16,0))*MAX(F63-转盘!$C$6,0),转盘!$L$9:$L$51,1),0)</f>
        <v>3</v>
      </c>
      <c r="X63" s="12">
        <f>IFERROR(MATCH($F63,gift_k_level,0)^0,0)*进度礼包!$C$17*$H63/$D$13</f>
        <v>0</v>
      </c>
      <c r="Y63" s="12">
        <f>IFERROR(MATCH($F63,turn_k_1,0)^0,0)*转盘!$C$42*$H63/$D$13</f>
        <v>0</v>
      </c>
      <c r="Z63" s="12">
        <f>IFERROR(MATCH($F63,gift_k_level,0)^0,0)*进度礼包!$C$34*$H63/$D$13</f>
        <v>0</v>
      </c>
      <c r="AA63" s="12">
        <f>IFERROR(MATCH($F63,gift_k_time,0)^0,0)*限时礼包!$C$15*$H63/$D$13</f>
        <v>0</v>
      </c>
      <c r="AB63" s="12">
        <f>SUM(H$6:H63)</f>
        <v>84900</v>
      </c>
      <c r="AC63" s="12">
        <f>SUM(N$6:N63)+SUM($M$6:M63)</f>
        <v>116116.50000000001</v>
      </c>
      <c r="AD63" s="12">
        <f>SUM(O$6:O63)</f>
        <v>16904.522249999991</v>
      </c>
      <c r="AE63" s="12">
        <f>SUM($P$6:P63)</f>
        <v>37578.977749999976</v>
      </c>
      <c r="AF63" s="12">
        <f>SUM(U$6:U63)</f>
        <v>17696.981132075471</v>
      </c>
      <c r="AG63" s="12">
        <f>SUM(S$6:S63)</f>
        <v>4500</v>
      </c>
      <c r="AH63" s="12">
        <f>SUM(Y$6:Y63)</f>
        <v>153258.20000000001</v>
      </c>
      <c r="AI63" s="12">
        <f>SUM(X$6:X63)</f>
        <v>0</v>
      </c>
      <c r="AJ63" s="12">
        <f>SUM(Z$6:Z63)</f>
        <v>0</v>
      </c>
      <c r="AK63" s="12">
        <f>SUM(AA$6:AA63)</f>
        <v>151923.18875082803</v>
      </c>
      <c r="AL63" s="12">
        <f>F63</f>
        <v>58</v>
      </c>
      <c r="AM63" s="12">
        <f t="shared" si="2"/>
        <v>165218.00338207549</v>
      </c>
      <c r="AN63" s="12">
        <f>SUM(I$6:I63)</f>
        <v>170600</v>
      </c>
      <c r="AO63" s="8">
        <f>SUM(Q$6:Q63)</f>
        <v>112</v>
      </c>
      <c r="AP63" s="12">
        <f t="shared" si="3"/>
        <v>-5381.9966179245093</v>
      </c>
      <c r="AS63" s="12">
        <v>57</v>
      </c>
      <c r="AT63" s="12">
        <v>20</v>
      </c>
      <c r="AU63" s="12">
        <f t="shared" si="9"/>
        <v>1150</v>
      </c>
      <c r="AV63" s="12">
        <f t="shared" si="10"/>
        <v>0</v>
      </c>
      <c r="AW63" s="12">
        <f>INDEX($AO$6:$AO$215,MATCH(BC63,$F$6:$F$215,0))</f>
        <v>467</v>
      </c>
      <c r="AX63" s="12">
        <f t="shared" si="11"/>
        <v>1135512.1739951316</v>
      </c>
      <c r="AY63" s="12">
        <f t="shared" si="5"/>
        <v>7650</v>
      </c>
      <c r="AZ63" s="12">
        <f t="shared" si="6"/>
        <v>10740.72380952381</v>
      </c>
      <c r="BA63" s="12">
        <f>AX63+SUM($AY$6:AY63)+SUM($AZ$6:AZ63)</f>
        <v>2107424.9739951314</v>
      </c>
      <c r="BB63" s="12">
        <f t="shared" si="12"/>
        <v>956200</v>
      </c>
      <c r="BC63" s="12">
        <f t="shared" si="13"/>
        <v>210</v>
      </c>
      <c r="BD63" s="12">
        <f t="shared" si="14"/>
        <v>0</v>
      </c>
      <c r="BE63" s="12">
        <f t="shared" si="15"/>
        <v>211</v>
      </c>
      <c r="BF63" s="12">
        <f t="shared" si="8"/>
        <v>1151224.9739951314</v>
      </c>
    </row>
    <row r="64" spans="6:58" x14ac:dyDescent="0.35">
      <c r="F64" s="12">
        <v>59</v>
      </c>
      <c r="G64" s="8">
        <f>INDEX(验算胜率!$E$6:$I$1005,F64,MATCH($D$16,验算胜率!$E$5:$I$5,0))</f>
        <v>0.2</v>
      </c>
      <c r="H64" s="12">
        <f t="shared" si="0"/>
        <v>2000</v>
      </c>
      <c r="I64" s="12">
        <f t="shared" si="1"/>
        <v>10000</v>
      </c>
      <c r="J64" s="12">
        <v>4</v>
      </c>
      <c r="K64" s="12">
        <v>2</v>
      </c>
      <c r="L64" s="12">
        <f>MATCH(F64,关卡道具消耗!$AA$6:$AA$83,1)-2+INDEX(关卡道具消耗!$C$16:$E$16,1,MATCH(J64,关卡道具消耗!$C$17:$E$17,0))-1</f>
        <v>21</v>
      </c>
      <c r="M64" s="12">
        <f>IF($D$16=验算胜率!$F$5,验算胜率!K64,0)*H64*关卡道具消耗!$D$8/关卡道具消耗!$D$26</f>
        <v>0</v>
      </c>
      <c r="N64" s="12">
        <f>INDEX(关卡奖励!$AH$6:$AH$8,MATCH($D$14,关卡奖励!$W$6:$W$8,0))*H64*IF(G64&lt;0.3,1,2)</f>
        <v>2334</v>
      </c>
      <c r="O64" s="12">
        <f>INDEX(关卡奖励!$AI$9:$AI$11,MATCH($D$14,关卡奖励!$W$9:$W$11,0))*((1/G64)-1)*H64</f>
        <v>1578</v>
      </c>
      <c r="P64" s="12">
        <f>I64-N64-O64</f>
        <v>6088</v>
      </c>
      <c r="Q64" s="12">
        <f>1/G64</f>
        <v>5</v>
      </c>
      <c r="R64" s="12">
        <f>IFERROR(INDEX(base_v,MATCH($F64,base_k,1)),0)*离线奖励!$C$12</f>
        <v>6450</v>
      </c>
      <c r="S64" s="12">
        <f>IFERROR(INDEX(关卡进度奖励!$I$7:$I$15,MATCH(F64,关卡进度奖励!$D$7:$D$15,0)),0)</f>
        <v>0</v>
      </c>
      <c r="T64" s="12">
        <f>AVERAGE(签到!$E$7:$E$13)*$H64</f>
        <v>8262.0952380952385</v>
      </c>
      <c r="U64" s="12">
        <f>转盘!$C$26*H64*V64/$D$13</f>
        <v>0</v>
      </c>
      <c r="V64" s="12">
        <f t="shared" si="4"/>
        <v>0</v>
      </c>
      <c r="W64" s="12">
        <f>IFERROR(MATCH(INDEX(转盘!$C$17:$F$17,1,MATCH($D$13,转盘!$C$16:$F$16,0))*MAX(F64-转盘!$C$6,0),转盘!$L$9:$L$51,1),0)</f>
        <v>3</v>
      </c>
      <c r="X64" s="12">
        <f>IFERROR(MATCH($F64,gift_k_level,0)^0,0)*进度礼包!$C$17*$H64/$D$13</f>
        <v>0</v>
      </c>
      <c r="Y64" s="12">
        <f>IFERROR(MATCH($F64,turn_k_1,0)^0,0)*转盘!$C$42*$H64/$D$13</f>
        <v>0</v>
      </c>
      <c r="Z64" s="12">
        <f>IFERROR(MATCH($F64,gift_k_level,0)^0,0)*进度礼包!$C$34*$H64/$D$13</f>
        <v>0</v>
      </c>
      <c r="AA64" s="12">
        <f>IFERROR(MATCH($F64,gift_k_time,0)^0,0)*限时礼包!$C$15*$H64/$D$13</f>
        <v>0</v>
      </c>
      <c r="AB64" s="12">
        <f>SUM(H$6:H64)</f>
        <v>86900</v>
      </c>
      <c r="AC64" s="12">
        <f>SUM(N$6:N64)+SUM($M$6:M64)</f>
        <v>118450.50000000001</v>
      </c>
      <c r="AD64" s="12">
        <f>SUM(O$6:O64)</f>
        <v>18482.522249999991</v>
      </c>
      <c r="AE64" s="12">
        <f>SUM($P$6:P64)</f>
        <v>43666.977749999976</v>
      </c>
      <c r="AF64" s="12">
        <f>SUM(U$6:U64)</f>
        <v>17696.981132075471</v>
      </c>
      <c r="AG64" s="12">
        <f>SUM(S$6:S64)</f>
        <v>4500</v>
      </c>
      <c r="AH64" s="12">
        <f>SUM(Y$6:Y64)</f>
        <v>153258.20000000001</v>
      </c>
      <c r="AI64" s="12">
        <f>SUM(X$6:X64)</f>
        <v>0</v>
      </c>
      <c r="AJ64" s="12">
        <f>SUM(Z$6:Z64)</f>
        <v>0</v>
      </c>
      <c r="AK64" s="12">
        <f>SUM(AA$6:AA64)</f>
        <v>151923.18875082803</v>
      </c>
      <c r="AL64" s="12">
        <f>F64</f>
        <v>59</v>
      </c>
      <c r="AM64" s="12">
        <f t="shared" si="2"/>
        <v>169130.00338207549</v>
      </c>
      <c r="AN64" s="12">
        <f>SUM(I$6:I64)</f>
        <v>180600</v>
      </c>
      <c r="AO64" s="8">
        <f>SUM(Q$6:Q64)</f>
        <v>117</v>
      </c>
      <c r="AP64" s="12">
        <f t="shared" si="3"/>
        <v>-11469.996617924509</v>
      </c>
      <c r="AS64" s="12">
        <v>58</v>
      </c>
      <c r="AT64" s="12">
        <v>20</v>
      </c>
      <c r="AU64" s="12">
        <f t="shared" si="9"/>
        <v>1170</v>
      </c>
      <c r="AV64" s="12">
        <f t="shared" si="10"/>
        <v>0</v>
      </c>
      <c r="AW64" s="12">
        <f>INDEX($AO$6:$AO$215,MATCH(BC64,$F$6:$F$215,0))</f>
        <v>467</v>
      </c>
      <c r="AX64" s="12">
        <f t="shared" si="11"/>
        <v>1135512.1739951316</v>
      </c>
      <c r="AY64" s="12">
        <f t="shared" si="5"/>
        <v>7650</v>
      </c>
      <c r="AZ64" s="12">
        <f t="shared" si="6"/>
        <v>10740.72380952381</v>
      </c>
      <c r="BA64" s="12">
        <f>AX64+SUM($AY$6:AY64)+SUM($AZ$6:AZ64)</f>
        <v>2125815.6978046554</v>
      </c>
      <c r="BB64" s="12">
        <f t="shared" si="12"/>
        <v>956200</v>
      </c>
      <c r="BC64" s="12">
        <f t="shared" si="13"/>
        <v>210</v>
      </c>
      <c r="BD64" s="12">
        <f t="shared" si="14"/>
        <v>0</v>
      </c>
      <c r="BE64" s="12">
        <f t="shared" si="15"/>
        <v>211</v>
      </c>
      <c r="BF64" s="12">
        <f t="shared" si="8"/>
        <v>1169615.6978046554</v>
      </c>
    </row>
    <row r="65" spans="6:58" x14ac:dyDescent="0.35">
      <c r="F65" s="12">
        <v>60</v>
      </c>
      <c r="G65" s="8">
        <f>INDEX(验算胜率!$E$6:$I$1005,F65,MATCH($D$16,验算胜率!$E$5:$I$5,0))</f>
        <v>0.5</v>
      </c>
      <c r="H65" s="12">
        <f t="shared" si="0"/>
        <v>2000</v>
      </c>
      <c r="I65" s="12">
        <f t="shared" si="1"/>
        <v>4000</v>
      </c>
      <c r="J65" s="12">
        <v>4</v>
      </c>
      <c r="K65" s="12">
        <v>1</v>
      </c>
      <c r="L65" s="12">
        <f>MATCH(F65,关卡道具消耗!$AA$6:$AA$83,1)-2+INDEX(关卡道具消耗!$C$16:$E$16,1,MATCH(J65,关卡道具消耗!$C$17:$E$17,0))-1</f>
        <v>21</v>
      </c>
      <c r="M65" s="12">
        <f>IF($D$16=验算胜率!$F$5,验算胜率!K65,0)*H65*关卡道具消耗!$D$8/关卡道具消耗!$D$26</f>
        <v>0</v>
      </c>
      <c r="N65" s="12">
        <f>INDEX(关卡奖励!$AH$6:$AH$8,MATCH($D$14,关卡奖励!$W$6:$W$8,0))*H65*IF(G65&lt;0.3,1,2)</f>
        <v>4668</v>
      </c>
      <c r="O65" s="12">
        <f>INDEX(关卡奖励!$AI$9:$AI$11,MATCH($D$14,关卡奖励!$W$9:$W$11,0))*((1/G65)-1)*H65</f>
        <v>394.5</v>
      </c>
      <c r="P65" s="12">
        <f>I65-N65-O65</f>
        <v>-1062.5</v>
      </c>
      <c r="Q65" s="12">
        <f>1/G65</f>
        <v>2</v>
      </c>
      <c r="R65" s="12">
        <f>IFERROR(INDEX(base_v,MATCH($F65,base_k,1)),0)*离线奖励!$C$12</f>
        <v>6450</v>
      </c>
      <c r="S65" s="12">
        <f>IFERROR(INDEX(关卡进度奖励!$I$7:$I$15,MATCH(F65,关卡进度奖励!$D$7:$D$15,0)),0)</f>
        <v>0</v>
      </c>
      <c r="T65" s="12">
        <f>AVERAGE(签到!$E$7:$E$13)*$H65</f>
        <v>8262.0952380952385</v>
      </c>
      <c r="U65" s="12">
        <f>转盘!$C$26*H65*V65/$D$13</f>
        <v>0</v>
      </c>
      <c r="V65" s="12">
        <f t="shared" si="4"/>
        <v>0</v>
      </c>
      <c r="W65" s="12">
        <f>IFERROR(MATCH(INDEX(转盘!$C$17:$F$17,1,MATCH($D$13,转盘!$C$16:$F$16,0))*MAX(F65-转盘!$C$6,0),转盘!$L$9:$L$51,1),0)</f>
        <v>3</v>
      </c>
      <c r="X65" s="12">
        <f>IFERROR(MATCH($F65,gift_k_level,0)^0,0)*进度礼包!$C$17*$H65/$D$13</f>
        <v>0</v>
      </c>
      <c r="Y65" s="12">
        <f>IFERROR(MATCH($F65,turn_k_1,0)^0,0)*转盘!$C$42*$H65/$D$13</f>
        <v>0</v>
      </c>
      <c r="Z65" s="12">
        <f>IFERROR(MATCH($F65,gift_k_level,0)^0,0)*进度礼包!$C$34*$H65/$D$13</f>
        <v>0</v>
      </c>
      <c r="AA65" s="12">
        <f>IFERROR(MATCH($F65,gift_k_time,0)^0,0)*限时礼包!$C$15*$H65/$D$13</f>
        <v>0</v>
      </c>
      <c r="AB65" s="12">
        <f>SUM(H$6:H65)</f>
        <v>88900</v>
      </c>
      <c r="AC65" s="12">
        <f>SUM(N$6:N65)+SUM($M$6:M65)</f>
        <v>123118.50000000001</v>
      </c>
      <c r="AD65" s="12">
        <f>SUM(O$6:O65)</f>
        <v>18877.022249999991</v>
      </c>
      <c r="AE65" s="12">
        <f>SUM($P$6:P65)</f>
        <v>42604.477749999976</v>
      </c>
      <c r="AF65" s="12">
        <f>SUM(U$6:U65)</f>
        <v>17696.981132075471</v>
      </c>
      <c r="AG65" s="12">
        <f>SUM(S$6:S65)</f>
        <v>4500</v>
      </c>
      <c r="AH65" s="12">
        <f>SUM(Y$6:Y65)</f>
        <v>153258.20000000001</v>
      </c>
      <c r="AI65" s="12">
        <f>SUM(X$6:X65)</f>
        <v>0</v>
      </c>
      <c r="AJ65" s="12">
        <f>SUM(Z$6:Z65)</f>
        <v>0</v>
      </c>
      <c r="AK65" s="12">
        <f>SUM(AA$6:AA65)</f>
        <v>151923.18875082803</v>
      </c>
      <c r="AL65" s="12">
        <f>F65</f>
        <v>60</v>
      </c>
      <c r="AM65" s="12">
        <f t="shared" si="2"/>
        <v>174192.50338207549</v>
      </c>
      <c r="AN65" s="12">
        <f>SUM(I$6:I65)</f>
        <v>184600</v>
      </c>
      <c r="AO65" s="8">
        <f>SUM(Q$6:Q65)</f>
        <v>119</v>
      </c>
      <c r="AP65" s="12">
        <f t="shared" si="3"/>
        <v>-10407.496617924509</v>
      </c>
      <c r="AS65" s="12">
        <v>59</v>
      </c>
      <c r="AT65" s="12">
        <v>20</v>
      </c>
      <c r="AU65" s="12">
        <f t="shared" si="9"/>
        <v>1190</v>
      </c>
      <c r="AV65" s="12">
        <f t="shared" si="10"/>
        <v>0</v>
      </c>
      <c r="AW65" s="12">
        <f>INDEX($AO$6:$AO$215,MATCH(BC65,$F$6:$F$215,0))</f>
        <v>467</v>
      </c>
      <c r="AX65" s="12">
        <f t="shared" si="11"/>
        <v>1135512.1739951316</v>
      </c>
      <c r="AY65" s="12">
        <f t="shared" si="5"/>
        <v>7650</v>
      </c>
      <c r="AZ65" s="12">
        <f t="shared" si="6"/>
        <v>10740.72380952381</v>
      </c>
      <c r="BA65" s="12">
        <f>AX65+SUM($AY$6:AY65)+SUM($AZ$6:AZ65)</f>
        <v>2144206.4216141794</v>
      </c>
      <c r="BB65" s="12">
        <f t="shared" si="12"/>
        <v>956200</v>
      </c>
      <c r="BC65" s="12">
        <f t="shared" si="13"/>
        <v>210</v>
      </c>
      <c r="BD65" s="12">
        <f t="shared" si="14"/>
        <v>0</v>
      </c>
      <c r="BE65" s="12">
        <f t="shared" si="15"/>
        <v>211</v>
      </c>
      <c r="BF65" s="12">
        <f t="shared" si="8"/>
        <v>1188006.4216141794</v>
      </c>
    </row>
    <row r="66" spans="6:58" x14ac:dyDescent="0.35">
      <c r="F66" s="12">
        <v>61</v>
      </c>
      <c r="G66" s="8">
        <f>INDEX(验算胜率!$E$6:$I$1005,F66,MATCH($D$16,验算胜率!$E$5:$I$5,0))</f>
        <v>0.5</v>
      </c>
      <c r="H66" s="12">
        <f t="shared" si="0"/>
        <v>2000</v>
      </c>
      <c r="I66" s="12">
        <f t="shared" si="1"/>
        <v>4000</v>
      </c>
      <c r="J66" s="12">
        <v>4</v>
      </c>
      <c r="K66" s="12">
        <v>0</v>
      </c>
      <c r="L66" s="12">
        <f>MATCH(F66,关卡道具消耗!$AA$6:$AA$83,1)-2+INDEX(关卡道具消耗!$C$16:$E$16,1,MATCH(J66,关卡道具消耗!$C$17:$E$17,0))-1</f>
        <v>21</v>
      </c>
      <c r="M66" s="12">
        <f>IF($D$16=验算胜率!$F$5,验算胜率!K66,0)*H66*关卡道具消耗!$D$8/关卡道具消耗!$D$26</f>
        <v>0</v>
      </c>
      <c r="N66" s="12">
        <f>INDEX(关卡奖励!$AH$6:$AH$8,MATCH($D$14,关卡奖励!$W$6:$W$8,0))*H66*IF(G66&lt;0.3,1,2)</f>
        <v>4668</v>
      </c>
      <c r="O66" s="12">
        <f>INDEX(关卡奖励!$AI$9:$AI$11,MATCH($D$14,关卡奖励!$W$9:$W$11,0))*((1/G66)-1)*H66</f>
        <v>394.5</v>
      </c>
      <c r="P66" s="12">
        <f>I66-N66-O66</f>
        <v>-1062.5</v>
      </c>
      <c r="Q66" s="12">
        <f>1/G66</f>
        <v>2</v>
      </c>
      <c r="R66" s="12">
        <f>IFERROR(INDEX(base_v,MATCH($F66,base_k,1)),0)*离线奖励!$C$12</f>
        <v>6450</v>
      </c>
      <c r="S66" s="12">
        <f>IFERROR(INDEX(关卡进度奖励!$I$7:$I$15,MATCH(F66,关卡进度奖励!$D$7:$D$15,0)),0)</f>
        <v>0</v>
      </c>
      <c r="T66" s="12">
        <f>AVERAGE(签到!$E$7:$E$13)*$H66</f>
        <v>8262.0952380952385</v>
      </c>
      <c r="U66" s="12">
        <f>转盘!$C$26*H66*V66/$D$13</f>
        <v>0</v>
      </c>
      <c r="V66" s="12">
        <f t="shared" si="4"/>
        <v>0</v>
      </c>
      <c r="W66" s="12">
        <f>IFERROR(MATCH(INDEX(转盘!$C$17:$F$17,1,MATCH($D$13,转盘!$C$16:$F$16,0))*MAX(F66-转盘!$C$6,0),转盘!$L$9:$L$51,1),0)</f>
        <v>3</v>
      </c>
      <c r="X66" s="12">
        <f>IFERROR(MATCH($F66,gift_k_level,0)^0,0)*进度礼包!$C$17*$H66/$D$13</f>
        <v>0</v>
      </c>
      <c r="Y66" s="12">
        <f>IFERROR(MATCH($F66,turn_k_1,0)^0,0)*转盘!$C$42*$H66/$D$13</f>
        <v>0</v>
      </c>
      <c r="Z66" s="12">
        <f>IFERROR(MATCH($F66,gift_k_level,0)^0,0)*进度礼包!$C$34*$H66/$D$13</f>
        <v>0</v>
      </c>
      <c r="AA66" s="12">
        <f>IFERROR(MATCH($F66,gift_k_time,0)^0,0)*限时礼包!$C$15*$H66/$D$13</f>
        <v>0</v>
      </c>
      <c r="AB66" s="12">
        <f>SUM(H$6:H66)</f>
        <v>90900</v>
      </c>
      <c r="AC66" s="12">
        <f>SUM(N$6:N66)+SUM($M$6:M66)</f>
        <v>127786.50000000001</v>
      </c>
      <c r="AD66" s="12">
        <f>SUM(O$6:O66)</f>
        <v>19271.522249999991</v>
      </c>
      <c r="AE66" s="12">
        <f>SUM($P$6:P66)</f>
        <v>41541.977749999976</v>
      </c>
      <c r="AF66" s="12">
        <f>SUM(U$6:U66)</f>
        <v>17696.981132075471</v>
      </c>
      <c r="AG66" s="12">
        <f>SUM(S$6:S66)</f>
        <v>4500</v>
      </c>
      <c r="AH66" s="12">
        <f>SUM(Y$6:Y66)</f>
        <v>153258.20000000001</v>
      </c>
      <c r="AI66" s="12">
        <f>SUM(X$6:X66)</f>
        <v>0</v>
      </c>
      <c r="AJ66" s="12">
        <f>SUM(Z$6:Z66)</f>
        <v>0</v>
      </c>
      <c r="AK66" s="12">
        <f>SUM(AA$6:AA66)</f>
        <v>151923.18875082803</v>
      </c>
      <c r="AL66" s="12">
        <f>F66</f>
        <v>61</v>
      </c>
      <c r="AM66" s="12">
        <f t="shared" si="2"/>
        <v>179255.00338207549</v>
      </c>
      <c r="AN66" s="12">
        <f>SUM(I$6:I66)</f>
        <v>188600</v>
      </c>
      <c r="AO66" s="8">
        <f>SUM(Q$6:Q66)</f>
        <v>121</v>
      </c>
      <c r="AP66" s="12">
        <f t="shared" si="3"/>
        <v>-9344.9966179245093</v>
      </c>
      <c r="AS66" s="12">
        <v>60</v>
      </c>
      <c r="AT66" s="12">
        <v>20</v>
      </c>
      <c r="AU66" s="12">
        <f t="shared" si="9"/>
        <v>1210</v>
      </c>
      <c r="AV66" s="12">
        <f t="shared" si="10"/>
        <v>0</v>
      </c>
      <c r="AW66" s="12">
        <f>INDEX($AO$6:$AO$215,MATCH(BC66,$F$6:$F$215,0))</f>
        <v>467</v>
      </c>
      <c r="AX66" s="12">
        <f t="shared" si="11"/>
        <v>1135512.1739951316</v>
      </c>
      <c r="AY66" s="12">
        <f t="shared" si="5"/>
        <v>7650</v>
      </c>
      <c r="AZ66" s="12">
        <f t="shared" si="6"/>
        <v>10740.72380952381</v>
      </c>
      <c r="BA66" s="12">
        <f>AX66+SUM($AY$6:AY66)+SUM($AZ$6:AZ66)</f>
        <v>2162597.1454237029</v>
      </c>
      <c r="BB66" s="12">
        <f t="shared" si="12"/>
        <v>956200</v>
      </c>
      <c r="BC66" s="12">
        <f t="shared" si="13"/>
        <v>210</v>
      </c>
      <c r="BD66" s="12">
        <f t="shared" si="14"/>
        <v>0</v>
      </c>
      <c r="BE66" s="12">
        <f t="shared" si="15"/>
        <v>211</v>
      </c>
      <c r="BF66" s="12">
        <f t="shared" si="8"/>
        <v>1206397.1454237029</v>
      </c>
    </row>
    <row r="67" spans="6:58" x14ac:dyDescent="0.35">
      <c r="F67" s="12">
        <v>62</v>
      </c>
      <c r="G67" s="8">
        <f>INDEX(验算胜率!$E$6:$I$1005,F67,MATCH($D$16,验算胜率!$E$5:$I$5,0))</f>
        <v>0.5</v>
      </c>
      <c r="H67" s="12">
        <f t="shared" si="0"/>
        <v>2000</v>
      </c>
      <c r="I67" s="12">
        <f t="shared" si="1"/>
        <v>4000</v>
      </c>
      <c r="J67" s="12">
        <v>4</v>
      </c>
      <c r="K67" s="12">
        <v>0</v>
      </c>
      <c r="L67" s="12">
        <f>MATCH(F67,关卡道具消耗!$AA$6:$AA$83,1)-2+INDEX(关卡道具消耗!$C$16:$E$16,1,MATCH(J67,关卡道具消耗!$C$17:$E$17,0))-1</f>
        <v>21</v>
      </c>
      <c r="M67" s="12">
        <f>IF($D$16=验算胜率!$F$5,验算胜率!K67,0)*H67*关卡道具消耗!$D$8/关卡道具消耗!$D$26</f>
        <v>0</v>
      </c>
      <c r="N67" s="12">
        <f>INDEX(关卡奖励!$AH$6:$AH$8,MATCH($D$14,关卡奖励!$W$6:$W$8,0))*H67*IF(G67&lt;0.3,1,2)</f>
        <v>4668</v>
      </c>
      <c r="O67" s="12">
        <f>INDEX(关卡奖励!$AI$9:$AI$11,MATCH($D$14,关卡奖励!$W$9:$W$11,0))*((1/G67)-1)*H67</f>
        <v>394.5</v>
      </c>
      <c r="P67" s="12">
        <f>I67-N67-O67</f>
        <v>-1062.5</v>
      </c>
      <c r="Q67" s="12">
        <f>1/G67</f>
        <v>2</v>
      </c>
      <c r="R67" s="12">
        <f>IFERROR(INDEX(base_v,MATCH($F67,base_k,1)),0)*离线奖励!$C$12</f>
        <v>6450</v>
      </c>
      <c r="S67" s="12">
        <f>IFERROR(INDEX(关卡进度奖励!$I$7:$I$15,MATCH(F67,关卡进度奖励!$D$7:$D$15,0)),0)</f>
        <v>0</v>
      </c>
      <c r="T67" s="12">
        <f>AVERAGE(签到!$E$7:$E$13)*$H67</f>
        <v>8262.0952380952385</v>
      </c>
      <c r="U67" s="12">
        <f>转盘!$C$26*H67*V67/$D$13</f>
        <v>0</v>
      </c>
      <c r="V67" s="12">
        <f t="shared" si="4"/>
        <v>0</v>
      </c>
      <c r="W67" s="12">
        <f>IFERROR(MATCH(INDEX(转盘!$C$17:$F$17,1,MATCH($D$13,转盘!$C$16:$F$16,0))*MAX(F67-转盘!$C$6,0),转盘!$L$9:$L$51,1),0)</f>
        <v>3</v>
      </c>
      <c r="X67" s="12">
        <f>IFERROR(MATCH($F67,gift_k_level,0)^0,0)*进度礼包!$C$17*$H67/$D$13</f>
        <v>0</v>
      </c>
      <c r="Y67" s="12">
        <f>IFERROR(MATCH($F67,turn_k_1,0)^0,0)*转盘!$C$42*$H67/$D$13</f>
        <v>0</v>
      </c>
      <c r="Z67" s="12">
        <f>IFERROR(MATCH($F67,gift_k_level,0)^0,0)*进度礼包!$C$34*$H67/$D$13</f>
        <v>0</v>
      </c>
      <c r="AA67" s="12">
        <f>IFERROR(MATCH($F67,gift_k_time,0)^0,0)*限时礼包!$C$15*$H67/$D$13</f>
        <v>0</v>
      </c>
      <c r="AB67" s="12">
        <f>SUM(H$6:H67)</f>
        <v>92900</v>
      </c>
      <c r="AC67" s="12">
        <f>SUM(N$6:N67)+SUM($M$6:M67)</f>
        <v>132454.5</v>
      </c>
      <c r="AD67" s="12">
        <f>SUM(O$6:O67)</f>
        <v>19666.022249999991</v>
      </c>
      <c r="AE67" s="12">
        <f>SUM($P$6:P67)</f>
        <v>40479.477749999976</v>
      </c>
      <c r="AF67" s="12">
        <f>SUM(U$6:U67)</f>
        <v>17696.981132075471</v>
      </c>
      <c r="AG67" s="12">
        <f>SUM(S$6:S67)</f>
        <v>4500</v>
      </c>
      <c r="AH67" s="12">
        <f>SUM(Y$6:Y67)</f>
        <v>153258.20000000001</v>
      </c>
      <c r="AI67" s="12">
        <f>SUM(X$6:X67)</f>
        <v>0</v>
      </c>
      <c r="AJ67" s="12">
        <f>SUM(Z$6:Z67)</f>
        <v>0</v>
      </c>
      <c r="AK67" s="12">
        <f>SUM(AA$6:AA67)</f>
        <v>151923.18875082803</v>
      </c>
      <c r="AL67" s="12">
        <f>F67</f>
        <v>62</v>
      </c>
      <c r="AM67" s="12">
        <f t="shared" si="2"/>
        <v>184317.50338207546</v>
      </c>
      <c r="AN67" s="12">
        <f>SUM(I$6:I67)</f>
        <v>192600</v>
      </c>
      <c r="AO67" s="8">
        <f>SUM(Q$6:Q67)</f>
        <v>123</v>
      </c>
      <c r="AP67" s="12">
        <f t="shared" si="3"/>
        <v>-8282.4966179245384</v>
      </c>
      <c r="AS67" s="12">
        <v>61</v>
      </c>
      <c r="AT67" s="12">
        <v>20</v>
      </c>
      <c r="AU67" s="12">
        <f t="shared" si="9"/>
        <v>1230</v>
      </c>
      <c r="AV67" s="12">
        <f t="shared" si="10"/>
        <v>0</v>
      </c>
      <c r="AW67" s="12">
        <f>INDEX($AO$6:$AO$215,MATCH(BC67,$F$6:$F$215,0))</f>
        <v>467</v>
      </c>
      <c r="AX67" s="12">
        <f t="shared" si="11"/>
        <v>1135512.1739951316</v>
      </c>
      <c r="AY67" s="12">
        <f t="shared" si="5"/>
        <v>7650</v>
      </c>
      <c r="AZ67" s="12">
        <f t="shared" si="6"/>
        <v>10740.72380952381</v>
      </c>
      <c r="BA67" s="12">
        <f>AX67+SUM($AY$6:AY67)+SUM($AZ$6:AZ67)</f>
        <v>2180987.8692332269</v>
      </c>
      <c r="BB67" s="12">
        <f t="shared" si="12"/>
        <v>956200</v>
      </c>
      <c r="BC67" s="12">
        <f t="shared" si="13"/>
        <v>210</v>
      </c>
      <c r="BD67" s="12">
        <f t="shared" si="14"/>
        <v>0</v>
      </c>
      <c r="BE67" s="12">
        <f t="shared" si="15"/>
        <v>211</v>
      </c>
      <c r="BF67" s="12">
        <f t="shared" si="8"/>
        <v>1224787.8692332269</v>
      </c>
    </row>
    <row r="68" spans="6:58" x14ac:dyDescent="0.35">
      <c r="F68" s="12">
        <v>63</v>
      </c>
      <c r="G68" s="8">
        <f>INDEX(验算胜率!$E$6:$I$1005,F68,MATCH($D$16,验算胜率!$E$5:$I$5,0))</f>
        <v>0.5</v>
      </c>
      <c r="H68" s="12">
        <f t="shared" si="0"/>
        <v>2000</v>
      </c>
      <c r="I68" s="12">
        <f t="shared" si="1"/>
        <v>4000</v>
      </c>
      <c r="J68" s="12">
        <v>4</v>
      </c>
      <c r="K68" s="12">
        <v>0</v>
      </c>
      <c r="L68" s="12">
        <f>MATCH(F68,关卡道具消耗!$AA$6:$AA$83,1)-2+INDEX(关卡道具消耗!$C$16:$E$16,1,MATCH(J68,关卡道具消耗!$C$17:$E$17,0))-1</f>
        <v>21</v>
      </c>
      <c r="M68" s="12">
        <f>IF($D$16=验算胜率!$F$5,验算胜率!K68,0)*H68*关卡道具消耗!$D$8/关卡道具消耗!$D$26</f>
        <v>0</v>
      </c>
      <c r="N68" s="12">
        <f>INDEX(关卡奖励!$AH$6:$AH$8,MATCH($D$14,关卡奖励!$W$6:$W$8,0))*H68*IF(G68&lt;0.3,1,2)</f>
        <v>4668</v>
      </c>
      <c r="O68" s="12">
        <f>INDEX(关卡奖励!$AI$9:$AI$11,MATCH($D$14,关卡奖励!$W$9:$W$11,0))*((1/G68)-1)*H68</f>
        <v>394.5</v>
      </c>
      <c r="P68" s="12">
        <f>I68-N68-O68</f>
        <v>-1062.5</v>
      </c>
      <c r="Q68" s="12">
        <f>1/G68</f>
        <v>2</v>
      </c>
      <c r="R68" s="12">
        <f>IFERROR(INDEX(base_v,MATCH($F68,base_k,1)),0)*离线奖励!$C$12</f>
        <v>6450</v>
      </c>
      <c r="S68" s="12">
        <f>IFERROR(INDEX(关卡进度奖励!$I$7:$I$15,MATCH(F68,关卡进度奖励!$D$7:$D$15,0)),0)</f>
        <v>0</v>
      </c>
      <c r="T68" s="12">
        <f>AVERAGE(签到!$E$7:$E$13)*$H68</f>
        <v>8262.0952380952385</v>
      </c>
      <c r="U68" s="12">
        <f>转盘!$C$26*H68*V68/$D$13</f>
        <v>0</v>
      </c>
      <c r="V68" s="12">
        <f t="shared" si="4"/>
        <v>0</v>
      </c>
      <c r="W68" s="12">
        <f>IFERROR(MATCH(INDEX(转盘!$C$17:$F$17,1,MATCH($D$13,转盘!$C$16:$F$16,0))*MAX(F68-转盘!$C$6,0),转盘!$L$9:$L$51,1),0)</f>
        <v>3</v>
      </c>
      <c r="X68" s="12">
        <f>IFERROR(MATCH($F68,gift_k_level,0)^0,0)*进度礼包!$C$17*$H68/$D$13</f>
        <v>0</v>
      </c>
      <c r="Y68" s="12">
        <f>IFERROR(MATCH($F68,turn_k_1,0)^0,0)*转盘!$C$42*$H68/$D$13</f>
        <v>0</v>
      </c>
      <c r="Z68" s="12">
        <f>IFERROR(MATCH($F68,gift_k_level,0)^0,0)*进度礼包!$C$34*$H68/$D$13</f>
        <v>0</v>
      </c>
      <c r="AA68" s="12">
        <f>IFERROR(MATCH($F68,gift_k_time,0)^0,0)*限时礼包!$C$15*$H68/$D$13</f>
        <v>0</v>
      </c>
      <c r="AB68" s="12">
        <f>SUM(H$6:H68)</f>
        <v>94900</v>
      </c>
      <c r="AC68" s="12">
        <f>SUM(N$6:N68)+SUM($M$6:M68)</f>
        <v>137122.5</v>
      </c>
      <c r="AD68" s="12">
        <f>SUM(O$6:O68)</f>
        <v>20060.522249999991</v>
      </c>
      <c r="AE68" s="12">
        <f>SUM($P$6:P68)</f>
        <v>39416.977749999976</v>
      </c>
      <c r="AF68" s="12">
        <f>SUM(U$6:U68)</f>
        <v>17696.981132075471</v>
      </c>
      <c r="AG68" s="12">
        <f>SUM(S$6:S68)</f>
        <v>4500</v>
      </c>
      <c r="AH68" s="12">
        <f>SUM(Y$6:Y68)</f>
        <v>153258.20000000001</v>
      </c>
      <c r="AI68" s="12">
        <f>SUM(X$6:X68)</f>
        <v>0</v>
      </c>
      <c r="AJ68" s="12">
        <f>SUM(Z$6:Z68)</f>
        <v>0</v>
      </c>
      <c r="AK68" s="12">
        <f>SUM(AA$6:AA68)</f>
        <v>151923.18875082803</v>
      </c>
      <c r="AL68" s="12">
        <f>F68</f>
        <v>63</v>
      </c>
      <c r="AM68" s="12">
        <f t="shared" si="2"/>
        <v>189380.00338207546</v>
      </c>
      <c r="AN68" s="12">
        <f>SUM(I$6:I68)</f>
        <v>196600</v>
      </c>
      <c r="AO68" s="8">
        <f>SUM(Q$6:Q68)</f>
        <v>125</v>
      </c>
      <c r="AP68" s="12">
        <f t="shared" si="3"/>
        <v>-7219.9966179245384</v>
      </c>
      <c r="AS68" s="12">
        <v>62</v>
      </c>
      <c r="AT68" s="12">
        <v>20</v>
      </c>
      <c r="AU68" s="12">
        <f t="shared" si="9"/>
        <v>1250</v>
      </c>
      <c r="AV68" s="12">
        <f t="shared" si="10"/>
        <v>0</v>
      </c>
      <c r="AW68" s="12">
        <f>INDEX($AO$6:$AO$215,MATCH(BC68,$F$6:$F$215,0))</f>
        <v>467</v>
      </c>
      <c r="AX68" s="12">
        <f t="shared" si="11"/>
        <v>1135512.1739951316</v>
      </c>
      <c r="AY68" s="12">
        <f t="shared" si="5"/>
        <v>7650</v>
      </c>
      <c r="AZ68" s="12">
        <f t="shared" si="6"/>
        <v>10740.72380952381</v>
      </c>
      <c r="BA68" s="12">
        <f>AX68+SUM($AY$6:AY68)+SUM($AZ$6:AZ68)</f>
        <v>2199378.5930427508</v>
      </c>
      <c r="BB68" s="12">
        <f t="shared" si="12"/>
        <v>956200</v>
      </c>
      <c r="BC68" s="12">
        <f t="shared" si="13"/>
        <v>210</v>
      </c>
      <c r="BD68" s="12">
        <f t="shared" si="14"/>
        <v>0</v>
      </c>
      <c r="BE68" s="12">
        <f t="shared" si="15"/>
        <v>211</v>
      </c>
      <c r="BF68" s="12">
        <f t="shared" si="8"/>
        <v>1243178.5930427508</v>
      </c>
    </row>
    <row r="69" spans="6:58" x14ac:dyDescent="0.35">
      <c r="F69" s="12">
        <v>64</v>
      </c>
      <c r="G69" s="8">
        <f>INDEX(验算胜率!$E$6:$I$1005,F69,MATCH($D$16,验算胜率!$E$5:$I$5,0))</f>
        <v>0.2</v>
      </c>
      <c r="H69" s="12">
        <f t="shared" si="0"/>
        <v>2000</v>
      </c>
      <c r="I69" s="12">
        <f t="shared" si="1"/>
        <v>10000</v>
      </c>
      <c r="J69" s="12">
        <v>4</v>
      </c>
      <c r="K69" s="12">
        <v>0</v>
      </c>
      <c r="L69" s="12">
        <f>MATCH(F69,关卡道具消耗!$AA$6:$AA$83,1)-2+INDEX(关卡道具消耗!$C$16:$E$16,1,MATCH(J69,关卡道具消耗!$C$17:$E$17,0))-1</f>
        <v>21</v>
      </c>
      <c r="M69" s="12">
        <f>IF($D$16=验算胜率!$F$5,验算胜率!K69,0)*H69*关卡道具消耗!$D$8/关卡道具消耗!$D$26</f>
        <v>0</v>
      </c>
      <c r="N69" s="12">
        <f>INDEX(关卡奖励!$AH$6:$AH$8,MATCH($D$14,关卡奖励!$W$6:$W$8,0))*H69*IF(G69&lt;0.3,1,2)</f>
        <v>2334</v>
      </c>
      <c r="O69" s="12">
        <f>INDEX(关卡奖励!$AI$9:$AI$11,MATCH($D$14,关卡奖励!$W$9:$W$11,0))*((1/G69)-1)*H69</f>
        <v>1578</v>
      </c>
      <c r="P69" s="12">
        <f>I69-N69-O69</f>
        <v>6088</v>
      </c>
      <c r="Q69" s="12">
        <f>1/G69</f>
        <v>5</v>
      </c>
      <c r="R69" s="12">
        <f>IFERROR(INDEX(base_v,MATCH($F69,base_k,1)),0)*离线奖励!$C$12</f>
        <v>6450</v>
      </c>
      <c r="S69" s="12">
        <f>IFERROR(INDEX(关卡进度奖励!$I$7:$I$15,MATCH(F69,关卡进度奖励!$D$7:$D$15,0)),0)</f>
        <v>0</v>
      </c>
      <c r="T69" s="12">
        <f>AVERAGE(签到!$E$7:$E$13)*$H69</f>
        <v>8262.0952380952385</v>
      </c>
      <c r="U69" s="12">
        <f>转盘!$C$26*H69*V69/$D$13</f>
        <v>0</v>
      </c>
      <c r="V69" s="12">
        <f t="shared" si="4"/>
        <v>0</v>
      </c>
      <c r="W69" s="12">
        <f>IFERROR(MATCH(INDEX(转盘!$C$17:$F$17,1,MATCH($D$13,转盘!$C$16:$F$16,0))*MAX(F69-转盘!$C$6,0),转盘!$L$9:$L$51,1),0)</f>
        <v>3</v>
      </c>
      <c r="X69" s="12">
        <f>IFERROR(MATCH($F69,gift_k_level,0)^0,0)*进度礼包!$C$17*$H69/$D$13</f>
        <v>0</v>
      </c>
      <c r="Y69" s="12">
        <f>IFERROR(MATCH($F69,turn_k_1,0)^0,0)*转盘!$C$42*$H69/$D$13</f>
        <v>0</v>
      </c>
      <c r="Z69" s="12">
        <f>IFERROR(MATCH($F69,gift_k_level,0)^0,0)*进度礼包!$C$34*$H69/$D$13</f>
        <v>0</v>
      </c>
      <c r="AA69" s="12">
        <f>IFERROR(MATCH($F69,gift_k_time,0)^0,0)*限时礼包!$C$15*$H69/$D$13</f>
        <v>0</v>
      </c>
      <c r="AB69" s="12">
        <f>SUM(H$6:H69)</f>
        <v>96900</v>
      </c>
      <c r="AC69" s="12">
        <f>SUM(N$6:N69)+SUM($M$6:M69)</f>
        <v>139456.5</v>
      </c>
      <c r="AD69" s="12">
        <f>SUM(O$6:O69)</f>
        <v>21638.522249999991</v>
      </c>
      <c r="AE69" s="12">
        <f>SUM($P$6:P69)</f>
        <v>45504.977749999976</v>
      </c>
      <c r="AF69" s="12">
        <f>SUM(U$6:U69)</f>
        <v>17696.981132075471</v>
      </c>
      <c r="AG69" s="12">
        <f>SUM(S$6:S69)</f>
        <v>4500</v>
      </c>
      <c r="AH69" s="12">
        <f>SUM(Y$6:Y69)</f>
        <v>153258.20000000001</v>
      </c>
      <c r="AI69" s="12">
        <f>SUM(X$6:X69)</f>
        <v>0</v>
      </c>
      <c r="AJ69" s="12">
        <f>SUM(Z$6:Z69)</f>
        <v>0</v>
      </c>
      <c r="AK69" s="12">
        <f>SUM(AA$6:AA69)</f>
        <v>151923.18875082803</v>
      </c>
      <c r="AL69" s="12">
        <f>F69</f>
        <v>64</v>
      </c>
      <c r="AM69" s="12">
        <f t="shared" si="2"/>
        <v>193292.00338207546</v>
      </c>
      <c r="AN69" s="12">
        <f>SUM(I$6:I69)</f>
        <v>206600</v>
      </c>
      <c r="AO69" s="8">
        <f>SUM(Q$6:Q69)</f>
        <v>130</v>
      </c>
      <c r="AP69" s="12">
        <f t="shared" si="3"/>
        <v>-13307.996617924538</v>
      </c>
      <c r="AS69" s="12">
        <v>63</v>
      </c>
      <c r="AT69" s="12">
        <v>20</v>
      </c>
      <c r="AU69" s="12">
        <f t="shared" si="9"/>
        <v>1270</v>
      </c>
      <c r="AV69" s="12">
        <f t="shared" si="10"/>
        <v>0</v>
      </c>
      <c r="AW69" s="12">
        <f>INDEX($AO$6:$AO$215,MATCH(BC69,$F$6:$F$215,0))</f>
        <v>467</v>
      </c>
      <c r="AX69" s="12">
        <f t="shared" si="11"/>
        <v>1135512.1739951316</v>
      </c>
      <c r="AY69" s="12">
        <f t="shared" si="5"/>
        <v>7650</v>
      </c>
      <c r="AZ69" s="12">
        <f t="shared" si="6"/>
        <v>10740.72380952381</v>
      </c>
      <c r="BA69" s="12">
        <f>AX69+SUM($AY$6:AY69)+SUM($AZ$6:AZ69)</f>
        <v>2217769.3168522744</v>
      </c>
      <c r="BB69" s="12">
        <f t="shared" si="12"/>
        <v>956200</v>
      </c>
      <c r="BC69" s="12">
        <f t="shared" si="13"/>
        <v>210</v>
      </c>
      <c r="BD69" s="12">
        <f t="shared" si="14"/>
        <v>0</v>
      </c>
      <c r="BE69" s="12">
        <f t="shared" si="15"/>
        <v>211</v>
      </c>
      <c r="BF69" s="12">
        <f t="shared" si="8"/>
        <v>1261569.3168522744</v>
      </c>
    </row>
    <row r="70" spans="6:58" x14ac:dyDescent="0.35">
      <c r="F70" s="12">
        <v>65</v>
      </c>
      <c r="G70" s="8">
        <f>INDEX(验算胜率!$E$6:$I$1005,F70,MATCH($D$16,验算胜率!$E$5:$I$5,0))</f>
        <v>0.5</v>
      </c>
      <c r="H70" s="12">
        <f t="shared" ref="H70:H133" si="16">INDEX(leve_cost_v,MATCH($F70,leve_cost_k,1))*$D$13</f>
        <v>2000</v>
      </c>
      <c r="I70" s="12">
        <f t="shared" si="1"/>
        <v>4000</v>
      </c>
      <c r="J70" s="12">
        <v>4</v>
      </c>
      <c r="K70" s="12">
        <v>1</v>
      </c>
      <c r="L70" s="12">
        <f>MATCH(F70,关卡道具消耗!$AA$6:$AA$83,1)-2+INDEX(关卡道具消耗!$C$16:$E$16,1,MATCH(J70,关卡道具消耗!$C$17:$E$17,0))-1</f>
        <v>21</v>
      </c>
      <c r="M70" s="12">
        <f>IF($D$16=验算胜率!$F$5,验算胜率!K70,0)*H70*关卡道具消耗!$D$8/关卡道具消耗!$D$26</f>
        <v>0</v>
      </c>
      <c r="N70" s="12">
        <f>INDEX(关卡奖励!$AH$6:$AH$8,MATCH($D$14,关卡奖励!$W$6:$W$8,0))*H70*IF(G70&lt;0.3,1,2)</f>
        <v>4668</v>
      </c>
      <c r="O70" s="12">
        <f>INDEX(关卡奖励!$AI$9:$AI$11,MATCH($D$14,关卡奖励!$W$9:$W$11,0))*((1/G70)-1)*H70</f>
        <v>394.5</v>
      </c>
      <c r="P70" s="12">
        <f>I70-N70-O70</f>
        <v>-1062.5</v>
      </c>
      <c r="Q70" s="12">
        <f>1/G70</f>
        <v>2</v>
      </c>
      <c r="R70" s="12">
        <f>IFERROR(INDEX(base_v,MATCH($F70,base_k,1)),0)*离线奖励!$C$12</f>
        <v>6450</v>
      </c>
      <c r="S70" s="12">
        <f>IFERROR(INDEX(关卡进度奖励!$I$7:$I$15,MATCH(F70,关卡进度奖励!$D$7:$D$15,0)),0)</f>
        <v>0</v>
      </c>
      <c r="T70" s="12">
        <f>AVERAGE(签到!$E$7:$E$13)*$H70</f>
        <v>8262.0952380952385</v>
      </c>
      <c r="U70" s="12">
        <f>转盘!$C$26*H70*V70/$D$13</f>
        <v>0</v>
      </c>
      <c r="V70" s="12">
        <f t="shared" si="4"/>
        <v>0</v>
      </c>
      <c r="W70" s="12">
        <f>IFERROR(MATCH(INDEX(转盘!$C$17:$F$17,1,MATCH($D$13,转盘!$C$16:$F$16,0))*MAX(F70-转盘!$C$6,0),转盘!$L$9:$L$51,1),0)</f>
        <v>3</v>
      </c>
      <c r="X70" s="12">
        <f>IFERROR(MATCH($F70,gift_k_level,0)^0,0)*进度礼包!$C$17*$H70/$D$13</f>
        <v>0</v>
      </c>
      <c r="Y70" s="12">
        <f>IFERROR(MATCH($F70,turn_k_1,0)^0,0)*转盘!$C$42*$H70/$D$13</f>
        <v>0</v>
      </c>
      <c r="Z70" s="12">
        <f>IFERROR(MATCH($F70,gift_k_level,0)^0,0)*进度礼包!$C$34*$H70/$D$13</f>
        <v>0</v>
      </c>
      <c r="AA70" s="12">
        <f>IFERROR(MATCH($F70,gift_k_time,0)^0,0)*限时礼包!$C$15*$H70/$D$13</f>
        <v>0</v>
      </c>
      <c r="AB70" s="12">
        <f>SUM(H$6:H70)</f>
        <v>98900</v>
      </c>
      <c r="AC70" s="12">
        <f>SUM(N$6:N70)+SUM($M$6:M70)</f>
        <v>144124.5</v>
      </c>
      <c r="AD70" s="12">
        <f>SUM(O$6:O70)</f>
        <v>22033.022249999991</v>
      </c>
      <c r="AE70" s="12">
        <f>SUM($P$6:P70)</f>
        <v>44442.477749999976</v>
      </c>
      <c r="AF70" s="12">
        <f>SUM(U$6:U70)</f>
        <v>17696.981132075471</v>
      </c>
      <c r="AG70" s="12">
        <f>SUM(S$6:S70)</f>
        <v>4500</v>
      </c>
      <c r="AH70" s="12">
        <f>SUM(Y$6:Y70)</f>
        <v>153258.20000000001</v>
      </c>
      <c r="AI70" s="12">
        <f>SUM(X$6:X70)</f>
        <v>0</v>
      </c>
      <c r="AJ70" s="12">
        <f>SUM(Z$6:Z70)</f>
        <v>0</v>
      </c>
      <c r="AK70" s="12">
        <f>SUM(AA$6:AA70)</f>
        <v>151923.18875082803</v>
      </c>
      <c r="AL70" s="12">
        <f>F70</f>
        <v>65</v>
      </c>
      <c r="AM70" s="12">
        <f t="shared" si="2"/>
        <v>198354.50338207546</v>
      </c>
      <c r="AN70" s="12">
        <f>SUM(I$6:I70)</f>
        <v>210600</v>
      </c>
      <c r="AO70" s="8">
        <f>SUM(Q$6:Q70)</f>
        <v>132</v>
      </c>
      <c r="AP70" s="12">
        <f t="shared" si="3"/>
        <v>-12245.496617924538</v>
      </c>
      <c r="AS70" s="12">
        <v>64</v>
      </c>
      <c r="AT70" s="12">
        <v>20</v>
      </c>
      <c r="AU70" s="12">
        <f t="shared" si="9"/>
        <v>1290</v>
      </c>
      <c r="AV70" s="12">
        <f t="shared" si="10"/>
        <v>0</v>
      </c>
      <c r="AW70" s="12">
        <f>INDEX($AO$6:$AO$215,MATCH(BC70,$F$6:$F$215,0))</f>
        <v>467</v>
      </c>
      <c r="AX70" s="12">
        <f t="shared" si="11"/>
        <v>1135512.1739951316</v>
      </c>
      <c r="AY70" s="12">
        <f t="shared" si="5"/>
        <v>7650</v>
      </c>
      <c r="AZ70" s="12">
        <f t="shared" si="6"/>
        <v>10740.72380952381</v>
      </c>
      <c r="BA70" s="12">
        <f>AX70+SUM($AY$6:AY70)+SUM($AZ$6:AZ70)</f>
        <v>2236160.0406617983</v>
      </c>
      <c r="BB70" s="12">
        <f t="shared" si="12"/>
        <v>956200</v>
      </c>
      <c r="BC70" s="12">
        <f t="shared" si="13"/>
        <v>210</v>
      </c>
      <c r="BD70" s="12">
        <f t="shared" si="14"/>
        <v>0</v>
      </c>
      <c r="BE70" s="12">
        <f t="shared" si="15"/>
        <v>211</v>
      </c>
      <c r="BF70" s="12">
        <f t="shared" si="8"/>
        <v>1279960.0406617983</v>
      </c>
    </row>
    <row r="71" spans="6:58" x14ac:dyDescent="0.35">
      <c r="F71" s="12">
        <v>66</v>
      </c>
      <c r="G71" s="8">
        <f>INDEX(验算胜率!$E$6:$I$1005,F71,MATCH($D$16,验算胜率!$E$5:$I$5,0))</f>
        <v>0.5</v>
      </c>
      <c r="H71" s="12">
        <f t="shared" si="16"/>
        <v>2000</v>
      </c>
      <c r="I71" s="12">
        <f t="shared" ref="I71:I134" si="17">H71/G71</f>
        <v>4000</v>
      </c>
      <c r="J71" s="12">
        <v>4</v>
      </c>
      <c r="K71" s="12">
        <v>0</v>
      </c>
      <c r="L71" s="12">
        <f>MATCH(F71,关卡道具消耗!$AA$6:$AA$83,1)-2+INDEX(关卡道具消耗!$C$16:$E$16,1,MATCH(J71,关卡道具消耗!$C$17:$E$17,0))-1</f>
        <v>21</v>
      </c>
      <c r="M71" s="12">
        <f>IF($D$16=验算胜率!$F$5,验算胜率!K71,0)*H71*关卡道具消耗!$D$8/关卡道具消耗!$D$26</f>
        <v>0</v>
      </c>
      <c r="N71" s="12">
        <f>INDEX(关卡奖励!$AH$6:$AH$8,MATCH($D$14,关卡奖励!$W$6:$W$8,0))*H71*IF(G71&lt;0.3,1,2)</f>
        <v>4668</v>
      </c>
      <c r="O71" s="12">
        <f>INDEX(关卡奖励!$AI$9:$AI$11,MATCH($D$14,关卡奖励!$W$9:$W$11,0))*((1/G71)-1)*H71</f>
        <v>394.5</v>
      </c>
      <c r="P71" s="12">
        <f>I71-N71-O71</f>
        <v>-1062.5</v>
      </c>
      <c r="Q71" s="12">
        <f>1/G71</f>
        <v>2</v>
      </c>
      <c r="R71" s="12">
        <f>IFERROR(INDEX(base_v,MATCH($F71,base_k,1)),0)*离线奖励!$C$12</f>
        <v>6450</v>
      </c>
      <c r="S71" s="12">
        <f>IFERROR(INDEX(关卡进度奖励!$I$7:$I$15,MATCH(F71,关卡进度奖励!$D$7:$D$15,0)),0)</f>
        <v>0</v>
      </c>
      <c r="T71" s="12">
        <f>AVERAGE(签到!$E$7:$E$13)*$H71</f>
        <v>8262.0952380952385</v>
      </c>
      <c r="U71" s="12">
        <f>转盘!$C$26*H71*V71/$D$13</f>
        <v>0</v>
      </c>
      <c r="V71" s="12">
        <f t="shared" si="4"/>
        <v>0</v>
      </c>
      <c r="W71" s="12">
        <f>IFERROR(MATCH(INDEX(转盘!$C$17:$F$17,1,MATCH($D$13,转盘!$C$16:$F$16,0))*MAX(F71-转盘!$C$6,0),转盘!$L$9:$L$51,1),0)</f>
        <v>3</v>
      </c>
      <c r="X71" s="12">
        <f>IFERROR(MATCH($F71,gift_k_level,0)^0,0)*进度礼包!$C$17*$H71/$D$13</f>
        <v>0</v>
      </c>
      <c r="Y71" s="12">
        <f>IFERROR(MATCH($F71,turn_k_1,0)^0,0)*转盘!$C$42*$H71/$D$13</f>
        <v>0</v>
      </c>
      <c r="Z71" s="12">
        <f>IFERROR(MATCH($F71,gift_k_level,0)^0,0)*进度礼包!$C$34*$H71/$D$13</f>
        <v>0</v>
      </c>
      <c r="AA71" s="12">
        <f>IFERROR(MATCH($F71,gift_k_time,0)^0,0)*限时礼包!$C$15*$H71/$D$13</f>
        <v>0</v>
      </c>
      <c r="AB71" s="12">
        <f>SUM(H$6:H71)</f>
        <v>100900</v>
      </c>
      <c r="AC71" s="12">
        <f>SUM(N$6:N71)+SUM($M$6:M71)</f>
        <v>148792.5</v>
      </c>
      <c r="AD71" s="12">
        <f>SUM(O$6:O71)</f>
        <v>22427.522249999991</v>
      </c>
      <c r="AE71" s="12">
        <f>SUM($P$6:P71)</f>
        <v>43379.977749999976</v>
      </c>
      <c r="AF71" s="12">
        <f>SUM(U$6:U71)</f>
        <v>17696.981132075471</v>
      </c>
      <c r="AG71" s="12">
        <f>SUM(S$6:S71)</f>
        <v>4500</v>
      </c>
      <c r="AH71" s="12">
        <f>SUM(Y$6:Y71)</f>
        <v>153258.20000000001</v>
      </c>
      <c r="AI71" s="12">
        <f>SUM(X$6:X71)</f>
        <v>0</v>
      </c>
      <c r="AJ71" s="12">
        <f>SUM(Z$6:Z71)</f>
        <v>0</v>
      </c>
      <c r="AK71" s="12">
        <f>SUM(AA$6:AA71)</f>
        <v>151923.18875082803</v>
      </c>
      <c r="AL71" s="12">
        <f>F71</f>
        <v>66</v>
      </c>
      <c r="AM71" s="12">
        <f t="shared" ref="AM71:AM134" si="18">SUM(AC71,AD71,AF71,AI71,AG71)+$D$5</f>
        <v>203417.00338207546</v>
      </c>
      <c r="AN71" s="12">
        <f>SUM(I$6:I71)</f>
        <v>214600</v>
      </c>
      <c r="AO71" s="8">
        <f>SUM(Q$6:Q71)</f>
        <v>134</v>
      </c>
      <c r="AP71" s="12">
        <f t="shared" ref="AP71:AP134" si="19">AM71-AN71</f>
        <v>-11182.996617924538</v>
      </c>
      <c r="AS71" s="12">
        <v>65</v>
      </c>
      <c r="AT71" s="12">
        <v>20</v>
      </c>
      <c r="AU71" s="12">
        <f t="shared" si="9"/>
        <v>1310</v>
      </c>
      <c r="AV71" s="12">
        <f t="shared" si="10"/>
        <v>0</v>
      </c>
      <c r="AW71" s="12">
        <f>INDEX($AO$6:$AO$215,MATCH(BC71,$F$6:$F$215,0))</f>
        <v>467</v>
      </c>
      <c r="AX71" s="12">
        <f t="shared" si="11"/>
        <v>1135512.1739951316</v>
      </c>
      <c r="AY71" s="12">
        <f t="shared" si="5"/>
        <v>7650</v>
      </c>
      <c r="AZ71" s="12">
        <f t="shared" si="6"/>
        <v>10740.72380952381</v>
      </c>
      <c r="BA71" s="12">
        <f>AX71+SUM($AY$6:AY71)+SUM($AZ$6:AZ71)</f>
        <v>2254550.7644713223</v>
      </c>
      <c r="BB71" s="12">
        <f t="shared" si="12"/>
        <v>956200</v>
      </c>
      <c r="BC71" s="12">
        <f t="shared" si="13"/>
        <v>210</v>
      </c>
      <c r="BD71" s="12">
        <f t="shared" si="14"/>
        <v>0</v>
      </c>
      <c r="BE71" s="12">
        <f t="shared" si="15"/>
        <v>211</v>
      </c>
      <c r="BF71" s="12">
        <f t="shared" si="8"/>
        <v>1298350.7644713223</v>
      </c>
    </row>
    <row r="72" spans="6:58" x14ac:dyDescent="0.35">
      <c r="F72" s="12">
        <v>67</v>
      </c>
      <c r="G72" s="8">
        <f>INDEX(验算胜率!$E$6:$I$1005,F72,MATCH($D$16,验算胜率!$E$5:$I$5,0))</f>
        <v>0.5</v>
      </c>
      <c r="H72" s="12">
        <f t="shared" si="16"/>
        <v>2000</v>
      </c>
      <c r="I72" s="12">
        <f t="shared" si="17"/>
        <v>4000</v>
      </c>
      <c r="J72" s="12">
        <v>4</v>
      </c>
      <c r="K72" s="12">
        <v>1</v>
      </c>
      <c r="L72" s="12">
        <f>MATCH(F72,关卡道具消耗!$AA$6:$AA$83,1)-2+INDEX(关卡道具消耗!$C$16:$E$16,1,MATCH(J72,关卡道具消耗!$C$17:$E$17,0))-1</f>
        <v>21</v>
      </c>
      <c r="M72" s="12">
        <f>IF($D$16=验算胜率!$F$5,验算胜率!K72,0)*H72*关卡道具消耗!$D$8/关卡道具消耗!$D$26</f>
        <v>0</v>
      </c>
      <c r="N72" s="12">
        <f>INDEX(关卡奖励!$AH$6:$AH$8,MATCH($D$14,关卡奖励!$W$6:$W$8,0))*H72*IF(G72&lt;0.3,1,2)</f>
        <v>4668</v>
      </c>
      <c r="O72" s="12">
        <f>INDEX(关卡奖励!$AI$9:$AI$11,MATCH($D$14,关卡奖励!$W$9:$W$11,0))*((1/G72)-1)*H72</f>
        <v>394.5</v>
      </c>
      <c r="P72" s="12">
        <f>I72-N72-O72</f>
        <v>-1062.5</v>
      </c>
      <c r="Q72" s="12">
        <f>1/G72</f>
        <v>2</v>
      </c>
      <c r="R72" s="12">
        <f>IFERROR(INDEX(base_v,MATCH($F72,base_k,1)),0)*离线奖励!$C$12</f>
        <v>6600</v>
      </c>
      <c r="S72" s="12">
        <f>IFERROR(INDEX(关卡进度奖励!$I$7:$I$15,MATCH(F72,关卡进度奖励!$D$7:$D$15,0)),0)</f>
        <v>0</v>
      </c>
      <c r="T72" s="12">
        <f>AVERAGE(签到!$E$7:$E$13)*$H72</f>
        <v>8262.0952380952385</v>
      </c>
      <c r="U72" s="12">
        <f>转盘!$C$26*H72*V72/$D$13</f>
        <v>0</v>
      </c>
      <c r="V72" s="12">
        <f t="shared" ref="V72:V135" si="20">IF(W72=W71,0,1)</f>
        <v>0</v>
      </c>
      <c r="W72" s="12">
        <f>IFERROR(MATCH(INDEX(转盘!$C$17:$F$17,1,MATCH($D$13,转盘!$C$16:$F$16,0))*MAX(F72-转盘!$C$6,0),转盘!$L$9:$L$51,1),0)</f>
        <v>3</v>
      </c>
      <c r="X72" s="12">
        <f>IFERROR(MATCH($F72,gift_k_level,0)^0,0)*进度礼包!$C$17*$H72/$D$13</f>
        <v>7095.6147816238044</v>
      </c>
      <c r="Y72" s="12">
        <f>IFERROR(MATCH($F72,turn_k_1,0)^0,0)*转盘!$C$42*$H72/$D$13</f>
        <v>0</v>
      </c>
      <c r="Z72" s="12">
        <f>IFERROR(MATCH($F72,gift_k_level,0)^0,0)*进度礼包!$C$34*$H72/$D$13</f>
        <v>23008.589785160784</v>
      </c>
      <c r="AA72" s="12">
        <f>IFERROR(MATCH($F72,gift_k_time,0)^0,0)*限时礼包!$C$15*$H72/$D$13</f>
        <v>0</v>
      </c>
      <c r="AB72" s="12">
        <f>SUM(H$6:H72)</f>
        <v>102900</v>
      </c>
      <c r="AC72" s="12">
        <f>SUM(N$6:N72)+SUM($M$6:M72)</f>
        <v>153460.5</v>
      </c>
      <c r="AD72" s="12">
        <f>SUM(O$6:O72)</f>
        <v>22822.022249999991</v>
      </c>
      <c r="AE72" s="12">
        <f>SUM($P$6:P72)</f>
        <v>42317.477749999976</v>
      </c>
      <c r="AF72" s="12">
        <f>SUM(U$6:U72)</f>
        <v>17696.981132075471</v>
      </c>
      <c r="AG72" s="12">
        <f>SUM(S$6:S72)</f>
        <v>4500</v>
      </c>
      <c r="AH72" s="12">
        <f>SUM(Y$6:Y72)</f>
        <v>153258.20000000001</v>
      </c>
      <c r="AI72" s="12">
        <f>SUM(X$6:X72)</f>
        <v>7095.6147816238044</v>
      </c>
      <c r="AJ72" s="12">
        <f>SUM(Z$6:Z72)</f>
        <v>23008.589785160784</v>
      </c>
      <c r="AK72" s="12">
        <f>SUM(AA$6:AA72)</f>
        <v>151923.18875082803</v>
      </c>
      <c r="AL72" s="12">
        <f>F72</f>
        <v>67</v>
      </c>
      <c r="AM72" s="12">
        <f t="shared" si="18"/>
        <v>215575.11816369926</v>
      </c>
      <c r="AN72" s="12">
        <f>SUM(I$6:I72)</f>
        <v>218600</v>
      </c>
      <c r="AO72" s="8">
        <f>SUM(Q$6:Q72)</f>
        <v>136</v>
      </c>
      <c r="AP72" s="12">
        <f t="shared" si="19"/>
        <v>-3024.8818363007449</v>
      </c>
      <c r="AS72" s="12">
        <v>66</v>
      </c>
      <c r="AT72" s="12">
        <v>20</v>
      </c>
      <c r="AU72" s="12">
        <f t="shared" si="9"/>
        <v>1330</v>
      </c>
      <c r="AV72" s="12">
        <f t="shared" si="10"/>
        <v>0</v>
      </c>
      <c r="AW72" s="12">
        <f>INDEX($AO$6:$AO$215,MATCH(BC72,$F$6:$F$215,0))</f>
        <v>467</v>
      </c>
      <c r="AX72" s="12">
        <f t="shared" si="11"/>
        <v>1135512.1739951316</v>
      </c>
      <c r="AY72" s="12">
        <f t="shared" ref="AY72:AY135" si="21">INDEX($R$6:$R$1005,$BC71)</f>
        <v>7650</v>
      </c>
      <c r="AZ72" s="12">
        <f t="shared" ref="AZ72:AZ135" si="22">INDEX($T$6:$T$1005,$BC71)</f>
        <v>10740.72380952381</v>
      </c>
      <c r="BA72" s="12">
        <f>AX72+SUM($AY$6:AY72)+SUM($AZ$6:AZ72)</f>
        <v>2272941.4882808463</v>
      </c>
      <c r="BB72" s="12">
        <f t="shared" si="12"/>
        <v>956200</v>
      </c>
      <c r="BC72" s="12">
        <f t="shared" si="13"/>
        <v>210</v>
      </c>
      <c r="BD72" s="12">
        <f t="shared" si="14"/>
        <v>0</v>
      </c>
      <c r="BE72" s="12">
        <f t="shared" si="15"/>
        <v>211</v>
      </c>
      <c r="BF72" s="12">
        <f t="shared" ref="BF72:BF135" si="23">BA72-BB72</f>
        <v>1316741.4882808463</v>
      </c>
    </row>
    <row r="73" spans="6:58" x14ac:dyDescent="0.35">
      <c r="F73" s="12">
        <v>68</v>
      </c>
      <c r="G73" s="8">
        <f>INDEX(验算胜率!$E$6:$I$1005,F73,MATCH($D$16,验算胜率!$E$5:$I$5,0))</f>
        <v>0.5</v>
      </c>
      <c r="H73" s="12">
        <f t="shared" si="16"/>
        <v>2000</v>
      </c>
      <c r="I73" s="12">
        <f t="shared" si="17"/>
        <v>4000</v>
      </c>
      <c r="J73" s="12">
        <v>4</v>
      </c>
      <c r="K73" s="12">
        <v>0</v>
      </c>
      <c r="L73" s="12">
        <f>MATCH(F73,关卡道具消耗!$AA$6:$AA$83,1)-2+INDEX(关卡道具消耗!$C$16:$E$16,1,MATCH(J73,关卡道具消耗!$C$17:$E$17,0))-1</f>
        <v>21</v>
      </c>
      <c r="M73" s="12">
        <f>IF($D$16=验算胜率!$F$5,验算胜率!K73,0)*H73*关卡道具消耗!$D$8/关卡道具消耗!$D$26</f>
        <v>0</v>
      </c>
      <c r="N73" s="12">
        <f>INDEX(关卡奖励!$AH$6:$AH$8,MATCH($D$14,关卡奖励!$W$6:$W$8,0))*H73*IF(G73&lt;0.3,1,2)</f>
        <v>4668</v>
      </c>
      <c r="O73" s="12">
        <f>INDEX(关卡奖励!$AI$9:$AI$11,MATCH($D$14,关卡奖励!$W$9:$W$11,0))*((1/G73)-1)*H73</f>
        <v>394.5</v>
      </c>
      <c r="P73" s="12">
        <f>I73-N73-O73</f>
        <v>-1062.5</v>
      </c>
      <c r="Q73" s="12">
        <f>1/G73</f>
        <v>2</v>
      </c>
      <c r="R73" s="12">
        <f>IFERROR(INDEX(base_v,MATCH($F73,base_k,1)),0)*离线奖励!$C$12</f>
        <v>6600</v>
      </c>
      <c r="S73" s="12">
        <f>IFERROR(INDEX(关卡进度奖励!$I$7:$I$15,MATCH(F73,关卡进度奖励!$D$7:$D$15,0)),0)</f>
        <v>0</v>
      </c>
      <c r="T73" s="12">
        <f>AVERAGE(签到!$E$7:$E$13)*$H73</f>
        <v>8262.0952380952385</v>
      </c>
      <c r="U73" s="12">
        <f>转盘!$C$26*H73*V73/$D$13</f>
        <v>0</v>
      </c>
      <c r="V73" s="12">
        <f t="shared" si="20"/>
        <v>0</v>
      </c>
      <c r="W73" s="12">
        <f>IFERROR(MATCH(INDEX(转盘!$C$17:$F$17,1,MATCH($D$13,转盘!$C$16:$F$16,0))*MAX(F73-转盘!$C$6,0),转盘!$L$9:$L$51,1),0)</f>
        <v>3</v>
      </c>
      <c r="X73" s="12">
        <f>IFERROR(MATCH($F73,gift_k_level,0)^0,0)*进度礼包!$C$17*$H73/$D$13</f>
        <v>0</v>
      </c>
      <c r="Y73" s="12">
        <f>IFERROR(MATCH($F73,turn_k_1,0)^0,0)*转盘!$C$42*$H73/$D$13</f>
        <v>0</v>
      </c>
      <c r="Z73" s="12">
        <f>IFERROR(MATCH($F73,gift_k_level,0)^0,0)*进度礼包!$C$34*$H73/$D$13</f>
        <v>0</v>
      </c>
      <c r="AA73" s="12">
        <f>IFERROR(MATCH($F73,gift_k_time,0)^0,0)*限时礼包!$C$15*$H73/$D$13</f>
        <v>0</v>
      </c>
      <c r="AB73" s="12">
        <f>SUM(H$6:H73)</f>
        <v>104900</v>
      </c>
      <c r="AC73" s="12">
        <f>SUM(N$6:N73)+SUM($M$6:M73)</f>
        <v>158128.5</v>
      </c>
      <c r="AD73" s="12">
        <f>SUM(O$6:O73)</f>
        <v>23216.522249999991</v>
      </c>
      <c r="AE73" s="12">
        <f>SUM($P$6:P73)</f>
        <v>41254.977749999976</v>
      </c>
      <c r="AF73" s="12">
        <f>SUM(U$6:U73)</f>
        <v>17696.981132075471</v>
      </c>
      <c r="AG73" s="12">
        <f>SUM(S$6:S73)</f>
        <v>4500</v>
      </c>
      <c r="AH73" s="12">
        <f>SUM(Y$6:Y73)</f>
        <v>153258.20000000001</v>
      </c>
      <c r="AI73" s="12">
        <f>SUM(X$6:X73)</f>
        <v>7095.6147816238044</v>
      </c>
      <c r="AJ73" s="12">
        <f>SUM(Z$6:Z73)</f>
        <v>23008.589785160784</v>
      </c>
      <c r="AK73" s="12">
        <f>SUM(AA$6:AA73)</f>
        <v>151923.18875082803</v>
      </c>
      <c r="AL73" s="12">
        <f>F73</f>
        <v>68</v>
      </c>
      <c r="AM73" s="12">
        <f t="shared" si="18"/>
        <v>220637.61816369926</v>
      </c>
      <c r="AN73" s="12">
        <f>SUM(I$6:I73)</f>
        <v>222600</v>
      </c>
      <c r="AO73" s="8">
        <f>SUM(Q$6:Q73)</f>
        <v>138</v>
      </c>
      <c r="AP73" s="12">
        <f t="shared" si="19"/>
        <v>-1962.3818363007449</v>
      </c>
      <c r="AS73" s="12">
        <v>67</v>
      </c>
      <c r="AT73" s="12">
        <v>20</v>
      </c>
      <c r="AU73" s="12">
        <f t="shared" ref="AU73:AU136" si="24">AT73+AU72</f>
        <v>1350</v>
      </c>
      <c r="AV73" s="12">
        <f t="shared" ref="AV73:AV136" si="25">AW73-AW72</f>
        <v>0</v>
      </c>
      <c r="AW73" s="12">
        <f>INDEX($AO$6:$AO$215,MATCH(BC73,$F$6:$F$215,0))</f>
        <v>467</v>
      </c>
      <c r="AX73" s="12">
        <f t="shared" ref="AX73:AX136" si="26">INDEX($AM$6:$AM$215,MATCH(AU73,$AO$6:$AO$215,1))</f>
        <v>1135512.1739951316</v>
      </c>
      <c r="AY73" s="12">
        <f t="shared" si="21"/>
        <v>7650</v>
      </c>
      <c r="AZ73" s="12">
        <f t="shared" si="22"/>
        <v>10740.72380952381</v>
      </c>
      <c r="BA73" s="12">
        <f>AX73+SUM($AY$6:AY73)+SUM($AZ$6:AZ73)</f>
        <v>2291332.2120903702</v>
      </c>
      <c r="BB73" s="12">
        <f t="shared" ref="BB73:BB136" si="27">INDEX($AN$6:$AN$1005,MATCH(AU73,$AO$6:$AO$1005,1))</f>
        <v>956200</v>
      </c>
      <c r="BC73" s="12">
        <f t="shared" ref="BC73:BC136" si="28">MATCH(AU73,$AO$6:$AO$215,1)</f>
        <v>210</v>
      </c>
      <c r="BD73" s="12">
        <f t="shared" ref="BD73:BD136" si="29">BC73-BC72</f>
        <v>0</v>
      </c>
      <c r="BE73" s="12">
        <f t="shared" ref="BE73:BE136" si="30">BC72+1</f>
        <v>211</v>
      </c>
      <c r="BF73" s="12">
        <f t="shared" si="23"/>
        <v>1335132.2120903702</v>
      </c>
    </row>
    <row r="74" spans="6:58" x14ac:dyDescent="0.35">
      <c r="F74" s="12">
        <v>69</v>
      </c>
      <c r="G74" s="8">
        <f>INDEX(验算胜率!$E$6:$I$1005,F74,MATCH($D$16,验算胜率!$E$5:$I$5,0))</f>
        <v>0.2</v>
      </c>
      <c r="H74" s="12">
        <f t="shared" si="16"/>
        <v>2000</v>
      </c>
      <c r="I74" s="12">
        <f t="shared" si="17"/>
        <v>10000</v>
      </c>
      <c r="J74" s="12">
        <v>4</v>
      </c>
      <c r="K74" s="12">
        <v>2</v>
      </c>
      <c r="L74" s="12">
        <f>MATCH(F74,关卡道具消耗!$AA$6:$AA$83,1)-2+INDEX(关卡道具消耗!$C$16:$E$16,1,MATCH(J74,关卡道具消耗!$C$17:$E$17,0))-1</f>
        <v>21</v>
      </c>
      <c r="M74" s="12">
        <f>IF($D$16=验算胜率!$F$5,验算胜率!K74,0)*H74*关卡道具消耗!$D$8/关卡道具消耗!$D$26</f>
        <v>0</v>
      </c>
      <c r="N74" s="12">
        <f>INDEX(关卡奖励!$AH$6:$AH$8,MATCH($D$14,关卡奖励!$W$6:$W$8,0))*H74*IF(G74&lt;0.3,1,2)</f>
        <v>2334</v>
      </c>
      <c r="O74" s="12">
        <f>INDEX(关卡奖励!$AI$9:$AI$11,MATCH($D$14,关卡奖励!$W$9:$W$11,0))*((1/G74)-1)*H74</f>
        <v>1578</v>
      </c>
      <c r="P74" s="12">
        <f>I74-N74-O74</f>
        <v>6088</v>
      </c>
      <c r="Q74" s="12">
        <f>1/G74</f>
        <v>5</v>
      </c>
      <c r="R74" s="12">
        <f>IFERROR(INDEX(base_v,MATCH($F74,base_k,1)),0)*离线奖励!$C$12</f>
        <v>6600</v>
      </c>
      <c r="S74" s="12">
        <f>IFERROR(INDEX(关卡进度奖励!$I$7:$I$15,MATCH(F74,关卡进度奖励!$D$7:$D$15,0)),0)</f>
        <v>0</v>
      </c>
      <c r="T74" s="12">
        <f>AVERAGE(签到!$E$7:$E$13)*$H74</f>
        <v>8262.0952380952385</v>
      </c>
      <c r="U74" s="12">
        <f>转盘!$C$26*H74*V74/$D$13</f>
        <v>0</v>
      </c>
      <c r="V74" s="12">
        <f t="shared" si="20"/>
        <v>0</v>
      </c>
      <c r="W74" s="12">
        <f>IFERROR(MATCH(INDEX(转盘!$C$17:$F$17,1,MATCH($D$13,转盘!$C$16:$F$16,0))*MAX(F74-转盘!$C$6,0),转盘!$L$9:$L$51,1),0)</f>
        <v>3</v>
      </c>
      <c r="X74" s="12">
        <f>IFERROR(MATCH($F74,gift_k_level,0)^0,0)*进度礼包!$C$17*$H74/$D$13</f>
        <v>0</v>
      </c>
      <c r="Y74" s="12">
        <f>IFERROR(MATCH($F74,turn_k_1,0)^0,0)*转盘!$C$42*$H74/$D$13</f>
        <v>0</v>
      </c>
      <c r="Z74" s="12">
        <f>IFERROR(MATCH($F74,gift_k_level,0)^0,0)*进度礼包!$C$34*$H74/$D$13</f>
        <v>0</v>
      </c>
      <c r="AA74" s="12">
        <f>IFERROR(MATCH($F74,gift_k_time,0)^0,0)*限时礼包!$C$15*$H74/$D$13</f>
        <v>0</v>
      </c>
      <c r="AB74" s="12">
        <f>SUM(H$6:H74)</f>
        <v>106900</v>
      </c>
      <c r="AC74" s="12">
        <f>SUM(N$6:N74)+SUM($M$6:M74)</f>
        <v>160462.5</v>
      </c>
      <c r="AD74" s="12">
        <f>SUM(O$6:O74)</f>
        <v>24794.522249999991</v>
      </c>
      <c r="AE74" s="12">
        <f>SUM($P$6:P74)</f>
        <v>47342.977749999976</v>
      </c>
      <c r="AF74" s="12">
        <f>SUM(U$6:U74)</f>
        <v>17696.981132075471</v>
      </c>
      <c r="AG74" s="12">
        <f>SUM(S$6:S74)</f>
        <v>4500</v>
      </c>
      <c r="AH74" s="12">
        <f>SUM(Y$6:Y74)</f>
        <v>153258.20000000001</v>
      </c>
      <c r="AI74" s="12">
        <f>SUM(X$6:X74)</f>
        <v>7095.6147816238044</v>
      </c>
      <c r="AJ74" s="12">
        <f>SUM(Z$6:Z74)</f>
        <v>23008.589785160784</v>
      </c>
      <c r="AK74" s="12">
        <f>SUM(AA$6:AA74)</f>
        <v>151923.18875082803</v>
      </c>
      <c r="AL74" s="12">
        <f>F74</f>
        <v>69</v>
      </c>
      <c r="AM74" s="12">
        <f t="shared" si="18"/>
        <v>224549.61816369926</v>
      </c>
      <c r="AN74" s="12">
        <f>SUM(I$6:I74)</f>
        <v>232600</v>
      </c>
      <c r="AO74" s="8">
        <f>SUM(Q$6:Q74)</f>
        <v>143</v>
      </c>
      <c r="AP74" s="12">
        <f t="shared" si="19"/>
        <v>-8050.3818363007449</v>
      </c>
      <c r="AS74" s="12">
        <v>68</v>
      </c>
      <c r="AT74" s="12">
        <v>20</v>
      </c>
      <c r="AU74" s="12">
        <f t="shared" si="24"/>
        <v>1370</v>
      </c>
      <c r="AV74" s="12">
        <f t="shared" si="25"/>
        <v>0</v>
      </c>
      <c r="AW74" s="12">
        <f>INDEX($AO$6:$AO$215,MATCH(BC74,$F$6:$F$215,0))</f>
        <v>467</v>
      </c>
      <c r="AX74" s="12">
        <f t="shared" si="26"/>
        <v>1135512.1739951316</v>
      </c>
      <c r="AY74" s="12">
        <f t="shared" si="21"/>
        <v>7650</v>
      </c>
      <c r="AZ74" s="12">
        <f t="shared" si="22"/>
        <v>10740.72380952381</v>
      </c>
      <c r="BA74" s="12">
        <f>AX74+SUM($AY$6:AY74)+SUM($AZ$6:AZ74)</f>
        <v>2309722.9358998938</v>
      </c>
      <c r="BB74" s="12">
        <f t="shared" si="27"/>
        <v>956200</v>
      </c>
      <c r="BC74" s="12">
        <f t="shared" si="28"/>
        <v>210</v>
      </c>
      <c r="BD74" s="12">
        <f t="shared" si="29"/>
        <v>0</v>
      </c>
      <c r="BE74" s="12">
        <f t="shared" si="30"/>
        <v>211</v>
      </c>
      <c r="BF74" s="12">
        <f t="shared" si="23"/>
        <v>1353522.9358998938</v>
      </c>
    </row>
    <row r="75" spans="6:58" x14ac:dyDescent="0.35">
      <c r="F75" s="12">
        <v>70</v>
      </c>
      <c r="G75" s="8">
        <f>INDEX(验算胜率!$E$6:$I$1005,F75,MATCH($D$16,验算胜率!$E$5:$I$5,0))</f>
        <v>0.5</v>
      </c>
      <c r="H75" s="12">
        <f t="shared" si="16"/>
        <v>2000</v>
      </c>
      <c r="I75" s="12">
        <f t="shared" si="17"/>
        <v>4000</v>
      </c>
      <c r="J75" s="12">
        <v>4</v>
      </c>
      <c r="K75" s="12">
        <v>0</v>
      </c>
      <c r="L75" s="12">
        <f>MATCH(F75,关卡道具消耗!$AA$6:$AA$83,1)-2+INDEX(关卡道具消耗!$C$16:$E$16,1,MATCH(J75,关卡道具消耗!$C$17:$E$17,0))-1</f>
        <v>21</v>
      </c>
      <c r="M75" s="12">
        <f>IF($D$16=验算胜率!$F$5,验算胜率!K75,0)*H75*关卡道具消耗!$D$8/关卡道具消耗!$D$26</f>
        <v>0</v>
      </c>
      <c r="N75" s="12">
        <f>INDEX(关卡奖励!$AH$6:$AH$8,MATCH($D$14,关卡奖励!$W$6:$W$8,0))*H75*IF(G75&lt;0.3,1,2)</f>
        <v>4668</v>
      </c>
      <c r="O75" s="12">
        <f>INDEX(关卡奖励!$AI$9:$AI$11,MATCH($D$14,关卡奖励!$W$9:$W$11,0))*((1/G75)-1)*H75</f>
        <v>394.5</v>
      </c>
      <c r="P75" s="12">
        <f>I75-N75-O75</f>
        <v>-1062.5</v>
      </c>
      <c r="Q75" s="12">
        <f>1/G75</f>
        <v>2</v>
      </c>
      <c r="R75" s="12">
        <f>IFERROR(INDEX(base_v,MATCH($F75,base_k,1)),0)*离线奖励!$C$12</f>
        <v>6600</v>
      </c>
      <c r="S75" s="12">
        <f>IFERROR(INDEX(关卡进度奖励!$I$7:$I$15,MATCH(F75,关卡进度奖励!$D$7:$D$15,0)),0)</f>
        <v>0</v>
      </c>
      <c r="T75" s="12">
        <f>AVERAGE(签到!$E$7:$E$13)*$H75</f>
        <v>8262.0952380952385</v>
      </c>
      <c r="U75" s="12">
        <f>转盘!$C$26*H75*V75/$D$13</f>
        <v>0</v>
      </c>
      <c r="V75" s="12">
        <f t="shared" si="20"/>
        <v>0</v>
      </c>
      <c r="W75" s="12">
        <f>IFERROR(MATCH(INDEX(转盘!$C$17:$F$17,1,MATCH($D$13,转盘!$C$16:$F$16,0))*MAX(F75-转盘!$C$6,0),转盘!$L$9:$L$51,1),0)</f>
        <v>3</v>
      </c>
      <c r="X75" s="12">
        <f>IFERROR(MATCH($F75,gift_k_level,0)^0,0)*进度礼包!$C$17*$H75/$D$13</f>
        <v>0</v>
      </c>
      <c r="Y75" s="12">
        <f>IFERROR(MATCH($F75,turn_k_1,0)^0,0)*转盘!$C$42*$H75/$D$13</f>
        <v>0</v>
      </c>
      <c r="Z75" s="12">
        <f>IFERROR(MATCH($F75,gift_k_level,0)^0,0)*进度礼包!$C$34*$H75/$D$13</f>
        <v>0</v>
      </c>
      <c r="AA75" s="12">
        <f>IFERROR(MATCH($F75,gift_k_time,0)^0,0)*限时礼包!$C$15*$H75/$D$13</f>
        <v>0</v>
      </c>
      <c r="AB75" s="12">
        <f>SUM(H$6:H75)</f>
        <v>108900</v>
      </c>
      <c r="AC75" s="12">
        <f>SUM(N$6:N75)+SUM($M$6:M75)</f>
        <v>165130.5</v>
      </c>
      <c r="AD75" s="12">
        <f>SUM(O$6:O75)</f>
        <v>25189.022249999991</v>
      </c>
      <c r="AE75" s="12">
        <f>SUM($P$6:P75)</f>
        <v>46280.477749999976</v>
      </c>
      <c r="AF75" s="12">
        <f>SUM(U$6:U75)</f>
        <v>17696.981132075471</v>
      </c>
      <c r="AG75" s="12">
        <f>SUM(S$6:S75)</f>
        <v>4500</v>
      </c>
      <c r="AH75" s="12">
        <f>SUM(Y$6:Y75)</f>
        <v>153258.20000000001</v>
      </c>
      <c r="AI75" s="12">
        <f>SUM(X$6:X75)</f>
        <v>7095.6147816238044</v>
      </c>
      <c r="AJ75" s="12">
        <f>SUM(Z$6:Z75)</f>
        <v>23008.589785160784</v>
      </c>
      <c r="AK75" s="12">
        <f>SUM(AA$6:AA75)</f>
        <v>151923.18875082803</v>
      </c>
      <c r="AL75" s="12">
        <f>F75</f>
        <v>70</v>
      </c>
      <c r="AM75" s="12">
        <f t="shared" si="18"/>
        <v>229612.11816369926</v>
      </c>
      <c r="AN75" s="12">
        <f>SUM(I$6:I75)</f>
        <v>236600</v>
      </c>
      <c r="AO75" s="8">
        <f>SUM(Q$6:Q75)</f>
        <v>145</v>
      </c>
      <c r="AP75" s="12">
        <f t="shared" si="19"/>
        <v>-6987.8818363007449</v>
      </c>
      <c r="AS75" s="12">
        <v>69</v>
      </c>
      <c r="AT75" s="12">
        <v>20</v>
      </c>
      <c r="AU75" s="12">
        <f t="shared" si="24"/>
        <v>1390</v>
      </c>
      <c r="AV75" s="12">
        <f t="shared" si="25"/>
        <v>0</v>
      </c>
      <c r="AW75" s="12">
        <f>INDEX($AO$6:$AO$215,MATCH(BC75,$F$6:$F$215,0))</f>
        <v>467</v>
      </c>
      <c r="AX75" s="12">
        <f t="shared" si="26"/>
        <v>1135512.1739951316</v>
      </c>
      <c r="AY75" s="12">
        <f t="shared" si="21"/>
        <v>7650</v>
      </c>
      <c r="AZ75" s="12">
        <f t="shared" si="22"/>
        <v>10740.72380952381</v>
      </c>
      <c r="BA75" s="12">
        <f>AX75+SUM($AY$6:AY75)+SUM($AZ$6:AZ75)</f>
        <v>2328113.6597094177</v>
      </c>
      <c r="BB75" s="12">
        <f t="shared" si="27"/>
        <v>956200</v>
      </c>
      <c r="BC75" s="12">
        <f t="shared" si="28"/>
        <v>210</v>
      </c>
      <c r="BD75" s="12">
        <f t="shared" si="29"/>
        <v>0</v>
      </c>
      <c r="BE75" s="12">
        <f t="shared" si="30"/>
        <v>211</v>
      </c>
      <c r="BF75" s="12">
        <f t="shared" si="23"/>
        <v>1371913.6597094177</v>
      </c>
    </row>
    <row r="76" spans="6:58" x14ac:dyDescent="0.35">
      <c r="F76" s="12">
        <v>71</v>
      </c>
      <c r="G76" s="8">
        <f>INDEX(验算胜率!$E$6:$I$1005,F76,MATCH($D$16,验算胜率!$E$5:$I$5,0))</f>
        <v>0.5</v>
      </c>
      <c r="H76" s="12">
        <f t="shared" si="16"/>
        <v>2000</v>
      </c>
      <c r="I76" s="12">
        <f t="shared" si="17"/>
        <v>4000</v>
      </c>
      <c r="J76" s="12">
        <v>4</v>
      </c>
      <c r="K76" s="12">
        <v>3</v>
      </c>
      <c r="L76" s="12">
        <f>MATCH(F76,关卡道具消耗!$AA$6:$AA$83,1)-2+INDEX(关卡道具消耗!$C$16:$E$16,1,MATCH(J76,关卡道具消耗!$C$17:$E$17,0))-1</f>
        <v>21</v>
      </c>
      <c r="M76" s="12">
        <f>IF($D$16=验算胜率!$F$5,验算胜率!K76,0)*H76*关卡道具消耗!$D$8/关卡道具消耗!$D$26</f>
        <v>0</v>
      </c>
      <c r="N76" s="12">
        <f>INDEX(关卡奖励!$AH$6:$AH$8,MATCH($D$14,关卡奖励!$W$6:$W$8,0))*H76*IF(G76&lt;0.3,1,2)</f>
        <v>4668</v>
      </c>
      <c r="O76" s="12">
        <f>INDEX(关卡奖励!$AI$9:$AI$11,MATCH($D$14,关卡奖励!$W$9:$W$11,0))*((1/G76)-1)*H76</f>
        <v>394.5</v>
      </c>
      <c r="P76" s="12">
        <f>I76-N76-O76</f>
        <v>-1062.5</v>
      </c>
      <c r="Q76" s="12">
        <f>1/G76</f>
        <v>2</v>
      </c>
      <c r="R76" s="12">
        <f>IFERROR(INDEX(base_v,MATCH($F76,base_k,1)),0)*离线奖励!$C$12</f>
        <v>6600</v>
      </c>
      <c r="S76" s="12">
        <f>IFERROR(INDEX(关卡进度奖励!$I$7:$I$15,MATCH(F76,关卡进度奖励!$D$7:$D$15,0)),0)</f>
        <v>0</v>
      </c>
      <c r="T76" s="12">
        <f>AVERAGE(签到!$E$7:$E$13)*$H76</f>
        <v>8262.0952380952385</v>
      </c>
      <c r="U76" s="12">
        <f>转盘!$C$26*H76*V76/$D$13</f>
        <v>0</v>
      </c>
      <c r="V76" s="12">
        <f t="shared" si="20"/>
        <v>0</v>
      </c>
      <c r="W76" s="12">
        <f>IFERROR(MATCH(INDEX(转盘!$C$17:$F$17,1,MATCH($D$13,转盘!$C$16:$F$16,0))*MAX(F76-转盘!$C$6,0),转盘!$L$9:$L$51,1),0)</f>
        <v>3</v>
      </c>
      <c r="X76" s="12">
        <f>IFERROR(MATCH($F76,gift_k_level,0)^0,0)*进度礼包!$C$17*$H76/$D$13</f>
        <v>0</v>
      </c>
      <c r="Y76" s="12">
        <f>IFERROR(MATCH($F76,turn_k_1,0)^0,0)*转盘!$C$42*$H76/$D$13</f>
        <v>0</v>
      </c>
      <c r="Z76" s="12">
        <f>IFERROR(MATCH($F76,gift_k_level,0)^0,0)*进度礼包!$C$34*$H76/$D$13</f>
        <v>0</v>
      </c>
      <c r="AA76" s="12">
        <f>IFERROR(MATCH($F76,gift_k_time,0)^0,0)*限时礼包!$C$15*$H76/$D$13</f>
        <v>0</v>
      </c>
      <c r="AB76" s="12">
        <f>SUM(H$6:H76)</f>
        <v>110900</v>
      </c>
      <c r="AC76" s="12">
        <f>SUM(N$6:N76)+SUM($M$6:M76)</f>
        <v>169798.5</v>
      </c>
      <c r="AD76" s="12">
        <f>SUM(O$6:O76)</f>
        <v>25583.522249999991</v>
      </c>
      <c r="AE76" s="12">
        <f>SUM($P$6:P76)</f>
        <v>45217.977749999976</v>
      </c>
      <c r="AF76" s="12">
        <f>SUM(U$6:U76)</f>
        <v>17696.981132075471</v>
      </c>
      <c r="AG76" s="12">
        <f>SUM(S$6:S76)</f>
        <v>4500</v>
      </c>
      <c r="AH76" s="12">
        <f>SUM(Y$6:Y76)</f>
        <v>153258.20000000001</v>
      </c>
      <c r="AI76" s="12">
        <f>SUM(X$6:X76)</f>
        <v>7095.6147816238044</v>
      </c>
      <c r="AJ76" s="12">
        <f>SUM(Z$6:Z76)</f>
        <v>23008.589785160784</v>
      </c>
      <c r="AK76" s="12">
        <f>SUM(AA$6:AA76)</f>
        <v>151923.18875082803</v>
      </c>
      <c r="AL76" s="12">
        <f>F76</f>
        <v>71</v>
      </c>
      <c r="AM76" s="12">
        <f t="shared" si="18"/>
        <v>234674.61816369926</v>
      </c>
      <c r="AN76" s="12">
        <f>SUM(I$6:I76)</f>
        <v>240600</v>
      </c>
      <c r="AO76" s="8">
        <f>SUM(Q$6:Q76)</f>
        <v>147</v>
      </c>
      <c r="AP76" s="12">
        <f t="shared" si="19"/>
        <v>-5925.3818363007449</v>
      </c>
      <c r="AS76" s="12">
        <v>70</v>
      </c>
      <c r="AT76" s="12">
        <v>20</v>
      </c>
      <c r="AU76" s="12">
        <f t="shared" si="24"/>
        <v>1410</v>
      </c>
      <c r="AV76" s="12">
        <f t="shared" si="25"/>
        <v>0</v>
      </c>
      <c r="AW76" s="12">
        <f>INDEX($AO$6:$AO$215,MATCH(BC76,$F$6:$F$215,0))</f>
        <v>467</v>
      </c>
      <c r="AX76" s="12">
        <f t="shared" si="26"/>
        <v>1135512.1739951316</v>
      </c>
      <c r="AY76" s="12">
        <f t="shared" si="21"/>
        <v>7650</v>
      </c>
      <c r="AZ76" s="12">
        <f t="shared" si="22"/>
        <v>10740.72380952381</v>
      </c>
      <c r="BA76" s="12">
        <f>AX76+SUM($AY$6:AY76)+SUM($AZ$6:AZ76)</f>
        <v>2346504.3835189417</v>
      </c>
      <c r="BB76" s="12">
        <f t="shared" si="27"/>
        <v>956200</v>
      </c>
      <c r="BC76" s="12">
        <f t="shared" si="28"/>
        <v>210</v>
      </c>
      <c r="BD76" s="12">
        <f t="shared" si="29"/>
        <v>0</v>
      </c>
      <c r="BE76" s="12">
        <f t="shared" si="30"/>
        <v>211</v>
      </c>
      <c r="BF76" s="12">
        <f t="shared" si="23"/>
        <v>1390304.3835189417</v>
      </c>
    </row>
    <row r="77" spans="6:58" x14ac:dyDescent="0.35">
      <c r="F77" s="12">
        <v>72</v>
      </c>
      <c r="G77" s="8">
        <f>INDEX(验算胜率!$E$6:$I$1005,F77,MATCH($D$16,验算胜率!$E$5:$I$5,0))</f>
        <v>0.5</v>
      </c>
      <c r="H77" s="12">
        <f t="shared" si="16"/>
        <v>2000</v>
      </c>
      <c r="I77" s="12">
        <f t="shared" si="17"/>
        <v>4000</v>
      </c>
      <c r="J77" s="12">
        <v>4</v>
      </c>
      <c r="K77" s="12">
        <v>0</v>
      </c>
      <c r="L77" s="12">
        <f>MATCH(F77,关卡道具消耗!$AA$6:$AA$83,1)-2+INDEX(关卡道具消耗!$C$16:$E$16,1,MATCH(J77,关卡道具消耗!$C$17:$E$17,0))-1</f>
        <v>21</v>
      </c>
      <c r="M77" s="12">
        <f>IF($D$16=验算胜率!$F$5,验算胜率!K77,0)*H77*关卡道具消耗!$D$8/关卡道具消耗!$D$26</f>
        <v>0</v>
      </c>
      <c r="N77" s="12">
        <f>INDEX(关卡奖励!$AH$6:$AH$8,MATCH($D$14,关卡奖励!$W$6:$W$8,0))*H77*IF(G77&lt;0.3,1,2)</f>
        <v>4668</v>
      </c>
      <c r="O77" s="12">
        <f>INDEX(关卡奖励!$AI$9:$AI$11,MATCH($D$14,关卡奖励!$W$9:$W$11,0))*((1/G77)-1)*H77</f>
        <v>394.5</v>
      </c>
      <c r="P77" s="12">
        <f>I77-N77-O77</f>
        <v>-1062.5</v>
      </c>
      <c r="Q77" s="12">
        <f>1/G77</f>
        <v>2</v>
      </c>
      <c r="R77" s="12">
        <f>IFERROR(INDEX(base_v,MATCH($F77,base_k,1)),0)*离线奖励!$C$12</f>
        <v>6600</v>
      </c>
      <c r="S77" s="12">
        <f>IFERROR(INDEX(关卡进度奖励!$I$7:$I$15,MATCH(F77,关卡进度奖励!$D$7:$D$15,0)),0)</f>
        <v>0</v>
      </c>
      <c r="T77" s="12">
        <f>AVERAGE(签到!$E$7:$E$13)*$H77</f>
        <v>8262.0952380952385</v>
      </c>
      <c r="U77" s="12">
        <f>转盘!$C$26*H77*V77/$D$13</f>
        <v>0</v>
      </c>
      <c r="V77" s="12">
        <f t="shared" si="20"/>
        <v>0</v>
      </c>
      <c r="W77" s="12">
        <f>IFERROR(MATCH(INDEX(转盘!$C$17:$F$17,1,MATCH($D$13,转盘!$C$16:$F$16,0))*MAX(F77-转盘!$C$6,0),转盘!$L$9:$L$51,1),0)</f>
        <v>3</v>
      </c>
      <c r="X77" s="12">
        <f>IFERROR(MATCH($F77,gift_k_level,0)^0,0)*进度礼包!$C$17*$H77/$D$13</f>
        <v>0</v>
      </c>
      <c r="Y77" s="12">
        <f>IFERROR(MATCH($F77,turn_k_1,0)^0,0)*转盘!$C$42*$H77/$D$13</f>
        <v>0</v>
      </c>
      <c r="Z77" s="12">
        <f>IFERROR(MATCH($F77,gift_k_level,0)^0,0)*进度礼包!$C$34*$H77/$D$13</f>
        <v>0</v>
      </c>
      <c r="AA77" s="12">
        <f>IFERROR(MATCH($F77,gift_k_time,0)^0,0)*限时礼包!$C$15*$H77/$D$13</f>
        <v>0</v>
      </c>
      <c r="AB77" s="12">
        <f>SUM(H$6:H77)</f>
        <v>112900</v>
      </c>
      <c r="AC77" s="12">
        <f>SUM(N$6:N77)+SUM($M$6:M77)</f>
        <v>174466.5</v>
      </c>
      <c r="AD77" s="12">
        <f>SUM(O$6:O77)</f>
        <v>25978.022249999991</v>
      </c>
      <c r="AE77" s="12">
        <f>SUM($P$6:P77)</f>
        <v>44155.477749999976</v>
      </c>
      <c r="AF77" s="12">
        <f>SUM(U$6:U77)</f>
        <v>17696.981132075471</v>
      </c>
      <c r="AG77" s="12">
        <f>SUM(S$6:S77)</f>
        <v>4500</v>
      </c>
      <c r="AH77" s="12">
        <f>SUM(Y$6:Y77)</f>
        <v>153258.20000000001</v>
      </c>
      <c r="AI77" s="12">
        <f>SUM(X$6:X77)</f>
        <v>7095.6147816238044</v>
      </c>
      <c r="AJ77" s="12">
        <f>SUM(Z$6:Z77)</f>
        <v>23008.589785160784</v>
      </c>
      <c r="AK77" s="12">
        <f>SUM(AA$6:AA77)</f>
        <v>151923.18875082803</v>
      </c>
      <c r="AL77" s="12">
        <f>F77</f>
        <v>72</v>
      </c>
      <c r="AM77" s="12">
        <f t="shared" si="18"/>
        <v>239737.11816369926</v>
      </c>
      <c r="AN77" s="12">
        <f>SUM(I$6:I77)</f>
        <v>244600</v>
      </c>
      <c r="AO77" s="8">
        <f>SUM(Q$6:Q77)</f>
        <v>149</v>
      </c>
      <c r="AP77" s="12">
        <f t="shared" si="19"/>
        <v>-4862.8818363007449</v>
      </c>
      <c r="AS77" s="12">
        <v>71</v>
      </c>
      <c r="AT77" s="12">
        <v>20</v>
      </c>
      <c r="AU77" s="12">
        <f t="shared" si="24"/>
        <v>1430</v>
      </c>
      <c r="AV77" s="12">
        <f t="shared" si="25"/>
        <v>0</v>
      </c>
      <c r="AW77" s="12">
        <f>INDEX($AO$6:$AO$215,MATCH(BC77,$F$6:$F$215,0))</f>
        <v>467</v>
      </c>
      <c r="AX77" s="12">
        <f t="shared" si="26"/>
        <v>1135512.1739951316</v>
      </c>
      <c r="AY77" s="12">
        <f t="shared" si="21"/>
        <v>7650</v>
      </c>
      <c r="AZ77" s="12">
        <f t="shared" si="22"/>
        <v>10740.72380952381</v>
      </c>
      <c r="BA77" s="12">
        <f>AX77+SUM($AY$6:AY77)+SUM($AZ$6:AZ77)</f>
        <v>2364895.1073284652</v>
      </c>
      <c r="BB77" s="12">
        <f t="shared" si="27"/>
        <v>956200</v>
      </c>
      <c r="BC77" s="12">
        <f t="shared" si="28"/>
        <v>210</v>
      </c>
      <c r="BD77" s="12">
        <f t="shared" si="29"/>
        <v>0</v>
      </c>
      <c r="BE77" s="12">
        <f t="shared" si="30"/>
        <v>211</v>
      </c>
      <c r="BF77" s="12">
        <f t="shared" si="23"/>
        <v>1408695.1073284652</v>
      </c>
    </row>
    <row r="78" spans="6:58" x14ac:dyDescent="0.35">
      <c r="F78" s="12">
        <v>73</v>
      </c>
      <c r="G78" s="8">
        <f>INDEX(验算胜率!$E$6:$I$1005,F78,MATCH($D$16,验算胜率!$E$5:$I$5,0))</f>
        <v>0.5</v>
      </c>
      <c r="H78" s="12">
        <f t="shared" si="16"/>
        <v>2000</v>
      </c>
      <c r="I78" s="12">
        <f t="shared" si="17"/>
        <v>4000</v>
      </c>
      <c r="J78" s="12">
        <v>4</v>
      </c>
      <c r="K78" s="12">
        <v>0</v>
      </c>
      <c r="L78" s="12">
        <f>MATCH(F78,关卡道具消耗!$AA$6:$AA$83,1)-2+INDEX(关卡道具消耗!$C$16:$E$16,1,MATCH(J78,关卡道具消耗!$C$17:$E$17,0))-1</f>
        <v>21</v>
      </c>
      <c r="M78" s="12">
        <f>IF($D$16=验算胜率!$F$5,验算胜率!K78,0)*H78*关卡道具消耗!$D$8/关卡道具消耗!$D$26</f>
        <v>0</v>
      </c>
      <c r="N78" s="12">
        <f>INDEX(关卡奖励!$AH$6:$AH$8,MATCH($D$14,关卡奖励!$W$6:$W$8,0))*H78*IF(G78&lt;0.3,1,2)</f>
        <v>4668</v>
      </c>
      <c r="O78" s="12">
        <f>INDEX(关卡奖励!$AI$9:$AI$11,MATCH($D$14,关卡奖励!$W$9:$W$11,0))*((1/G78)-1)*H78</f>
        <v>394.5</v>
      </c>
      <c r="P78" s="12">
        <f>I78-N78-O78</f>
        <v>-1062.5</v>
      </c>
      <c r="Q78" s="12">
        <f>1/G78</f>
        <v>2</v>
      </c>
      <c r="R78" s="12">
        <f>IFERROR(INDEX(base_v,MATCH($F78,base_k,1)),0)*离线奖励!$C$12</f>
        <v>6600</v>
      </c>
      <c r="S78" s="12">
        <f>IFERROR(INDEX(关卡进度奖励!$I$7:$I$15,MATCH(F78,关卡进度奖励!$D$7:$D$15,0)),0)</f>
        <v>0</v>
      </c>
      <c r="T78" s="12">
        <f>AVERAGE(签到!$E$7:$E$13)*$H78</f>
        <v>8262.0952380952385</v>
      </c>
      <c r="U78" s="12">
        <f>转盘!$C$26*H78*V78/$D$13</f>
        <v>0</v>
      </c>
      <c r="V78" s="12">
        <f t="shared" si="20"/>
        <v>0</v>
      </c>
      <c r="W78" s="12">
        <f>IFERROR(MATCH(INDEX(转盘!$C$17:$F$17,1,MATCH($D$13,转盘!$C$16:$F$16,0))*MAX(F78-转盘!$C$6,0),转盘!$L$9:$L$51,1),0)</f>
        <v>3</v>
      </c>
      <c r="X78" s="12">
        <f>IFERROR(MATCH($F78,gift_k_level,0)^0,0)*进度礼包!$C$17*$H78/$D$13</f>
        <v>0</v>
      </c>
      <c r="Y78" s="12">
        <f>IFERROR(MATCH($F78,turn_k_1,0)^0,0)*转盘!$C$42*$H78/$D$13</f>
        <v>0</v>
      </c>
      <c r="Z78" s="12">
        <f>IFERROR(MATCH($F78,gift_k_level,0)^0,0)*进度礼包!$C$34*$H78/$D$13</f>
        <v>0</v>
      </c>
      <c r="AA78" s="12">
        <f>IFERROR(MATCH($F78,gift_k_time,0)^0,0)*限时礼包!$C$15*$H78/$D$13</f>
        <v>0</v>
      </c>
      <c r="AB78" s="12">
        <f>SUM(H$6:H78)</f>
        <v>114900</v>
      </c>
      <c r="AC78" s="12">
        <f>SUM(N$6:N78)+SUM($M$6:M78)</f>
        <v>179134.5</v>
      </c>
      <c r="AD78" s="12">
        <f>SUM(O$6:O78)</f>
        <v>26372.522249999991</v>
      </c>
      <c r="AE78" s="12">
        <f>SUM($P$6:P78)</f>
        <v>43092.977749999976</v>
      </c>
      <c r="AF78" s="12">
        <f>SUM(U$6:U78)</f>
        <v>17696.981132075471</v>
      </c>
      <c r="AG78" s="12">
        <f>SUM(S$6:S78)</f>
        <v>4500</v>
      </c>
      <c r="AH78" s="12">
        <f>SUM(Y$6:Y78)</f>
        <v>153258.20000000001</v>
      </c>
      <c r="AI78" s="12">
        <f>SUM(X$6:X78)</f>
        <v>7095.6147816238044</v>
      </c>
      <c r="AJ78" s="12">
        <f>SUM(Z$6:Z78)</f>
        <v>23008.589785160784</v>
      </c>
      <c r="AK78" s="12">
        <f>SUM(AA$6:AA78)</f>
        <v>151923.18875082803</v>
      </c>
      <c r="AL78" s="12">
        <f>F78</f>
        <v>73</v>
      </c>
      <c r="AM78" s="12">
        <f t="shared" si="18"/>
        <v>244799.61816369926</v>
      </c>
      <c r="AN78" s="12">
        <f>SUM(I$6:I78)</f>
        <v>248600</v>
      </c>
      <c r="AO78" s="8">
        <f>SUM(Q$6:Q78)</f>
        <v>151</v>
      </c>
      <c r="AP78" s="12">
        <f t="shared" si="19"/>
        <v>-3800.3818363007449</v>
      </c>
      <c r="AS78" s="12">
        <v>72</v>
      </c>
      <c r="AT78" s="12">
        <v>20</v>
      </c>
      <c r="AU78" s="12">
        <f t="shared" si="24"/>
        <v>1450</v>
      </c>
      <c r="AV78" s="12">
        <f t="shared" si="25"/>
        <v>0</v>
      </c>
      <c r="AW78" s="12">
        <f>INDEX($AO$6:$AO$215,MATCH(BC78,$F$6:$F$215,0))</f>
        <v>467</v>
      </c>
      <c r="AX78" s="12">
        <f t="shared" si="26"/>
        <v>1135512.1739951316</v>
      </c>
      <c r="AY78" s="12">
        <f t="shared" si="21"/>
        <v>7650</v>
      </c>
      <c r="AZ78" s="12">
        <f t="shared" si="22"/>
        <v>10740.72380952381</v>
      </c>
      <c r="BA78" s="12">
        <f>AX78+SUM($AY$6:AY78)+SUM($AZ$6:AZ78)</f>
        <v>2383285.8311379892</v>
      </c>
      <c r="BB78" s="12">
        <f t="shared" si="27"/>
        <v>956200</v>
      </c>
      <c r="BC78" s="12">
        <f t="shared" si="28"/>
        <v>210</v>
      </c>
      <c r="BD78" s="12">
        <f t="shared" si="29"/>
        <v>0</v>
      </c>
      <c r="BE78" s="12">
        <f t="shared" si="30"/>
        <v>211</v>
      </c>
      <c r="BF78" s="12">
        <f t="shared" si="23"/>
        <v>1427085.8311379892</v>
      </c>
    </row>
    <row r="79" spans="6:58" x14ac:dyDescent="0.35">
      <c r="F79" s="12">
        <v>74</v>
      </c>
      <c r="G79" s="8">
        <f>INDEX(验算胜率!$E$6:$I$1005,F79,MATCH($D$16,验算胜率!$E$5:$I$5,0))</f>
        <v>0.2</v>
      </c>
      <c r="H79" s="12">
        <f t="shared" si="16"/>
        <v>2000</v>
      </c>
      <c r="I79" s="12">
        <f t="shared" si="17"/>
        <v>10000</v>
      </c>
      <c r="J79" s="12">
        <v>4</v>
      </c>
      <c r="K79" s="12">
        <v>1</v>
      </c>
      <c r="L79" s="12">
        <f>MATCH(F79,关卡道具消耗!$AA$6:$AA$83,1)-2+INDEX(关卡道具消耗!$C$16:$E$16,1,MATCH(J79,关卡道具消耗!$C$17:$E$17,0))-1</f>
        <v>21</v>
      </c>
      <c r="M79" s="12">
        <f>IF($D$16=验算胜率!$F$5,验算胜率!K79,0)*H79*关卡道具消耗!$D$8/关卡道具消耗!$D$26</f>
        <v>0</v>
      </c>
      <c r="N79" s="12">
        <f>INDEX(关卡奖励!$AH$6:$AH$8,MATCH($D$14,关卡奖励!$W$6:$W$8,0))*H79*IF(G79&lt;0.3,1,2)</f>
        <v>2334</v>
      </c>
      <c r="O79" s="12">
        <f>INDEX(关卡奖励!$AI$9:$AI$11,MATCH($D$14,关卡奖励!$W$9:$W$11,0))*((1/G79)-1)*H79</f>
        <v>1578</v>
      </c>
      <c r="P79" s="12">
        <f>I79-N79-O79</f>
        <v>6088</v>
      </c>
      <c r="Q79" s="12">
        <f>1/G79</f>
        <v>5</v>
      </c>
      <c r="R79" s="12">
        <f>IFERROR(INDEX(base_v,MATCH($F79,base_k,1)),0)*离线奖励!$C$12</f>
        <v>6600</v>
      </c>
      <c r="S79" s="12">
        <f>IFERROR(INDEX(关卡进度奖励!$I$7:$I$15,MATCH(F79,关卡进度奖励!$D$7:$D$15,0)),0)</f>
        <v>0</v>
      </c>
      <c r="T79" s="12">
        <f>AVERAGE(签到!$E$7:$E$13)*$H79</f>
        <v>8262.0952380952385</v>
      </c>
      <c r="U79" s="12">
        <f>转盘!$C$26*H79*V79/$D$13</f>
        <v>0</v>
      </c>
      <c r="V79" s="12">
        <f t="shared" si="20"/>
        <v>0</v>
      </c>
      <c r="W79" s="12">
        <f>IFERROR(MATCH(INDEX(转盘!$C$17:$F$17,1,MATCH($D$13,转盘!$C$16:$F$16,0))*MAX(F79-转盘!$C$6,0),转盘!$L$9:$L$51,1),0)</f>
        <v>3</v>
      </c>
      <c r="X79" s="12">
        <f>IFERROR(MATCH($F79,gift_k_level,0)^0,0)*进度礼包!$C$17*$H79/$D$13</f>
        <v>0</v>
      </c>
      <c r="Y79" s="12">
        <f>IFERROR(MATCH($F79,turn_k_1,0)^0,0)*转盘!$C$42*$H79/$D$13</f>
        <v>0</v>
      </c>
      <c r="Z79" s="12">
        <f>IFERROR(MATCH($F79,gift_k_level,0)^0,0)*进度礼包!$C$34*$H79/$D$13</f>
        <v>0</v>
      </c>
      <c r="AA79" s="12">
        <f>IFERROR(MATCH($F79,gift_k_time,0)^0,0)*限时礼包!$C$15*$H79/$D$13</f>
        <v>0</v>
      </c>
      <c r="AB79" s="12">
        <f>SUM(H$6:H79)</f>
        <v>116900</v>
      </c>
      <c r="AC79" s="12">
        <f>SUM(N$6:N79)+SUM($M$6:M79)</f>
        <v>181468.5</v>
      </c>
      <c r="AD79" s="12">
        <f>SUM(O$6:O79)</f>
        <v>27950.522249999991</v>
      </c>
      <c r="AE79" s="12">
        <f>SUM($P$6:P79)</f>
        <v>49180.977749999976</v>
      </c>
      <c r="AF79" s="12">
        <f>SUM(U$6:U79)</f>
        <v>17696.981132075471</v>
      </c>
      <c r="AG79" s="12">
        <f>SUM(S$6:S79)</f>
        <v>4500</v>
      </c>
      <c r="AH79" s="12">
        <f>SUM(Y$6:Y79)</f>
        <v>153258.20000000001</v>
      </c>
      <c r="AI79" s="12">
        <f>SUM(X$6:X79)</f>
        <v>7095.6147816238044</v>
      </c>
      <c r="AJ79" s="12">
        <f>SUM(Z$6:Z79)</f>
        <v>23008.589785160784</v>
      </c>
      <c r="AK79" s="12">
        <f>SUM(AA$6:AA79)</f>
        <v>151923.18875082803</v>
      </c>
      <c r="AL79" s="12">
        <f>F79</f>
        <v>74</v>
      </c>
      <c r="AM79" s="12">
        <f t="shared" si="18"/>
        <v>248711.61816369926</v>
      </c>
      <c r="AN79" s="12">
        <f>SUM(I$6:I79)</f>
        <v>258600</v>
      </c>
      <c r="AO79" s="8">
        <f>SUM(Q$6:Q79)</f>
        <v>156</v>
      </c>
      <c r="AP79" s="12">
        <f t="shared" si="19"/>
        <v>-9888.3818363007449</v>
      </c>
      <c r="AS79" s="12">
        <v>73</v>
      </c>
      <c r="AT79" s="12">
        <v>20</v>
      </c>
      <c r="AU79" s="12">
        <f t="shared" si="24"/>
        <v>1470</v>
      </c>
      <c r="AV79" s="12">
        <f t="shared" si="25"/>
        <v>0</v>
      </c>
      <c r="AW79" s="12">
        <f>INDEX($AO$6:$AO$215,MATCH(BC79,$F$6:$F$215,0))</f>
        <v>467</v>
      </c>
      <c r="AX79" s="12">
        <f t="shared" si="26"/>
        <v>1135512.1739951316</v>
      </c>
      <c r="AY79" s="12">
        <f t="shared" si="21"/>
        <v>7650</v>
      </c>
      <c r="AZ79" s="12">
        <f t="shared" si="22"/>
        <v>10740.72380952381</v>
      </c>
      <c r="BA79" s="12">
        <f>AX79+SUM($AY$6:AY79)+SUM($AZ$6:AZ79)</f>
        <v>2401676.5549475132</v>
      </c>
      <c r="BB79" s="12">
        <f t="shared" si="27"/>
        <v>956200</v>
      </c>
      <c r="BC79" s="12">
        <f t="shared" si="28"/>
        <v>210</v>
      </c>
      <c r="BD79" s="12">
        <f t="shared" si="29"/>
        <v>0</v>
      </c>
      <c r="BE79" s="12">
        <f t="shared" si="30"/>
        <v>211</v>
      </c>
      <c r="BF79" s="12">
        <f t="shared" si="23"/>
        <v>1445476.5549475132</v>
      </c>
    </row>
    <row r="80" spans="6:58" x14ac:dyDescent="0.35">
      <c r="F80" s="12">
        <v>75</v>
      </c>
      <c r="G80" s="8">
        <f>INDEX(验算胜率!$E$6:$I$1005,F80,MATCH($D$16,验算胜率!$E$5:$I$5,0))</f>
        <v>0.5</v>
      </c>
      <c r="H80" s="12">
        <f t="shared" si="16"/>
        <v>2000</v>
      </c>
      <c r="I80" s="12">
        <f t="shared" si="17"/>
        <v>4000</v>
      </c>
      <c r="J80" s="12">
        <v>4</v>
      </c>
      <c r="K80" s="12">
        <v>1</v>
      </c>
      <c r="L80" s="12">
        <f>MATCH(F80,关卡道具消耗!$AA$6:$AA$83,1)-2+INDEX(关卡道具消耗!$C$16:$E$16,1,MATCH(J80,关卡道具消耗!$C$17:$E$17,0))-1</f>
        <v>21</v>
      </c>
      <c r="M80" s="12">
        <f>IF($D$16=验算胜率!$F$5,验算胜率!K80,0)*H80*关卡道具消耗!$D$8/关卡道具消耗!$D$26</f>
        <v>0</v>
      </c>
      <c r="N80" s="12">
        <f>INDEX(关卡奖励!$AH$6:$AH$8,MATCH($D$14,关卡奖励!$W$6:$W$8,0))*H80*IF(G80&lt;0.3,1,2)</f>
        <v>4668</v>
      </c>
      <c r="O80" s="12">
        <f>INDEX(关卡奖励!$AI$9:$AI$11,MATCH($D$14,关卡奖励!$W$9:$W$11,0))*((1/G80)-1)*H80</f>
        <v>394.5</v>
      </c>
      <c r="P80" s="12">
        <f>I80-N80-O80</f>
        <v>-1062.5</v>
      </c>
      <c r="Q80" s="12">
        <f>1/G80</f>
        <v>2</v>
      </c>
      <c r="R80" s="12">
        <f>IFERROR(INDEX(base_v,MATCH($F80,base_k,1)),0)*离线奖励!$C$12</f>
        <v>6600</v>
      </c>
      <c r="S80" s="12">
        <f>IFERROR(INDEX(关卡进度奖励!$I$7:$I$15,MATCH(F80,关卡进度奖励!$D$7:$D$15,0)),0)</f>
        <v>0</v>
      </c>
      <c r="T80" s="12">
        <f>AVERAGE(签到!$E$7:$E$13)*$H80</f>
        <v>8262.0952380952385</v>
      </c>
      <c r="U80" s="12">
        <f>转盘!$C$26*H80*V80/$D$13</f>
        <v>0</v>
      </c>
      <c r="V80" s="12">
        <f t="shared" si="20"/>
        <v>0</v>
      </c>
      <c r="W80" s="12">
        <f>IFERROR(MATCH(INDEX(转盘!$C$17:$F$17,1,MATCH($D$13,转盘!$C$16:$F$16,0))*MAX(F80-转盘!$C$6,0),转盘!$L$9:$L$51,1),0)</f>
        <v>3</v>
      </c>
      <c r="X80" s="12">
        <f>IFERROR(MATCH($F80,gift_k_level,0)^0,0)*进度礼包!$C$17*$H80/$D$13</f>
        <v>0</v>
      </c>
      <c r="Y80" s="12">
        <f>IFERROR(MATCH($F80,turn_k_1,0)^0,0)*转盘!$C$42*$H80/$D$13</f>
        <v>0</v>
      </c>
      <c r="Z80" s="12">
        <f>IFERROR(MATCH($F80,gift_k_level,0)^0,0)*进度礼包!$C$34*$H80/$D$13</f>
        <v>0</v>
      </c>
      <c r="AA80" s="12">
        <f>IFERROR(MATCH($F80,gift_k_time,0)^0,0)*限时礼包!$C$15*$H80/$D$13</f>
        <v>0</v>
      </c>
      <c r="AB80" s="12">
        <f>SUM(H$6:H80)</f>
        <v>118900</v>
      </c>
      <c r="AC80" s="12">
        <f>SUM(N$6:N80)+SUM($M$6:M80)</f>
        <v>186136.5</v>
      </c>
      <c r="AD80" s="12">
        <f>SUM(O$6:O80)</f>
        <v>28345.022249999991</v>
      </c>
      <c r="AE80" s="12">
        <f>SUM($P$6:P80)</f>
        <v>48118.477749999976</v>
      </c>
      <c r="AF80" s="12">
        <f>SUM(U$6:U80)</f>
        <v>17696.981132075471</v>
      </c>
      <c r="AG80" s="12">
        <f>SUM(S$6:S80)</f>
        <v>4500</v>
      </c>
      <c r="AH80" s="12">
        <f>SUM(Y$6:Y80)</f>
        <v>153258.20000000001</v>
      </c>
      <c r="AI80" s="12">
        <f>SUM(X$6:X80)</f>
        <v>7095.6147816238044</v>
      </c>
      <c r="AJ80" s="12">
        <f>SUM(Z$6:Z80)</f>
        <v>23008.589785160784</v>
      </c>
      <c r="AK80" s="12">
        <f>SUM(AA$6:AA80)</f>
        <v>151923.18875082803</v>
      </c>
      <c r="AL80" s="12">
        <f>F80</f>
        <v>75</v>
      </c>
      <c r="AM80" s="12">
        <f t="shared" si="18"/>
        <v>253774.11816369926</v>
      </c>
      <c r="AN80" s="12">
        <f>SUM(I$6:I80)</f>
        <v>262600</v>
      </c>
      <c r="AO80" s="8">
        <f>SUM(Q$6:Q80)</f>
        <v>158</v>
      </c>
      <c r="AP80" s="12">
        <f t="shared" si="19"/>
        <v>-8825.8818363007449</v>
      </c>
      <c r="AS80" s="12">
        <v>74</v>
      </c>
      <c r="AT80" s="12">
        <v>20</v>
      </c>
      <c r="AU80" s="12">
        <f t="shared" si="24"/>
        <v>1490</v>
      </c>
      <c r="AV80" s="12">
        <f t="shared" si="25"/>
        <v>0</v>
      </c>
      <c r="AW80" s="12">
        <f>INDEX($AO$6:$AO$215,MATCH(BC80,$F$6:$F$215,0))</f>
        <v>467</v>
      </c>
      <c r="AX80" s="12">
        <f t="shared" si="26"/>
        <v>1135512.1739951316</v>
      </c>
      <c r="AY80" s="12">
        <f t="shared" si="21"/>
        <v>7650</v>
      </c>
      <c r="AZ80" s="12">
        <f t="shared" si="22"/>
        <v>10740.72380952381</v>
      </c>
      <c r="BA80" s="12">
        <f>AX80+SUM($AY$6:AY80)+SUM($AZ$6:AZ80)</f>
        <v>2420067.2787570371</v>
      </c>
      <c r="BB80" s="12">
        <f t="shared" si="27"/>
        <v>956200</v>
      </c>
      <c r="BC80" s="12">
        <f t="shared" si="28"/>
        <v>210</v>
      </c>
      <c r="BD80" s="12">
        <f t="shared" si="29"/>
        <v>0</v>
      </c>
      <c r="BE80" s="12">
        <f t="shared" si="30"/>
        <v>211</v>
      </c>
      <c r="BF80" s="12">
        <f t="shared" si="23"/>
        <v>1463867.2787570371</v>
      </c>
    </row>
    <row r="81" spans="6:58" x14ac:dyDescent="0.35">
      <c r="F81" s="12">
        <v>76</v>
      </c>
      <c r="G81" s="8">
        <f>INDEX(验算胜率!$E$6:$I$1005,F81,MATCH($D$16,验算胜率!$E$5:$I$5,0))</f>
        <v>0.5</v>
      </c>
      <c r="H81" s="12">
        <f t="shared" si="16"/>
        <v>2000</v>
      </c>
      <c r="I81" s="12">
        <f t="shared" si="17"/>
        <v>4000</v>
      </c>
      <c r="J81" s="12">
        <v>4</v>
      </c>
      <c r="K81" s="12">
        <v>0</v>
      </c>
      <c r="L81" s="12">
        <f>MATCH(F81,关卡道具消耗!$AA$6:$AA$83,1)-2+INDEX(关卡道具消耗!$C$16:$E$16,1,MATCH(J81,关卡道具消耗!$C$17:$E$17,0))-1</f>
        <v>21</v>
      </c>
      <c r="M81" s="12">
        <f>IF($D$16=验算胜率!$F$5,验算胜率!K81,0)*H81*关卡道具消耗!$D$8/关卡道具消耗!$D$26</f>
        <v>0</v>
      </c>
      <c r="N81" s="12">
        <f>INDEX(关卡奖励!$AH$6:$AH$8,MATCH($D$14,关卡奖励!$W$6:$W$8,0))*H81*IF(G81&lt;0.3,1,2)</f>
        <v>4668</v>
      </c>
      <c r="O81" s="12">
        <f>INDEX(关卡奖励!$AI$9:$AI$11,MATCH($D$14,关卡奖励!$W$9:$W$11,0))*((1/G81)-1)*H81</f>
        <v>394.5</v>
      </c>
      <c r="P81" s="12">
        <f>I81-N81-O81</f>
        <v>-1062.5</v>
      </c>
      <c r="Q81" s="12">
        <f>1/G81</f>
        <v>2</v>
      </c>
      <c r="R81" s="12">
        <f>IFERROR(INDEX(base_v,MATCH($F81,base_k,1)),0)*离线奖励!$C$12</f>
        <v>6600</v>
      </c>
      <c r="S81" s="12">
        <f>IFERROR(INDEX(关卡进度奖励!$I$7:$I$15,MATCH(F81,关卡进度奖励!$D$7:$D$15,0)),0)</f>
        <v>0</v>
      </c>
      <c r="T81" s="12">
        <f>AVERAGE(签到!$E$7:$E$13)*$H81</f>
        <v>8262.0952380952385</v>
      </c>
      <c r="U81" s="12">
        <f>转盘!$C$26*H81*V81/$D$13</f>
        <v>0</v>
      </c>
      <c r="V81" s="12">
        <f t="shared" si="20"/>
        <v>0</v>
      </c>
      <c r="W81" s="12">
        <f>IFERROR(MATCH(INDEX(转盘!$C$17:$F$17,1,MATCH($D$13,转盘!$C$16:$F$16,0))*MAX(F81-转盘!$C$6,0),转盘!$L$9:$L$51,1),0)</f>
        <v>3</v>
      </c>
      <c r="X81" s="12">
        <f>IFERROR(MATCH($F81,gift_k_level,0)^0,0)*进度礼包!$C$17*$H81/$D$13</f>
        <v>0</v>
      </c>
      <c r="Y81" s="12">
        <f>IFERROR(MATCH($F81,turn_k_1,0)^0,0)*转盘!$C$42*$H81/$D$13</f>
        <v>66634</v>
      </c>
      <c r="Z81" s="12">
        <f>IFERROR(MATCH($F81,gift_k_level,0)^0,0)*进度礼包!$C$34*$H81/$D$13</f>
        <v>0</v>
      </c>
      <c r="AA81" s="12">
        <f>IFERROR(MATCH($F81,gift_k_time,0)^0,0)*限时礼包!$C$15*$H81/$D$13</f>
        <v>0</v>
      </c>
      <c r="AB81" s="12">
        <f>SUM(H$6:H81)</f>
        <v>120900</v>
      </c>
      <c r="AC81" s="12">
        <f>SUM(N$6:N81)+SUM($M$6:M81)</f>
        <v>190804.5</v>
      </c>
      <c r="AD81" s="12">
        <f>SUM(O$6:O81)</f>
        <v>28739.522249999991</v>
      </c>
      <c r="AE81" s="12">
        <f>SUM($P$6:P81)</f>
        <v>47055.977749999976</v>
      </c>
      <c r="AF81" s="12">
        <f>SUM(U$6:U81)</f>
        <v>17696.981132075471</v>
      </c>
      <c r="AG81" s="12">
        <f>SUM(S$6:S81)</f>
        <v>4500</v>
      </c>
      <c r="AH81" s="12">
        <f>SUM(Y$6:Y81)</f>
        <v>219892.2</v>
      </c>
      <c r="AI81" s="12">
        <f>SUM(X$6:X81)</f>
        <v>7095.6147816238044</v>
      </c>
      <c r="AJ81" s="12">
        <f>SUM(Z$6:Z81)</f>
        <v>23008.589785160784</v>
      </c>
      <c r="AK81" s="12">
        <f>SUM(AA$6:AA81)</f>
        <v>151923.18875082803</v>
      </c>
      <c r="AL81" s="12">
        <f>F81</f>
        <v>76</v>
      </c>
      <c r="AM81" s="12">
        <f t="shared" si="18"/>
        <v>258836.61816369926</v>
      </c>
      <c r="AN81" s="12">
        <f>SUM(I$6:I81)</f>
        <v>266600</v>
      </c>
      <c r="AO81" s="8">
        <f>SUM(Q$6:Q81)</f>
        <v>160</v>
      </c>
      <c r="AP81" s="12">
        <f t="shared" si="19"/>
        <v>-7763.3818363007449</v>
      </c>
      <c r="AS81" s="12">
        <v>75</v>
      </c>
      <c r="AT81" s="12">
        <v>20</v>
      </c>
      <c r="AU81" s="12">
        <f t="shared" si="24"/>
        <v>1510</v>
      </c>
      <c r="AV81" s="12">
        <f t="shared" si="25"/>
        <v>0</v>
      </c>
      <c r="AW81" s="12">
        <f>INDEX($AO$6:$AO$215,MATCH(BC81,$F$6:$F$215,0))</f>
        <v>467</v>
      </c>
      <c r="AX81" s="12">
        <f t="shared" si="26"/>
        <v>1135512.1739951316</v>
      </c>
      <c r="AY81" s="12">
        <f t="shared" si="21"/>
        <v>7650</v>
      </c>
      <c r="AZ81" s="12">
        <f t="shared" si="22"/>
        <v>10740.72380952381</v>
      </c>
      <c r="BA81" s="12">
        <f>AX81+SUM($AY$6:AY81)+SUM($AZ$6:AZ81)</f>
        <v>2438458.0025665611</v>
      </c>
      <c r="BB81" s="12">
        <f t="shared" si="27"/>
        <v>956200</v>
      </c>
      <c r="BC81" s="12">
        <f t="shared" si="28"/>
        <v>210</v>
      </c>
      <c r="BD81" s="12">
        <f t="shared" si="29"/>
        <v>0</v>
      </c>
      <c r="BE81" s="12">
        <f t="shared" si="30"/>
        <v>211</v>
      </c>
      <c r="BF81" s="12">
        <f t="shared" si="23"/>
        <v>1482258.0025665611</v>
      </c>
    </row>
    <row r="82" spans="6:58" x14ac:dyDescent="0.35">
      <c r="F82" s="12">
        <v>77</v>
      </c>
      <c r="G82" s="8">
        <f>INDEX(验算胜率!$E$6:$I$1005,F82,MATCH($D$16,验算胜率!$E$5:$I$5,0))</f>
        <v>0.5</v>
      </c>
      <c r="H82" s="12">
        <f t="shared" si="16"/>
        <v>2000</v>
      </c>
      <c r="I82" s="12">
        <f t="shared" si="17"/>
        <v>4000</v>
      </c>
      <c r="J82" s="12">
        <v>4</v>
      </c>
      <c r="K82" s="12">
        <v>0</v>
      </c>
      <c r="L82" s="12">
        <f>MATCH(F82,关卡道具消耗!$AA$6:$AA$83,1)-2+INDEX(关卡道具消耗!$C$16:$E$16,1,MATCH(J82,关卡道具消耗!$C$17:$E$17,0))-1</f>
        <v>21</v>
      </c>
      <c r="M82" s="12">
        <f>IF($D$16=验算胜率!$F$5,验算胜率!K82,0)*H82*关卡道具消耗!$D$8/关卡道具消耗!$D$26</f>
        <v>0</v>
      </c>
      <c r="N82" s="12">
        <f>INDEX(关卡奖励!$AH$6:$AH$8,MATCH($D$14,关卡奖励!$W$6:$W$8,0))*H82*IF(G82&lt;0.3,1,2)</f>
        <v>4668</v>
      </c>
      <c r="O82" s="12">
        <f>INDEX(关卡奖励!$AI$9:$AI$11,MATCH($D$14,关卡奖励!$W$9:$W$11,0))*((1/G82)-1)*H82</f>
        <v>394.5</v>
      </c>
      <c r="P82" s="12">
        <f>I82-N82-O82</f>
        <v>-1062.5</v>
      </c>
      <c r="Q82" s="12">
        <f>1/G82</f>
        <v>2</v>
      </c>
      <c r="R82" s="12">
        <f>IFERROR(INDEX(base_v,MATCH($F82,base_k,1)),0)*离线奖励!$C$12</f>
        <v>6600</v>
      </c>
      <c r="S82" s="12">
        <f>IFERROR(INDEX(关卡进度奖励!$I$7:$I$15,MATCH(F82,关卡进度奖励!$D$7:$D$15,0)),0)</f>
        <v>0</v>
      </c>
      <c r="T82" s="12">
        <f>AVERAGE(签到!$E$7:$E$13)*$H82</f>
        <v>8262.0952380952385</v>
      </c>
      <c r="U82" s="12">
        <f>转盘!$C$26*H82*V82/$D$13</f>
        <v>7694.339622641508</v>
      </c>
      <c r="V82" s="12">
        <f t="shared" si="20"/>
        <v>1</v>
      </c>
      <c r="W82" s="12">
        <f>IFERROR(MATCH(INDEX(转盘!$C$17:$F$17,1,MATCH($D$13,转盘!$C$16:$F$16,0))*MAX(F82-转盘!$C$6,0),转盘!$L$9:$L$51,1),0)</f>
        <v>4</v>
      </c>
      <c r="X82" s="12">
        <f>IFERROR(MATCH($F82,gift_k_level,0)^0,0)*进度礼包!$C$17*$H82/$D$13</f>
        <v>0</v>
      </c>
      <c r="Y82" s="12">
        <f>IFERROR(MATCH($F82,turn_k_1,0)^0,0)*转盘!$C$42*$H82/$D$13</f>
        <v>0</v>
      </c>
      <c r="Z82" s="12">
        <f>IFERROR(MATCH($F82,gift_k_level,0)^0,0)*进度礼包!$C$34*$H82/$D$13</f>
        <v>0</v>
      </c>
      <c r="AA82" s="12">
        <f>IFERROR(MATCH($F82,gift_k_time,0)^0,0)*限时礼包!$C$15*$H82/$D$13</f>
        <v>59577.721078756098</v>
      </c>
      <c r="AB82" s="12">
        <f>SUM(H$6:H82)</f>
        <v>122900</v>
      </c>
      <c r="AC82" s="12">
        <f>SUM(N$6:N82)+SUM($M$6:M82)</f>
        <v>195472.5</v>
      </c>
      <c r="AD82" s="12">
        <f>SUM(O$6:O82)</f>
        <v>29134.022249999991</v>
      </c>
      <c r="AE82" s="12">
        <f>SUM($P$6:P82)</f>
        <v>45993.477749999976</v>
      </c>
      <c r="AF82" s="12">
        <f>SUM(U$6:U82)</f>
        <v>25391.32075471698</v>
      </c>
      <c r="AG82" s="12">
        <f>SUM(S$6:S82)</f>
        <v>4500</v>
      </c>
      <c r="AH82" s="12">
        <f>SUM(Y$6:Y82)</f>
        <v>219892.2</v>
      </c>
      <c r="AI82" s="12">
        <f>SUM(X$6:X82)</f>
        <v>7095.6147816238044</v>
      </c>
      <c r="AJ82" s="12">
        <f>SUM(Z$6:Z82)</f>
        <v>23008.589785160784</v>
      </c>
      <c r="AK82" s="12">
        <f>SUM(AA$6:AA82)</f>
        <v>211500.90982958412</v>
      </c>
      <c r="AL82" s="12">
        <f>F82</f>
        <v>77</v>
      </c>
      <c r="AM82" s="12">
        <f t="shared" si="18"/>
        <v>271593.45778634073</v>
      </c>
      <c r="AN82" s="12">
        <f>SUM(I$6:I82)</f>
        <v>270600</v>
      </c>
      <c r="AO82" s="8">
        <f>SUM(Q$6:Q82)</f>
        <v>162</v>
      </c>
      <c r="AP82" s="12">
        <f t="shared" si="19"/>
        <v>993.45778634073213</v>
      </c>
      <c r="AS82" s="12">
        <v>76</v>
      </c>
      <c r="AT82" s="12">
        <v>20</v>
      </c>
      <c r="AU82" s="12">
        <f t="shared" si="24"/>
        <v>1530</v>
      </c>
      <c r="AV82" s="12">
        <f t="shared" si="25"/>
        <v>0</v>
      </c>
      <c r="AW82" s="12">
        <f>INDEX($AO$6:$AO$215,MATCH(BC82,$F$6:$F$215,0))</f>
        <v>467</v>
      </c>
      <c r="AX82" s="12">
        <f t="shared" si="26"/>
        <v>1135512.1739951316</v>
      </c>
      <c r="AY82" s="12">
        <f t="shared" si="21"/>
        <v>7650</v>
      </c>
      <c r="AZ82" s="12">
        <f t="shared" si="22"/>
        <v>10740.72380952381</v>
      </c>
      <c r="BA82" s="12">
        <f>AX82+SUM($AY$6:AY82)+SUM($AZ$6:AZ82)</f>
        <v>2456848.7263760846</v>
      </c>
      <c r="BB82" s="12">
        <f t="shared" si="27"/>
        <v>956200</v>
      </c>
      <c r="BC82" s="12">
        <f t="shared" si="28"/>
        <v>210</v>
      </c>
      <c r="BD82" s="12">
        <f t="shared" si="29"/>
        <v>0</v>
      </c>
      <c r="BE82" s="12">
        <f t="shared" si="30"/>
        <v>211</v>
      </c>
      <c r="BF82" s="12">
        <f t="shared" si="23"/>
        <v>1500648.7263760846</v>
      </c>
    </row>
    <row r="83" spans="6:58" x14ac:dyDescent="0.35">
      <c r="F83" s="12">
        <v>78</v>
      </c>
      <c r="G83" s="8">
        <f>INDEX(验算胜率!$E$6:$I$1005,F83,MATCH($D$16,验算胜率!$E$5:$I$5,0))</f>
        <v>0.5</v>
      </c>
      <c r="H83" s="12">
        <f t="shared" si="16"/>
        <v>2000</v>
      </c>
      <c r="I83" s="12">
        <f t="shared" si="17"/>
        <v>4000</v>
      </c>
      <c r="J83" s="12">
        <v>4</v>
      </c>
      <c r="K83" s="12">
        <v>0</v>
      </c>
      <c r="L83" s="12">
        <f>MATCH(F83,关卡道具消耗!$AA$6:$AA$83,1)-2+INDEX(关卡道具消耗!$C$16:$E$16,1,MATCH(J83,关卡道具消耗!$C$17:$E$17,0))-1</f>
        <v>21</v>
      </c>
      <c r="M83" s="12">
        <f>IF($D$16=验算胜率!$F$5,验算胜率!K83,0)*H83*关卡道具消耗!$D$8/关卡道具消耗!$D$26</f>
        <v>0</v>
      </c>
      <c r="N83" s="12">
        <f>INDEX(关卡奖励!$AH$6:$AH$8,MATCH($D$14,关卡奖励!$W$6:$W$8,0))*H83*IF(G83&lt;0.3,1,2)</f>
        <v>4668</v>
      </c>
      <c r="O83" s="12">
        <f>INDEX(关卡奖励!$AI$9:$AI$11,MATCH($D$14,关卡奖励!$W$9:$W$11,0))*((1/G83)-1)*H83</f>
        <v>394.5</v>
      </c>
      <c r="P83" s="12">
        <f>I83-N83-O83</f>
        <v>-1062.5</v>
      </c>
      <c r="Q83" s="12">
        <f>1/G83</f>
        <v>2</v>
      </c>
      <c r="R83" s="12">
        <f>IFERROR(INDEX(base_v,MATCH($F83,base_k,1)),0)*离线奖励!$C$12</f>
        <v>6600</v>
      </c>
      <c r="S83" s="12">
        <f>IFERROR(INDEX(关卡进度奖励!$I$7:$I$15,MATCH(F83,关卡进度奖励!$D$7:$D$15,0)),0)</f>
        <v>0</v>
      </c>
      <c r="T83" s="12">
        <f>AVERAGE(签到!$E$7:$E$13)*$H83</f>
        <v>8262.0952380952385</v>
      </c>
      <c r="U83" s="12">
        <f>转盘!$C$26*H83*V83/$D$13</f>
        <v>0</v>
      </c>
      <c r="V83" s="12">
        <f t="shared" si="20"/>
        <v>0</v>
      </c>
      <c r="W83" s="12">
        <f>IFERROR(MATCH(INDEX(转盘!$C$17:$F$17,1,MATCH($D$13,转盘!$C$16:$F$16,0))*MAX(F83-转盘!$C$6,0),转盘!$L$9:$L$51,1),0)</f>
        <v>4</v>
      </c>
      <c r="X83" s="12">
        <f>IFERROR(MATCH($F83,gift_k_level,0)^0,0)*进度礼包!$C$17*$H83/$D$13</f>
        <v>0</v>
      </c>
      <c r="Y83" s="12">
        <f>IFERROR(MATCH($F83,turn_k_1,0)^0,0)*转盘!$C$42*$H83/$D$13</f>
        <v>0</v>
      </c>
      <c r="Z83" s="12">
        <f>IFERROR(MATCH($F83,gift_k_level,0)^0,0)*进度礼包!$C$34*$H83/$D$13</f>
        <v>0</v>
      </c>
      <c r="AA83" s="12">
        <f>IFERROR(MATCH($F83,gift_k_time,0)^0,0)*限时礼包!$C$15*$H83/$D$13</f>
        <v>0</v>
      </c>
      <c r="AB83" s="12">
        <f>SUM(H$6:H83)</f>
        <v>124900</v>
      </c>
      <c r="AC83" s="12">
        <f>SUM(N$6:N83)+SUM($M$6:M83)</f>
        <v>200140.5</v>
      </c>
      <c r="AD83" s="12">
        <f>SUM(O$6:O83)</f>
        <v>29528.522249999991</v>
      </c>
      <c r="AE83" s="12">
        <f>SUM($P$6:P83)</f>
        <v>44930.977749999976</v>
      </c>
      <c r="AF83" s="12">
        <f>SUM(U$6:U83)</f>
        <v>25391.32075471698</v>
      </c>
      <c r="AG83" s="12">
        <f>SUM(S$6:S83)</f>
        <v>4500</v>
      </c>
      <c r="AH83" s="12">
        <f>SUM(Y$6:Y83)</f>
        <v>219892.2</v>
      </c>
      <c r="AI83" s="12">
        <f>SUM(X$6:X83)</f>
        <v>7095.6147816238044</v>
      </c>
      <c r="AJ83" s="12">
        <f>SUM(Z$6:Z83)</f>
        <v>23008.589785160784</v>
      </c>
      <c r="AK83" s="12">
        <f>SUM(AA$6:AA83)</f>
        <v>211500.90982958412</v>
      </c>
      <c r="AL83" s="12">
        <f>F83</f>
        <v>78</v>
      </c>
      <c r="AM83" s="12">
        <f t="shared" si="18"/>
        <v>276655.95778634079</v>
      </c>
      <c r="AN83" s="12">
        <f>SUM(I$6:I83)</f>
        <v>274600</v>
      </c>
      <c r="AO83" s="8">
        <f>SUM(Q$6:Q83)</f>
        <v>164</v>
      </c>
      <c r="AP83" s="12">
        <f t="shared" si="19"/>
        <v>2055.9577863407903</v>
      </c>
      <c r="AS83" s="12">
        <v>77</v>
      </c>
      <c r="AT83" s="12">
        <v>20</v>
      </c>
      <c r="AU83" s="12">
        <f t="shared" si="24"/>
        <v>1550</v>
      </c>
      <c r="AV83" s="12">
        <f t="shared" si="25"/>
        <v>0</v>
      </c>
      <c r="AW83" s="12">
        <f>INDEX($AO$6:$AO$215,MATCH(BC83,$F$6:$F$215,0))</f>
        <v>467</v>
      </c>
      <c r="AX83" s="12">
        <f t="shared" si="26"/>
        <v>1135512.1739951316</v>
      </c>
      <c r="AY83" s="12">
        <f t="shared" si="21"/>
        <v>7650</v>
      </c>
      <c r="AZ83" s="12">
        <f t="shared" si="22"/>
        <v>10740.72380952381</v>
      </c>
      <c r="BA83" s="12">
        <f>AX83+SUM($AY$6:AY83)+SUM($AZ$6:AZ83)</f>
        <v>2475239.4501856086</v>
      </c>
      <c r="BB83" s="12">
        <f t="shared" si="27"/>
        <v>956200</v>
      </c>
      <c r="BC83" s="12">
        <f t="shared" si="28"/>
        <v>210</v>
      </c>
      <c r="BD83" s="12">
        <f t="shared" si="29"/>
        <v>0</v>
      </c>
      <c r="BE83" s="12">
        <f t="shared" si="30"/>
        <v>211</v>
      </c>
      <c r="BF83" s="12">
        <f t="shared" si="23"/>
        <v>1519039.4501856086</v>
      </c>
    </row>
    <row r="84" spans="6:58" x14ac:dyDescent="0.35">
      <c r="F84" s="12">
        <v>79</v>
      </c>
      <c r="G84" s="8">
        <f>INDEX(验算胜率!$E$6:$I$1005,F84,MATCH($D$16,验算胜率!$E$5:$I$5,0))</f>
        <v>0.2</v>
      </c>
      <c r="H84" s="12">
        <f t="shared" si="16"/>
        <v>2000</v>
      </c>
      <c r="I84" s="12">
        <f t="shared" si="17"/>
        <v>10000</v>
      </c>
      <c r="J84" s="12">
        <v>4</v>
      </c>
      <c r="K84" s="12">
        <v>1</v>
      </c>
      <c r="M84" s="12">
        <f>IF($D$16=验算胜率!$F$5,验算胜率!K84,0)*H84*关卡道具消耗!$D$8/关卡道具消耗!$D$26</f>
        <v>0</v>
      </c>
      <c r="N84" s="12">
        <f>INDEX(关卡奖励!$AH$6:$AH$8,MATCH($D$14,关卡奖励!$W$6:$W$8,0))*H84*IF(G84&lt;0.3,1,2)</f>
        <v>2334</v>
      </c>
      <c r="O84" s="12">
        <f>INDEX(关卡奖励!$AI$9:$AI$11,MATCH($D$14,关卡奖励!$W$9:$W$11,0))*((1/G84)-1)*H84</f>
        <v>1578</v>
      </c>
      <c r="P84" s="12">
        <f>I84-N84-O84</f>
        <v>6088</v>
      </c>
      <c r="Q84" s="12">
        <f>1/G84</f>
        <v>5</v>
      </c>
      <c r="R84" s="12">
        <f>IFERROR(INDEX(base_v,MATCH($F84,base_k,1)),0)*离线奖励!$C$12</f>
        <v>6600</v>
      </c>
      <c r="S84" s="12">
        <f>IFERROR(INDEX(关卡进度奖励!$I$7:$I$15,MATCH(F84,关卡进度奖励!$D$7:$D$15,0)),0)</f>
        <v>0</v>
      </c>
      <c r="T84" s="12">
        <f>AVERAGE(签到!$E$7:$E$13)*$H84</f>
        <v>8262.0952380952385</v>
      </c>
      <c r="U84" s="12">
        <f>转盘!$C$26*H84*V84/$D$13</f>
        <v>0</v>
      </c>
      <c r="V84" s="12">
        <f t="shared" si="20"/>
        <v>0</v>
      </c>
      <c r="W84" s="12">
        <f>IFERROR(MATCH(INDEX(转盘!$C$17:$F$17,1,MATCH($D$13,转盘!$C$16:$F$16,0))*MAX(F84-转盘!$C$6,0),转盘!$L$9:$L$51,1),0)</f>
        <v>4</v>
      </c>
      <c r="X84" s="12">
        <f>IFERROR(MATCH($F84,gift_k_level,0)^0,0)*进度礼包!$C$17*$H84/$D$13</f>
        <v>0</v>
      </c>
      <c r="Y84" s="12">
        <f>IFERROR(MATCH($F84,turn_k_1,0)^0,0)*转盘!$C$42*$H84/$D$13</f>
        <v>0</v>
      </c>
      <c r="Z84" s="12">
        <f>IFERROR(MATCH($F84,gift_k_level,0)^0,0)*进度礼包!$C$34*$H84/$D$13</f>
        <v>0</v>
      </c>
      <c r="AA84" s="12">
        <f>IFERROR(MATCH($F84,gift_k_time,0)^0,0)*限时礼包!$C$15*$H84/$D$13</f>
        <v>0</v>
      </c>
      <c r="AB84" s="12">
        <f>SUM(H$6:H84)</f>
        <v>126900</v>
      </c>
      <c r="AC84" s="12">
        <f>SUM(N$6:N84)+SUM($M$6:M84)</f>
        <v>202474.5</v>
      </c>
      <c r="AD84" s="12">
        <f>SUM(O$6:O84)</f>
        <v>31106.522249999991</v>
      </c>
      <c r="AE84" s="12">
        <f>SUM($P$6:P84)</f>
        <v>51018.977749999976</v>
      </c>
      <c r="AF84" s="12">
        <f>SUM(U$6:U84)</f>
        <v>25391.32075471698</v>
      </c>
      <c r="AG84" s="12">
        <f>SUM(S$6:S84)</f>
        <v>4500</v>
      </c>
      <c r="AH84" s="12">
        <f>SUM(Y$6:Y84)</f>
        <v>219892.2</v>
      </c>
      <c r="AI84" s="12">
        <f>SUM(X$6:X84)</f>
        <v>7095.6147816238044</v>
      </c>
      <c r="AJ84" s="12">
        <f>SUM(Z$6:Z84)</f>
        <v>23008.589785160784</v>
      </c>
      <c r="AK84" s="12">
        <f>SUM(AA$6:AA84)</f>
        <v>211500.90982958412</v>
      </c>
      <c r="AL84" s="12">
        <f>F84</f>
        <v>79</v>
      </c>
      <c r="AM84" s="12">
        <f t="shared" si="18"/>
        <v>280567.95778634079</v>
      </c>
      <c r="AN84" s="12">
        <f>SUM(I$6:I84)</f>
        <v>284600</v>
      </c>
      <c r="AO84" s="8">
        <f>SUM(Q$6:Q84)</f>
        <v>169</v>
      </c>
      <c r="AP84" s="12">
        <f t="shared" si="19"/>
        <v>-4032.0422136592097</v>
      </c>
      <c r="AS84" s="12">
        <v>78</v>
      </c>
      <c r="AT84" s="12">
        <v>20</v>
      </c>
      <c r="AU84" s="12">
        <f t="shared" si="24"/>
        <v>1570</v>
      </c>
      <c r="AV84" s="12">
        <f t="shared" si="25"/>
        <v>0</v>
      </c>
      <c r="AW84" s="12">
        <f>INDEX($AO$6:$AO$215,MATCH(BC84,$F$6:$F$215,0))</f>
        <v>467</v>
      </c>
      <c r="AX84" s="12">
        <f t="shared" si="26"/>
        <v>1135512.1739951316</v>
      </c>
      <c r="AY84" s="12">
        <f t="shared" si="21"/>
        <v>7650</v>
      </c>
      <c r="AZ84" s="12">
        <f t="shared" si="22"/>
        <v>10740.72380952381</v>
      </c>
      <c r="BA84" s="12">
        <f>AX84+SUM($AY$6:AY84)+SUM($AZ$6:AZ84)</f>
        <v>2493630.1739951326</v>
      </c>
      <c r="BB84" s="12">
        <f t="shared" si="27"/>
        <v>956200</v>
      </c>
      <c r="BC84" s="12">
        <f t="shared" si="28"/>
        <v>210</v>
      </c>
      <c r="BD84" s="12">
        <f t="shared" si="29"/>
        <v>0</v>
      </c>
      <c r="BE84" s="12">
        <f t="shared" si="30"/>
        <v>211</v>
      </c>
      <c r="BF84" s="12">
        <f t="shared" si="23"/>
        <v>1537430.1739951326</v>
      </c>
    </row>
    <row r="85" spans="6:58" x14ac:dyDescent="0.35">
      <c r="F85" s="12">
        <v>80</v>
      </c>
      <c r="G85" s="8">
        <f>INDEX(验算胜率!$E$6:$I$1005,F85,MATCH($D$16,验算胜率!$E$5:$I$5,0))</f>
        <v>0.5</v>
      </c>
      <c r="H85" s="12">
        <f t="shared" si="16"/>
        <v>2000</v>
      </c>
      <c r="I85" s="12">
        <f t="shared" si="17"/>
        <v>4000</v>
      </c>
      <c r="J85" s="12">
        <v>4</v>
      </c>
      <c r="K85" s="12">
        <v>2</v>
      </c>
      <c r="M85" s="12">
        <f>IF($D$16=验算胜率!$F$5,验算胜率!K85,0)*H85*关卡道具消耗!$D$8/关卡道具消耗!$D$26</f>
        <v>0</v>
      </c>
      <c r="N85" s="12">
        <f>INDEX(关卡奖励!$AH$6:$AH$8,MATCH($D$14,关卡奖励!$W$6:$W$8,0))*H85*IF(G85&lt;0.3,1,2)</f>
        <v>4668</v>
      </c>
      <c r="O85" s="12">
        <f>INDEX(关卡奖励!$AI$9:$AI$11,MATCH($D$14,关卡奖励!$W$9:$W$11,0))*((1/G85)-1)*H85</f>
        <v>394.5</v>
      </c>
      <c r="P85" s="12">
        <f>I85-N85-O85</f>
        <v>-1062.5</v>
      </c>
      <c r="Q85" s="12">
        <f>1/G85</f>
        <v>2</v>
      </c>
      <c r="R85" s="12">
        <f>IFERROR(INDEX(base_v,MATCH($F85,base_k,1)),0)*离线奖励!$C$12</f>
        <v>6600</v>
      </c>
      <c r="S85" s="12">
        <f>IFERROR(INDEX(关卡进度奖励!$I$7:$I$15,MATCH(F85,关卡进度奖励!$D$7:$D$15,0)),0)</f>
        <v>0</v>
      </c>
      <c r="T85" s="12">
        <f>AVERAGE(签到!$E$7:$E$13)*$H85</f>
        <v>8262.0952380952385</v>
      </c>
      <c r="U85" s="12">
        <f>转盘!$C$26*H85*V85/$D$13</f>
        <v>0</v>
      </c>
      <c r="V85" s="12">
        <f t="shared" si="20"/>
        <v>0</v>
      </c>
      <c r="W85" s="12">
        <f>IFERROR(MATCH(INDEX(转盘!$C$17:$F$17,1,MATCH($D$13,转盘!$C$16:$F$16,0))*MAX(F85-转盘!$C$6,0),转盘!$L$9:$L$51,1),0)</f>
        <v>4</v>
      </c>
      <c r="X85" s="12">
        <f>IFERROR(MATCH($F85,gift_k_level,0)^0,0)*进度礼包!$C$17*$H85/$D$13</f>
        <v>0</v>
      </c>
      <c r="Y85" s="12">
        <f>IFERROR(MATCH($F85,turn_k_1,0)^0,0)*转盘!$C$42*$H85/$D$13</f>
        <v>0</v>
      </c>
      <c r="Z85" s="12">
        <f>IFERROR(MATCH($F85,gift_k_level,0)^0,0)*进度礼包!$C$34*$H85/$D$13</f>
        <v>0</v>
      </c>
      <c r="AA85" s="12">
        <f>IFERROR(MATCH($F85,gift_k_time,0)^0,0)*限时礼包!$C$15*$H85/$D$13</f>
        <v>0</v>
      </c>
      <c r="AB85" s="12">
        <f>SUM(H$6:H85)</f>
        <v>128900</v>
      </c>
      <c r="AC85" s="12">
        <f>SUM(N$6:N85)+SUM($M$6:M85)</f>
        <v>207142.5</v>
      </c>
      <c r="AD85" s="12">
        <f>SUM(O$6:O85)</f>
        <v>31501.022249999991</v>
      </c>
      <c r="AE85" s="12">
        <f>SUM($P$6:P85)</f>
        <v>49956.477749999976</v>
      </c>
      <c r="AF85" s="12">
        <f>SUM(U$6:U85)</f>
        <v>25391.32075471698</v>
      </c>
      <c r="AG85" s="12">
        <f>SUM(S$6:S85)</f>
        <v>4500</v>
      </c>
      <c r="AH85" s="12">
        <f>SUM(Y$6:Y85)</f>
        <v>219892.2</v>
      </c>
      <c r="AI85" s="12">
        <f>SUM(X$6:X85)</f>
        <v>7095.6147816238044</v>
      </c>
      <c r="AJ85" s="12">
        <f>SUM(Z$6:Z85)</f>
        <v>23008.589785160784</v>
      </c>
      <c r="AK85" s="12">
        <f>SUM(AA$6:AA85)</f>
        <v>211500.90982958412</v>
      </c>
      <c r="AL85" s="12">
        <f>F85</f>
        <v>80</v>
      </c>
      <c r="AM85" s="12">
        <f t="shared" si="18"/>
        <v>285630.45778634079</v>
      </c>
      <c r="AN85" s="12">
        <f>SUM(I$6:I85)</f>
        <v>288600</v>
      </c>
      <c r="AO85" s="8">
        <f>SUM(Q$6:Q85)</f>
        <v>171</v>
      </c>
      <c r="AP85" s="12">
        <f t="shared" si="19"/>
        <v>-2969.5422136592097</v>
      </c>
      <c r="AS85" s="12">
        <v>79</v>
      </c>
      <c r="AT85" s="12">
        <v>20</v>
      </c>
      <c r="AU85" s="12">
        <f t="shared" si="24"/>
        <v>1590</v>
      </c>
      <c r="AV85" s="12">
        <f t="shared" si="25"/>
        <v>0</v>
      </c>
      <c r="AW85" s="12">
        <f>INDEX($AO$6:$AO$215,MATCH(BC85,$F$6:$F$215,0))</f>
        <v>467</v>
      </c>
      <c r="AX85" s="12">
        <f t="shared" si="26"/>
        <v>1135512.1739951316</v>
      </c>
      <c r="AY85" s="12">
        <f t="shared" si="21"/>
        <v>7650</v>
      </c>
      <c r="AZ85" s="12">
        <f t="shared" si="22"/>
        <v>10740.72380952381</v>
      </c>
      <c r="BA85" s="12">
        <f>AX85+SUM($AY$6:AY85)+SUM($AZ$6:AZ85)</f>
        <v>2512020.8978046561</v>
      </c>
      <c r="BB85" s="12">
        <f t="shared" si="27"/>
        <v>956200</v>
      </c>
      <c r="BC85" s="12">
        <f t="shared" si="28"/>
        <v>210</v>
      </c>
      <c r="BD85" s="12">
        <f t="shared" si="29"/>
        <v>0</v>
      </c>
      <c r="BE85" s="12">
        <f t="shared" si="30"/>
        <v>211</v>
      </c>
      <c r="BF85" s="12">
        <f t="shared" si="23"/>
        <v>1555820.8978046561</v>
      </c>
    </row>
    <row r="86" spans="6:58" x14ac:dyDescent="0.35">
      <c r="F86" s="12">
        <v>81</v>
      </c>
      <c r="G86" s="8">
        <f>INDEX(验算胜率!$E$6:$I$1005,F86,MATCH($D$16,验算胜率!$E$5:$I$5,0))</f>
        <v>0.5</v>
      </c>
      <c r="H86" s="12">
        <f t="shared" si="16"/>
        <v>2000</v>
      </c>
      <c r="I86" s="12">
        <f t="shared" si="17"/>
        <v>4000</v>
      </c>
      <c r="J86" s="12">
        <v>4</v>
      </c>
      <c r="K86" s="12">
        <v>0</v>
      </c>
      <c r="M86" s="12">
        <f>IF($D$16=验算胜率!$F$5,验算胜率!K86,0)*H86*关卡道具消耗!$D$8/关卡道具消耗!$D$26</f>
        <v>0</v>
      </c>
      <c r="N86" s="12">
        <f>INDEX(关卡奖励!$AH$6:$AH$8,MATCH($D$14,关卡奖励!$W$6:$W$8,0))*H86*IF(G86&lt;0.3,1,2)</f>
        <v>4668</v>
      </c>
      <c r="O86" s="12">
        <f>INDEX(关卡奖励!$AI$9:$AI$11,MATCH($D$14,关卡奖励!$W$9:$W$11,0))*((1/G86)-1)*H86</f>
        <v>394.5</v>
      </c>
      <c r="P86" s="12">
        <f>I86-N86-O86</f>
        <v>-1062.5</v>
      </c>
      <c r="Q86" s="12">
        <f>1/G86</f>
        <v>2</v>
      </c>
      <c r="R86" s="12">
        <f>IFERROR(INDEX(base_v,MATCH($F86,base_k,1)),0)*离线奖励!$C$12</f>
        <v>6600</v>
      </c>
      <c r="S86" s="12">
        <f>IFERROR(INDEX(关卡进度奖励!$I$7:$I$15,MATCH(F86,关卡进度奖励!$D$7:$D$15,0)),0)</f>
        <v>0</v>
      </c>
      <c r="T86" s="12">
        <f>AVERAGE(签到!$E$7:$E$13)*$H86</f>
        <v>8262.0952380952385</v>
      </c>
      <c r="U86" s="12">
        <f>转盘!$C$26*H86*V86/$D$13</f>
        <v>0</v>
      </c>
      <c r="V86" s="12">
        <f t="shared" si="20"/>
        <v>0</v>
      </c>
      <c r="W86" s="12">
        <f>IFERROR(MATCH(INDEX(转盘!$C$17:$F$17,1,MATCH($D$13,转盘!$C$16:$F$16,0))*MAX(F86-转盘!$C$6,0),转盘!$L$9:$L$51,1),0)</f>
        <v>4</v>
      </c>
      <c r="X86" s="12">
        <f>IFERROR(MATCH($F86,gift_k_level,0)^0,0)*进度礼包!$C$17*$H86/$D$13</f>
        <v>0</v>
      </c>
      <c r="Y86" s="12">
        <f>IFERROR(MATCH($F86,turn_k_1,0)^0,0)*转盘!$C$42*$H86/$D$13</f>
        <v>0</v>
      </c>
      <c r="Z86" s="12">
        <f>IFERROR(MATCH($F86,gift_k_level,0)^0,0)*进度礼包!$C$34*$H86/$D$13</f>
        <v>0</v>
      </c>
      <c r="AA86" s="12">
        <f>IFERROR(MATCH($F86,gift_k_time,0)^0,0)*限时礼包!$C$15*$H86/$D$13</f>
        <v>0</v>
      </c>
      <c r="AB86" s="12">
        <f>SUM(H$6:H86)</f>
        <v>130900</v>
      </c>
      <c r="AC86" s="12">
        <f>SUM(N$6:N86)+SUM($M$6:M86)</f>
        <v>211810.5</v>
      </c>
      <c r="AD86" s="12">
        <f>SUM(O$6:O86)</f>
        <v>31895.522249999991</v>
      </c>
      <c r="AE86" s="12">
        <f>SUM($P$6:P86)</f>
        <v>48893.977749999976</v>
      </c>
      <c r="AF86" s="12">
        <f>SUM(U$6:U86)</f>
        <v>25391.32075471698</v>
      </c>
      <c r="AG86" s="12">
        <f>SUM(S$6:S86)</f>
        <v>4500</v>
      </c>
      <c r="AH86" s="12">
        <f>SUM(Y$6:Y86)</f>
        <v>219892.2</v>
      </c>
      <c r="AI86" s="12">
        <f>SUM(X$6:X86)</f>
        <v>7095.6147816238044</v>
      </c>
      <c r="AJ86" s="12">
        <f>SUM(Z$6:Z86)</f>
        <v>23008.589785160784</v>
      </c>
      <c r="AK86" s="12">
        <f>SUM(AA$6:AA86)</f>
        <v>211500.90982958412</v>
      </c>
      <c r="AL86" s="12">
        <f>F86</f>
        <v>81</v>
      </c>
      <c r="AM86" s="12">
        <f t="shared" si="18"/>
        <v>290692.95778634079</v>
      </c>
      <c r="AN86" s="12">
        <f>SUM(I$6:I86)</f>
        <v>292600</v>
      </c>
      <c r="AO86" s="8">
        <f>SUM(Q$6:Q86)</f>
        <v>173</v>
      </c>
      <c r="AP86" s="12">
        <f t="shared" si="19"/>
        <v>-1907.0422136592097</v>
      </c>
      <c r="AS86" s="12">
        <v>80</v>
      </c>
      <c r="AT86" s="12">
        <v>20</v>
      </c>
      <c r="AU86" s="12">
        <f t="shared" si="24"/>
        <v>1610</v>
      </c>
      <c r="AV86" s="12">
        <f t="shared" si="25"/>
        <v>0</v>
      </c>
      <c r="AW86" s="12">
        <f>INDEX($AO$6:$AO$215,MATCH(BC86,$F$6:$F$215,0))</f>
        <v>467</v>
      </c>
      <c r="AX86" s="12">
        <f t="shared" si="26"/>
        <v>1135512.1739951316</v>
      </c>
      <c r="AY86" s="12">
        <f t="shared" si="21"/>
        <v>7650</v>
      </c>
      <c r="AZ86" s="12">
        <f t="shared" si="22"/>
        <v>10740.72380952381</v>
      </c>
      <c r="BA86" s="12">
        <f>AX86+SUM($AY$6:AY86)+SUM($AZ$6:AZ86)</f>
        <v>2530411.62161418</v>
      </c>
      <c r="BB86" s="12">
        <f t="shared" si="27"/>
        <v>956200</v>
      </c>
      <c r="BC86" s="12">
        <f t="shared" si="28"/>
        <v>210</v>
      </c>
      <c r="BD86" s="12">
        <f t="shared" si="29"/>
        <v>0</v>
      </c>
      <c r="BE86" s="12">
        <f t="shared" si="30"/>
        <v>211</v>
      </c>
      <c r="BF86" s="12">
        <f t="shared" si="23"/>
        <v>1574211.62161418</v>
      </c>
    </row>
    <row r="87" spans="6:58" x14ac:dyDescent="0.35">
      <c r="F87" s="12">
        <v>82</v>
      </c>
      <c r="G87" s="8">
        <f>INDEX(验算胜率!$E$6:$I$1005,F87,MATCH($D$16,验算胜率!$E$5:$I$5,0))</f>
        <v>0.5</v>
      </c>
      <c r="H87" s="12">
        <f t="shared" si="16"/>
        <v>2000</v>
      </c>
      <c r="I87" s="12">
        <f t="shared" si="17"/>
        <v>4000</v>
      </c>
      <c r="J87" s="12">
        <v>4</v>
      </c>
      <c r="K87" s="12">
        <v>0</v>
      </c>
      <c r="M87" s="12">
        <f>IF($D$16=验算胜率!$F$5,验算胜率!K87,0)*H87*关卡道具消耗!$D$8/关卡道具消耗!$D$26</f>
        <v>0</v>
      </c>
      <c r="N87" s="12">
        <f>INDEX(关卡奖励!$AH$6:$AH$8,MATCH($D$14,关卡奖励!$W$6:$W$8,0))*H87*IF(G87&lt;0.3,1,2)</f>
        <v>4668</v>
      </c>
      <c r="O87" s="12">
        <f>INDEX(关卡奖励!$AI$9:$AI$11,MATCH($D$14,关卡奖励!$W$9:$W$11,0))*((1/G87)-1)*H87</f>
        <v>394.5</v>
      </c>
      <c r="P87" s="12">
        <f>I87-N87-O87</f>
        <v>-1062.5</v>
      </c>
      <c r="Q87" s="12">
        <f>1/G87</f>
        <v>2</v>
      </c>
      <c r="R87" s="12">
        <f>IFERROR(INDEX(base_v,MATCH($F87,base_k,1)),0)*离线奖励!$C$12</f>
        <v>6600</v>
      </c>
      <c r="S87" s="12">
        <f>IFERROR(INDEX(关卡进度奖励!$I$7:$I$15,MATCH(F87,关卡进度奖励!$D$7:$D$15,0)),0)</f>
        <v>0</v>
      </c>
      <c r="T87" s="12">
        <f>AVERAGE(签到!$E$7:$E$13)*$H87</f>
        <v>8262.0952380952385</v>
      </c>
      <c r="U87" s="12">
        <f>转盘!$C$26*H87*V87/$D$13</f>
        <v>0</v>
      </c>
      <c r="V87" s="12">
        <f t="shared" si="20"/>
        <v>0</v>
      </c>
      <c r="W87" s="12">
        <f>IFERROR(MATCH(INDEX(转盘!$C$17:$F$17,1,MATCH($D$13,转盘!$C$16:$F$16,0))*MAX(F87-转盘!$C$6,0),转盘!$L$9:$L$51,1),0)</f>
        <v>4</v>
      </c>
      <c r="X87" s="12">
        <f>IFERROR(MATCH($F87,gift_k_level,0)^0,0)*进度礼包!$C$17*$H87/$D$13</f>
        <v>0</v>
      </c>
      <c r="Y87" s="12">
        <f>IFERROR(MATCH($F87,turn_k_1,0)^0,0)*转盘!$C$42*$H87/$D$13</f>
        <v>0</v>
      </c>
      <c r="Z87" s="12">
        <f>IFERROR(MATCH($F87,gift_k_level,0)^0,0)*进度礼包!$C$34*$H87/$D$13</f>
        <v>0</v>
      </c>
      <c r="AA87" s="12">
        <f>IFERROR(MATCH($F87,gift_k_time,0)^0,0)*限时礼包!$C$15*$H87/$D$13</f>
        <v>0</v>
      </c>
      <c r="AB87" s="12">
        <f>SUM(H$6:H87)</f>
        <v>132900</v>
      </c>
      <c r="AC87" s="12">
        <f>SUM(N$6:N87)+SUM($M$6:M87)</f>
        <v>216478.5</v>
      </c>
      <c r="AD87" s="12">
        <f>SUM(O$6:O87)</f>
        <v>32290.022249999991</v>
      </c>
      <c r="AE87" s="12">
        <f>SUM($P$6:P87)</f>
        <v>47831.477749999976</v>
      </c>
      <c r="AF87" s="12">
        <f>SUM(U$6:U87)</f>
        <v>25391.32075471698</v>
      </c>
      <c r="AG87" s="12">
        <f>SUM(S$6:S87)</f>
        <v>4500</v>
      </c>
      <c r="AH87" s="12">
        <f>SUM(Y$6:Y87)</f>
        <v>219892.2</v>
      </c>
      <c r="AI87" s="12">
        <f>SUM(X$6:X87)</f>
        <v>7095.6147816238044</v>
      </c>
      <c r="AJ87" s="12">
        <f>SUM(Z$6:Z87)</f>
        <v>23008.589785160784</v>
      </c>
      <c r="AK87" s="12">
        <f>SUM(AA$6:AA87)</f>
        <v>211500.90982958412</v>
      </c>
      <c r="AL87" s="12">
        <f>F87</f>
        <v>82</v>
      </c>
      <c r="AM87" s="12">
        <f t="shared" si="18"/>
        <v>295755.45778634079</v>
      </c>
      <c r="AN87" s="12">
        <f>SUM(I$6:I87)</f>
        <v>296600</v>
      </c>
      <c r="AO87" s="8">
        <f>SUM(Q$6:Q87)</f>
        <v>175</v>
      </c>
      <c r="AP87" s="12">
        <f t="shared" si="19"/>
        <v>-844.54221365920966</v>
      </c>
      <c r="AS87" s="12">
        <v>81</v>
      </c>
      <c r="AT87" s="12">
        <v>20</v>
      </c>
      <c r="AU87" s="12">
        <f t="shared" si="24"/>
        <v>1630</v>
      </c>
      <c r="AV87" s="12">
        <f t="shared" si="25"/>
        <v>0</v>
      </c>
      <c r="AW87" s="12">
        <f>INDEX($AO$6:$AO$215,MATCH(BC87,$F$6:$F$215,0))</f>
        <v>467</v>
      </c>
      <c r="AX87" s="12">
        <f t="shared" si="26"/>
        <v>1135512.1739951316</v>
      </c>
      <c r="AY87" s="12">
        <f t="shared" si="21"/>
        <v>7650</v>
      </c>
      <c r="AZ87" s="12">
        <f t="shared" si="22"/>
        <v>10740.72380952381</v>
      </c>
      <c r="BA87" s="12">
        <f>AX87+SUM($AY$6:AY87)+SUM($AZ$6:AZ87)</f>
        <v>2548802.345423704</v>
      </c>
      <c r="BB87" s="12">
        <f t="shared" si="27"/>
        <v>956200</v>
      </c>
      <c r="BC87" s="12">
        <f t="shared" si="28"/>
        <v>210</v>
      </c>
      <c r="BD87" s="12">
        <f t="shared" si="29"/>
        <v>0</v>
      </c>
      <c r="BE87" s="12">
        <f t="shared" si="30"/>
        <v>211</v>
      </c>
      <c r="BF87" s="12">
        <f t="shared" si="23"/>
        <v>1592602.345423704</v>
      </c>
    </row>
    <row r="88" spans="6:58" x14ac:dyDescent="0.35">
      <c r="F88" s="12">
        <v>83</v>
      </c>
      <c r="G88" s="8">
        <f>INDEX(验算胜率!$E$6:$I$1005,F88,MATCH($D$16,验算胜率!$E$5:$I$5,0))</f>
        <v>0.5</v>
      </c>
      <c r="H88" s="12">
        <f t="shared" si="16"/>
        <v>2000</v>
      </c>
      <c r="I88" s="12">
        <f t="shared" si="17"/>
        <v>4000</v>
      </c>
      <c r="J88" s="12">
        <v>4</v>
      </c>
      <c r="K88" s="12">
        <v>2</v>
      </c>
      <c r="M88" s="12">
        <f>IF($D$16=验算胜率!$F$5,验算胜率!K88,0)*H88*关卡道具消耗!$D$8/关卡道具消耗!$D$26</f>
        <v>0</v>
      </c>
      <c r="N88" s="12">
        <f>INDEX(关卡奖励!$AH$6:$AH$8,MATCH($D$14,关卡奖励!$W$6:$W$8,0))*H88*IF(G88&lt;0.3,1,2)</f>
        <v>4668</v>
      </c>
      <c r="O88" s="12">
        <f>INDEX(关卡奖励!$AI$9:$AI$11,MATCH($D$14,关卡奖励!$W$9:$W$11,0))*((1/G88)-1)*H88</f>
        <v>394.5</v>
      </c>
      <c r="P88" s="12">
        <f>I88-N88-O88</f>
        <v>-1062.5</v>
      </c>
      <c r="Q88" s="12">
        <f>1/G88</f>
        <v>2</v>
      </c>
      <c r="R88" s="12">
        <f>IFERROR(INDEX(base_v,MATCH($F88,base_k,1)),0)*离线奖励!$C$12</f>
        <v>6600</v>
      </c>
      <c r="S88" s="12">
        <f>IFERROR(INDEX(关卡进度奖励!$I$7:$I$15,MATCH(F88,关卡进度奖励!$D$7:$D$15,0)),0)</f>
        <v>0</v>
      </c>
      <c r="T88" s="12">
        <f>AVERAGE(签到!$E$7:$E$13)*$H88</f>
        <v>8262.0952380952385</v>
      </c>
      <c r="U88" s="12">
        <f>转盘!$C$26*H88*V88/$D$13</f>
        <v>0</v>
      </c>
      <c r="V88" s="12">
        <f t="shared" si="20"/>
        <v>0</v>
      </c>
      <c r="W88" s="12">
        <f>IFERROR(MATCH(INDEX(转盘!$C$17:$F$17,1,MATCH($D$13,转盘!$C$16:$F$16,0))*MAX(F88-转盘!$C$6,0),转盘!$L$9:$L$51,1),0)</f>
        <v>4</v>
      </c>
      <c r="X88" s="12">
        <f>IFERROR(MATCH($F88,gift_k_level,0)^0,0)*进度礼包!$C$17*$H88/$D$13</f>
        <v>0</v>
      </c>
      <c r="Y88" s="12">
        <f>IFERROR(MATCH($F88,turn_k_1,0)^0,0)*转盘!$C$42*$H88/$D$13</f>
        <v>0</v>
      </c>
      <c r="Z88" s="12">
        <f>IFERROR(MATCH($F88,gift_k_level,0)^0,0)*进度礼包!$C$34*$H88/$D$13</f>
        <v>0</v>
      </c>
      <c r="AA88" s="12">
        <f>IFERROR(MATCH($F88,gift_k_time,0)^0,0)*限时礼包!$C$15*$H88/$D$13</f>
        <v>0</v>
      </c>
      <c r="AB88" s="12">
        <f>SUM(H$6:H88)</f>
        <v>134900</v>
      </c>
      <c r="AC88" s="12">
        <f>SUM(N$6:N88)+SUM($M$6:M88)</f>
        <v>221146.5</v>
      </c>
      <c r="AD88" s="12">
        <f>SUM(O$6:O88)</f>
        <v>32684.522249999991</v>
      </c>
      <c r="AE88" s="12">
        <f>SUM($P$6:P88)</f>
        <v>46768.977749999976</v>
      </c>
      <c r="AF88" s="12">
        <f>SUM(U$6:U88)</f>
        <v>25391.32075471698</v>
      </c>
      <c r="AG88" s="12">
        <f>SUM(S$6:S88)</f>
        <v>4500</v>
      </c>
      <c r="AH88" s="12">
        <f>SUM(Y$6:Y88)</f>
        <v>219892.2</v>
      </c>
      <c r="AI88" s="12">
        <f>SUM(X$6:X88)</f>
        <v>7095.6147816238044</v>
      </c>
      <c r="AJ88" s="12">
        <f>SUM(Z$6:Z88)</f>
        <v>23008.589785160784</v>
      </c>
      <c r="AK88" s="12">
        <f>SUM(AA$6:AA88)</f>
        <v>211500.90982958412</v>
      </c>
      <c r="AL88" s="12">
        <f>F88</f>
        <v>83</v>
      </c>
      <c r="AM88" s="12">
        <f t="shared" si="18"/>
        <v>300817.95778634079</v>
      </c>
      <c r="AN88" s="12">
        <f>SUM(I$6:I88)</f>
        <v>300600</v>
      </c>
      <c r="AO88" s="8">
        <f>SUM(Q$6:Q88)</f>
        <v>177</v>
      </c>
      <c r="AP88" s="12">
        <f>AM88-AN88</f>
        <v>217.95778634079034</v>
      </c>
      <c r="AS88" s="12">
        <v>82</v>
      </c>
      <c r="AT88" s="12">
        <v>20</v>
      </c>
      <c r="AU88" s="12">
        <f t="shared" si="24"/>
        <v>1650</v>
      </c>
      <c r="AV88" s="12">
        <f t="shared" si="25"/>
        <v>0</v>
      </c>
      <c r="AW88" s="12">
        <f>INDEX($AO$6:$AO$215,MATCH(BC88,$F$6:$F$215,0))</f>
        <v>467</v>
      </c>
      <c r="AX88" s="12">
        <f t="shared" si="26"/>
        <v>1135512.1739951316</v>
      </c>
      <c r="AY88" s="12">
        <f t="shared" si="21"/>
        <v>7650</v>
      </c>
      <c r="AZ88" s="12">
        <f t="shared" si="22"/>
        <v>10740.72380952381</v>
      </c>
      <c r="BA88" s="12">
        <f>AX88+SUM($AY$6:AY88)+SUM($AZ$6:AZ88)</f>
        <v>2567193.069233228</v>
      </c>
      <c r="BB88" s="12">
        <f t="shared" si="27"/>
        <v>956200</v>
      </c>
      <c r="BC88" s="12">
        <f t="shared" si="28"/>
        <v>210</v>
      </c>
      <c r="BD88" s="12">
        <f t="shared" si="29"/>
        <v>0</v>
      </c>
      <c r="BE88" s="12">
        <f t="shared" si="30"/>
        <v>211</v>
      </c>
      <c r="BF88" s="12">
        <f t="shared" si="23"/>
        <v>1610993.069233228</v>
      </c>
    </row>
    <row r="89" spans="6:58" x14ac:dyDescent="0.35">
      <c r="F89" s="12">
        <v>84</v>
      </c>
      <c r="G89" s="8">
        <f>INDEX(验算胜率!$E$6:$I$1005,F89,MATCH($D$16,验算胜率!$E$5:$I$5,0))</f>
        <v>0.2</v>
      </c>
      <c r="H89" s="12">
        <f t="shared" si="16"/>
        <v>2000</v>
      </c>
      <c r="I89" s="12">
        <f t="shared" si="17"/>
        <v>10000</v>
      </c>
      <c r="J89" s="12">
        <v>4</v>
      </c>
      <c r="K89" s="12">
        <v>1</v>
      </c>
      <c r="M89" s="12">
        <f>IF($D$16=验算胜率!$F$5,验算胜率!K89,0)*H89*关卡道具消耗!$D$8/关卡道具消耗!$D$26</f>
        <v>0</v>
      </c>
      <c r="N89" s="12">
        <f>INDEX(关卡奖励!$AH$6:$AH$8,MATCH($D$14,关卡奖励!$W$6:$W$8,0))*H89*IF(G89&lt;0.3,1,2)</f>
        <v>2334</v>
      </c>
      <c r="O89" s="12">
        <f>INDEX(关卡奖励!$AI$9:$AI$11,MATCH($D$14,关卡奖励!$W$9:$W$11,0))*((1/G89)-1)*H89</f>
        <v>1578</v>
      </c>
      <c r="P89" s="12">
        <f>I89-N89-O89</f>
        <v>6088</v>
      </c>
      <c r="Q89" s="12">
        <f>1/G89</f>
        <v>5</v>
      </c>
      <c r="R89" s="12">
        <f>IFERROR(INDEX(base_v,MATCH($F89,base_k,1)),0)*离线奖励!$C$12</f>
        <v>6600</v>
      </c>
      <c r="S89" s="12">
        <f>IFERROR(INDEX(关卡进度奖励!$I$7:$I$15,MATCH(F89,关卡进度奖励!$D$7:$D$15,0)),0)</f>
        <v>0</v>
      </c>
      <c r="T89" s="12">
        <f>AVERAGE(签到!$E$7:$E$13)*$H89</f>
        <v>8262.0952380952385</v>
      </c>
      <c r="U89" s="12">
        <f>转盘!$C$26*H89*V89/$D$13</f>
        <v>0</v>
      </c>
      <c r="V89" s="12">
        <f t="shared" si="20"/>
        <v>0</v>
      </c>
      <c r="W89" s="12">
        <f>IFERROR(MATCH(INDEX(转盘!$C$17:$F$17,1,MATCH($D$13,转盘!$C$16:$F$16,0))*MAX(F89-转盘!$C$6,0),转盘!$L$9:$L$51,1),0)</f>
        <v>4</v>
      </c>
      <c r="X89" s="12">
        <f>IFERROR(MATCH($F89,gift_k_level,0)^0,0)*进度礼包!$C$17*$H89/$D$13</f>
        <v>0</v>
      </c>
      <c r="Y89" s="12">
        <f>IFERROR(MATCH($F89,turn_k_1,0)^0,0)*转盘!$C$42*$H89/$D$13</f>
        <v>0</v>
      </c>
      <c r="Z89" s="12">
        <f>IFERROR(MATCH($F89,gift_k_level,0)^0,0)*进度礼包!$C$34*$H89/$D$13</f>
        <v>0</v>
      </c>
      <c r="AA89" s="12">
        <f>IFERROR(MATCH($F89,gift_k_time,0)^0,0)*限时礼包!$C$15*$H89/$D$13</f>
        <v>0</v>
      </c>
      <c r="AB89" s="12">
        <f>SUM(H$6:H89)</f>
        <v>136900</v>
      </c>
      <c r="AC89" s="12">
        <f>SUM(N$6:N89)+SUM($M$6:M89)</f>
        <v>223480.5</v>
      </c>
      <c r="AD89" s="12">
        <f>SUM(O$6:O89)</f>
        <v>34262.522249999995</v>
      </c>
      <c r="AE89" s="12">
        <f>SUM($P$6:P89)</f>
        <v>52856.977749999976</v>
      </c>
      <c r="AF89" s="12">
        <f>SUM(U$6:U89)</f>
        <v>25391.32075471698</v>
      </c>
      <c r="AG89" s="12">
        <f>SUM(S$6:S89)</f>
        <v>4500</v>
      </c>
      <c r="AH89" s="12">
        <f>SUM(Y$6:Y89)</f>
        <v>219892.2</v>
      </c>
      <c r="AI89" s="12">
        <f>SUM(X$6:X89)</f>
        <v>7095.6147816238044</v>
      </c>
      <c r="AJ89" s="12">
        <f>SUM(Z$6:Z89)</f>
        <v>23008.589785160784</v>
      </c>
      <c r="AK89" s="12">
        <f>SUM(AA$6:AA89)</f>
        <v>211500.90982958412</v>
      </c>
      <c r="AL89" s="12">
        <f>F89</f>
        <v>84</v>
      </c>
      <c r="AM89" s="12">
        <f t="shared" si="18"/>
        <v>304729.95778634079</v>
      </c>
      <c r="AN89" s="12">
        <f>SUM(I$6:I89)</f>
        <v>310600</v>
      </c>
      <c r="AO89" s="8">
        <f>SUM(Q$6:Q89)</f>
        <v>182</v>
      </c>
      <c r="AP89" s="12">
        <f t="shared" si="19"/>
        <v>-5870.0422136592097</v>
      </c>
      <c r="AS89" s="12">
        <v>83</v>
      </c>
      <c r="AT89" s="12">
        <v>20</v>
      </c>
      <c r="AU89" s="12">
        <f t="shared" si="24"/>
        <v>1670</v>
      </c>
      <c r="AV89" s="12">
        <f t="shared" si="25"/>
        <v>0</v>
      </c>
      <c r="AW89" s="12">
        <f>INDEX($AO$6:$AO$215,MATCH(BC89,$F$6:$F$215,0))</f>
        <v>467</v>
      </c>
      <c r="AX89" s="12">
        <f t="shared" si="26"/>
        <v>1135512.1739951316</v>
      </c>
      <c r="AY89" s="12">
        <f t="shared" si="21"/>
        <v>7650</v>
      </c>
      <c r="AZ89" s="12">
        <f t="shared" si="22"/>
        <v>10740.72380952381</v>
      </c>
      <c r="BA89" s="12">
        <f>AX89+SUM($AY$6:AY89)+SUM($AZ$6:AZ89)</f>
        <v>2585583.793042752</v>
      </c>
      <c r="BB89" s="12">
        <f t="shared" si="27"/>
        <v>956200</v>
      </c>
      <c r="BC89" s="12">
        <f t="shared" si="28"/>
        <v>210</v>
      </c>
      <c r="BD89" s="12">
        <f t="shared" si="29"/>
        <v>0</v>
      </c>
      <c r="BE89" s="12">
        <f t="shared" si="30"/>
        <v>211</v>
      </c>
      <c r="BF89" s="12">
        <f t="shared" si="23"/>
        <v>1629383.793042752</v>
      </c>
    </row>
    <row r="90" spans="6:58" x14ac:dyDescent="0.35">
      <c r="F90" s="12">
        <v>85</v>
      </c>
      <c r="G90" s="8">
        <f>INDEX(验算胜率!$E$6:$I$1005,F90,MATCH($D$16,验算胜率!$E$5:$I$5,0))</f>
        <v>0.5</v>
      </c>
      <c r="H90" s="12">
        <f t="shared" si="16"/>
        <v>2000</v>
      </c>
      <c r="I90" s="12">
        <f t="shared" si="17"/>
        <v>4000</v>
      </c>
      <c r="J90" s="12">
        <v>4</v>
      </c>
      <c r="K90" s="12">
        <v>2</v>
      </c>
      <c r="M90" s="12">
        <f>IF($D$16=验算胜率!$F$5,验算胜率!K90,0)*H90*关卡道具消耗!$D$8/关卡道具消耗!$D$26</f>
        <v>0</v>
      </c>
      <c r="N90" s="12">
        <f>INDEX(关卡奖励!$AH$6:$AH$8,MATCH($D$14,关卡奖励!$W$6:$W$8,0))*H90*IF(G90&lt;0.3,1,2)</f>
        <v>4668</v>
      </c>
      <c r="O90" s="12">
        <f>INDEX(关卡奖励!$AI$9:$AI$11,MATCH($D$14,关卡奖励!$W$9:$W$11,0))*((1/G90)-1)*H90</f>
        <v>394.5</v>
      </c>
      <c r="P90" s="12">
        <f>I90-N90-O90</f>
        <v>-1062.5</v>
      </c>
      <c r="Q90" s="12">
        <f>1/G90</f>
        <v>2</v>
      </c>
      <c r="R90" s="12">
        <f>IFERROR(INDEX(base_v,MATCH($F90,base_k,1)),0)*离线奖励!$C$12</f>
        <v>6600</v>
      </c>
      <c r="S90" s="12">
        <f>IFERROR(INDEX(关卡进度奖励!$I$7:$I$15,MATCH(F90,关卡进度奖励!$D$7:$D$15,0)),0)</f>
        <v>0</v>
      </c>
      <c r="T90" s="12">
        <f>AVERAGE(签到!$E$7:$E$13)*$H90</f>
        <v>8262.0952380952385</v>
      </c>
      <c r="U90" s="12">
        <f>转盘!$C$26*H90*V90/$D$13</f>
        <v>0</v>
      </c>
      <c r="V90" s="12">
        <f t="shared" si="20"/>
        <v>0</v>
      </c>
      <c r="W90" s="12">
        <f>IFERROR(MATCH(INDEX(转盘!$C$17:$F$17,1,MATCH($D$13,转盘!$C$16:$F$16,0))*MAX(F90-转盘!$C$6,0),转盘!$L$9:$L$51,1),0)</f>
        <v>4</v>
      </c>
      <c r="X90" s="12">
        <f>IFERROR(MATCH($F90,gift_k_level,0)^0,0)*进度礼包!$C$17*$H90/$D$13</f>
        <v>0</v>
      </c>
      <c r="Y90" s="12">
        <f>IFERROR(MATCH($F90,turn_k_1,0)^0,0)*转盘!$C$42*$H90/$D$13</f>
        <v>0</v>
      </c>
      <c r="Z90" s="12">
        <f>IFERROR(MATCH($F90,gift_k_level,0)^0,0)*进度礼包!$C$34*$H90/$D$13</f>
        <v>0</v>
      </c>
      <c r="AA90" s="12">
        <f>IFERROR(MATCH($F90,gift_k_time,0)^0,0)*限时礼包!$C$15*$H90/$D$13</f>
        <v>0</v>
      </c>
      <c r="AB90" s="12">
        <f>SUM(H$6:H90)</f>
        <v>138900</v>
      </c>
      <c r="AC90" s="12">
        <f>SUM(N$6:N90)+SUM($M$6:M90)</f>
        <v>228148.5</v>
      </c>
      <c r="AD90" s="12">
        <f>SUM(O$6:O90)</f>
        <v>34657.022249999995</v>
      </c>
      <c r="AE90" s="12">
        <f>SUM($P$6:P90)</f>
        <v>51794.477749999976</v>
      </c>
      <c r="AF90" s="12">
        <f>SUM(U$6:U90)</f>
        <v>25391.32075471698</v>
      </c>
      <c r="AG90" s="12">
        <f>SUM(S$6:S90)</f>
        <v>4500</v>
      </c>
      <c r="AH90" s="12">
        <f>SUM(Y$6:Y90)</f>
        <v>219892.2</v>
      </c>
      <c r="AI90" s="12">
        <f>SUM(X$6:X90)</f>
        <v>7095.6147816238044</v>
      </c>
      <c r="AJ90" s="12">
        <f>SUM(Z$6:Z90)</f>
        <v>23008.589785160784</v>
      </c>
      <c r="AK90" s="12">
        <f>SUM(AA$6:AA90)</f>
        <v>211500.90982958412</v>
      </c>
      <c r="AL90" s="12">
        <f>F90</f>
        <v>85</v>
      </c>
      <c r="AM90" s="12">
        <f t="shared" si="18"/>
        <v>309792.45778634079</v>
      </c>
      <c r="AN90" s="12">
        <f>SUM(I$6:I90)</f>
        <v>314600</v>
      </c>
      <c r="AO90" s="8">
        <f>SUM(Q$6:Q90)</f>
        <v>184</v>
      </c>
      <c r="AP90" s="12">
        <f t="shared" si="19"/>
        <v>-4807.5422136592097</v>
      </c>
      <c r="AS90" s="12">
        <v>84</v>
      </c>
      <c r="AT90" s="12">
        <v>20</v>
      </c>
      <c r="AU90" s="12">
        <f t="shared" si="24"/>
        <v>1690</v>
      </c>
      <c r="AV90" s="12">
        <f t="shared" si="25"/>
        <v>0</v>
      </c>
      <c r="AW90" s="12">
        <f>INDEX($AO$6:$AO$215,MATCH(BC90,$F$6:$F$215,0))</f>
        <v>467</v>
      </c>
      <c r="AX90" s="12">
        <f t="shared" si="26"/>
        <v>1135512.1739951316</v>
      </c>
      <c r="AY90" s="12">
        <f t="shared" si="21"/>
        <v>7650</v>
      </c>
      <c r="AZ90" s="12">
        <f t="shared" si="22"/>
        <v>10740.72380952381</v>
      </c>
      <c r="BA90" s="12">
        <f>AX90+SUM($AY$6:AY90)+SUM($AZ$6:AZ90)</f>
        <v>2603974.5168522755</v>
      </c>
      <c r="BB90" s="12">
        <f t="shared" si="27"/>
        <v>956200</v>
      </c>
      <c r="BC90" s="12">
        <f t="shared" si="28"/>
        <v>210</v>
      </c>
      <c r="BD90" s="12">
        <f t="shared" si="29"/>
        <v>0</v>
      </c>
      <c r="BE90" s="12">
        <f t="shared" si="30"/>
        <v>211</v>
      </c>
      <c r="BF90" s="12">
        <f t="shared" si="23"/>
        <v>1647774.5168522755</v>
      </c>
    </row>
    <row r="91" spans="6:58" x14ac:dyDescent="0.35">
      <c r="F91" s="12">
        <v>86</v>
      </c>
      <c r="G91" s="8">
        <f>INDEX(验算胜率!$E$6:$I$1005,F91,MATCH($D$16,验算胜率!$E$5:$I$5,0))</f>
        <v>0.5</v>
      </c>
      <c r="H91" s="12">
        <f t="shared" si="16"/>
        <v>2000</v>
      </c>
      <c r="I91" s="12">
        <f t="shared" si="17"/>
        <v>4000</v>
      </c>
      <c r="J91" s="12">
        <v>4</v>
      </c>
      <c r="K91" s="12">
        <v>0</v>
      </c>
      <c r="M91" s="12">
        <f>IF($D$16=验算胜率!$F$5,验算胜率!K91,0)*H91*关卡道具消耗!$D$8/关卡道具消耗!$D$26</f>
        <v>0</v>
      </c>
      <c r="N91" s="12">
        <f>INDEX(关卡奖励!$AH$6:$AH$8,MATCH($D$14,关卡奖励!$W$6:$W$8,0))*H91*IF(G91&lt;0.3,1,2)</f>
        <v>4668</v>
      </c>
      <c r="O91" s="12">
        <f>INDEX(关卡奖励!$AI$9:$AI$11,MATCH($D$14,关卡奖励!$W$9:$W$11,0))*((1/G91)-1)*H91</f>
        <v>394.5</v>
      </c>
      <c r="P91" s="12">
        <f>I91-N91-O91</f>
        <v>-1062.5</v>
      </c>
      <c r="Q91" s="12">
        <f>1/G91</f>
        <v>2</v>
      </c>
      <c r="R91" s="12">
        <f>IFERROR(INDEX(base_v,MATCH($F91,base_k,1)),0)*离线奖励!$C$12</f>
        <v>6600</v>
      </c>
      <c r="S91" s="12">
        <f>IFERROR(INDEX(关卡进度奖励!$I$7:$I$15,MATCH(F91,关卡进度奖励!$D$7:$D$15,0)),0)</f>
        <v>0</v>
      </c>
      <c r="T91" s="12">
        <f>AVERAGE(签到!$E$7:$E$13)*$H91</f>
        <v>8262.0952380952385</v>
      </c>
      <c r="U91" s="12">
        <f>转盘!$C$26*H91*V91/$D$13</f>
        <v>0</v>
      </c>
      <c r="V91" s="12">
        <f t="shared" si="20"/>
        <v>0</v>
      </c>
      <c r="W91" s="12">
        <f>IFERROR(MATCH(INDEX(转盘!$C$17:$F$17,1,MATCH($D$13,转盘!$C$16:$F$16,0))*MAX(F91-转盘!$C$6,0),转盘!$L$9:$L$51,1),0)</f>
        <v>4</v>
      </c>
      <c r="X91" s="12">
        <f>IFERROR(MATCH($F91,gift_k_level,0)^0,0)*进度礼包!$C$17*$H91/$D$13</f>
        <v>0</v>
      </c>
      <c r="Y91" s="12">
        <f>IFERROR(MATCH($F91,turn_k_1,0)^0,0)*转盘!$C$42*$H91/$D$13</f>
        <v>0</v>
      </c>
      <c r="Z91" s="12">
        <f>IFERROR(MATCH($F91,gift_k_level,0)^0,0)*进度礼包!$C$34*$H91/$D$13</f>
        <v>0</v>
      </c>
      <c r="AA91" s="12">
        <f>IFERROR(MATCH($F91,gift_k_time,0)^0,0)*限时礼包!$C$15*$H91/$D$13</f>
        <v>0</v>
      </c>
      <c r="AB91" s="12">
        <f>SUM(H$6:H91)</f>
        <v>140900</v>
      </c>
      <c r="AC91" s="12">
        <f>SUM(N$6:N91)+SUM($M$6:M91)</f>
        <v>232816.5</v>
      </c>
      <c r="AD91" s="12">
        <f>SUM(O$6:O91)</f>
        <v>35051.522249999995</v>
      </c>
      <c r="AE91" s="12">
        <f>SUM($P$6:P91)</f>
        <v>50731.977749999976</v>
      </c>
      <c r="AF91" s="12">
        <f>SUM(U$6:U91)</f>
        <v>25391.32075471698</v>
      </c>
      <c r="AG91" s="12">
        <f>SUM(S$6:S91)</f>
        <v>4500</v>
      </c>
      <c r="AH91" s="12">
        <f>SUM(Y$6:Y91)</f>
        <v>219892.2</v>
      </c>
      <c r="AI91" s="12">
        <f>SUM(X$6:X91)</f>
        <v>7095.6147816238044</v>
      </c>
      <c r="AJ91" s="12">
        <f>SUM(Z$6:Z91)</f>
        <v>23008.589785160784</v>
      </c>
      <c r="AK91" s="12">
        <f>SUM(AA$6:AA91)</f>
        <v>211500.90982958412</v>
      </c>
      <c r="AL91" s="12">
        <f>F91</f>
        <v>86</v>
      </c>
      <c r="AM91" s="12">
        <f t="shared" si="18"/>
        <v>314854.95778634079</v>
      </c>
      <c r="AN91" s="12">
        <f>SUM(I$6:I91)</f>
        <v>318600</v>
      </c>
      <c r="AO91" s="8">
        <f>SUM(Q$6:Q91)</f>
        <v>186</v>
      </c>
      <c r="AP91" s="12">
        <f t="shared" si="19"/>
        <v>-3745.0422136592097</v>
      </c>
      <c r="AS91" s="12">
        <v>85</v>
      </c>
      <c r="AT91" s="12">
        <v>20</v>
      </c>
      <c r="AU91" s="12">
        <f t="shared" si="24"/>
        <v>1710</v>
      </c>
      <c r="AV91" s="12">
        <f t="shared" si="25"/>
        <v>0</v>
      </c>
      <c r="AW91" s="12">
        <f>INDEX($AO$6:$AO$215,MATCH(BC91,$F$6:$F$215,0))</f>
        <v>467</v>
      </c>
      <c r="AX91" s="12">
        <f t="shared" si="26"/>
        <v>1135512.1739951316</v>
      </c>
      <c r="AY91" s="12">
        <f t="shared" si="21"/>
        <v>7650</v>
      </c>
      <c r="AZ91" s="12">
        <f t="shared" si="22"/>
        <v>10740.72380952381</v>
      </c>
      <c r="BA91" s="12">
        <f>AX91+SUM($AY$6:AY91)+SUM($AZ$6:AZ91)</f>
        <v>2622365.2406617994</v>
      </c>
      <c r="BB91" s="12">
        <f t="shared" si="27"/>
        <v>956200</v>
      </c>
      <c r="BC91" s="12">
        <f t="shared" si="28"/>
        <v>210</v>
      </c>
      <c r="BD91" s="12">
        <f t="shared" si="29"/>
        <v>0</v>
      </c>
      <c r="BE91" s="12">
        <f t="shared" si="30"/>
        <v>211</v>
      </c>
      <c r="BF91" s="12">
        <f t="shared" si="23"/>
        <v>1666165.2406617994</v>
      </c>
    </row>
    <row r="92" spans="6:58" x14ac:dyDescent="0.35">
      <c r="F92" s="12">
        <v>87</v>
      </c>
      <c r="G92" s="8">
        <f>INDEX(验算胜率!$E$6:$I$1005,F92,MATCH($D$16,验算胜率!$E$5:$I$5,0))</f>
        <v>0.5</v>
      </c>
      <c r="H92" s="12">
        <f t="shared" si="16"/>
        <v>2000</v>
      </c>
      <c r="I92" s="12">
        <f t="shared" si="17"/>
        <v>4000</v>
      </c>
      <c r="J92" s="12">
        <v>4</v>
      </c>
      <c r="K92" s="12">
        <v>1</v>
      </c>
      <c r="M92" s="12">
        <f>IF($D$16=验算胜率!$F$5,验算胜率!K92,0)*H92*关卡道具消耗!$D$8/关卡道具消耗!$D$26</f>
        <v>0</v>
      </c>
      <c r="N92" s="12">
        <f>INDEX(关卡奖励!$AH$6:$AH$8,MATCH($D$14,关卡奖励!$W$6:$W$8,0))*H92*IF(G92&lt;0.3,1,2)</f>
        <v>4668</v>
      </c>
      <c r="O92" s="12">
        <f>INDEX(关卡奖励!$AI$9:$AI$11,MATCH($D$14,关卡奖励!$W$9:$W$11,0))*((1/G92)-1)*H92</f>
        <v>394.5</v>
      </c>
      <c r="P92" s="12">
        <f>I92-N92-O92</f>
        <v>-1062.5</v>
      </c>
      <c r="Q92" s="12">
        <f>1/G92</f>
        <v>2</v>
      </c>
      <c r="R92" s="12">
        <f>IFERROR(INDEX(base_v,MATCH($F92,base_k,1)),0)*离线奖励!$C$12</f>
        <v>6750</v>
      </c>
      <c r="S92" s="12">
        <f>IFERROR(INDEX(关卡进度奖励!$I$7:$I$15,MATCH(F92,关卡进度奖励!$D$7:$D$15,0)),0)</f>
        <v>0</v>
      </c>
      <c r="T92" s="12">
        <f>AVERAGE(签到!$E$7:$E$13)*$H92</f>
        <v>8262.0952380952385</v>
      </c>
      <c r="U92" s="12">
        <f>转盘!$C$26*H92*V92/$D$13</f>
        <v>0</v>
      </c>
      <c r="V92" s="12">
        <f t="shared" si="20"/>
        <v>0</v>
      </c>
      <c r="W92" s="12">
        <f>IFERROR(MATCH(INDEX(转盘!$C$17:$F$17,1,MATCH($D$13,转盘!$C$16:$F$16,0))*MAX(F92-转盘!$C$6,0),转盘!$L$9:$L$51,1),0)</f>
        <v>4</v>
      </c>
      <c r="X92" s="12">
        <f>IFERROR(MATCH($F92,gift_k_level,0)^0,0)*进度礼包!$C$17*$H92/$D$13</f>
        <v>7095.6147816238044</v>
      </c>
      <c r="Y92" s="12">
        <f>IFERROR(MATCH($F92,turn_k_1,0)^0,0)*转盘!$C$42*$H92/$D$13</f>
        <v>0</v>
      </c>
      <c r="Z92" s="12">
        <f>IFERROR(MATCH($F92,gift_k_level,0)^0,0)*进度礼包!$C$34*$H92/$D$13</f>
        <v>23008.589785160784</v>
      </c>
      <c r="AA92" s="12">
        <f>IFERROR(MATCH($F92,gift_k_time,0)^0,0)*限时礼包!$C$15*$H92/$D$13</f>
        <v>0</v>
      </c>
      <c r="AB92" s="12">
        <f>SUM(H$6:H92)</f>
        <v>142900</v>
      </c>
      <c r="AC92" s="12">
        <f>SUM(N$6:N92)+SUM($M$6:M92)</f>
        <v>237484.5</v>
      </c>
      <c r="AD92" s="12">
        <f>SUM(O$6:O92)</f>
        <v>35446.022249999995</v>
      </c>
      <c r="AE92" s="12">
        <f>SUM($P$6:P92)</f>
        <v>49669.477749999976</v>
      </c>
      <c r="AF92" s="12">
        <f>SUM(U$6:U92)</f>
        <v>25391.32075471698</v>
      </c>
      <c r="AG92" s="12">
        <f>SUM(S$6:S92)</f>
        <v>4500</v>
      </c>
      <c r="AH92" s="12">
        <f>SUM(Y$6:Y92)</f>
        <v>219892.2</v>
      </c>
      <c r="AI92" s="12">
        <f>SUM(X$6:X92)</f>
        <v>14191.229563247609</v>
      </c>
      <c r="AJ92" s="12">
        <f>SUM(Z$6:Z92)</f>
        <v>46017.179570321568</v>
      </c>
      <c r="AK92" s="12">
        <f>SUM(AA$6:AA92)</f>
        <v>211500.90982958412</v>
      </c>
      <c r="AL92" s="12">
        <f>F92</f>
        <v>87</v>
      </c>
      <c r="AM92" s="12">
        <f t="shared" si="18"/>
        <v>327013.07256796455</v>
      </c>
      <c r="AN92" s="12">
        <f>SUM(I$6:I92)</f>
        <v>322600</v>
      </c>
      <c r="AO92" s="8">
        <f>SUM(Q$6:Q92)</f>
        <v>188</v>
      </c>
      <c r="AP92" s="12">
        <f t="shared" si="19"/>
        <v>4413.0725679645548</v>
      </c>
      <c r="AS92" s="12">
        <v>86</v>
      </c>
      <c r="AT92" s="12">
        <v>20</v>
      </c>
      <c r="AU92" s="12">
        <f t="shared" si="24"/>
        <v>1730</v>
      </c>
      <c r="AV92" s="12">
        <f t="shared" si="25"/>
        <v>0</v>
      </c>
      <c r="AW92" s="12">
        <f>INDEX($AO$6:$AO$215,MATCH(BC92,$F$6:$F$215,0))</f>
        <v>467</v>
      </c>
      <c r="AX92" s="12">
        <f t="shared" si="26"/>
        <v>1135512.1739951316</v>
      </c>
      <c r="AY92" s="12">
        <f t="shared" si="21"/>
        <v>7650</v>
      </c>
      <c r="AZ92" s="12">
        <f t="shared" si="22"/>
        <v>10740.72380952381</v>
      </c>
      <c r="BA92" s="12">
        <f>AX92+SUM($AY$6:AY92)+SUM($AZ$6:AZ92)</f>
        <v>2640755.9644713234</v>
      </c>
      <c r="BB92" s="12">
        <f t="shared" si="27"/>
        <v>956200</v>
      </c>
      <c r="BC92" s="12">
        <f t="shared" si="28"/>
        <v>210</v>
      </c>
      <c r="BD92" s="12">
        <f t="shared" si="29"/>
        <v>0</v>
      </c>
      <c r="BE92" s="12">
        <f t="shared" si="30"/>
        <v>211</v>
      </c>
      <c r="BF92" s="12">
        <f t="shared" si="23"/>
        <v>1684555.9644713234</v>
      </c>
    </row>
    <row r="93" spans="6:58" x14ac:dyDescent="0.35">
      <c r="F93" s="12">
        <v>88</v>
      </c>
      <c r="G93" s="8">
        <f>INDEX(验算胜率!$E$6:$I$1005,F93,MATCH($D$16,验算胜率!$E$5:$I$5,0))</f>
        <v>0.5</v>
      </c>
      <c r="H93" s="12">
        <f t="shared" si="16"/>
        <v>2000</v>
      </c>
      <c r="I93" s="12">
        <f t="shared" si="17"/>
        <v>4000</v>
      </c>
      <c r="J93" s="12">
        <v>4</v>
      </c>
      <c r="K93" s="12">
        <v>1</v>
      </c>
      <c r="M93" s="12">
        <f>IF($D$16=验算胜率!$F$5,验算胜率!K93,0)*H93*关卡道具消耗!$D$8/关卡道具消耗!$D$26</f>
        <v>0</v>
      </c>
      <c r="N93" s="12">
        <f>INDEX(关卡奖励!$AH$6:$AH$8,MATCH($D$14,关卡奖励!$W$6:$W$8,0))*H93*IF(G93&lt;0.3,1,2)</f>
        <v>4668</v>
      </c>
      <c r="O93" s="12">
        <f>INDEX(关卡奖励!$AI$9:$AI$11,MATCH($D$14,关卡奖励!$W$9:$W$11,0))*((1/G93)-1)*H93</f>
        <v>394.5</v>
      </c>
      <c r="P93" s="12">
        <f>I93-N93-O93</f>
        <v>-1062.5</v>
      </c>
      <c r="Q93" s="12">
        <f>1/G93</f>
        <v>2</v>
      </c>
      <c r="R93" s="12">
        <f>IFERROR(INDEX(base_v,MATCH($F93,base_k,1)),0)*离线奖励!$C$12</f>
        <v>6750</v>
      </c>
      <c r="S93" s="12">
        <f>IFERROR(INDEX(关卡进度奖励!$I$7:$I$15,MATCH(F93,关卡进度奖励!$D$7:$D$15,0)),0)</f>
        <v>0</v>
      </c>
      <c r="T93" s="12">
        <f>AVERAGE(签到!$E$7:$E$13)*$H93</f>
        <v>8262.0952380952385</v>
      </c>
      <c r="U93" s="12">
        <f>转盘!$C$26*H93*V93/$D$13</f>
        <v>0</v>
      </c>
      <c r="V93" s="12">
        <f t="shared" si="20"/>
        <v>0</v>
      </c>
      <c r="W93" s="12">
        <f>IFERROR(MATCH(INDEX(转盘!$C$17:$F$17,1,MATCH($D$13,转盘!$C$16:$F$16,0))*MAX(F93-转盘!$C$6,0),转盘!$L$9:$L$51,1),0)</f>
        <v>4</v>
      </c>
      <c r="X93" s="12">
        <f>IFERROR(MATCH($F93,gift_k_level,0)^0,0)*进度礼包!$C$17*$H93/$D$13</f>
        <v>0</v>
      </c>
      <c r="Y93" s="12">
        <f>IFERROR(MATCH($F93,turn_k_1,0)^0,0)*转盘!$C$42*$H93/$D$13</f>
        <v>0</v>
      </c>
      <c r="Z93" s="12">
        <f>IFERROR(MATCH($F93,gift_k_level,0)^0,0)*进度礼包!$C$34*$H93/$D$13</f>
        <v>0</v>
      </c>
      <c r="AA93" s="12">
        <f>IFERROR(MATCH($F93,gift_k_time,0)^0,0)*限时礼包!$C$15*$H93/$D$13</f>
        <v>0</v>
      </c>
      <c r="AB93" s="12">
        <f>SUM(H$6:H93)</f>
        <v>144900</v>
      </c>
      <c r="AC93" s="12">
        <f>SUM(N$6:N93)+SUM($M$6:M93)</f>
        <v>242152.5</v>
      </c>
      <c r="AD93" s="12">
        <f>SUM(O$6:O93)</f>
        <v>35840.522249999995</v>
      </c>
      <c r="AE93" s="12">
        <f>SUM($P$6:P93)</f>
        <v>48606.977749999976</v>
      </c>
      <c r="AF93" s="12">
        <f>SUM(U$6:U93)</f>
        <v>25391.32075471698</v>
      </c>
      <c r="AG93" s="12">
        <f>SUM(S$6:S93)</f>
        <v>4500</v>
      </c>
      <c r="AH93" s="12">
        <f>SUM(Y$6:Y93)</f>
        <v>219892.2</v>
      </c>
      <c r="AI93" s="12">
        <f>SUM(X$6:X93)</f>
        <v>14191.229563247609</v>
      </c>
      <c r="AJ93" s="12">
        <f>SUM(Z$6:Z93)</f>
        <v>46017.179570321568</v>
      </c>
      <c r="AK93" s="12">
        <f>SUM(AA$6:AA93)</f>
        <v>211500.90982958412</v>
      </c>
      <c r="AL93" s="12">
        <f>F93</f>
        <v>88</v>
      </c>
      <c r="AM93" s="12">
        <f t="shared" si="18"/>
        <v>332075.57256796455</v>
      </c>
      <c r="AN93" s="12">
        <f>SUM(I$6:I93)</f>
        <v>326600</v>
      </c>
      <c r="AO93" s="8">
        <f>SUM(Q$6:Q93)</f>
        <v>190</v>
      </c>
      <c r="AP93" s="12">
        <f t="shared" si="19"/>
        <v>5475.5725679645548</v>
      </c>
      <c r="AS93" s="12">
        <v>87</v>
      </c>
      <c r="AT93" s="12">
        <v>20</v>
      </c>
      <c r="AU93" s="12">
        <f t="shared" si="24"/>
        <v>1750</v>
      </c>
      <c r="AV93" s="12">
        <f t="shared" si="25"/>
        <v>0</v>
      </c>
      <c r="AW93" s="12">
        <f>INDEX($AO$6:$AO$215,MATCH(BC93,$F$6:$F$215,0))</f>
        <v>467</v>
      </c>
      <c r="AX93" s="12">
        <f t="shared" si="26"/>
        <v>1135512.1739951316</v>
      </c>
      <c r="AY93" s="12">
        <f t="shared" si="21"/>
        <v>7650</v>
      </c>
      <c r="AZ93" s="12">
        <f t="shared" si="22"/>
        <v>10740.72380952381</v>
      </c>
      <c r="BA93" s="12">
        <f>AX93+SUM($AY$6:AY93)+SUM($AZ$6:AZ93)</f>
        <v>2659146.6882808469</v>
      </c>
      <c r="BB93" s="12">
        <f t="shared" si="27"/>
        <v>956200</v>
      </c>
      <c r="BC93" s="12">
        <f t="shared" si="28"/>
        <v>210</v>
      </c>
      <c r="BD93" s="12">
        <f t="shared" si="29"/>
        <v>0</v>
      </c>
      <c r="BE93" s="12">
        <f t="shared" si="30"/>
        <v>211</v>
      </c>
      <c r="BF93" s="12">
        <f t="shared" si="23"/>
        <v>1702946.6882808469</v>
      </c>
    </row>
    <row r="94" spans="6:58" x14ac:dyDescent="0.35">
      <c r="F94" s="12">
        <v>89</v>
      </c>
      <c r="G94" s="8">
        <f>INDEX(验算胜率!$E$6:$I$1005,F94,MATCH($D$16,验算胜率!$E$5:$I$5,0))</f>
        <v>0.2</v>
      </c>
      <c r="H94" s="12">
        <f t="shared" si="16"/>
        <v>2000</v>
      </c>
      <c r="I94" s="12">
        <f t="shared" si="17"/>
        <v>10000</v>
      </c>
      <c r="J94" s="12">
        <v>4</v>
      </c>
      <c r="K94" s="12">
        <v>2</v>
      </c>
      <c r="M94" s="12">
        <f>IF($D$16=验算胜率!$F$5,验算胜率!K94,0)*H94*关卡道具消耗!$D$8/关卡道具消耗!$D$26</f>
        <v>0</v>
      </c>
      <c r="N94" s="12">
        <f>INDEX(关卡奖励!$AH$6:$AH$8,MATCH($D$14,关卡奖励!$W$6:$W$8,0))*H94*IF(G94&lt;0.3,1,2)</f>
        <v>2334</v>
      </c>
      <c r="O94" s="12">
        <f>INDEX(关卡奖励!$AI$9:$AI$11,MATCH($D$14,关卡奖励!$W$9:$W$11,0))*((1/G94)-1)*H94</f>
        <v>1578</v>
      </c>
      <c r="P94" s="12">
        <f>I94-N94-O94</f>
        <v>6088</v>
      </c>
      <c r="Q94" s="12">
        <f>1/G94</f>
        <v>5</v>
      </c>
      <c r="R94" s="12">
        <f>IFERROR(INDEX(base_v,MATCH($F94,base_k,1)),0)*离线奖励!$C$12</f>
        <v>6750</v>
      </c>
      <c r="S94" s="12">
        <f>IFERROR(INDEX(关卡进度奖励!$I$7:$I$15,MATCH(F94,关卡进度奖励!$D$7:$D$15,0)),0)</f>
        <v>0</v>
      </c>
      <c r="T94" s="12">
        <f>AVERAGE(签到!$E$7:$E$13)*$H94</f>
        <v>8262.0952380952385</v>
      </c>
      <c r="U94" s="12">
        <f>转盘!$C$26*H94*V94/$D$13</f>
        <v>0</v>
      </c>
      <c r="V94" s="12">
        <f t="shared" si="20"/>
        <v>0</v>
      </c>
      <c r="W94" s="12">
        <f>IFERROR(MATCH(INDEX(转盘!$C$17:$F$17,1,MATCH($D$13,转盘!$C$16:$F$16,0))*MAX(F94-转盘!$C$6,0),转盘!$L$9:$L$51,1),0)</f>
        <v>4</v>
      </c>
      <c r="X94" s="12">
        <f>IFERROR(MATCH($F94,gift_k_level,0)^0,0)*进度礼包!$C$17*$H94/$D$13</f>
        <v>0</v>
      </c>
      <c r="Y94" s="12">
        <f>IFERROR(MATCH($F94,turn_k_1,0)^0,0)*转盘!$C$42*$H94/$D$13</f>
        <v>0</v>
      </c>
      <c r="Z94" s="12">
        <f>IFERROR(MATCH($F94,gift_k_level,0)^0,0)*进度礼包!$C$34*$H94/$D$13</f>
        <v>0</v>
      </c>
      <c r="AA94" s="12">
        <f>IFERROR(MATCH($F94,gift_k_time,0)^0,0)*限时礼包!$C$15*$H94/$D$13</f>
        <v>0</v>
      </c>
      <c r="AB94" s="12">
        <f>SUM(H$6:H94)</f>
        <v>146900</v>
      </c>
      <c r="AC94" s="12">
        <f>SUM(N$6:N94)+SUM($M$6:M94)</f>
        <v>244486.5</v>
      </c>
      <c r="AD94" s="12">
        <f>SUM(O$6:O94)</f>
        <v>37418.522249999995</v>
      </c>
      <c r="AE94" s="12">
        <f>SUM($P$6:P94)</f>
        <v>54694.977749999976</v>
      </c>
      <c r="AF94" s="12">
        <f>SUM(U$6:U94)</f>
        <v>25391.32075471698</v>
      </c>
      <c r="AG94" s="12">
        <f>SUM(S$6:S94)</f>
        <v>4500</v>
      </c>
      <c r="AH94" s="12">
        <f>SUM(Y$6:Y94)</f>
        <v>219892.2</v>
      </c>
      <c r="AI94" s="12">
        <f>SUM(X$6:X94)</f>
        <v>14191.229563247609</v>
      </c>
      <c r="AJ94" s="12">
        <f>SUM(Z$6:Z94)</f>
        <v>46017.179570321568</v>
      </c>
      <c r="AK94" s="12">
        <f>SUM(AA$6:AA94)</f>
        <v>211500.90982958412</v>
      </c>
      <c r="AL94" s="12">
        <f>F94</f>
        <v>89</v>
      </c>
      <c r="AM94" s="12">
        <f t="shared" si="18"/>
        <v>335987.57256796455</v>
      </c>
      <c r="AN94" s="12">
        <f>SUM(I$6:I94)</f>
        <v>336600</v>
      </c>
      <c r="AO94" s="8">
        <f>SUM(Q$6:Q94)</f>
        <v>195</v>
      </c>
      <c r="AP94" s="12">
        <f t="shared" si="19"/>
        <v>-612.42743203544524</v>
      </c>
      <c r="AS94" s="12">
        <v>88</v>
      </c>
      <c r="AT94" s="12">
        <v>20</v>
      </c>
      <c r="AU94" s="12">
        <f t="shared" si="24"/>
        <v>1770</v>
      </c>
      <c r="AV94" s="12">
        <f t="shared" si="25"/>
        <v>0</v>
      </c>
      <c r="AW94" s="12">
        <f>INDEX($AO$6:$AO$215,MATCH(BC94,$F$6:$F$215,0))</f>
        <v>467</v>
      </c>
      <c r="AX94" s="12">
        <f t="shared" si="26"/>
        <v>1135512.1739951316</v>
      </c>
      <c r="AY94" s="12">
        <f t="shared" si="21"/>
        <v>7650</v>
      </c>
      <c r="AZ94" s="12">
        <f t="shared" si="22"/>
        <v>10740.72380952381</v>
      </c>
      <c r="BA94" s="12">
        <f>AX94+SUM($AY$6:AY94)+SUM($AZ$6:AZ94)</f>
        <v>2677537.4120903709</v>
      </c>
      <c r="BB94" s="12">
        <f t="shared" si="27"/>
        <v>956200</v>
      </c>
      <c r="BC94" s="12">
        <f t="shared" si="28"/>
        <v>210</v>
      </c>
      <c r="BD94" s="12">
        <f t="shared" si="29"/>
        <v>0</v>
      </c>
      <c r="BE94" s="12">
        <f t="shared" si="30"/>
        <v>211</v>
      </c>
      <c r="BF94" s="12">
        <f t="shared" si="23"/>
        <v>1721337.4120903709</v>
      </c>
    </row>
    <row r="95" spans="6:58" x14ac:dyDescent="0.35">
      <c r="F95" s="12">
        <v>90</v>
      </c>
      <c r="G95" s="8">
        <f>INDEX(验算胜率!$E$6:$I$1005,F95,MATCH($D$16,验算胜率!$E$5:$I$5,0))</f>
        <v>0.5</v>
      </c>
      <c r="H95" s="12">
        <f t="shared" si="16"/>
        <v>2000</v>
      </c>
      <c r="I95" s="12">
        <f t="shared" si="17"/>
        <v>4000</v>
      </c>
      <c r="J95" s="12">
        <v>4</v>
      </c>
      <c r="K95" s="12">
        <v>1</v>
      </c>
      <c r="M95" s="12">
        <f>IF($D$16=验算胜率!$F$5,验算胜率!K95,0)*H95*关卡道具消耗!$D$8/关卡道具消耗!$D$26</f>
        <v>0</v>
      </c>
      <c r="N95" s="12">
        <f>INDEX(关卡奖励!$AH$6:$AH$8,MATCH($D$14,关卡奖励!$W$6:$W$8,0))*H95*IF(G95&lt;0.3,1,2)</f>
        <v>4668</v>
      </c>
      <c r="O95" s="12">
        <f>INDEX(关卡奖励!$AI$9:$AI$11,MATCH($D$14,关卡奖励!$W$9:$W$11,0))*((1/G95)-1)*H95</f>
        <v>394.5</v>
      </c>
      <c r="P95" s="12">
        <f>I95-N95-O95</f>
        <v>-1062.5</v>
      </c>
      <c r="Q95" s="12">
        <f>1/G95</f>
        <v>2</v>
      </c>
      <c r="R95" s="12">
        <f>IFERROR(INDEX(base_v,MATCH($F95,base_k,1)),0)*离线奖励!$C$12</f>
        <v>6750</v>
      </c>
      <c r="S95" s="12">
        <f>IFERROR(INDEX(关卡进度奖励!$I$7:$I$15,MATCH(F95,关卡进度奖励!$D$7:$D$15,0)),0)</f>
        <v>0</v>
      </c>
      <c r="T95" s="12">
        <f>AVERAGE(签到!$E$7:$E$13)*$H95</f>
        <v>8262.0952380952385</v>
      </c>
      <c r="U95" s="12">
        <f>转盘!$C$26*H95*V95/$D$13</f>
        <v>0</v>
      </c>
      <c r="V95" s="12">
        <f t="shared" si="20"/>
        <v>0</v>
      </c>
      <c r="W95" s="12">
        <f>IFERROR(MATCH(INDEX(转盘!$C$17:$F$17,1,MATCH($D$13,转盘!$C$16:$F$16,0))*MAX(F95-转盘!$C$6,0),转盘!$L$9:$L$51,1),0)</f>
        <v>4</v>
      </c>
      <c r="X95" s="12">
        <f>IFERROR(MATCH($F95,gift_k_level,0)^0,0)*进度礼包!$C$17*$H95/$D$13</f>
        <v>0</v>
      </c>
      <c r="Y95" s="12">
        <f>IFERROR(MATCH($F95,turn_k_1,0)^0,0)*转盘!$C$42*$H95/$D$13</f>
        <v>0</v>
      </c>
      <c r="Z95" s="12">
        <f>IFERROR(MATCH($F95,gift_k_level,0)^0,0)*进度礼包!$C$34*$H95/$D$13</f>
        <v>0</v>
      </c>
      <c r="AA95" s="12">
        <f>IFERROR(MATCH($F95,gift_k_time,0)^0,0)*限时礼包!$C$15*$H95/$D$13</f>
        <v>0</v>
      </c>
      <c r="AB95" s="12">
        <f>SUM(H$6:H95)</f>
        <v>148900</v>
      </c>
      <c r="AC95" s="12">
        <f>SUM(N$6:N95)+SUM($M$6:M95)</f>
        <v>249154.5</v>
      </c>
      <c r="AD95" s="12">
        <f>SUM(O$6:O95)</f>
        <v>37813.022249999995</v>
      </c>
      <c r="AE95" s="12">
        <f>SUM($P$6:P95)</f>
        <v>53632.477749999976</v>
      </c>
      <c r="AF95" s="12">
        <f>SUM(U$6:U95)</f>
        <v>25391.32075471698</v>
      </c>
      <c r="AG95" s="12">
        <f>SUM(S$6:S95)</f>
        <v>4500</v>
      </c>
      <c r="AH95" s="12">
        <f>SUM(Y$6:Y95)</f>
        <v>219892.2</v>
      </c>
      <c r="AI95" s="12">
        <f>SUM(X$6:X95)</f>
        <v>14191.229563247609</v>
      </c>
      <c r="AJ95" s="12">
        <f>SUM(Z$6:Z95)</f>
        <v>46017.179570321568</v>
      </c>
      <c r="AK95" s="12">
        <f>SUM(AA$6:AA95)</f>
        <v>211500.90982958412</v>
      </c>
      <c r="AL95" s="12">
        <f>F95</f>
        <v>90</v>
      </c>
      <c r="AM95" s="12">
        <f t="shared" si="18"/>
        <v>341050.07256796455</v>
      </c>
      <c r="AN95" s="12">
        <f>SUM(I$6:I95)</f>
        <v>340600</v>
      </c>
      <c r="AO95" s="8">
        <f>SUM(Q$6:Q95)</f>
        <v>197</v>
      </c>
      <c r="AP95" s="12">
        <f t="shared" si="19"/>
        <v>450.07256796455476</v>
      </c>
      <c r="AS95" s="12">
        <v>89</v>
      </c>
      <c r="AT95" s="12">
        <v>20</v>
      </c>
      <c r="AU95" s="12">
        <f t="shared" si="24"/>
        <v>1790</v>
      </c>
      <c r="AV95" s="12">
        <f t="shared" si="25"/>
        <v>0</v>
      </c>
      <c r="AW95" s="12">
        <f>INDEX($AO$6:$AO$215,MATCH(BC95,$F$6:$F$215,0))</f>
        <v>467</v>
      </c>
      <c r="AX95" s="12">
        <f t="shared" si="26"/>
        <v>1135512.1739951316</v>
      </c>
      <c r="AY95" s="12">
        <f t="shared" si="21"/>
        <v>7650</v>
      </c>
      <c r="AZ95" s="12">
        <f t="shared" si="22"/>
        <v>10740.72380952381</v>
      </c>
      <c r="BA95" s="12">
        <f>AX95+SUM($AY$6:AY95)+SUM($AZ$6:AZ95)</f>
        <v>2695928.1358998949</v>
      </c>
      <c r="BB95" s="12">
        <f t="shared" si="27"/>
        <v>956200</v>
      </c>
      <c r="BC95" s="12">
        <f t="shared" si="28"/>
        <v>210</v>
      </c>
      <c r="BD95" s="12">
        <f t="shared" si="29"/>
        <v>0</v>
      </c>
      <c r="BE95" s="12">
        <f t="shared" si="30"/>
        <v>211</v>
      </c>
      <c r="BF95" s="12">
        <f t="shared" si="23"/>
        <v>1739728.1358998949</v>
      </c>
    </row>
    <row r="96" spans="6:58" x14ac:dyDescent="0.35">
      <c r="F96" s="12">
        <v>91</v>
      </c>
      <c r="G96" s="8">
        <f>INDEX(验算胜率!$E$6:$I$1005,F96,MATCH($D$16,验算胜率!$E$5:$I$5,0))</f>
        <v>0.5</v>
      </c>
      <c r="H96" s="12">
        <f t="shared" si="16"/>
        <v>2000</v>
      </c>
      <c r="I96" s="12">
        <f t="shared" si="17"/>
        <v>4000</v>
      </c>
      <c r="J96" s="12">
        <v>4</v>
      </c>
      <c r="K96" s="12">
        <v>0</v>
      </c>
      <c r="M96" s="12">
        <f>IF($D$16=验算胜率!$F$5,验算胜率!K96,0)*H96*关卡道具消耗!$D$8/关卡道具消耗!$D$26</f>
        <v>0</v>
      </c>
      <c r="N96" s="12">
        <f>INDEX(关卡奖励!$AH$6:$AH$8,MATCH($D$14,关卡奖励!$W$6:$W$8,0))*H96*IF(G96&lt;0.3,1,2)</f>
        <v>4668</v>
      </c>
      <c r="O96" s="12">
        <f>INDEX(关卡奖励!$AI$9:$AI$11,MATCH($D$14,关卡奖励!$W$9:$W$11,0))*((1/G96)-1)*H96</f>
        <v>394.5</v>
      </c>
      <c r="P96" s="12">
        <f>I96-N96-O96</f>
        <v>-1062.5</v>
      </c>
      <c r="Q96" s="12">
        <f>1/G96</f>
        <v>2</v>
      </c>
      <c r="R96" s="12">
        <f>IFERROR(INDEX(base_v,MATCH($F96,base_k,1)),0)*离线奖励!$C$12</f>
        <v>6750</v>
      </c>
      <c r="S96" s="12">
        <f>IFERROR(INDEX(关卡进度奖励!$I$7:$I$15,MATCH(F96,关卡进度奖励!$D$7:$D$15,0)),0)</f>
        <v>0</v>
      </c>
      <c r="T96" s="12">
        <f>AVERAGE(签到!$E$7:$E$13)*$H96</f>
        <v>8262.0952380952385</v>
      </c>
      <c r="U96" s="12">
        <f>转盘!$C$26*H96*V96/$D$13</f>
        <v>0</v>
      </c>
      <c r="V96" s="12">
        <f t="shared" si="20"/>
        <v>0</v>
      </c>
      <c r="W96" s="12">
        <f>IFERROR(MATCH(INDEX(转盘!$C$17:$F$17,1,MATCH($D$13,转盘!$C$16:$F$16,0))*MAX(F96-转盘!$C$6,0),转盘!$L$9:$L$51,1),0)</f>
        <v>4</v>
      </c>
      <c r="X96" s="12">
        <f>IFERROR(MATCH($F96,gift_k_level,0)^0,0)*进度礼包!$C$17*$H96/$D$13</f>
        <v>0</v>
      </c>
      <c r="Y96" s="12">
        <f>IFERROR(MATCH($F96,turn_k_1,0)^0,0)*转盘!$C$42*$H96/$D$13</f>
        <v>0</v>
      </c>
      <c r="Z96" s="12">
        <f>IFERROR(MATCH($F96,gift_k_level,0)^0,0)*进度礼包!$C$34*$H96/$D$13</f>
        <v>0</v>
      </c>
      <c r="AA96" s="12">
        <f>IFERROR(MATCH($F96,gift_k_time,0)^0,0)*限时礼包!$C$15*$H96/$D$13</f>
        <v>0</v>
      </c>
      <c r="AB96" s="12">
        <f>SUM(H$6:H96)</f>
        <v>150900</v>
      </c>
      <c r="AC96" s="12">
        <f>SUM(N$6:N96)+SUM($M$6:M96)</f>
        <v>253822.5</v>
      </c>
      <c r="AD96" s="12">
        <f>SUM(O$6:O96)</f>
        <v>38207.522249999995</v>
      </c>
      <c r="AE96" s="12">
        <f>SUM($P$6:P96)</f>
        <v>52569.977749999976</v>
      </c>
      <c r="AF96" s="12">
        <f>SUM(U$6:U96)</f>
        <v>25391.32075471698</v>
      </c>
      <c r="AG96" s="12">
        <f>SUM(S$6:S96)</f>
        <v>4500</v>
      </c>
      <c r="AH96" s="12">
        <f>SUM(Y$6:Y96)</f>
        <v>219892.2</v>
      </c>
      <c r="AI96" s="12">
        <f>SUM(X$6:X96)</f>
        <v>14191.229563247609</v>
      </c>
      <c r="AJ96" s="12">
        <f>SUM(Z$6:Z96)</f>
        <v>46017.179570321568</v>
      </c>
      <c r="AK96" s="12">
        <f>SUM(AA$6:AA96)</f>
        <v>211500.90982958412</v>
      </c>
      <c r="AL96" s="12">
        <f>F96</f>
        <v>91</v>
      </c>
      <c r="AM96" s="12">
        <f t="shared" si="18"/>
        <v>346112.57256796455</v>
      </c>
      <c r="AN96" s="12">
        <f>SUM(I$6:I96)</f>
        <v>344600</v>
      </c>
      <c r="AO96" s="8">
        <f>SUM(Q$6:Q96)</f>
        <v>199</v>
      </c>
      <c r="AP96" s="12">
        <f t="shared" si="19"/>
        <v>1512.5725679645548</v>
      </c>
      <c r="AS96" s="12">
        <v>90</v>
      </c>
      <c r="AT96" s="12">
        <v>20</v>
      </c>
      <c r="AU96" s="12">
        <f t="shared" si="24"/>
        <v>1810</v>
      </c>
      <c r="AV96" s="12">
        <f t="shared" si="25"/>
        <v>0</v>
      </c>
      <c r="AW96" s="12">
        <f>INDEX($AO$6:$AO$215,MATCH(BC96,$F$6:$F$215,0))</f>
        <v>467</v>
      </c>
      <c r="AX96" s="12">
        <f t="shared" si="26"/>
        <v>1135512.1739951316</v>
      </c>
      <c r="AY96" s="12">
        <f t="shared" si="21"/>
        <v>7650</v>
      </c>
      <c r="AZ96" s="12">
        <f t="shared" si="22"/>
        <v>10740.72380952381</v>
      </c>
      <c r="BA96" s="12">
        <f>AX96+SUM($AY$6:AY96)+SUM($AZ$6:AZ96)</f>
        <v>2714318.8597094188</v>
      </c>
      <c r="BB96" s="12">
        <f t="shared" si="27"/>
        <v>956200</v>
      </c>
      <c r="BC96" s="12">
        <f t="shared" si="28"/>
        <v>210</v>
      </c>
      <c r="BD96" s="12">
        <f t="shared" si="29"/>
        <v>0</v>
      </c>
      <c r="BE96" s="12">
        <f t="shared" si="30"/>
        <v>211</v>
      </c>
      <c r="BF96" s="12">
        <f t="shared" si="23"/>
        <v>1758118.8597094188</v>
      </c>
    </row>
    <row r="97" spans="6:58" x14ac:dyDescent="0.35">
      <c r="F97" s="12">
        <v>92</v>
      </c>
      <c r="G97" s="8">
        <f>INDEX(验算胜率!$E$6:$I$1005,F97,MATCH($D$16,验算胜率!$E$5:$I$5,0))</f>
        <v>0.5</v>
      </c>
      <c r="H97" s="12">
        <f t="shared" si="16"/>
        <v>2000</v>
      </c>
      <c r="I97" s="12">
        <f t="shared" si="17"/>
        <v>4000</v>
      </c>
      <c r="J97" s="12">
        <v>4</v>
      </c>
      <c r="K97" s="12">
        <v>0</v>
      </c>
      <c r="M97" s="12">
        <f>IF($D$16=验算胜率!$F$5,验算胜率!K97,0)*H97*关卡道具消耗!$D$8/关卡道具消耗!$D$26</f>
        <v>0</v>
      </c>
      <c r="N97" s="12">
        <f>INDEX(关卡奖励!$AH$6:$AH$8,MATCH($D$14,关卡奖励!$W$6:$W$8,0))*H97*IF(G97&lt;0.3,1,2)</f>
        <v>4668</v>
      </c>
      <c r="O97" s="12">
        <f>INDEX(关卡奖励!$AI$9:$AI$11,MATCH($D$14,关卡奖励!$W$9:$W$11,0))*((1/G97)-1)*H97</f>
        <v>394.5</v>
      </c>
      <c r="P97" s="12">
        <f>I97-N97-O97</f>
        <v>-1062.5</v>
      </c>
      <c r="Q97" s="12">
        <f>1/G97</f>
        <v>2</v>
      </c>
      <c r="R97" s="12">
        <f>IFERROR(INDEX(base_v,MATCH($F97,base_k,1)),0)*离线奖励!$C$12</f>
        <v>6750</v>
      </c>
      <c r="S97" s="12">
        <f>IFERROR(INDEX(关卡进度奖励!$I$7:$I$15,MATCH(F97,关卡进度奖励!$D$7:$D$15,0)),0)</f>
        <v>0</v>
      </c>
      <c r="T97" s="12">
        <f>AVERAGE(签到!$E$7:$E$13)*$H97</f>
        <v>8262.0952380952385</v>
      </c>
      <c r="U97" s="12">
        <f>转盘!$C$26*H97*V97/$D$13</f>
        <v>0</v>
      </c>
      <c r="V97" s="12">
        <f t="shared" si="20"/>
        <v>0</v>
      </c>
      <c r="W97" s="12">
        <f>IFERROR(MATCH(INDEX(转盘!$C$17:$F$17,1,MATCH($D$13,转盘!$C$16:$F$16,0))*MAX(F97-转盘!$C$6,0),转盘!$L$9:$L$51,1),0)</f>
        <v>4</v>
      </c>
      <c r="X97" s="12">
        <f>IFERROR(MATCH($F97,gift_k_level,0)^0,0)*进度礼包!$C$17*$H97/$D$13</f>
        <v>0</v>
      </c>
      <c r="Y97" s="12">
        <f>IFERROR(MATCH($F97,turn_k_1,0)^0,0)*转盘!$C$42*$H97/$D$13</f>
        <v>0</v>
      </c>
      <c r="Z97" s="12">
        <f>IFERROR(MATCH($F97,gift_k_level,0)^0,0)*进度礼包!$C$34*$H97/$D$13</f>
        <v>0</v>
      </c>
      <c r="AA97" s="12">
        <f>IFERROR(MATCH($F97,gift_k_time,0)^0,0)*限时礼包!$C$15*$H97/$D$13</f>
        <v>0</v>
      </c>
      <c r="AB97" s="12">
        <f>SUM(H$6:H97)</f>
        <v>152900</v>
      </c>
      <c r="AC97" s="12">
        <f>SUM(N$6:N97)+SUM($M$6:M97)</f>
        <v>258490.5</v>
      </c>
      <c r="AD97" s="12">
        <f>SUM(O$6:O97)</f>
        <v>38602.022249999995</v>
      </c>
      <c r="AE97" s="12">
        <f>SUM($P$6:P97)</f>
        <v>51507.477749999976</v>
      </c>
      <c r="AF97" s="12">
        <f>SUM(U$6:U97)</f>
        <v>25391.32075471698</v>
      </c>
      <c r="AG97" s="12">
        <f>SUM(S$6:S97)</f>
        <v>4500</v>
      </c>
      <c r="AH97" s="12">
        <f>SUM(Y$6:Y97)</f>
        <v>219892.2</v>
      </c>
      <c r="AI97" s="12">
        <f>SUM(X$6:X97)</f>
        <v>14191.229563247609</v>
      </c>
      <c r="AJ97" s="12">
        <f>SUM(Z$6:Z97)</f>
        <v>46017.179570321568</v>
      </c>
      <c r="AK97" s="12">
        <f>SUM(AA$6:AA97)</f>
        <v>211500.90982958412</v>
      </c>
      <c r="AL97" s="12">
        <f>F97</f>
        <v>92</v>
      </c>
      <c r="AM97" s="12">
        <f t="shared" si="18"/>
        <v>351175.07256796455</v>
      </c>
      <c r="AN97" s="12">
        <f>SUM(I$6:I97)</f>
        <v>348600</v>
      </c>
      <c r="AO97" s="8">
        <f>SUM(Q$6:Q97)</f>
        <v>201</v>
      </c>
      <c r="AP97" s="12">
        <f t="shared" si="19"/>
        <v>2575.0725679645548</v>
      </c>
      <c r="AS97" s="12">
        <v>91</v>
      </c>
      <c r="AT97" s="12">
        <v>20</v>
      </c>
      <c r="AU97" s="12">
        <f t="shared" si="24"/>
        <v>1830</v>
      </c>
      <c r="AV97" s="12">
        <f t="shared" si="25"/>
        <v>0</v>
      </c>
      <c r="AW97" s="12">
        <f>INDEX($AO$6:$AO$215,MATCH(BC97,$F$6:$F$215,0))</f>
        <v>467</v>
      </c>
      <c r="AX97" s="12">
        <f t="shared" si="26"/>
        <v>1135512.1739951316</v>
      </c>
      <c r="AY97" s="12">
        <f t="shared" si="21"/>
        <v>7650</v>
      </c>
      <c r="AZ97" s="12">
        <f t="shared" si="22"/>
        <v>10740.72380952381</v>
      </c>
      <c r="BA97" s="12">
        <f>AX97+SUM($AY$6:AY97)+SUM($AZ$6:AZ97)</f>
        <v>2732709.5835189428</v>
      </c>
      <c r="BB97" s="12">
        <f t="shared" si="27"/>
        <v>956200</v>
      </c>
      <c r="BC97" s="12">
        <f t="shared" si="28"/>
        <v>210</v>
      </c>
      <c r="BD97" s="12">
        <f t="shared" si="29"/>
        <v>0</v>
      </c>
      <c r="BE97" s="12">
        <f t="shared" si="30"/>
        <v>211</v>
      </c>
      <c r="BF97" s="12">
        <f t="shared" si="23"/>
        <v>1776509.5835189428</v>
      </c>
    </row>
    <row r="98" spans="6:58" x14ac:dyDescent="0.35">
      <c r="F98" s="12">
        <v>93</v>
      </c>
      <c r="G98" s="8">
        <f>INDEX(验算胜率!$E$6:$I$1005,F98,MATCH($D$16,验算胜率!$E$5:$I$5,0))</f>
        <v>0.5</v>
      </c>
      <c r="H98" s="12">
        <f t="shared" si="16"/>
        <v>2000</v>
      </c>
      <c r="I98" s="12">
        <f t="shared" si="17"/>
        <v>4000</v>
      </c>
      <c r="J98" s="12">
        <v>4</v>
      </c>
      <c r="K98" s="12">
        <v>0</v>
      </c>
      <c r="M98" s="12">
        <f>IF($D$16=验算胜率!$F$5,验算胜率!K98,0)*H98*关卡道具消耗!$D$8/关卡道具消耗!$D$26</f>
        <v>0</v>
      </c>
      <c r="N98" s="12">
        <f>INDEX(关卡奖励!$AH$6:$AH$8,MATCH($D$14,关卡奖励!$W$6:$W$8,0))*H98*IF(G98&lt;0.3,1,2)</f>
        <v>4668</v>
      </c>
      <c r="O98" s="12">
        <f>INDEX(关卡奖励!$AI$9:$AI$11,MATCH($D$14,关卡奖励!$W$9:$W$11,0))*((1/G98)-1)*H98</f>
        <v>394.5</v>
      </c>
      <c r="P98" s="12">
        <f>I98-N98-O98</f>
        <v>-1062.5</v>
      </c>
      <c r="Q98" s="12">
        <f>1/G98</f>
        <v>2</v>
      </c>
      <c r="R98" s="12">
        <f>IFERROR(INDEX(base_v,MATCH($F98,base_k,1)),0)*离线奖励!$C$12</f>
        <v>6750</v>
      </c>
      <c r="S98" s="12">
        <f>IFERROR(INDEX(关卡进度奖励!$I$7:$I$15,MATCH(F98,关卡进度奖励!$D$7:$D$15,0)),0)</f>
        <v>0</v>
      </c>
      <c r="T98" s="12">
        <f>AVERAGE(签到!$E$7:$E$13)*$H98</f>
        <v>8262.0952380952385</v>
      </c>
      <c r="U98" s="12">
        <f>转盘!$C$26*H98*V98/$D$13</f>
        <v>0</v>
      </c>
      <c r="V98" s="12">
        <f t="shared" si="20"/>
        <v>0</v>
      </c>
      <c r="W98" s="12">
        <f>IFERROR(MATCH(INDEX(转盘!$C$17:$F$17,1,MATCH($D$13,转盘!$C$16:$F$16,0))*MAX(F98-转盘!$C$6,0),转盘!$L$9:$L$51,1),0)</f>
        <v>4</v>
      </c>
      <c r="X98" s="12">
        <f>IFERROR(MATCH($F98,gift_k_level,0)^0,0)*进度礼包!$C$17*$H98/$D$13</f>
        <v>0</v>
      </c>
      <c r="Y98" s="12">
        <f>IFERROR(MATCH($F98,turn_k_1,0)^0,0)*转盘!$C$42*$H98/$D$13</f>
        <v>0</v>
      </c>
      <c r="Z98" s="12">
        <f>IFERROR(MATCH($F98,gift_k_level,0)^0,0)*进度礼包!$C$34*$H98/$D$13</f>
        <v>0</v>
      </c>
      <c r="AA98" s="12">
        <f>IFERROR(MATCH($F98,gift_k_time,0)^0,0)*限时礼包!$C$15*$H98/$D$13</f>
        <v>0</v>
      </c>
      <c r="AB98" s="12">
        <f>SUM(H$6:H98)</f>
        <v>154900</v>
      </c>
      <c r="AC98" s="12">
        <f>SUM(N$6:N98)+SUM($M$6:M98)</f>
        <v>263158.5</v>
      </c>
      <c r="AD98" s="12">
        <f>SUM(O$6:O98)</f>
        <v>38996.522249999995</v>
      </c>
      <c r="AE98" s="12">
        <f>SUM($P$6:P98)</f>
        <v>50444.977749999976</v>
      </c>
      <c r="AF98" s="12">
        <f>SUM(U$6:U98)</f>
        <v>25391.32075471698</v>
      </c>
      <c r="AG98" s="12">
        <f>SUM(S$6:S98)</f>
        <v>4500</v>
      </c>
      <c r="AH98" s="12">
        <f>SUM(Y$6:Y98)</f>
        <v>219892.2</v>
      </c>
      <c r="AI98" s="12">
        <f>SUM(X$6:X98)</f>
        <v>14191.229563247609</v>
      </c>
      <c r="AJ98" s="12">
        <f>SUM(Z$6:Z98)</f>
        <v>46017.179570321568</v>
      </c>
      <c r="AK98" s="12">
        <f>SUM(AA$6:AA98)</f>
        <v>211500.90982958412</v>
      </c>
      <c r="AL98" s="12">
        <f>F98</f>
        <v>93</v>
      </c>
      <c r="AM98" s="12">
        <f t="shared" si="18"/>
        <v>356237.57256796455</v>
      </c>
      <c r="AN98" s="12">
        <f>SUM(I$6:I98)</f>
        <v>352600</v>
      </c>
      <c r="AO98" s="8">
        <f>SUM(Q$6:Q98)</f>
        <v>203</v>
      </c>
      <c r="AP98" s="12">
        <f t="shared" si="19"/>
        <v>3637.5725679645548</v>
      </c>
      <c r="AS98" s="12">
        <v>92</v>
      </c>
      <c r="AT98" s="12">
        <v>20</v>
      </c>
      <c r="AU98" s="12">
        <f t="shared" si="24"/>
        <v>1850</v>
      </c>
      <c r="AV98" s="12">
        <f t="shared" si="25"/>
        <v>0</v>
      </c>
      <c r="AW98" s="12">
        <f>INDEX($AO$6:$AO$215,MATCH(BC98,$F$6:$F$215,0))</f>
        <v>467</v>
      </c>
      <c r="AX98" s="12">
        <f t="shared" si="26"/>
        <v>1135512.1739951316</v>
      </c>
      <c r="AY98" s="12">
        <f t="shared" si="21"/>
        <v>7650</v>
      </c>
      <c r="AZ98" s="12">
        <f t="shared" si="22"/>
        <v>10740.72380952381</v>
      </c>
      <c r="BA98" s="12">
        <f>AX98+SUM($AY$6:AY98)+SUM($AZ$6:AZ98)</f>
        <v>2751100.3073284663</v>
      </c>
      <c r="BB98" s="12">
        <f t="shared" si="27"/>
        <v>956200</v>
      </c>
      <c r="BC98" s="12">
        <f t="shared" si="28"/>
        <v>210</v>
      </c>
      <c r="BD98" s="12">
        <f t="shared" si="29"/>
        <v>0</v>
      </c>
      <c r="BE98" s="12">
        <f t="shared" si="30"/>
        <v>211</v>
      </c>
      <c r="BF98" s="12">
        <f t="shared" si="23"/>
        <v>1794900.3073284663</v>
      </c>
    </row>
    <row r="99" spans="6:58" x14ac:dyDescent="0.35">
      <c r="F99" s="12">
        <v>94</v>
      </c>
      <c r="G99" s="8">
        <f>INDEX(验算胜率!$E$6:$I$1005,F99,MATCH($D$16,验算胜率!$E$5:$I$5,0))</f>
        <v>0.2</v>
      </c>
      <c r="H99" s="12">
        <f t="shared" si="16"/>
        <v>2000</v>
      </c>
      <c r="I99" s="12">
        <f t="shared" si="17"/>
        <v>10000</v>
      </c>
      <c r="J99" s="12">
        <v>4</v>
      </c>
      <c r="K99" s="12">
        <v>0</v>
      </c>
      <c r="M99" s="12">
        <f>IF($D$16=验算胜率!$F$5,验算胜率!K99,0)*H99*关卡道具消耗!$D$8/关卡道具消耗!$D$26</f>
        <v>0</v>
      </c>
      <c r="N99" s="12">
        <f>INDEX(关卡奖励!$AH$6:$AH$8,MATCH($D$14,关卡奖励!$W$6:$W$8,0))*H99*IF(G99&lt;0.3,1,2)</f>
        <v>2334</v>
      </c>
      <c r="O99" s="12">
        <f>INDEX(关卡奖励!$AI$9:$AI$11,MATCH($D$14,关卡奖励!$W$9:$W$11,0))*((1/G99)-1)*H99</f>
        <v>1578</v>
      </c>
      <c r="P99" s="12">
        <f>I99-N99-O99</f>
        <v>6088</v>
      </c>
      <c r="Q99" s="12">
        <f>1/G99</f>
        <v>5</v>
      </c>
      <c r="R99" s="12">
        <f>IFERROR(INDEX(base_v,MATCH($F99,base_k,1)),0)*离线奖励!$C$12</f>
        <v>6750</v>
      </c>
      <c r="S99" s="12">
        <f>IFERROR(INDEX(关卡进度奖励!$I$7:$I$15,MATCH(F99,关卡进度奖励!$D$7:$D$15,0)),0)</f>
        <v>0</v>
      </c>
      <c r="T99" s="12">
        <f>AVERAGE(签到!$E$7:$E$13)*$H99</f>
        <v>8262.0952380952385</v>
      </c>
      <c r="U99" s="12">
        <f>转盘!$C$26*H99*V99/$D$13</f>
        <v>0</v>
      </c>
      <c r="V99" s="12">
        <f t="shared" si="20"/>
        <v>0</v>
      </c>
      <c r="W99" s="12">
        <f>IFERROR(MATCH(INDEX(转盘!$C$17:$F$17,1,MATCH($D$13,转盘!$C$16:$F$16,0))*MAX(F99-转盘!$C$6,0),转盘!$L$9:$L$51,1),0)</f>
        <v>4</v>
      </c>
      <c r="X99" s="12">
        <f>IFERROR(MATCH($F99,gift_k_level,0)^0,0)*进度礼包!$C$17*$H99/$D$13</f>
        <v>0</v>
      </c>
      <c r="Y99" s="12">
        <f>IFERROR(MATCH($F99,turn_k_1,0)^0,0)*转盘!$C$42*$H99/$D$13</f>
        <v>0</v>
      </c>
      <c r="Z99" s="12">
        <f>IFERROR(MATCH($F99,gift_k_level,0)^0,0)*进度礼包!$C$34*$H99/$D$13</f>
        <v>0</v>
      </c>
      <c r="AA99" s="12">
        <f>IFERROR(MATCH($F99,gift_k_time,0)^0,0)*限时礼包!$C$15*$H99/$D$13</f>
        <v>0</v>
      </c>
      <c r="AB99" s="12">
        <f>SUM(H$6:H99)</f>
        <v>156900</v>
      </c>
      <c r="AC99" s="12">
        <f>SUM(N$6:N99)+SUM($M$6:M99)</f>
        <v>265492.5</v>
      </c>
      <c r="AD99" s="12">
        <f>SUM(O$6:O99)</f>
        <v>40574.522249999995</v>
      </c>
      <c r="AE99" s="12">
        <f>SUM($P$6:P99)</f>
        <v>56532.977749999976</v>
      </c>
      <c r="AF99" s="12">
        <f>SUM(U$6:U99)</f>
        <v>25391.32075471698</v>
      </c>
      <c r="AG99" s="12">
        <f>SUM(S$6:S99)</f>
        <v>4500</v>
      </c>
      <c r="AH99" s="12">
        <f>SUM(Y$6:Y99)</f>
        <v>219892.2</v>
      </c>
      <c r="AI99" s="12">
        <f>SUM(X$6:X99)</f>
        <v>14191.229563247609</v>
      </c>
      <c r="AJ99" s="12">
        <f>SUM(Z$6:Z99)</f>
        <v>46017.179570321568</v>
      </c>
      <c r="AK99" s="12">
        <f>SUM(AA$6:AA99)</f>
        <v>211500.90982958412</v>
      </c>
      <c r="AL99" s="12">
        <f>F99</f>
        <v>94</v>
      </c>
      <c r="AM99" s="12">
        <f t="shared" si="18"/>
        <v>360149.57256796455</v>
      </c>
      <c r="AN99" s="12">
        <f>SUM(I$6:I99)</f>
        <v>362600</v>
      </c>
      <c r="AO99" s="8">
        <f>SUM(Q$6:Q99)</f>
        <v>208</v>
      </c>
      <c r="AP99" s="12">
        <f t="shared" si="19"/>
        <v>-2450.4274320354452</v>
      </c>
      <c r="AS99" s="12">
        <v>93</v>
      </c>
      <c r="AT99" s="12">
        <v>20</v>
      </c>
      <c r="AU99" s="12">
        <f t="shared" si="24"/>
        <v>1870</v>
      </c>
      <c r="AV99" s="12">
        <f t="shared" si="25"/>
        <v>0</v>
      </c>
      <c r="AW99" s="12">
        <f>INDEX($AO$6:$AO$215,MATCH(BC99,$F$6:$F$215,0))</f>
        <v>467</v>
      </c>
      <c r="AX99" s="12">
        <f t="shared" si="26"/>
        <v>1135512.1739951316</v>
      </c>
      <c r="AY99" s="12">
        <f t="shared" si="21"/>
        <v>7650</v>
      </c>
      <c r="AZ99" s="12">
        <f t="shared" si="22"/>
        <v>10740.72380952381</v>
      </c>
      <c r="BA99" s="12">
        <f>AX99+SUM($AY$6:AY99)+SUM($AZ$6:AZ99)</f>
        <v>2769491.0311379903</v>
      </c>
      <c r="BB99" s="12">
        <f t="shared" si="27"/>
        <v>956200</v>
      </c>
      <c r="BC99" s="12">
        <f t="shared" si="28"/>
        <v>210</v>
      </c>
      <c r="BD99" s="12">
        <f t="shared" si="29"/>
        <v>0</v>
      </c>
      <c r="BE99" s="12">
        <f t="shared" si="30"/>
        <v>211</v>
      </c>
      <c r="BF99" s="12">
        <f t="shared" si="23"/>
        <v>1813291.0311379903</v>
      </c>
    </row>
    <row r="100" spans="6:58" x14ac:dyDescent="0.35">
      <c r="F100" s="12">
        <v>95</v>
      </c>
      <c r="G100" s="8">
        <f>INDEX(验算胜率!$E$6:$I$1005,F100,MATCH($D$16,验算胜率!$E$5:$I$5,0))</f>
        <v>0.5</v>
      </c>
      <c r="H100" s="12">
        <f t="shared" si="16"/>
        <v>2000</v>
      </c>
      <c r="I100" s="12">
        <f t="shared" si="17"/>
        <v>4000</v>
      </c>
      <c r="J100" s="12">
        <v>4</v>
      </c>
      <c r="K100" s="12">
        <v>3</v>
      </c>
      <c r="M100" s="12">
        <f>IF($D$16=验算胜率!$F$5,验算胜率!K100,0)*H100*关卡道具消耗!$D$8/关卡道具消耗!$D$26</f>
        <v>0</v>
      </c>
      <c r="N100" s="12">
        <f>INDEX(关卡奖励!$AH$6:$AH$8,MATCH($D$14,关卡奖励!$W$6:$W$8,0))*H100*IF(G100&lt;0.3,1,2)</f>
        <v>4668</v>
      </c>
      <c r="O100" s="12">
        <f>INDEX(关卡奖励!$AI$9:$AI$11,MATCH($D$14,关卡奖励!$W$9:$W$11,0))*((1/G100)-1)*H100</f>
        <v>394.5</v>
      </c>
      <c r="P100" s="12">
        <f>I100-N100-O100</f>
        <v>-1062.5</v>
      </c>
      <c r="Q100" s="12">
        <f>1/G100</f>
        <v>2</v>
      </c>
      <c r="R100" s="12">
        <f>IFERROR(INDEX(base_v,MATCH($F100,base_k,1)),0)*离线奖励!$C$12</f>
        <v>6750</v>
      </c>
      <c r="S100" s="12">
        <f>IFERROR(INDEX(关卡进度奖励!$I$7:$I$15,MATCH(F100,关卡进度奖励!$D$7:$D$15,0)),0)</f>
        <v>0</v>
      </c>
      <c r="T100" s="12">
        <f>AVERAGE(签到!$E$7:$E$13)*$H100</f>
        <v>8262.0952380952385</v>
      </c>
      <c r="U100" s="12">
        <f>转盘!$C$26*H100*V100/$D$13</f>
        <v>0</v>
      </c>
      <c r="V100" s="12">
        <f t="shared" si="20"/>
        <v>0</v>
      </c>
      <c r="W100" s="12">
        <f>IFERROR(MATCH(INDEX(转盘!$C$17:$F$17,1,MATCH($D$13,转盘!$C$16:$F$16,0))*MAX(F100-转盘!$C$6,0),转盘!$L$9:$L$51,1),0)</f>
        <v>4</v>
      </c>
      <c r="X100" s="12">
        <f>IFERROR(MATCH($F100,gift_k_level,0)^0,0)*进度礼包!$C$17*$H100/$D$13</f>
        <v>0</v>
      </c>
      <c r="Y100" s="12">
        <f>IFERROR(MATCH($F100,turn_k_1,0)^0,0)*转盘!$C$42*$H100/$D$13</f>
        <v>0</v>
      </c>
      <c r="Z100" s="12">
        <f>IFERROR(MATCH($F100,gift_k_level,0)^0,0)*进度礼包!$C$34*$H100/$D$13</f>
        <v>0</v>
      </c>
      <c r="AA100" s="12">
        <f>IFERROR(MATCH($F100,gift_k_time,0)^0,0)*限时礼包!$C$15*$H100/$D$13</f>
        <v>0</v>
      </c>
      <c r="AB100" s="12">
        <f>SUM(H$6:H100)</f>
        <v>158900</v>
      </c>
      <c r="AC100" s="12">
        <f>SUM(N$6:N100)+SUM($M$6:M100)</f>
        <v>270160.5</v>
      </c>
      <c r="AD100" s="12">
        <f>SUM(O$6:O100)</f>
        <v>40969.022249999995</v>
      </c>
      <c r="AE100" s="12">
        <f>SUM($P$6:P100)</f>
        <v>55470.477749999976</v>
      </c>
      <c r="AF100" s="12">
        <f>SUM(U$6:U100)</f>
        <v>25391.32075471698</v>
      </c>
      <c r="AG100" s="12">
        <f>SUM(S$6:S100)</f>
        <v>4500</v>
      </c>
      <c r="AH100" s="12">
        <f>SUM(Y$6:Y100)</f>
        <v>219892.2</v>
      </c>
      <c r="AI100" s="12">
        <f>SUM(X$6:X100)</f>
        <v>14191.229563247609</v>
      </c>
      <c r="AJ100" s="12">
        <f>SUM(Z$6:Z100)</f>
        <v>46017.179570321568</v>
      </c>
      <c r="AK100" s="12">
        <f>SUM(AA$6:AA100)</f>
        <v>211500.90982958412</v>
      </c>
      <c r="AL100" s="12">
        <f>F100</f>
        <v>95</v>
      </c>
      <c r="AM100" s="12">
        <f t="shared" si="18"/>
        <v>365212.07256796455</v>
      </c>
      <c r="AN100" s="12">
        <f>SUM(I$6:I100)</f>
        <v>366600</v>
      </c>
      <c r="AO100" s="8">
        <f>SUM(Q$6:Q100)</f>
        <v>210</v>
      </c>
      <c r="AP100" s="12">
        <f t="shared" si="19"/>
        <v>-1387.9274320354452</v>
      </c>
      <c r="AS100" s="12">
        <v>94</v>
      </c>
      <c r="AT100" s="12">
        <v>20</v>
      </c>
      <c r="AU100" s="12">
        <f t="shared" si="24"/>
        <v>1890</v>
      </c>
      <c r="AV100" s="12">
        <f t="shared" si="25"/>
        <v>0</v>
      </c>
      <c r="AW100" s="12">
        <f>INDEX($AO$6:$AO$215,MATCH(BC100,$F$6:$F$215,0))</f>
        <v>467</v>
      </c>
      <c r="AX100" s="12">
        <f t="shared" si="26"/>
        <v>1135512.1739951316</v>
      </c>
      <c r="AY100" s="12">
        <f t="shared" si="21"/>
        <v>7650</v>
      </c>
      <c r="AZ100" s="12">
        <f t="shared" si="22"/>
        <v>10740.72380952381</v>
      </c>
      <c r="BA100" s="12">
        <f>AX100+SUM($AY$6:AY100)+SUM($AZ$6:AZ100)</f>
        <v>2787881.7549475143</v>
      </c>
      <c r="BB100" s="12">
        <f t="shared" si="27"/>
        <v>956200</v>
      </c>
      <c r="BC100" s="12">
        <f t="shared" si="28"/>
        <v>210</v>
      </c>
      <c r="BD100" s="12">
        <f t="shared" si="29"/>
        <v>0</v>
      </c>
      <c r="BE100" s="12">
        <f t="shared" si="30"/>
        <v>211</v>
      </c>
      <c r="BF100" s="12">
        <f t="shared" si="23"/>
        <v>1831681.7549475143</v>
      </c>
    </row>
    <row r="101" spans="6:58" x14ac:dyDescent="0.35">
      <c r="F101" s="12">
        <v>96</v>
      </c>
      <c r="G101" s="8">
        <f>INDEX(验算胜率!$E$6:$I$1005,F101,MATCH($D$16,验算胜率!$E$5:$I$5,0))</f>
        <v>0.5</v>
      </c>
      <c r="H101" s="12">
        <f t="shared" si="16"/>
        <v>2000</v>
      </c>
      <c r="I101" s="12">
        <f t="shared" si="17"/>
        <v>4000</v>
      </c>
      <c r="J101" s="12">
        <v>4</v>
      </c>
      <c r="K101" s="12">
        <v>0</v>
      </c>
      <c r="M101" s="12">
        <f>IF($D$16=验算胜率!$F$5,验算胜率!K101,0)*H101*关卡道具消耗!$D$8/关卡道具消耗!$D$26</f>
        <v>0</v>
      </c>
      <c r="N101" s="12">
        <f>INDEX(关卡奖励!$AH$6:$AH$8,MATCH($D$14,关卡奖励!$W$6:$W$8,0))*H101*IF(G101&lt;0.3,1,2)</f>
        <v>4668</v>
      </c>
      <c r="O101" s="12">
        <f>INDEX(关卡奖励!$AI$9:$AI$11,MATCH($D$14,关卡奖励!$W$9:$W$11,0))*((1/G101)-1)*H101</f>
        <v>394.5</v>
      </c>
      <c r="P101" s="12">
        <f>I101-N101-O101</f>
        <v>-1062.5</v>
      </c>
      <c r="Q101" s="12">
        <f>1/G101</f>
        <v>2</v>
      </c>
      <c r="R101" s="12">
        <f>IFERROR(INDEX(base_v,MATCH($F101,base_k,1)),0)*离线奖励!$C$12</f>
        <v>6750</v>
      </c>
      <c r="S101" s="12">
        <f>IFERROR(INDEX(关卡进度奖励!$I$7:$I$15,MATCH(F101,关卡进度奖励!$D$7:$D$15,0)),0)</f>
        <v>0</v>
      </c>
      <c r="T101" s="12">
        <f>AVERAGE(签到!$E$7:$E$13)*$H101</f>
        <v>8262.0952380952385</v>
      </c>
      <c r="U101" s="12">
        <f>转盘!$C$26*H101*V101/$D$13</f>
        <v>0</v>
      </c>
      <c r="V101" s="12">
        <f t="shared" si="20"/>
        <v>0</v>
      </c>
      <c r="W101" s="12">
        <f>IFERROR(MATCH(INDEX(转盘!$C$17:$F$17,1,MATCH($D$13,转盘!$C$16:$F$16,0))*MAX(F101-转盘!$C$6,0),转盘!$L$9:$L$51,1),0)</f>
        <v>4</v>
      </c>
      <c r="X101" s="12">
        <f>IFERROR(MATCH($F101,gift_k_level,0)^0,0)*进度礼包!$C$17*$H101/$D$13</f>
        <v>0</v>
      </c>
      <c r="Y101" s="12">
        <f>IFERROR(MATCH($F101,turn_k_1,0)^0,0)*转盘!$C$42*$H101/$D$13</f>
        <v>66634</v>
      </c>
      <c r="Z101" s="12">
        <f>IFERROR(MATCH($F101,gift_k_level,0)^0,0)*进度礼包!$C$34*$H101/$D$13</f>
        <v>0</v>
      </c>
      <c r="AA101" s="12">
        <f>IFERROR(MATCH($F101,gift_k_time,0)^0,0)*限时礼包!$C$15*$H101/$D$13</f>
        <v>0</v>
      </c>
      <c r="AB101" s="12">
        <f>SUM(H$6:H101)</f>
        <v>160900</v>
      </c>
      <c r="AC101" s="12">
        <f>SUM(N$6:N101)+SUM($M$6:M101)</f>
        <v>274828.5</v>
      </c>
      <c r="AD101" s="12">
        <f>SUM(O$6:O101)</f>
        <v>41363.522249999995</v>
      </c>
      <c r="AE101" s="12">
        <f>SUM($P$6:P101)</f>
        <v>54407.977749999976</v>
      </c>
      <c r="AF101" s="12">
        <f>SUM(U$6:U101)</f>
        <v>25391.32075471698</v>
      </c>
      <c r="AG101" s="12">
        <f>SUM(S$6:S101)</f>
        <v>4500</v>
      </c>
      <c r="AH101" s="12">
        <f>SUM(Y$6:Y101)</f>
        <v>286526.2</v>
      </c>
      <c r="AI101" s="12">
        <f>SUM(X$6:X101)</f>
        <v>14191.229563247609</v>
      </c>
      <c r="AJ101" s="12">
        <f>SUM(Z$6:Z101)</f>
        <v>46017.179570321568</v>
      </c>
      <c r="AK101" s="12">
        <f>SUM(AA$6:AA101)</f>
        <v>211500.90982958412</v>
      </c>
      <c r="AL101" s="12">
        <f>F101</f>
        <v>96</v>
      </c>
      <c r="AM101" s="12">
        <f t="shared" si="18"/>
        <v>370274.57256796455</v>
      </c>
      <c r="AN101" s="12">
        <f>SUM(I$6:I101)</f>
        <v>370600</v>
      </c>
      <c r="AO101" s="8">
        <f>SUM(Q$6:Q101)</f>
        <v>212</v>
      </c>
      <c r="AP101" s="12">
        <f t="shared" si="19"/>
        <v>-325.42743203544524</v>
      </c>
      <c r="AS101" s="12">
        <v>95</v>
      </c>
      <c r="AT101" s="12">
        <v>20</v>
      </c>
      <c r="AU101" s="12">
        <f t="shared" si="24"/>
        <v>1910</v>
      </c>
      <c r="AV101" s="12">
        <f t="shared" si="25"/>
        <v>0</v>
      </c>
      <c r="AW101" s="12">
        <f>INDEX($AO$6:$AO$215,MATCH(BC101,$F$6:$F$215,0))</f>
        <v>467</v>
      </c>
      <c r="AX101" s="12">
        <f t="shared" si="26"/>
        <v>1135512.1739951316</v>
      </c>
      <c r="AY101" s="12">
        <f t="shared" si="21"/>
        <v>7650</v>
      </c>
      <c r="AZ101" s="12">
        <f t="shared" si="22"/>
        <v>10740.72380952381</v>
      </c>
      <c r="BA101" s="12">
        <f>AX101+SUM($AY$6:AY101)+SUM($AZ$6:AZ101)</f>
        <v>2806272.4787570378</v>
      </c>
      <c r="BB101" s="12">
        <f t="shared" si="27"/>
        <v>956200</v>
      </c>
      <c r="BC101" s="12">
        <f t="shared" si="28"/>
        <v>210</v>
      </c>
      <c r="BD101" s="12">
        <f t="shared" si="29"/>
        <v>0</v>
      </c>
      <c r="BE101" s="12">
        <f t="shared" si="30"/>
        <v>211</v>
      </c>
      <c r="BF101" s="12">
        <f t="shared" si="23"/>
        <v>1850072.4787570378</v>
      </c>
    </row>
    <row r="102" spans="6:58" x14ac:dyDescent="0.35">
      <c r="F102" s="12">
        <v>97</v>
      </c>
      <c r="G102" s="8">
        <f>INDEX(验算胜率!$E$6:$I$1005,F102,MATCH($D$16,验算胜率!$E$5:$I$5,0))</f>
        <v>0.5</v>
      </c>
      <c r="H102" s="12">
        <f t="shared" si="16"/>
        <v>2000</v>
      </c>
      <c r="I102" s="12">
        <f t="shared" si="17"/>
        <v>4000</v>
      </c>
      <c r="J102" s="12">
        <v>4</v>
      </c>
      <c r="K102" s="12">
        <v>0</v>
      </c>
      <c r="M102" s="12">
        <f>IF($D$16=验算胜率!$F$5,验算胜率!K102,0)*H102*关卡道具消耗!$D$8/关卡道具消耗!$D$26</f>
        <v>0</v>
      </c>
      <c r="N102" s="12">
        <f>INDEX(关卡奖励!$AH$6:$AH$8,MATCH($D$14,关卡奖励!$W$6:$W$8,0))*H102*IF(G102&lt;0.3,1,2)</f>
        <v>4668</v>
      </c>
      <c r="O102" s="12">
        <f>INDEX(关卡奖励!$AI$9:$AI$11,MATCH($D$14,关卡奖励!$W$9:$W$11,0))*((1/G102)-1)*H102</f>
        <v>394.5</v>
      </c>
      <c r="P102" s="12">
        <f>I102-N102-O102</f>
        <v>-1062.5</v>
      </c>
      <c r="Q102" s="12">
        <f>1/G102</f>
        <v>2</v>
      </c>
      <c r="R102" s="12">
        <f>IFERROR(INDEX(base_v,MATCH($F102,base_k,1)),0)*离线奖励!$C$12</f>
        <v>6750</v>
      </c>
      <c r="S102" s="12">
        <f>IFERROR(INDEX(关卡进度奖励!$I$7:$I$15,MATCH(F102,关卡进度奖励!$D$7:$D$15,0)),0)</f>
        <v>0</v>
      </c>
      <c r="T102" s="12">
        <f>AVERAGE(签到!$E$7:$E$13)*$H102</f>
        <v>8262.0952380952385</v>
      </c>
      <c r="U102" s="12">
        <f>转盘!$C$26*H102*V102/$D$13</f>
        <v>7694.339622641508</v>
      </c>
      <c r="V102" s="12">
        <f t="shared" si="20"/>
        <v>1</v>
      </c>
      <c r="W102" s="12">
        <f>IFERROR(MATCH(INDEX(转盘!$C$17:$F$17,1,MATCH($D$13,转盘!$C$16:$F$16,0))*MAX(F102-转盘!$C$6,0),转盘!$L$9:$L$51,1),0)</f>
        <v>5</v>
      </c>
      <c r="X102" s="12">
        <f>IFERROR(MATCH($F102,gift_k_level,0)^0,0)*进度礼包!$C$17*$H102/$D$13</f>
        <v>0</v>
      </c>
      <c r="Y102" s="12">
        <f>IFERROR(MATCH($F102,turn_k_1,0)^0,0)*转盘!$C$42*$H102/$D$13</f>
        <v>0</v>
      </c>
      <c r="Z102" s="12">
        <f>IFERROR(MATCH($F102,gift_k_level,0)^0,0)*进度礼包!$C$34*$H102/$D$13</f>
        <v>0</v>
      </c>
      <c r="AA102" s="12">
        <f>IFERROR(MATCH($F102,gift_k_time,0)^0,0)*限时礼包!$C$15*$H102/$D$13</f>
        <v>59577.721078756098</v>
      </c>
      <c r="AB102" s="12">
        <f>SUM(H$6:H102)</f>
        <v>162900</v>
      </c>
      <c r="AC102" s="12">
        <f>SUM(N$6:N102)+SUM($M$6:M102)</f>
        <v>279496.5</v>
      </c>
      <c r="AD102" s="12">
        <f>SUM(O$6:O102)</f>
        <v>41758.022249999995</v>
      </c>
      <c r="AE102" s="12">
        <f>SUM($P$6:P102)</f>
        <v>53345.477749999976</v>
      </c>
      <c r="AF102" s="12">
        <f>SUM(U$6:U102)</f>
        <v>33085.660377358487</v>
      </c>
      <c r="AG102" s="12">
        <f>SUM(S$6:S102)</f>
        <v>4500</v>
      </c>
      <c r="AH102" s="12">
        <f>SUM(Y$6:Y102)</f>
        <v>286526.2</v>
      </c>
      <c r="AI102" s="12">
        <f>SUM(X$6:X102)</f>
        <v>14191.229563247609</v>
      </c>
      <c r="AJ102" s="12">
        <f>SUM(Z$6:Z102)</f>
        <v>46017.179570321568</v>
      </c>
      <c r="AK102" s="12">
        <f>SUM(AA$6:AA102)</f>
        <v>271078.63090834022</v>
      </c>
      <c r="AL102" s="12">
        <f>F102</f>
        <v>97</v>
      </c>
      <c r="AM102" s="12">
        <f t="shared" si="18"/>
        <v>383031.41219060606</v>
      </c>
      <c r="AN102" s="12">
        <f>SUM(I$6:I102)</f>
        <v>374600</v>
      </c>
      <c r="AO102" s="8">
        <f>SUM(Q$6:Q102)</f>
        <v>214</v>
      </c>
      <c r="AP102" s="12">
        <f t="shared" si="19"/>
        <v>8431.4121906060609</v>
      </c>
      <c r="AS102" s="12">
        <v>96</v>
      </c>
      <c r="AT102" s="12">
        <v>20</v>
      </c>
      <c r="AU102" s="12">
        <f t="shared" si="24"/>
        <v>1930</v>
      </c>
      <c r="AV102" s="12">
        <f t="shared" si="25"/>
        <v>0</v>
      </c>
      <c r="AW102" s="12">
        <f>INDEX($AO$6:$AO$215,MATCH(BC102,$F$6:$F$215,0))</f>
        <v>467</v>
      </c>
      <c r="AX102" s="12">
        <f t="shared" si="26"/>
        <v>1135512.1739951316</v>
      </c>
      <c r="AY102" s="12">
        <f t="shared" si="21"/>
        <v>7650</v>
      </c>
      <c r="AZ102" s="12">
        <f t="shared" si="22"/>
        <v>10740.72380952381</v>
      </c>
      <c r="BA102" s="12">
        <f>AX102+SUM($AY$6:AY102)+SUM($AZ$6:AZ102)</f>
        <v>2824663.2025665618</v>
      </c>
      <c r="BB102" s="12">
        <f t="shared" si="27"/>
        <v>956200</v>
      </c>
      <c r="BC102" s="12">
        <f t="shared" si="28"/>
        <v>210</v>
      </c>
      <c r="BD102" s="12">
        <f t="shared" si="29"/>
        <v>0</v>
      </c>
      <c r="BE102" s="12">
        <f t="shared" si="30"/>
        <v>211</v>
      </c>
      <c r="BF102" s="12">
        <f t="shared" si="23"/>
        <v>1868463.2025665618</v>
      </c>
    </row>
    <row r="103" spans="6:58" x14ac:dyDescent="0.35">
      <c r="F103" s="12">
        <v>98</v>
      </c>
      <c r="G103" s="8">
        <f>INDEX(验算胜率!$E$6:$I$1005,F103,MATCH($D$16,验算胜率!$E$5:$I$5,0))</f>
        <v>0.5</v>
      </c>
      <c r="H103" s="12">
        <f t="shared" si="16"/>
        <v>2000</v>
      </c>
      <c r="I103" s="12">
        <f t="shared" si="17"/>
        <v>4000</v>
      </c>
      <c r="J103" s="12">
        <v>4</v>
      </c>
      <c r="K103" s="12">
        <v>0</v>
      </c>
      <c r="M103" s="12">
        <f>IF($D$16=验算胜率!$F$5,验算胜率!K103,0)*H103*关卡道具消耗!$D$8/关卡道具消耗!$D$26</f>
        <v>0</v>
      </c>
      <c r="N103" s="12">
        <f>INDEX(关卡奖励!$AH$6:$AH$8,MATCH($D$14,关卡奖励!$W$6:$W$8,0))*H103*IF(G103&lt;0.3,1,2)</f>
        <v>4668</v>
      </c>
      <c r="O103" s="12">
        <f>INDEX(关卡奖励!$AI$9:$AI$11,MATCH($D$14,关卡奖励!$W$9:$W$11,0))*((1/G103)-1)*H103</f>
        <v>394.5</v>
      </c>
      <c r="P103" s="12">
        <f>I103-N103-O103</f>
        <v>-1062.5</v>
      </c>
      <c r="Q103" s="12">
        <f>1/G103</f>
        <v>2</v>
      </c>
      <c r="R103" s="12">
        <f>IFERROR(INDEX(base_v,MATCH($F103,base_k,1)),0)*离线奖励!$C$12</f>
        <v>6750</v>
      </c>
      <c r="S103" s="12">
        <f>IFERROR(INDEX(关卡进度奖励!$I$7:$I$15,MATCH(F103,关卡进度奖励!$D$7:$D$15,0)),0)</f>
        <v>0</v>
      </c>
      <c r="T103" s="12">
        <f>AVERAGE(签到!$E$7:$E$13)*$H103</f>
        <v>8262.0952380952385</v>
      </c>
      <c r="U103" s="12">
        <f>转盘!$C$26*H103*V103/$D$13</f>
        <v>0</v>
      </c>
      <c r="V103" s="12">
        <f t="shared" si="20"/>
        <v>0</v>
      </c>
      <c r="W103" s="12">
        <f>IFERROR(MATCH(INDEX(转盘!$C$17:$F$17,1,MATCH($D$13,转盘!$C$16:$F$16,0))*MAX(F103-转盘!$C$6,0),转盘!$L$9:$L$51,1),0)</f>
        <v>5</v>
      </c>
      <c r="X103" s="12">
        <f>IFERROR(MATCH($F103,gift_k_level,0)^0,0)*进度礼包!$C$17*$H103/$D$13</f>
        <v>0</v>
      </c>
      <c r="Y103" s="12">
        <f>IFERROR(MATCH($F103,turn_k_1,0)^0,0)*转盘!$C$42*$H103/$D$13</f>
        <v>0</v>
      </c>
      <c r="Z103" s="12">
        <f>IFERROR(MATCH($F103,gift_k_level,0)^0,0)*进度礼包!$C$34*$H103/$D$13</f>
        <v>0</v>
      </c>
      <c r="AA103" s="12">
        <f>IFERROR(MATCH($F103,gift_k_time,0)^0,0)*限时礼包!$C$15*$H103/$D$13</f>
        <v>0</v>
      </c>
      <c r="AB103" s="12">
        <f>SUM(H$6:H103)</f>
        <v>164900</v>
      </c>
      <c r="AC103" s="12">
        <f>SUM(N$6:N103)+SUM($M$6:M103)</f>
        <v>284164.5</v>
      </c>
      <c r="AD103" s="12">
        <f>SUM(O$6:O103)</f>
        <v>42152.522249999995</v>
      </c>
      <c r="AE103" s="12">
        <f>SUM($P$6:P103)</f>
        <v>52282.977749999976</v>
      </c>
      <c r="AF103" s="12">
        <f>SUM(U$6:U103)</f>
        <v>33085.660377358487</v>
      </c>
      <c r="AG103" s="12">
        <f>SUM(S$6:S103)</f>
        <v>4500</v>
      </c>
      <c r="AH103" s="12">
        <f>SUM(Y$6:Y103)</f>
        <v>286526.2</v>
      </c>
      <c r="AI103" s="12">
        <f>SUM(X$6:X103)</f>
        <v>14191.229563247609</v>
      </c>
      <c r="AJ103" s="12">
        <f>SUM(Z$6:Z103)</f>
        <v>46017.179570321568</v>
      </c>
      <c r="AK103" s="12">
        <f>SUM(AA$6:AA103)</f>
        <v>271078.63090834022</v>
      </c>
      <c r="AL103" s="12">
        <f>F103</f>
        <v>98</v>
      </c>
      <c r="AM103" s="12">
        <f t="shared" si="18"/>
        <v>388093.91219060606</v>
      </c>
      <c r="AN103" s="12">
        <f>SUM(I$6:I103)</f>
        <v>378600</v>
      </c>
      <c r="AO103" s="8">
        <f>SUM(Q$6:Q103)</f>
        <v>216</v>
      </c>
      <c r="AP103" s="12">
        <f t="shared" si="19"/>
        <v>9493.9121906060609</v>
      </c>
      <c r="AS103" s="12">
        <v>97</v>
      </c>
      <c r="AT103" s="12">
        <v>20</v>
      </c>
      <c r="AU103" s="12">
        <f t="shared" si="24"/>
        <v>1950</v>
      </c>
      <c r="AV103" s="12">
        <f t="shared" si="25"/>
        <v>0</v>
      </c>
      <c r="AW103" s="12">
        <f>INDEX($AO$6:$AO$215,MATCH(BC103,$F$6:$F$215,0))</f>
        <v>467</v>
      </c>
      <c r="AX103" s="12">
        <f t="shared" si="26"/>
        <v>1135512.1739951316</v>
      </c>
      <c r="AY103" s="12">
        <f t="shared" si="21"/>
        <v>7650</v>
      </c>
      <c r="AZ103" s="12">
        <f t="shared" si="22"/>
        <v>10740.72380952381</v>
      </c>
      <c r="BA103" s="12">
        <f>AX103+SUM($AY$6:AY103)+SUM($AZ$6:AZ103)</f>
        <v>2843053.9263760857</v>
      </c>
      <c r="BB103" s="12">
        <f t="shared" si="27"/>
        <v>956200</v>
      </c>
      <c r="BC103" s="12">
        <f t="shared" si="28"/>
        <v>210</v>
      </c>
      <c r="BD103" s="12">
        <f t="shared" si="29"/>
        <v>0</v>
      </c>
      <c r="BE103" s="12">
        <f t="shared" si="30"/>
        <v>211</v>
      </c>
      <c r="BF103" s="12">
        <f t="shared" si="23"/>
        <v>1886853.9263760857</v>
      </c>
    </row>
    <row r="104" spans="6:58" x14ac:dyDescent="0.35">
      <c r="F104" s="12">
        <v>99</v>
      </c>
      <c r="G104" s="8">
        <f>INDEX(验算胜率!$E$6:$I$1005,F104,MATCH($D$16,验算胜率!$E$5:$I$5,0))</f>
        <v>0.2</v>
      </c>
      <c r="H104" s="12">
        <f t="shared" si="16"/>
        <v>2000</v>
      </c>
      <c r="I104" s="12">
        <f t="shared" si="17"/>
        <v>10000</v>
      </c>
      <c r="J104" s="12">
        <v>4</v>
      </c>
      <c r="K104" s="12">
        <v>1</v>
      </c>
      <c r="M104" s="12">
        <f>IF($D$16=验算胜率!$F$5,验算胜率!K104,0)*H104*关卡道具消耗!$D$8/关卡道具消耗!$D$26</f>
        <v>0</v>
      </c>
      <c r="N104" s="12">
        <f>INDEX(关卡奖励!$AH$6:$AH$8,MATCH($D$14,关卡奖励!$W$6:$W$8,0))*H104*IF(G104&lt;0.3,1,2)</f>
        <v>2334</v>
      </c>
      <c r="O104" s="12">
        <f>INDEX(关卡奖励!$AI$9:$AI$11,MATCH($D$14,关卡奖励!$W$9:$W$11,0))*((1/G104)-1)*H104</f>
        <v>1578</v>
      </c>
      <c r="P104" s="12">
        <f>I104-N104-O104</f>
        <v>6088</v>
      </c>
      <c r="Q104" s="12">
        <f>1/G104</f>
        <v>5</v>
      </c>
      <c r="R104" s="12">
        <f>IFERROR(INDEX(base_v,MATCH($F104,base_k,1)),0)*离线奖励!$C$12</f>
        <v>6750</v>
      </c>
      <c r="S104" s="12">
        <f>IFERROR(INDEX(关卡进度奖励!$I$7:$I$15,MATCH(F104,关卡进度奖励!$D$7:$D$15,0)),0)</f>
        <v>2000</v>
      </c>
      <c r="T104" s="12">
        <f>AVERAGE(签到!$E$7:$E$13)*$H104</f>
        <v>8262.0952380952385</v>
      </c>
      <c r="U104" s="12">
        <f>转盘!$C$26*H104*V104/$D$13</f>
        <v>0</v>
      </c>
      <c r="V104" s="12">
        <f t="shared" si="20"/>
        <v>0</v>
      </c>
      <c r="W104" s="12">
        <f>IFERROR(MATCH(INDEX(转盘!$C$17:$F$17,1,MATCH($D$13,转盘!$C$16:$F$16,0))*MAX(F104-转盘!$C$6,0),转盘!$L$9:$L$51,1),0)</f>
        <v>5</v>
      </c>
      <c r="X104" s="12">
        <f>IFERROR(MATCH($F104,gift_k_level,0)^0,0)*进度礼包!$C$17*$H104/$D$13</f>
        <v>0</v>
      </c>
      <c r="Y104" s="12">
        <f>IFERROR(MATCH($F104,turn_k_1,0)^0,0)*转盘!$C$42*$H104/$D$13</f>
        <v>0</v>
      </c>
      <c r="Z104" s="12">
        <f>IFERROR(MATCH($F104,gift_k_level,0)^0,0)*进度礼包!$C$34*$H104/$D$13</f>
        <v>0</v>
      </c>
      <c r="AA104" s="12">
        <f>IFERROR(MATCH($F104,gift_k_time,0)^0,0)*限时礼包!$C$15*$H104/$D$13</f>
        <v>0</v>
      </c>
      <c r="AB104" s="12">
        <f>SUM(H$6:H104)</f>
        <v>166900</v>
      </c>
      <c r="AC104" s="12">
        <f>SUM(N$6:N104)+SUM($M$6:M104)</f>
        <v>286498.5</v>
      </c>
      <c r="AD104" s="12">
        <f>SUM(O$6:O104)</f>
        <v>43730.522249999995</v>
      </c>
      <c r="AE104" s="12">
        <f>SUM($P$6:P104)</f>
        <v>58370.977749999976</v>
      </c>
      <c r="AF104" s="12">
        <f>SUM(U$6:U104)</f>
        <v>33085.660377358487</v>
      </c>
      <c r="AG104" s="12">
        <f>SUM(S$6:S104)</f>
        <v>6500</v>
      </c>
      <c r="AH104" s="12">
        <f>SUM(Y$6:Y104)</f>
        <v>286526.2</v>
      </c>
      <c r="AI104" s="12">
        <f>SUM(X$6:X104)</f>
        <v>14191.229563247609</v>
      </c>
      <c r="AJ104" s="12">
        <f>SUM(Z$6:Z104)</f>
        <v>46017.179570321568</v>
      </c>
      <c r="AK104" s="12">
        <f>SUM(AA$6:AA104)</f>
        <v>271078.63090834022</v>
      </c>
      <c r="AL104" s="12">
        <f>F104</f>
        <v>99</v>
      </c>
      <c r="AM104" s="12">
        <f t="shared" si="18"/>
        <v>394005.91219060606</v>
      </c>
      <c r="AN104" s="12">
        <f>SUM(I$6:I104)</f>
        <v>388600</v>
      </c>
      <c r="AO104" s="8">
        <f>SUM(Q$6:Q104)</f>
        <v>221</v>
      </c>
      <c r="AP104" s="12">
        <f t="shared" si="19"/>
        <v>5405.9121906060609</v>
      </c>
      <c r="AS104" s="12">
        <v>98</v>
      </c>
      <c r="AT104" s="12">
        <v>20</v>
      </c>
      <c r="AU104" s="12">
        <f t="shared" si="24"/>
        <v>1970</v>
      </c>
      <c r="AV104" s="12">
        <f t="shared" si="25"/>
        <v>0</v>
      </c>
      <c r="AW104" s="12">
        <f>INDEX($AO$6:$AO$215,MATCH(BC104,$F$6:$F$215,0))</f>
        <v>467</v>
      </c>
      <c r="AX104" s="12">
        <f t="shared" si="26"/>
        <v>1135512.1739951316</v>
      </c>
      <c r="AY104" s="12">
        <f t="shared" si="21"/>
        <v>7650</v>
      </c>
      <c r="AZ104" s="12">
        <f t="shared" si="22"/>
        <v>10740.72380952381</v>
      </c>
      <c r="BA104" s="12">
        <f>AX104+SUM($AY$6:AY104)+SUM($AZ$6:AZ104)</f>
        <v>2861444.6501856097</v>
      </c>
      <c r="BB104" s="12">
        <f t="shared" si="27"/>
        <v>956200</v>
      </c>
      <c r="BC104" s="12">
        <f t="shared" si="28"/>
        <v>210</v>
      </c>
      <c r="BD104" s="12">
        <f t="shared" si="29"/>
        <v>0</v>
      </c>
      <c r="BE104" s="12">
        <f t="shared" si="30"/>
        <v>211</v>
      </c>
      <c r="BF104" s="12">
        <f t="shared" si="23"/>
        <v>1905244.6501856097</v>
      </c>
    </row>
    <row r="105" spans="6:58" x14ac:dyDescent="0.35">
      <c r="F105" s="12">
        <v>100</v>
      </c>
      <c r="G105" s="8">
        <f>INDEX(验算胜率!$E$6:$I$1005,F105,MATCH($D$16,验算胜率!$E$5:$I$5,0))</f>
        <v>0.5</v>
      </c>
      <c r="H105" s="12">
        <f t="shared" si="16"/>
        <v>2200</v>
      </c>
      <c r="I105" s="12">
        <f t="shared" si="17"/>
        <v>4400</v>
      </c>
      <c r="J105" s="12">
        <v>4</v>
      </c>
      <c r="K105" s="12">
        <v>2</v>
      </c>
      <c r="M105" s="12">
        <f>IF($D$16=验算胜率!$F$5,验算胜率!K105,0)*H105*关卡道具消耗!$D$8/关卡道具消耗!$D$26</f>
        <v>0</v>
      </c>
      <c r="N105" s="12">
        <f>INDEX(关卡奖励!$AH$6:$AH$8,MATCH($D$14,关卡奖励!$W$6:$W$8,0))*H105*IF(G105&lt;0.3,1,2)</f>
        <v>5134.8</v>
      </c>
      <c r="O105" s="12">
        <f>INDEX(关卡奖励!$AI$9:$AI$11,MATCH($D$14,关卡奖励!$W$9:$W$11,0))*((1/G105)-1)*H105</f>
        <v>433.95000000000005</v>
      </c>
      <c r="P105" s="12">
        <f>I105-N105-O105</f>
        <v>-1168.7500000000002</v>
      </c>
      <c r="Q105" s="12">
        <f>1/G105</f>
        <v>2</v>
      </c>
      <c r="R105" s="12">
        <f>IFERROR(INDEX(base_v,MATCH($F105,base_k,1)),0)*离线奖励!$C$12</f>
        <v>6750</v>
      </c>
      <c r="S105" s="12">
        <f>IFERROR(INDEX(关卡进度奖励!$I$7:$I$15,MATCH(F105,关卡进度奖励!$D$7:$D$15,0)),0)</f>
        <v>0</v>
      </c>
      <c r="T105" s="12">
        <f>AVERAGE(签到!$E$7:$E$13)*$H105</f>
        <v>9088.3047619047611</v>
      </c>
      <c r="U105" s="12">
        <f>转盘!$C$26*H105*V105/$D$13</f>
        <v>0</v>
      </c>
      <c r="V105" s="12">
        <f t="shared" si="20"/>
        <v>0</v>
      </c>
      <c r="W105" s="12">
        <f>IFERROR(MATCH(INDEX(转盘!$C$17:$F$17,1,MATCH($D$13,转盘!$C$16:$F$16,0))*MAX(F105-转盘!$C$6,0),转盘!$L$9:$L$51,1),0)</f>
        <v>5</v>
      </c>
      <c r="X105" s="12">
        <f>IFERROR(MATCH($F105,gift_k_level,0)^0,0)*进度礼包!$C$17*$H105/$D$13</f>
        <v>0</v>
      </c>
      <c r="Y105" s="12">
        <f>IFERROR(MATCH($F105,turn_k_1,0)^0,0)*转盘!$C$42*$H105/$D$13</f>
        <v>0</v>
      </c>
      <c r="Z105" s="12">
        <f>IFERROR(MATCH($F105,gift_k_level,0)^0,0)*进度礼包!$C$34*$H105/$D$13</f>
        <v>0</v>
      </c>
      <c r="AA105" s="12">
        <f>IFERROR(MATCH($F105,gift_k_time,0)^0,0)*限时礼包!$C$15*$H105/$D$13</f>
        <v>0</v>
      </c>
      <c r="AB105" s="12">
        <f>SUM(H$6:H105)</f>
        <v>169100</v>
      </c>
      <c r="AC105" s="12">
        <f>SUM(N$6:N105)+SUM($M$6:M105)</f>
        <v>291633.3</v>
      </c>
      <c r="AD105" s="12">
        <f>SUM(O$6:O105)</f>
        <v>44164.472249999992</v>
      </c>
      <c r="AE105" s="12">
        <f>SUM($P$6:P105)</f>
        <v>57202.227749999976</v>
      </c>
      <c r="AF105" s="12">
        <f>SUM(U$6:U105)</f>
        <v>33085.660377358487</v>
      </c>
      <c r="AG105" s="12">
        <f>SUM(S$6:S105)</f>
        <v>6500</v>
      </c>
      <c r="AH105" s="12">
        <f>SUM(Y$6:Y105)</f>
        <v>286526.2</v>
      </c>
      <c r="AI105" s="12">
        <f>SUM(X$6:X105)</f>
        <v>14191.229563247609</v>
      </c>
      <c r="AJ105" s="12">
        <f>SUM(Z$6:Z105)</f>
        <v>46017.179570321568</v>
      </c>
      <c r="AK105" s="12">
        <f>SUM(AA$6:AA105)</f>
        <v>271078.63090834022</v>
      </c>
      <c r="AL105" s="12">
        <f>F105</f>
        <v>100</v>
      </c>
      <c r="AM105" s="12">
        <f t="shared" si="18"/>
        <v>399574.66219060606</v>
      </c>
      <c r="AN105" s="12">
        <f>SUM(I$6:I105)</f>
        <v>393000</v>
      </c>
      <c r="AO105" s="8">
        <f>SUM(Q$6:Q105)</f>
        <v>223</v>
      </c>
      <c r="AP105" s="12">
        <f t="shared" si="19"/>
        <v>6574.6621906060609</v>
      </c>
      <c r="AS105" s="12">
        <v>99</v>
      </c>
      <c r="AT105" s="12">
        <v>20</v>
      </c>
      <c r="AU105" s="12">
        <f t="shared" si="24"/>
        <v>1990</v>
      </c>
      <c r="AV105" s="12">
        <f t="shared" si="25"/>
        <v>0</v>
      </c>
      <c r="AW105" s="12">
        <f>INDEX($AO$6:$AO$215,MATCH(BC105,$F$6:$F$215,0))</f>
        <v>467</v>
      </c>
      <c r="AX105" s="12">
        <f t="shared" si="26"/>
        <v>1135512.1739951316</v>
      </c>
      <c r="AY105" s="12">
        <f t="shared" si="21"/>
        <v>7650</v>
      </c>
      <c r="AZ105" s="12">
        <f t="shared" si="22"/>
        <v>10740.72380952381</v>
      </c>
      <c r="BA105" s="12">
        <f>AX105+SUM($AY$6:AY105)+SUM($AZ$6:AZ105)</f>
        <v>2879835.3739951337</v>
      </c>
      <c r="BB105" s="12">
        <f t="shared" si="27"/>
        <v>956200</v>
      </c>
      <c r="BC105" s="12">
        <f t="shared" si="28"/>
        <v>210</v>
      </c>
      <c r="BD105" s="12">
        <f t="shared" si="29"/>
        <v>0</v>
      </c>
      <c r="BE105" s="12">
        <f t="shared" si="30"/>
        <v>211</v>
      </c>
      <c r="BF105" s="12">
        <f t="shared" si="23"/>
        <v>1923635.3739951337</v>
      </c>
    </row>
    <row r="106" spans="6:58" ht="12.75" customHeight="1" x14ac:dyDescent="0.35">
      <c r="F106" s="12">
        <v>101</v>
      </c>
      <c r="G106" s="8">
        <f>INDEX(验算胜率!$E$6:$I$1005,F106,MATCH($D$16,验算胜率!$E$5:$I$5,0))</f>
        <v>0.5</v>
      </c>
      <c r="H106" s="12">
        <f t="shared" si="16"/>
        <v>2200</v>
      </c>
      <c r="I106" s="12">
        <f t="shared" si="17"/>
        <v>4400</v>
      </c>
      <c r="J106" s="12">
        <v>4</v>
      </c>
      <c r="K106" s="12">
        <v>1</v>
      </c>
      <c r="M106" s="12">
        <f>IF($D$16=验算胜率!$F$5,验算胜率!K106,0)*H106*关卡道具消耗!$D$8/关卡道具消耗!$D$26</f>
        <v>0</v>
      </c>
      <c r="N106" s="12">
        <f>INDEX(关卡奖励!$AH$6:$AH$8,MATCH($D$14,关卡奖励!$W$6:$W$8,0))*H106*IF(G106&lt;0.3,1,2)</f>
        <v>5134.8</v>
      </c>
      <c r="O106" s="12">
        <f>INDEX(关卡奖励!$AI$9:$AI$11,MATCH($D$14,关卡奖励!$W$9:$W$11,0))*((1/G106)-1)*H106</f>
        <v>433.95000000000005</v>
      </c>
      <c r="P106" s="12">
        <f>I106-N106-O106</f>
        <v>-1168.7500000000002</v>
      </c>
      <c r="Q106" s="12">
        <f>1/G106</f>
        <v>2</v>
      </c>
      <c r="R106" s="12">
        <f>IFERROR(INDEX(base_v,MATCH($F106,base_k,1)),0)*离线奖励!$C$12</f>
        <v>6750</v>
      </c>
      <c r="S106" s="12">
        <f>IFERROR(INDEX(关卡进度奖励!$I$7:$I$15,MATCH(F106,关卡进度奖励!$D$7:$D$15,0)),0)</f>
        <v>0</v>
      </c>
      <c r="T106" s="12">
        <f>AVERAGE(签到!$E$7:$E$13)*$H106</f>
        <v>9088.3047619047611</v>
      </c>
      <c r="U106" s="12">
        <f>转盘!$C$26*H106*V106/$D$13</f>
        <v>0</v>
      </c>
      <c r="V106" s="12">
        <f t="shared" si="20"/>
        <v>0</v>
      </c>
      <c r="W106" s="12">
        <f>IFERROR(MATCH(INDEX(转盘!$C$17:$F$17,1,MATCH($D$13,转盘!$C$16:$F$16,0))*MAX(F106-转盘!$C$6,0),转盘!$L$9:$L$51,1),0)</f>
        <v>5</v>
      </c>
      <c r="X106" s="12">
        <f>IFERROR(MATCH($F106,gift_k_level,0)^0,0)*进度礼包!$C$17*$H106/$D$13</f>
        <v>0</v>
      </c>
      <c r="Y106" s="12">
        <f>IFERROR(MATCH($F106,turn_k_1,0)^0,0)*转盘!$C$42*$H106/$D$13</f>
        <v>0</v>
      </c>
      <c r="Z106" s="12">
        <f>IFERROR(MATCH($F106,gift_k_level,0)^0,0)*进度礼包!$C$34*$H106/$D$13</f>
        <v>0</v>
      </c>
      <c r="AA106" s="12">
        <f>IFERROR(MATCH($F106,gift_k_time,0)^0,0)*限时礼包!$C$15*$H106/$D$13</f>
        <v>0</v>
      </c>
      <c r="AB106" s="12">
        <f>SUM(H$6:H106)</f>
        <v>171300</v>
      </c>
      <c r="AC106" s="12">
        <f>SUM(N$6:N106)+SUM($M$6:M106)</f>
        <v>296768.09999999998</v>
      </c>
      <c r="AD106" s="12">
        <f>SUM(O$6:O106)</f>
        <v>44598.422249999989</v>
      </c>
      <c r="AE106" s="12">
        <f>SUM($P$6:P106)</f>
        <v>56033.477749999976</v>
      </c>
      <c r="AF106" s="12">
        <f>SUM(U$6:U106)</f>
        <v>33085.660377358487</v>
      </c>
      <c r="AG106" s="12">
        <f>SUM(S$6:S106)</f>
        <v>6500</v>
      </c>
      <c r="AH106" s="12">
        <f>SUM(Y$6:Y106)</f>
        <v>286526.2</v>
      </c>
      <c r="AI106" s="12">
        <f>SUM(X$6:X106)</f>
        <v>14191.229563247609</v>
      </c>
      <c r="AJ106" s="12">
        <f>SUM(Z$6:Z106)</f>
        <v>46017.179570321568</v>
      </c>
      <c r="AK106" s="12">
        <f>SUM(AA$6:AA106)</f>
        <v>271078.63090834022</v>
      </c>
      <c r="AL106" s="12">
        <f>F106</f>
        <v>101</v>
      </c>
      <c r="AM106" s="12">
        <f t="shared" si="18"/>
        <v>405143.41219060606</v>
      </c>
      <c r="AN106" s="12">
        <f>SUM(I$6:I106)</f>
        <v>397400</v>
      </c>
      <c r="AO106" s="8">
        <f>SUM(Q$6:Q106)</f>
        <v>225</v>
      </c>
      <c r="AP106" s="12">
        <f t="shared" si="19"/>
        <v>7743.4121906060609</v>
      </c>
      <c r="AS106" s="12">
        <v>100</v>
      </c>
      <c r="AT106" s="12">
        <v>20</v>
      </c>
      <c r="AU106" s="12">
        <f t="shared" si="24"/>
        <v>2010</v>
      </c>
      <c r="AV106" s="12">
        <f t="shared" si="25"/>
        <v>0</v>
      </c>
      <c r="AW106" s="12">
        <f>INDEX($AO$6:$AO$215,MATCH(BC106,$F$6:$F$215,0))</f>
        <v>467</v>
      </c>
      <c r="AX106" s="12">
        <f t="shared" si="26"/>
        <v>1135512.1739951316</v>
      </c>
      <c r="AY106" s="12">
        <f t="shared" si="21"/>
        <v>7650</v>
      </c>
      <c r="AZ106" s="12">
        <f t="shared" si="22"/>
        <v>10740.72380952381</v>
      </c>
      <c r="BA106" s="12">
        <f>AX106+SUM($AY$6:AY106)+SUM($AZ$6:AZ106)</f>
        <v>2898226.0978046572</v>
      </c>
      <c r="BB106" s="12">
        <f t="shared" si="27"/>
        <v>956200</v>
      </c>
      <c r="BC106" s="12">
        <f t="shared" si="28"/>
        <v>210</v>
      </c>
      <c r="BD106" s="12">
        <f t="shared" si="29"/>
        <v>0</v>
      </c>
      <c r="BE106" s="12">
        <f t="shared" si="30"/>
        <v>211</v>
      </c>
      <c r="BF106" s="12">
        <f t="shared" si="23"/>
        <v>1942026.0978046572</v>
      </c>
    </row>
    <row r="107" spans="6:58" x14ac:dyDescent="0.35">
      <c r="F107" s="12">
        <v>102</v>
      </c>
      <c r="G107" s="8">
        <f>INDEX(验算胜率!$E$6:$I$1005,F107,MATCH($D$16,验算胜率!$E$5:$I$5,0))</f>
        <v>0.5</v>
      </c>
      <c r="H107" s="12">
        <f t="shared" si="16"/>
        <v>2200</v>
      </c>
      <c r="I107" s="12">
        <f t="shared" si="17"/>
        <v>4400</v>
      </c>
      <c r="J107" s="12">
        <v>4</v>
      </c>
      <c r="K107" s="12">
        <v>1</v>
      </c>
      <c r="M107" s="12">
        <f>IF($D$16=验算胜率!$F$5,验算胜率!K107,0)*H107*关卡道具消耗!$D$8/关卡道具消耗!$D$26</f>
        <v>0</v>
      </c>
      <c r="N107" s="12">
        <f>INDEX(关卡奖励!$AH$6:$AH$8,MATCH($D$14,关卡奖励!$W$6:$W$8,0))*H107*IF(G107&lt;0.3,1,2)</f>
        <v>5134.8</v>
      </c>
      <c r="O107" s="12">
        <f>INDEX(关卡奖励!$AI$9:$AI$11,MATCH($D$14,关卡奖励!$W$9:$W$11,0))*((1/G107)-1)*H107</f>
        <v>433.95000000000005</v>
      </c>
      <c r="P107" s="12">
        <f>I107-N107-O107</f>
        <v>-1168.7500000000002</v>
      </c>
      <c r="Q107" s="12">
        <f>1/G107</f>
        <v>2</v>
      </c>
      <c r="R107" s="12">
        <f>IFERROR(INDEX(base_v,MATCH($F107,base_k,1)),0)*离线奖励!$C$12</f>
        <v>6750</v>
      </c>
      <c r="S107" s="12">
        <f>IFERROR(INDEX(关卡进度奖励!$I$7:$I$15,MATCH(F107,关卡进度奖励!$D$7:$D$15,0)),0)</f>
        <v>0</v>
      </c>
      <c r="T107" s="12">
        <f>AVERAGE(签到!$E$7:$E$13)*$H107</f>
        <v>9088.3047619047611</v>
      </c>
      <c r="U107" s="12">
        <f>转盘!$C$26*H107*V107/$D$13</f>
        <v>0</v>
      </c>
      <c r="V107" s="12">
        <f t="shared" si="20"/>
        <v>0</v>
      </c>
      <c r="W107" s="12">
        <f>IFERROR(MATCH(INDEX(转盘!$C$17:$F$17,1,MATCH($D$13,转盘!$C$16:$F$16,0))*MAX(F107-转盘!$C$6,0),转盘!$L$9:$L$51,1),0)</f>
        <v>5</v>
      </c>
      <c r="X107" s="12">
        <f>IFERROR(MATCH($F107,gift_k_level,0)^0,0)*进度礼包!$C$17*$H107/$D$13</f>
        <v>0</v>
      </c>
      <c r="Y107" s="12">
        <f>IFERROR(MATCH($F107,turn_k_1,0)^0,0)*转盘!$C$42*$H107/$D$13</f>
        <v>0</v>
      </c>
      <c r="Z107" s="12">
        <f>IFERROR(MATCH($F107,gift_k_level,0)^0,0)*进度礼包!$C$34*$H107/$D$13</f>
        <v>0</v>
      </c>
      <c r="AA107" s="12">
        <f>IFERROR(MATCH($F107,gift_k_time,0)^0,0)*限时礼包!$C$15*$H107/$D$13</f>
        <v>0</v>
      </c>
      <c r="AB107" s="12">
        <f>SUM(H$6:H107)</f>
        <v>173500</v>
      </c>
      <c r="AC107" s="12">
        <f>SUM(N$6:N107)+SUM($M$6:M107)</f>
        <v>301902.89999999997</v>
      </c>
      <c r="AD107" s="12">
        <f>SUM(O$6:O107)</f>
        <v>45032.372249999986</v>
      </c>
      <c r="AE107" s="12">
        <f>SUM($P$6:P107)</f>
        <v>54864.727749999976</v>
      </c>
      <c r="AF107" s="12">
        <f>SUM(U$6:U107)</f>
        <v>33085.660377358487</v>
      </c>
      <c r="AG107" s="12">
        <f>SUM(S$6:S107)</f>
        <v>6500</v>
      </c>
      <c r="AH107" s="12">
        <f>SUM(Y$6:Y107)</f>
        <v>286526.2</v>
      </c>
      <c r="AI107" s="12">
        <f>SUM(X$6:X107)</f>
        <v>14191.229563247609</v>
      </c>
      <c r="AJ107" s="12">
        <f>SUM(Z$6:Z107)</f>
        <v>46017.179570321568</v>
      </c>
      <c r="AK107" s="12">
        <f>SUM(AA$6:AA107)</f>
        <v>271078.63090834022</v>
      </c>
      <c r="AL107" s="12">
        <f>F107</f>
        <v>102</v>
      </c>
      <c r="AM107" s="12">
        <f t="shared" si="18"/>
        <v>410712.162190606</v>
      </c>
      <c r="AN107" s="12">
        <f>SUM(I$6:I107)</f>
        <v>401800</v>
      </c>
      <c r="AO107" s="8">
        <f>SUM(Q$6:Q107)</f>
        <v>227</v>
      </c>
      <c r="AP107" s="12">
        <f t="shared" si="19"/>
        <v>8912.1621906060027</v>
      </c>
      <c r="AS107" s="12">
        <v>101</v>
      </c>
      <c r="AT107" s="12">
        <v>20</v>
      </c>
      <c r="AU107" s="12">
        <f t="shared" si="24"/>
        <v>2030</v>
      </c>
      <c r="AV107" s="12">
        <f t="shared" si="25"/>
        <v>0</v>
      </c>
      <c r="AW107" s="12">
        <f>INDEX($AO$6:$AO$215,MATCH(BC107,$F$6:$F$215,0))</f>
        <v>467</v>
      </c>
      <c r="AX107" s="12">
        <f t="shared" si="26"/>
        <v>1135512.1739951316</v>
      </c>
      <c r="AY107" s="12">
        <f t="shared" si="21"/>
        <v>7650</v>
      </c>
      <c r="AZ107" s="12">
        <f t="shared" si="22"/>
        <v>10740.72380952381</v>
      </c>
      <c r="BA107" s="12">
        <f>AX107+SUM($AY$6:AY107)+SUM($AZ$6:AZ107)</f>
        <v>2916616.8216141812</v>
      </c>
      <c r="BB107" s="12">
        <f t="shared" si="27"/>
        <v>956200</v>
      </c>
      <c r="BC107" s="12">
        <f t="shared" si="28"/>
        <v>210</v>
      </c>
      <c r="BD107" s="12">
        <f t="shared" si="29"/>
        <v>0</v>
      </c>
      <c r="BE107" s="12">
        <f t="shared" si="30"/>
        <v>211</v>
      </c>
      <c r="BF107" s="12">
        <f t="shared" si="23"/>
        <v>1960416.8216141812</v>
      </c>
    </row>
    <row r="108" spans="6:58" x14ac:dyDescent="0.35">
      <c r="F108" s="12">
        <v>103</v>
      </c>
      <c r="G108" s="8">
        <f>INDEX(验算胜率!$E$6:$I$1005,F108,MATCH($D$16,验算胜率!$E$5:$I$5,0))</f>
        <v>0.5</v>
      </c>
      <c r="H108" s="12">
        <f t="shared" si="16"/>
        <v>2200</v>
      </c>
      <c r="I108" s="12">
        <f t="shared" si="17"/>
        <v>4400</v>
      </c>
      <c r="J108" s="12">
        <v>4</v>
      </c>
      <c r="K108" s="12">
        <v>0</v>
      </c>
      <c r="M108" s="12">
        <f>IF($D$16=验算胜率!$F$5,验算胜率!K108,0)*H108*关卡道具消耗!$D$8/关卡道具消耗!$D$26</f>
        <v>0</v>
      </c>
      <c r="N108" s="12">
        <f>INDEX(关卡奖励!$AH$6:$AH$8,MATCH($D$14,关卡奖励!$W$6:$W$8,0))*H108*IF(G108&lt;0.3,1,2)</f>
        <v>5134.8</v>
      </c>
      <c r="O108" s="12">
        <f>INDEX(关卡奖励!$AI$9:$AI$11,MATCH($D$14,关卡奖励!$W$9:$W$11,0))*((1/G108)-1)*H108</f>
        <v>433.95000000000005</v>
      </c>
      <c r="P108" s="12">
        <f>I108-N108-O108</f>
        <v>-1168.7500000000002</v>
      </c>
      <c r="Q108" s="12">
        <f>1/G108</f>
        <v>2</v>
      </c>
      <c r="R108" s="12">
        <f>IFERROR(INDEX(base_v,MATCH($F108,base_k,1)),0)*离线奖励!$C$12</f>
        <v>6750</v>
      </c>
      <c r="S108" s="12">
        <f>IFERROR(INDEX(关卡进度奖励!$I$7:$I$15,MATCH(F108,关卡进度奖励!$D$7:$D$15,0)),0)</f>
        <v>0</v>
      </c>
      <c r="T108" s="12">
        <f>AVERAGE(签到!$E$7:$E$13)*$H108</f>
        <v>9088.3047619047611</v>
      </c>
      <c r="U108" s="12">
        <f>转盘!$C$26*H108*V108/$D$13</f>
        <v>0</v>
      </c>
      <c r="V108" s="12">
        <f t="shared" si="20"/>
        <v>0</v>
      </c>
      <c r="W108" s="12">
        <f>IFERROR(MATCH(INDEX(转盘!$C$17:$F$17,1,MATCH($D$13,转盘!$C$16:$F$16,0))*MAX(F108-转盘!$C$6,0),转盘!$L$9:$L$51,1),0)</f>
        <v>5</v>
      </c>
      <c r="X108" s="12">
        <f>IFERROR(MATCH($F108,gift_k_level,0)^0,0)*进度礼包!$C$17*$H108/$D$13</f>
        <v>0</v>
      </c>
      <c r="Y108" s="12">
        <f>IFERROR(MATCH($F108,turn_k_1,0)^0,0)*转盘!$C$42*$H108/$D$13</f>
        <v>0</v>
      </c>
      <c r="Z108" s="12">
        <f>IFERROR(MATCH($F108,gift_k_level,0)^0,0)*进度礼包!$C$34*$H108/$D$13</f>
        <v>0</v>
      </c>
      <c r="AA108" s="12">
        <f>IFERROR(MATCH($F108,gift_k_time,0)^0,0)*限时礼包!$C$15*$H108/$D$13</f>
        <v>0</v>
      </c>
      <c r="AB108" s="12">
        <f>SUM(H$6:H108)</f>
        <v>175700</v>
      </c>
      <c r="AC108" s="12">
        <f>SUM(N$6:N108)+SUM($M$6:M108)</f>
        <v>307037.69999999995</v>
      </c>
      <c r="AD108" s="12">
        <f>SUM(O$6:O108)</f>
        <v>45466.322249999983</v>
      </c>
      <c r="AE108" s="12">
        <f>SUM($P$6:P108)</f>
        <v>53695.977749999976</v>
      </c>
      <c r="AF108" s="12">
        <f>SUM(U$6:U108)</f>
        <v>33085.660377358487</v>
      </c>
      <c r="AG108" s="12">
        <f>SUM(S$6:S108)</f>
        <v>6500</v>
      </c>
      <c r="AH108" s="12">
        <f>SUM(Y$6:Y108)</f>
        <v>286526.2</v>
      </c>
      <c r="AI108" s="12">
        <f>SUM(X$6:X108)</f>
        <v>14191.229563247609</v>
      </c>
      <c r="AJ108" s="12">
        <f>SUM(Z$6:Z108)</f>
        <v>46017.179570321568</v>
      </c>
      <c r="AK108" s="12">
        <f>SUM(AA$6:AA108)</f>
        <v>271078.63090834022</v>
      </c>
      <c r="AL108" s="12">
        <f>F108</f>
        <v>103</v>
      </c>
      <c r="AM108" s="12">
        <f t="shared" si="18"/>
        <v>416280.912190606</v>
      </c>
      <c r="AN108" s="12">
        <f>SUM(I$6:I108)</f>
        <v>406200</v>
      </c>
      <c r="AO108" s="8">
        <f>SUM(Q$6:Q108)</f>
        <v>229</v>
      </c>
      <c r="AP108" s="12">
        <f t="shared" si="19"/>
        <v>10080.912190606003</v>
      </c>
      <c r="AS108" s="12">
        <v>102</v>
      </c>
      <c r="AT108" s="12">
        <v>20</v>
      </c>
      <c r="AU108" s="12">
        <f t="shared" si="24"/>
        <v>2050</v>
      </c>
      <c r="AV108" s="12">
        <f t="shared" si="25"/>
        <v>0</v>
      </c>
      <c r="AW108" s="12">
        <f>INDEX($AO$6:$AO$215,MATCH(BC108,$F$6:$F$215,0))</f>
        <v>467</v>
      </c>
      <c r="AX108" s="12">
        <f t="shared" si="26"/>
        <v>1135512.1739951316</v>
      </c>
      <c r="AY108" s="12">
        <f t="shared" si="21"/>
        <v>7650</v>
      </c>
      <c r="AZ108" s="12">
        <f t="shared" si="22"/>
        <v>10740.72380952381</v>
      </c>
      <c r="BA108" s="12">
        <f>AX108+SUM($AY$6:AY108)+SUM($AZ$6:AZ108)</f>
        <v>2935007.5454237051</v>
      </c>
      <c r="BB108" s="12">
        <f t="shared" si="27"/>
        <v>956200</v>
      </c>
      <c r="BC108" s="12">
        <f t="shared" si="28"/>
        <v>210</v>
      </c>
      <c r="BD108" s="12">
        <f t="shared" si="29"/>
        <v>0</v>
      </c>
      <c r="BE108" s="12">
        <f t="shared" si="30"/>
        <v>211</v>
      </c>
      <c r="BF108" s="12">
        <f t="shared" si="23"/>
        <v>1978807.5454237051</v>
      </c>
    </row>
    <row r="109" spans="6:58" x14ac:dyDescent="0.35">
      <c r="F109" s="12">
        <v>104</v>
      </c>
      <c r="G109" s="8">
        <f>INDEX(验算胜率!$E$6:$I$1005,F109,MATCH($D$16,验算胜率!$E$5:$I$5,0))</f>
        <v>0.2</v>
      </c>
      <c r="H109" s="12">
        <f t="shared" si="16"/>
        <v>2200</v>
      </c>
      <c r="I109" s="12">
        <f t="shared" si="17"/>
        <v>11000</v>
      </c>
      <c r="J109" s="12">
        <v>4</v>
      </c>
      <c r="K109" s="12">
        <v>0</v>
      </c>
      <c r="M109" s="12">
        <f>IF($D$16=验算胜率!$F$5,验算胜率!K109,0)*H109*关卡道具消耗!$D$8/关卡道具消耗!$D$26</f>
        <v>0</v>
      </c>
      <c r="N109" s="12">
        <f>INDEX(关卡奖励!$AH$6:$AH$8,MATCH($D$14,关卡奖励!$W$6:$W$8,0))*H109*IF(G109&lt;0.3,1,2)</f>
        <v>2567.4</v>
      </c>
      <c r="O109" s="12">
        <f>INDEX(关卡奖励!$AI$9:$AI$11,MATCH($D$14,关卡奖励!$W$9:$W$11,0))*((1/G109)-1)*H109</f>
        <v>1735.8000000000002</v>
      </c>
      <c r="P109" s="12">
        <f>I109-N109-O109</f>
        <v>6696.8</v>
      </c>
      <c r="Q109" s="12">
        <f>1/G109</f>
        <v>5</v>
      </c>
      <c r="R109" s="12">
        <f>IFERROR(INDEX(base_v,MATCH($F109,base_k,1)),0)*离线奖励!$C$12</f>
        <v>6750</v>
      </c>
      <c r="S109" s="12">
        <f>IFERROR(INDEX(关卡进度奖励!$I$7:$I$15,MATCH(F109,关卡进度奖励!$D$7:$D$15,0)),0)</f>
        <v>0</v>
      </c>
      <c r="T109" s="12">
        <f>AVERAGE(签到!$E$7:$E$13)*$H109</f>
        <v>9088.3047619047611</v>
      </c>
      <c r="U109" s="12">
        <f>转盘!$C$26*H109*V109/$D$13</f>
        <v>0</v>
      </c>
      <c r="V109" s="12">
        <f t="shared" si="20"/>
        <v>0</v>
      </c>
      <c r="W109" s="12">
        <f>IFERROR(MATCH(INDEX(转盘!$C$17:$F$17,1,MATCH($D$13,转盘!$C$16:$F$16,0))*MAX(F109-转盘!$C$6,0),转盘!$L$9:$L$51,1),0)</f>
        <v>5</v>
      </c>
      <c r="X109" s="12">
        <f>IFERROR(MATCH($F109,gift_k_level,0)^0,0)*进度礼包!$C$17*$H109/$D$13</f>
        <v>0</v>
      </c>
      <c r="Y109" s="12">
        <f>IFERROR(MATCH($F109,turn_k_1,0)^0,0)*转盘!$C$42*$H109/$D$13</f>
        <v>0</v>
      </c>
      <c r="Z109" s="12">
        <f>IFERROR(MATCH($F109,gift_k_level,0)^0,0)*进度礼包!$C$34*$H109/$D$13</f>
        <v>0</v>
      </c>
      <c r="AA109" s="12">
        <f>IFERROR(MATCH($F109,gift_k_time,0)^0,0)*限时礼包!$C$15*$H109/$D$13</f>
        <v>0</v>
      </c>
      <c r="AB109" s="12">
        <f>SUM(H$6:H109)</f>
        <v>177900</v>
      </c>
      <c r="AC109" s="12">
        <f>SUM(N$6:N109)+SUM($M$6:M109)</f>
        <v>309605.09999999998</v>
      </c>
      <c r="AD109" s="12">
        <f>SUM(O$6:O109)</f>
        <v>47202.122249999986</v>
      </c>
      <c r="AE109" s="12">
        <f>SUM($P$6:P109)</f>
        <v>60392.777749999979</v>
      </c>
      <c r="AF109" s="12">
        <f>SUM(U$6:U109)</f>
        <v>33085.660377358487</v>
      </c>
      <c r="AG109" s="12">
        <f>SUM(S$6:S109)</f>
        <v>6500</v>
      </c>
      <c r="AH109" s="12">
        <f>SUM(Y$6:Y109)</f>
        <v>286526.2</v>
      </c>
      <c r="AI109" s="12">
        <f>SUM(X$6:X109)</f>
        <v>14191.229563247609</v>
      </c>
      <c r="AJ109" s="12">
        <f>SUM(Z$6:Z109)</f>
        <v>46017.179570321568</v>
      </c>
      <c r="AK109" s="12">
        <f>SUM(AA$6:AA109)</f>
        <v>271078.63090834022</v>
      </c>
      <c r="AL109" s="12">
        <f>F109</f>
        <v>104</v>
      </c>
      <c r="AM109" s="12">
        <f t="shared" si="18"/>
        <v>420584.11219060607</v>
      </c>
      <c r="AN109" s="12">
        <f>SUM(I$6:I109)</f>
        <v>417200</v>
      </c>
      <c r="AO109" s="8">
        <f>SUM(Q$6:Q109)</f>
        <v>234</v>
      </c>
      <c r="AP109" s="12">
        <f t="shared" si="19"/>
        <v>3384.1121906060725</v>
      </c>
      <c r="AS109" s="12">
        <v>103</v>
      </c>
      <c r="AT109" s="12">
        <v>20</v>
      </c>
      <c r="AU109" s="12">
        <f t="shared" si="24"/>
        <v>2070</v>
      </c>
      <c r="AV109" s="12">
        <f t="shared" si="25"/>
        <v>0</v>
      </c>
      <c r="AW109" s="12">
        <f>INDEX($AO$6:$AO$215,MATCH(BC109,$F$6:$F$215,0))</f>
        <v>467</v>
      </c>
      <c r="AX109" s="12">
        <f t="shared" si="26"/>
        <v>1135512.1739951316</v>
      </c>
      <c r="AY109" s="12">
        <f t="shared" si="21"/>
        <v>7650</v>
      </c>
      <c r="AZ109" s="12">
        <f t="shared" si="22"/>
        <v>10740.72380952381</v>
      </c>
      <c r="BA109" s="12">
        <f>AX109+SUM($AY$6:AY109)+SUM($AZ$6:AZ109)</f>
        <v>2953398.2692332286</v>
      </c>
      <c r="BB109" s="12">
        <f t="shared" si="27"/>
        <v>956200</v>
      </c>
      <c r="BC109" s="12">
        <f t="shared" si="28"/>
        <v>210</v>
      </c>
      <c r="BD109" s="12">
        <f t="shared" si="29"/>
        <v>0</v>
      </c>
      <c r="BE109" s="12">
        <f t="shared" si="30"/>
        <v>211</v>
      </c>
      <c r="BF109" s="12">
        <f t="shared" si="23"/>
        <v>1997198.2692332286</v>
      </c>
    </row>
    <row r="110" spans="6:58" x14ac:dyDescent="0.35">
      <c r="F110" s="12">
        <v>105</v>
      </c>
      <c r="G110" s="8">
        <f>INDEX(验算胜率!$E$6:$I$1005,F110,MATCH($D$16,验算胜率!$E$5:$I$5,0))</f>
        <v>0.5</v>
      </c>
      <c r="H110" s="12">
        <f t="shared" si="16"/>
        <v>2200</v>
      </c>
      <c r="I110" s="12">
        <f t="shared" si="17"/>
        <v>4400</v>
      </c>
      <c r="J110" s="12">
        <v>4</v>
      </c>
      <c r="K110" s="12">
        <v>4</v>
      </c>
      <c r="M110" s="12">
        <f>IF($D$16=验算胜率!$F$5,验算胜率!K110,0)*H110*关卡道具消耗!$D$8/关卡道具消耗!$D$26</f>
        <v>0</v>
      </c>
      <c r="N110" s="12">
        <f>INDEX(关卡奖励!$AH$6:$AH$8,MATCH($D$14,关卡奖励!$W$6:$W$8,0))*H110*IF(G110&lt;0.3,1,2)</f>
        <v>5134.8</v>
      </c>
      <c r="O110" s="12">
        <f>INDEX(关卡奖励!$AI$9:$AI$11,MATCH($D$14,关卡奖励!$W$9:$W$11,0))*((1/G110)-1)*H110</f>
        <v>433.95000000000005</v>
      </c>
      <c r="P110" s="12">
        <f>I110-N110-O110</f>
        <v>-1168.7500000000002</v>
      </c>
      <c r="Q110" s="12">
        <f>1/G110</f>
        <v>2</v>
      </c>
      <c r="R110" s="12">
        <f>IFERROR(INDEX(base_v,MATCH($F110,base_k,1)),0)*离线奖励!$C$12</f>
        <v>6750</v>
      </c>
      <c r="S110" s="12">
        <f>IFERROR(INDEX(关卡进度奖励!$I$7:$I$15,MATCH(F110,关卡进度奖励!$D$7:$D$15,0)),0)</f>
        <v>0</v>
      </c>
      <c r="T110" s="12">
        <f>AVERAGE(签到!$E$7:$E$13)*$H110</f>
        <v>9088.3047619047611</v>
      </c>
      <c r="U110" s="12">
        <f>转盘!$C$26*H110*V110/$D$13</f>
        <v>0</v>
      </c>
      <c r="V110" s="12">
        <f t="shared" si="20"/>
        <v>0</v>
      </c>
      <c r="W110" s="12">
        <f>IFERROR(MATCH(INDEX(转盘!$C$17:$F$17,1,MATCH($D$13,转盘!$C$16:$F$16,0))*MAX(F110-转盘!$C$6,0),转盘!$L$9:$L$51,1),0)</f>
        <v>5</v>
      </c>
      <c r="X110" s="12">
        <f>IFERROR(MATCH($F110,gift_k_level,0)^0,0)*进度礼包!$C$17*$H110/$D$13</f>
        <v>0</v>
      </c>
      <c r="Y110" s="12">
        <f>IFERROR(MATCH($F110,turn_k_1,0)^0,0)*转盘!$C$42*$H110/$D$13</f>
        <v>0</v>
      </c>
      <c r="Z110" s="12">
        <f>IFERROR(MATCH($F110,gift_k_level,0)^0,0)*进度礼包!$C$34*$H110/$D$13</f>
        <v>0</v>
      </c>
      <c r="AA110" s="12">
        <f>IFERROR(MATCH($F110,gift_k_time,0)^0,0)*限时礼包!$C$15*$H110/$D$13</f>
        <v>0</v>
      </c>
      <c r="AB110" s="12">
        <f>SUM(H$6:H110)</f>
        <v>180100</v>
      </c>
      <c r="AC110" s="12">
        <f>SUM(N$6:N110)+SUM($M$6:M110)</f>
        <v>314739.89999999997</v>
      </c>
      <c r="AD110" s="12">
        <f>SUM(O$6:O110)</f>
        <v>47636.072249999983</v>
      </c>
      <c r="AE110" s="12">
        <f>SUM($P$6:P110)</f>
        <v>59224.027749999979</v>
      </c>
      <c r="AF110" s="12">
        <f>SUM(U$6:U110)</f>
        <v>33085.660377358487</v>
      </c>
      <c r="AG110" s="12">
        <f>SUM(S$6:S110)</f>
        <v>6500</v>
      </c>
      <c r="AH110" s="12">
        <f>SUM(Y$6:Y110)</f>
        <v>286526.2</v>
      </c>
      <c r="AI110" s="12">
        <f>SUM(X$6:X110)</f>
        <v>14191.229563247609</v>
      </c>
      <c r="AJ110" s="12">
        <f>SUM(Z$6:Z110)</f>
        <v>46017.179570321568</v>
      </c>
      <c r="AK110" s="12">
        <f>SUM(AA$6:AA110)</f>
        <v>271078.63090834022</v>
      </c>
      <c r="AL110" s="12">
        <f>F110</f>
        <v>105</v>
      </c>
      <c r="AM110" s="12">
        <f t="shared" si="18"/>
        <v>426152.86219060601</v>
      </c>
      <c r="AN110" s="12">
        <f>SUM(I$6:I110)</f>
        <v>421600</v>
      </c>
      <c r="AO110" s="8">
        <f>SUM(Q$6:Q110)</f>
        <v>236</v>
      </c>
      <c r="AP110" s="12">
        <f t="shared" si="19"/>
        <v>4552.8621906060143</v>
      </c>
      <c r="AS110" s="12">
        <v>104</v>
      </c>
      <c r="AT110" s="12">
        <v>20</v>
      </c>
      <c r="AU110" s="12">
        <f t="shared" si="24"/>
        <v>2090</v>
      </c>
      <c r="AV110" s="12">
        <f t="shared" si="25"/>
        <v>0</v>
      </c>
      <c r="AW110" s="12">
        <f>INDEX($AO$6:$AO$215,MATCH(BC110,$F$6:$F$215,0))</f>
        <v>467</v>
      </c>
      <c r="AX110" s="12">
        <f t="shared" si="26"/>
        <v>1135512.1739951316</v>
      </c>
      <c r="AY110" s="12">
        <f t="shared" si="21"/>
        <v>7650</v>
      </c>
      <c r="AZ110" s="12">
        <f t="shared" si="22"/>
        <v>10740.72380952381</v>
      </c>
      <c r="BA110" s="12">
        <f>AX110+SUM($AY$6:AY110)+SUM($AZ$6:AZ110)</f>
        <v>2971788.9930427526</v>
      </c>
      <c r="BB110" s="12">
        <f t="shared" si="27"/>
        <v>956200</v>
      </c>
      <c r="BC110" s="12">
        <f t="shared" si="28"/>
        <v>210</v>
      </c>
      <c r="BD110" s="12">
        <f t="shared" si="29"/>
        <v>0</v>
      </c>
      <c r="BE110" s="12">
        <f t="shared" si="30"/>
        <v>211</v>
      </c>
      <c r="BF110" s="12">
        <f t="shared" si="23"/>
        <v>2015588.9930427526</v>
      </c>
    </row>
    <row r="111" spans="6:58" x14ac:dyDescent="0.35">
      <c r="F111" s="12">
        <v>106</v>
      </c>
      <c r="G111" s="8">
        <f>INDEX(验算胜率!$E$6:$I$1005,F111,MATCH($D$16,验算胜率!$E$5:$I$5,0))</f>
        <v>0.5</v>
      </c>
      <c r="H111" s="12">
        <f t="shared" si="16"/>
        <v>2200</v>
      </c>
      <c r="I111" s="12">
        <f t="shared" si="17"/>
        <v>4400</v>
      </c>
      <c r="J111" s="12">
        <v>4</v>
      </c>
      <c r="K111" s="12">
        <v>0</v>
      </c>
      <c r="M111" s="12">
        <f>IF($D$16=验算胜率!$F$5,验算胜率!K111,0)*H111*关卡道具消耗!$D$8/关卡道具消耗!$D$26</f>
        <v>0</v>
      </c>
      <c r="N111" s="12">
        <f>INDEX(关卡奖励!$AH$6:$AH$8,MATCH($D$14,关卡奖励!$W$6:$W$8,0))*H111*IF(G111&lt;0.3,1,2)</f>
        <v>5134.8</v>
      </c>
      <c r="O111" s="12">
        <f>INDEX(关卡奖励!$AI$9:$AI$11,MATCH($D$14,关卡奖励!$W$9:$W$11,0))*((1/G111)-1)*H111</f>
        <v>433.95000000000005</v>
      </c>
      <c r="P111" s="12">
        <f>I111-N111-O111</f>
        <v>-1168.7500000000002</v>
      </c>
      <c r="Q111" s="12">
        <f>1/G111</f>
        <v>2</v>
      </c>
      <c r="R111" s="12">
        <f>IFERROR(INDEX(base_v,MATCH($F111,base_k,1)),0)*离线奖励!$C$12</f>
        <v>6750</v>
      </c>
      <c r="S111" s="12">
        <f>IFERROR(INDEX(关卡进度奖励!$I$7:$I$15,MATCH(F111,关卡进度奖励!$D$7:$D$15,0)),0)</f>
        <v>0</v>
      </c>
      <c r="T111" s="12">
        <f>AVERAGE(签到!$E$7:$E$13)*$H111</f>
        <v>9088.3047619047611</v>
      </c>
      <c r="U111" s="12">
        <f>转盘!$C$26*H111*V111/$D$13</f>
        <v>0</v>
      </c>
      <c r="V111" s="12">
        <f t="shared" si="20"/>
        <v>0</v>
      </c>
      <c r="W111" s="12">
        <f>IFERROR(MATCH(INDEX(转盘!$C$17:$F$17,1,MATCH($D$13,转盘!$C$16:$F$16,0))*MAX(F111-转盘!$C$6,0),转盘!$L$9:$L$51,1),0)</f>
        <v>5</v>
      </c>
      <c r="X111" s="12">
        <f>IFERROR(MATCH($F111,gift_k_level,0)^0,0)*进度礼包!$C$17*$H111/$D$13</f>
        <v>0</v>
      </c>
      <c r="Y111" s="12">
        <f>IFERROR(MATCH($F111,turn_k_1,0)^0,0)*转盘!$C$42*$H111/$D$13</f>
        <v>0</v>
      </c>
      <c r="Z111" s="12">
        <f>IFERROR(MATCH($F111,gift_k_level,0)^0,0)*进度礼包!$C$34*$H111/$D$13</f>
        <v>0</v>
      </c>
      <c r="AA111" s="12">
        <f>IFERROR(MATCH($F111,gift_k_time,0)^0,0)*限时礼包!$C$15*$H111/$D$13</f>
        <v>0</v>
      </c>
      <c r="AB111" s="12">
        <f>SUM(H$6:H111)</f>
        <v>182300</v>
      </c>
      <c r="AC111" s="12">
        <f>SUM(N$6:N111)+SUM($M$6:M111)</f>
        <v>319874.69999999995</v>
      </c>
      <c r="AD111" s="12">
        <f>SUM(O$6:O111)</f>
        <v>48070.02224999998</v>
      </c>
      <c r="AE111" s="12">
        <f>SUM($P$6:P111)</f>
        <v>58055.277749999979</v>
      </c>
      <c r="AF111" s="12">
        <f>SUM(U$6:U111)</f>
        <v>33085.660377358487</v>
      </c>
      <c r="AG111" s="12">
        <f>SUM(S$6:S111)</f>
        <v>6500</v>
      </c>
      <c r="AH111" s="12">
        <f>SUM(Y$6:Y111)</f>
        <v>286526.2</v>
      </c>
      <c r="AI111" s="12">
        <f>SUM(X$6:X111)</f>
        <v>14191.229563247609</v>
      </c>
      <c r="AJ111" s="12">
        <f>SUM(Z$6:Z111)</f>
        <v>46017.179570321568</v>
      </c>
      <c r="AK111" s="12">
        <f>SUM(AA$6:AA111)</f>
        <v>271078.63090834022</v>
      </c>
      <c r="AL111" s="12">
        <f>F111</f>
        <v>106</v>
      </c>
      <c r="AM111" s="12">
        <f t="shared" si="18"/>
        <v>431721.61219060601</v>
      </c>
      <c r="AN111" s="12">
        <f>SUM(I$6:I111)</f>
        <v>426000</v>
      </c>
      <c r="AO111" s="8">
        <f>SUM(Q$6:Q111)</f>
        <v>238</v>
      </c>
      <c r="AP111" s="12">
        <f t="shared" si="19"/>
        <v>5721.6121906060143</v>
      </c>
      <c r="AS111" s="12">
        <v>105</v>
      </c>
      <c r="AT111" s="12">
        <v>20</v>
      </c>
      <c r="AU111" s="12">
        <f t="shared" si="24"/>
        <v>2110</v>
      </c>
      <c r="AV111" s="12">
        <f t="shared" si="25"/>
        <v>0</v>
      </c>
      <c r="AW111" s="12">
        <f>INDEX($AO$6:$AO$215,MATCH(BC111,$F$6:$F$215,0))</f>
        <v>467</v>
      </c>
      <c r="AX111" s="12">
        <f t="shared" si="26"/>
        <v>1135512.1739951316</v>
      </c>
      <c r="AY111" s="12">
        <f t="shared" si="21"/>
        <v>7650</v>
      </c>
      <c r="AZ111" s="12">
        <f t="shared" si="22"/>
        <v>10740.72380952381</v>
      </c>
      <c r="BA111" s="12">
        <f>AX111+SUM($AY$6:AY111)+SUM($AZ$6:AZ111)</f>
        <v>2990179.7168522766</v>
      </c>
      <c r="BB111" s="12">
        <f t="shared" si="27"/>
        <v>956200</v>
      </c>
      <c r="BC111" s="12">
        <f t="shared" si="28"/>
        <v>210</v>
      </c>
      <c r="BD111" s="12">
        <f t="shared" si="29"/>
        <v>0</v>
      </c>
      <c r="BE111" s="12">
        <f t="shared" si="30"/>
        <v>211</v>
      </c>
      <c r="BF111" s="12">
        <f t="shared" si="23"/>
        <v>2033979.7168522766</v>
      </c>
    </row>
    <row r="112" spans="6:58" x14ac:dyDescent="0.35">
      <c r="F112" s="12">
        <v>107</v>
      </c>
      <c r="G112" s="8">
        <f>INDEX(验算胜率!$E$6:$I$1005,F112,MATCH($D$16,验算胜率!$E$5:$I$5,0))</f>
        <v>0.5</v>
      </c>
      <c r="H112" s="12">
        <f t="shared" si="16"/>
        <v>2200</v>
      </c>
      <c r="I112" s="12">
        <f t="shared" si="17"/>
        <v>4400</v>
      </c>
      <c r="J112" s="12">
        <v>4</v>
      </c>
      <c r="K112" s="12">
        <v>2</v>
      </c>
      <c r="M112" s="12">
        <f>IF($D$16=验算胜率!$F$5,验算胜率!K112,0)*H112*关卡道具消耗!$D$8/关卡道具消耗!$D$26</f>
        <v>0</v>
      </c>
      <c r="N112" s="12">
        <f>INDEX(关卡奖励!$AH$6:$AH$8,MATCH($D$14,关卡奖励!$W$6:$W$8,0))*H112*IF(G112&lt;0.3,1,2)</f>
        <v>5134.8</v>
      </c>
      <c r="O112" s="12">
        <f>INDEX(关卡奖励!$AI$9:$AI$11,MATCH($D$14,关卡奖励!$W$9:$W$11,0))*((1/G112)-1)*H112</f>
        <v>433.95000000000005</v>
      </c>
      <c r="P112" s="12">
        <f>I112-N112-O112</f>
        <v>-1168.7500000000002</v>
      </c>
      <c r="Q112" s="12">
        <f>1/G112</f>
        <v>2</v>
      </c>
      <c r="R112" s="12">
        <f>IFERROR(INDEX(base_v,MATCH($F112,base_k,1)),0)*离线奖励!$C$12</f>
        <v>6900</v>
      </c>
      <c r="S112" s="12">
        <f>IFERROR(INDEX(关卡进度奖励!$I$7:$I$15,MATCH(F112,关卡进度奖励!$D$7:$D$15,0)),0)</f>
        <v>0</v>
      </c>
      <c r="T112" s="12">
        <f>AVERAGE(签到!$E$7:$E$13)*$H112</f>
        <v>9088.3047619047611</v>
      </c>
      <c r="U112" s="12">
        <f>转盘!$C$26*H112*V112/$D$13</f>
        <v>0</v>
      </c>
      <c r="V112" s="12">
        <f t="shared" si="20"/>
        <v>0</v>
      </c>
      <c r="W112" s="12">
        <f>IFERROR(MATCH(INDEX(转盘!$C$17:$F$17,1,MATCH($D$13,转盘!$C$16:$F$16,0))*MAX(F112-转盘!$C$6,0),转盘!$L$9:$L$51,1),0)</f>
        <v>5</v>
      </c>
      <c r="X112" s="12">
        <f>IFERROR(MATCH($F112,gift_k_level,0)^0,0)*进度礼包!$C$17*$H112/$D$13</f>
        <v>7805.1762597861843</v>
      </c>
      <c r="Y112" s="12">
        <f>IFERROR(MATCH($F112,turn_k_1,0)^0,0)*转盘!$C$42*$H112/$D$13</f>
        <v>0</v>
      </c>
      <c r="Z112" s="12">
        <f>IFERROR(MATCH($F112,gift_k_level,0)^0,0)*进度礼包!$C$34*$H112/$D$13</f>
        <v>25309.448763676861</v>
      </c>
      <c r="AA112" s="12">
        <f>IFERROR(MATCH($F112,gift_k_time,0)^0,0)*限时礼包!$C$15*$H112/$D$13</f>
        <v>0</v>
      </c>
      <c r="AB112" s="12">
        <f>SUM(H$6:H112)</f>
        <v>184500</v>
      </c>
      <c r="AC112" s="12">
        <f>SUM(N$6:N112)+SUM($M$6:M112)</f>
        <v>325009.49999999994</v>
      </c>
      <c r="AD112" s="12">
        <f>SUM(O$6:O112)</f>
        <v>48503.972249999977</v>
      </c>
      <c r="AE112" s="12">
        <f>SUM($P$6:P112)</f>
        <v>56886.527749999979</v>
      </c>
      <c r="AF112" s="12">
        <f>SUM(U$6:U112)</f>
        <v>33085.660377358487</v>
      </c>
      <c r="AG112" s="12">
        <f>SUM(S$6:S112)</f>
        <v>6500</v>
      </c>
      <c r="AH112" s="12">
        <f>SUM(Y$6:Y112)</f>
        <v>286526.2</v>
      </c>
      <c r="AI112" s="12">
        <f>SUM(X$6:X112)</f>
        <v>21996.405823033794</v>
      </c>
      <c r="AJ112" s="12">
        <f>SUM(Z$6:Z112)</f>
        <v>71326.628333998437</v>
      </c>
      <c r="AK112" s="12">
        <f>SUM(AA$6:AA112)</f>
        <v>271078.63090834022</v>
      </c>
      <c r="AL112" s="12">
        <f>F112</f>
        <v>107</v>
      </c>
      <c r="AM112" s="12">
        <f t="shared" si="18"/>
        <v>445095.5384503922</v>
      </c>
      <c r="AN112" s="12">
        <f>SUM(I$6:I112)</f>
        <v>430400</v>
      </c>
      <c r="AO112" s="8">
        <f>SUM(Q$6:Q112)</f>
        <v>240</v>
      </c>
      <c r="AP112" s="12">
        <f t="shared" si="19"/>
        <v>14695.538450392196</v>
      </c>
      <c r="AS112" s="12">
        <v>106</v>
      </c>
      <c r="AT112" s="12">
        <v>20</v>
      </c>
      <c r="AU112" s="12">
        <f t="shared" si="24"/>
        <v>2130</v>
      </c>
      <c r="AV112" s="12">
        <f t="shared" si="25"/>
        <v>0</v>
      </c>
      <c r="AW112" s="12">
        <f>INDEX($AO$6:$AO$215,MATCH(BC112,$F$6:$F$215,0))</f>
        <v>467</v>
      </c>
      <c r="AX112" s="12">
        <f t="shared" si="26"/>
        <v>1135512.1739951316</v>
      </c>
      <c r="AY112" s="12">
        <f t="shared" si="21"/>
        <v>7650</v>
      </c>
      <c r="AZ112" s="12">
        <f t="shared" si="22"/>
        <v>10740.72380952381</v>
      </c>
      <c r="BA112" s="12">
        <f>AX112+SUM($AY$6:AY112)+SUM($AZ$6:AZ112)</f>
        <v>3008570.4406618001</v>
      </c>
      <c r="BB112" s="12">
        <f t="shared" si="27"/>
        <v>956200</v>
      </c>
      <c r="BC112" s="12">
        <f t="shared" si="28"/>
        <v>210</v>
      </c>
      <c r="BD112" s="12">
        <f t="shared" si="29"/>
        <v>0</v>
      </c>
      <c r="BE112" s="12">
        <f t="shared" si="30"/>
        <v>211</v>
      </c>
      <c r="BF112" s="12">
        <f t="shared" si="23"/>
        <v>2052370.4406618001</v>
      </c>
    </row>
    <row r="113" spans="6:58" x14ac:dyDescent="0.35">
      <c r="F113" s="12">
        <v>108</v>
      </c>
      <c r="G113" s="8">
        <f>INDEX(验算胜率!$E$6:$I$1005,F113,MATCH($D$16,验算胜率!$E$5:$I$5,0))</f>
        <v>0.5</v>
      </c>
      <c r="H113" s="12">
        <f t="shared" si="16"/>
        <v>2200</v>
      </c>
      <c r="I113" s="12">
        <f t="shared" si="17"/>
        <v>4400</v>
      </c>
      <c r="J113" s="12">
        <v>4</v>
      </c>
      <c r="K113" s="12">
        <v>0</v>
      </c>
      <c r="M113" s="12">
        <f>IF($D$16=验算胜率!$F$5,验算胜率!K113,0)*H113*关卡道具消耗!$D$8/关卡道具消耗!$D$26</f>
        <v>0</v>
      </c>
      <c r="N113" s="12">
        <f>INDEX(关卡奖励!$AH$6:$AH$8,MATCH($D$14,关卡奖励!$W$6:$W$8,0))*H113*IF(G113&lt;0.3,1,2)</f>
        <v>5134.8</v>
      </c>
      <c r="O113" s="12">
        <f>INDEX(关卡奖励!$AI$9:$AI$11,MATCH($D$14,关卡奖励!$W$9:$W$11,0))*((1/G113)-1)*H113</f>
        <v>433.95000000000005</v>
      </c>
      <c r="P113" s="12">
        <f>I113-N113-O113</f>
        <v>-1168.7500000000002</v>
      </c>
      <c r="Q113" s="12">
        <f>1/G113</f>
        <v>2</v>
      </c>
      <c r="R113" s="12">
        <f>IFERROR(INDEX(base_v,MATCH($F113,base_k,1)),0)*离线奖励!$C$12</f>
        <v>6900</v>
      </c>
      <c r="S113" s="12">
        <f>IFERROR(INDEX(关卡进度奖励!$I$7:$I$15,MATCH(F113,关卡进度奖励!$D$7:$D$15,0)),0)</f>
        <v>0</v>
      </c>
      <c r="T113" s="12">
        <f>AVERAGE(签到!$E$7:$E$13)*$H113</f>
        <v>9088.3047619047611</v>
      </c>
      <c r="U113" s="12">
        <f>转盘!$C$26*H113*V113/$D$13</f>
        <v>0</v>
      </c>
      <c r="V113" s="12">
        <f t="shared" si="20"/>
        <v>0</v>
      </c>
      <c r="W113" s="12">
        <f>IFERROR(MATCH(INDEX(转盘!$C$17:$F$17,1,MATCH($D$13,转盘!$C$16:$F$16,0))*MAX(F113-转盘!$C$6,0),转盘!$L$9:$L$51,1),0)</f>
        <v>5</v>
      </c>
      <c r="X113" s="12">
        <f>IFERROR(MATCH($F113,gift_k_level,0)^0,0)*进度礼包!$C$17*$H113/$D$13</f>
        <v>0</v>
      </c>
      <c r="Y113" s="12">
        <f>IFERROR(MATCH($F113,turn_k_1,0)^0,0)*转盘!$C$42*$H113/$D$13</f>
        <v>0</v>
      </c>
      <c r="Z113" s="12">
        <f>IFERROR(MATCH($F113,gift_k_level,0)^0,0)*进度礼包!$C$34*$H113/$D$13</f>
        <v>0</v>
      </c>
      <c r="AA113" s="12">
        <f>IFERROR(MATCH($F113,gift_k_time,0)^0,0)*限时礼包!$C$15*$H113/$D$13</f>
        <v>0</v>
      </c>
      <c r="AB113" s="12">
        <f>SUM(H$6:H113)</f>
        <v>186700</v>
      </c>
      <c r="AC113" s="12">
        <f>SUM(N$6:N113)+SUM($M$6:M113)</f>
        <v>330144.29999999993</v>
      </c>
      <c r="AD113" s="12">
        <f>SUM(O$6:O113)</f>
        <v>48937.922249999974</v>
      </c>
      <c r="AE113" s="12">
        <f>SUM($P$6:P113)</f>
        <v>55717.777749999979</v>
      </c>
      <c r="AF113" s="12">
        <f>SUM(U$6:U113)</f>
        <v>33085.660377358487</v>
      </c>
      <c r="AG113" s="12">
        <f>SUM(S$6:S113)</f>
        <v>6500</v>
      </c>
      <c r="AH113" s="12">
        <f>SUM(Y$6:Y113)</f>
        <v>286526.2</v>
      </c>
      <c r="AI113" s="12">
        <f>SUM(X$6:X113)</f>
        <v>21996.405823033794</v>
      </c>
      <c r="AJ113" s="12">
        <f>SUM(Z$6:Z113)</f>
        <v>71326.628333998437</v>
      </c>
      <c r="AK113" s="12">
        <f>SUM(AA$6:AA113)</f>
        <v>271078.63090834022</v>
      </c>
      <c r="AL113" s="12">
        <f>F113</f>
        <v>108</v>
      </c>
      <c r="AM113" s="12">
        <f t="shared" si="18"/>
        <v>450664.28845039214</v>
      </c>
      <c r="AN113" s="12">
        <f>SUM(I$6:I113)</f>
        <v>434800</v>
      </c>
      <c r="AO113" s="8">
        <f>SUM(Q$6:Q113)</f>
        <v>242</v>
      </c>
      <c r="AP113" s="12">
        <f t="shared" si="19"/>
        <v>15864.288450392138</v>
      </c>
      <c r="AS113" s="12">
        <v>107</v>
      </c>
      <c r="AT113" s="12">
        <v>20</v>
      </c>
      <c r="AU113" s="12">
        <f t="shared" si="24"/>
        <v>2150</v>
      </c>
      <c r="AV113" s="12">
        <f t="shared" si="25"/>
        <v>0</v>
      </c>
      <c r="AW113" s="12">
        <f>INDEX($AO$6:$AO$215,MATCH(BC113,$F$6:$F$215,0))</f>
        <v>467</v>
      </c>
      <c r="AX113" s="12">
        <f t="shared" si="26"/>
        <v>1135512.1739951316</v>
      </c>
      <c r="AY113" s="12">
        <f t="shared" si="21"/>
        <v>7650</v>
      </c>
      <c r="AZ113" s="12">
        <f t="shared" si="22"/>
        <v>10740.72380952381</v>
      </c>
      <c r="BA113" s="12">
        <f>AX113+SUM($AY$6:AY113)+SUM($AZ$6:AZ113)</f>
        <v>3026961.1644713236</v>
      </c>
      <c r="BB113" s="12">
        <f t="shared" si="27"/>
        <v>956200</v>
      </c>
      <c r="BC113" s="12">
        <f t="shared" si="28"/>
        <v>210</v>
      </c>
      <c r="BD113" s="12">
        <f t="shared" si="29"/>
        <v>0</v>
      </c>
      <c r="BE113" s="12">
        <f t="shared" si="30"/>
        <v>211</v>
      </c>
      <c r="BF113" s="12">
        <f t="shared" si="23"/>
        <v>2070761.1644713236</v>
      </c>
    </row>
    <row r="114" spans="6:58" x14ac:dyDescent="0.35">
      <c r="F114" s="12">
        <v>109</v>
      </c>
      <c r="G114" s="8">
        <f>INDEX(验算胜率!$E$6:$I$1005,F114,MATCH($D$16,验算胜率!$E$5:$I$5,0))</f>
        <v>0.2</v>
      </c>
      <c r="H114" s="12">
        <f t="shared" si="16"/>
        <v>2200</v>
      </c>
      <c r="I114" s="12">
        <f t="shared" si="17"/>
        <v>11000</v>
      </c>
      <c r="J114" s="12">
        <v>4</v>
      </c>
      <c r="K114" s="12">
        <v>0</v>
      </c>
      <c r="M114" s="12">
        <f>IF($D$16=验算胜率!$F$5,验算胜率!K114,0)*H114*关卡道具消耗!$D$8/关卡道具消耗!$D$26</f>
        <v>0</v>
      </c>
      <c r="N114" s="12">
        <f>INDEX(关卡奖励!$AH$6:$AH$8,MATCH($D$14,关卡奖励!$W$6:$W$8,0))*H114*IF(G114&lt;0.3,1,2)</f>
        <v>2567.4</v>
      </c>
      <c r="O114" s="12">
        <f>INDEX(关卡奖励!$AI$9:$AI$11,MATCH($D$14,关卡奖励!$W$9:$W$11,0))*((1/G114)-1)*H114</f>
        <v>1735.8000000000002</v>
      </c>
      <c r="P114" s="12">
        <f>I114-N114-O114</f>
        <v>6696.8</v>
      </c>
      <c r="Q114" s="12">
        <f>1/G114</f>
        <v>5</v>
      </c>
      <c r="R114" s="12">
        <f>IFERROR(INDEX(base_v,MATCH($F114,base_k,1)),0)*离线奖励!$C$12</f>
        <v>6900</v>
      </c>
      <c r="S114" s="12">
        <f>IFERROR(INDEX(关卡进度奖励!$I$7:$I$15,MATCH(F114,关卡进度奖励!$D$7:$D$15,0)),0)</f>
        <v>0</v>
      </c>
      <c r="T114" s="12">
        <f>AVERAGE(签到!$E$7:$E$13)*$H114</f>
        <v>9088.3047619047611</v>
      </c>
      <c r="U114" s="12">
        <f>转盘!$C$26*H114*V114/$D$13</f>
        <v>0</v>
      </c>
      <c r="V114" s="12">
        <f t="shared" si="20"/>
        <v>0</v>
      </c>
      <c r="W114" s="12">
        <f>IFERROR(MATCH(INDEX(转盘!$C$17:$F$17,1,MATCH($D$13,转盘!$C$16:$F$16,0))*MAX(F114-转盘!$C$6,0),转盘!$L$9:$L$51,1),0)</f>
        <v>5</v>
      </c>
      <c r="X114" s="12">
        <f>IFERROR(MATCH($F114,gift_k_level,0)^0,0)*进度礼包!$C$17*$H114/$D$13</f>
        <v>0</v>
      </c>
      <c r="Y114" s="12">
        <f>IFERROR(MATCH($F114,turn_k_1,0)^0,0)*转盘!$C$42*$H114/$D$13</f>
        <v>0</v>
      </c>
      <c r="Z114" s="12">
        <f>IFERROR(MATCH($F114,gift_k_level,0)^0,0)*进度礼包!$C$34*$H114/$D$13</f>
        <v>0</v>
      </c>
      <c r="AA114" s="12">
        <f>IFERROR(MATCH($F114,gift_k_time,0)^0,0)*限时礼包!$C$15*$H114/$D$13</f>
        <v>0</v>
      </c>
      <c r="AB114" s="12">
        <f>SUM(H$6:H114)</f>
        <v>188900</v>
      </c>
      <c r="AC114" s="12">
        <f>SUM(N$6:N114)+SUM($M$6:M114)</f>
        <v>332711.69999999995</v>
      </c>
      <c r="AD114" s="12">
        <f>SUM(O$6:O114)</f>
        <v>50673.722249999977</v>
      </c>
      <c r="AE114" s="12">
        <f>SUM($P$6:P114)</f>
        <v>62414.577749999982</v>
      </c>
      <c r="AF114" s="12">
        <f>SUM(U$6:U114)</f>
        <v>33085.660377358487</v>
      </c>
      <c r="AG114" s="12">
        <f>SUM(S$6:S114)</f>
        <v>6500</v>
      </c>
      <c r="AH114" s="12">
        <f>SUM(Y$6:Y114)</f>
        <v>286526.2</v>
      </c>
      <c r="AI114" s="12">
        <f>SUM(X$6:X114)</f>
        <v>21996.405823033794</v>
      </c>
      <c r="AJ114" s="12">
        <f>SUM(Z$6:Z114)</f>
        <v>71326.628333998437</v>
      </c>
      <c r="AK114" s="12">
        <f>SUM(AA$6:AA114)</f>
        <v>271078.63090834022</v>
      </c>
      <c r="AL114" s="12">
        <f>F114</f>
        <v>109</v>
      </c>
      <c r="AM114" s="12">
        <f t="shared" si="18"/>
        <v>454967.48845039221</v>
      </c>
      <c r="AN114" s="12">
        <f>SUM(I$6:I114)</f>
        <v>445800</v>
      </c>
      <c r="AO114" s="8">
        <f>SUM(Q$6:Q114)</f>
        <v>247</v>
      </c>
      <c r="AP114" s="12">
        <f t="shared" si="19"/>
        <v>9167.4884503922076</v>
      </c>
      <c r="AS114" s="12">
        <v>108</v>
      </c>
      <c r="AT114" s="12">
        <v>20</v>
      </c>
      <c r="AU114" s="12">
        <f t="shared" si="24"/>
        <v>2170</v>
      </c>
      <c r="AV114" s="12">
        <f t="shared" si="25"/>
        <v>0</v>
      </c>
      <c r="AW114" s="12">
        <f>INDEX($AO$6:$AO$215,MATCH(BC114,$F$6:$F$215,0))</f>
        <v>467</v>
      </c>
      <c r="AX114" s="12">
        <f t="shared" si="26"/>
        <v>1135512.1739951316</v>
      </c>
      <c r="AY114" s="12">
        <f t="shared" si="21"/>
        <v>7650</v>
      </c>
      <c r="AZ114" s="12">
        <f t="shared" si="22"/>
        <v>10740.72380952381</v>
      </c>
      <c r="BA114" s="12">
        <f>AX114+SUM($AY$6:AY114)+SUM($AZ$6:AZ114)</f>
        <v>3045351.8882808476</v>
      </c>
      <c r="BB114" s="12">
        <f t="shared" si="27"/>
        <v>956200</v>
      </c>
      <c r="BC114" s="12">
        <f t="shared" si="28"/>
        <v>210</v>
      </c>
      <c r="BD114" s="12">
        <f t="shared" si="29"/>
        <v>0</v>
      </c>
      <c r="BE114" s="12">
        <f t="shared" si="30"/>
        <v>211</v>
      </c>
      <c r="BF114" s="12">
        <f t="shared" si="23"/>
        <v>2089151.8882808476</v>
      </c>
    </row>
    <row r="115" spans="6:58" x14ac:dyDescent="0.35">
      <c r="F115" s="12">
        <v>110</v>
      </c>
      <c r="G115" s="8">
        <f>INDEX(验算胜率!$E$6:$I$1005,F115,MATCH($D$16,验算胜率!$E$5:$I$5,0))</f>
        <v>0.5</v>
      </c>
      <c r="H115" s="12">
        <f t="shared" si="16"/>
        <v>2200</v>
      </c>
      <c r="I115" s="12">
        <f t="shared" si="17"/>
        <v>4400</v>
      </c>
      <c r="J115" s="12">
        <v>4</v>
      </c>
      <c r="K115" s="12">
        <v>2</v>
      </c>
      <c r="M115" s="12">
        <f>IF($D$16=验算胜率!$F$5,验算胜率!K115,0)*H115*关卡道具消耗!$D$8/关卡道具消耗!$D$26</f>
        <v>0</v>
      </c>
      <c r="N115" s="12">
        <f>INDEX(关卡奖励!$AH$6:$AH$8,MATCH($D$14,关卡奖励!$W$6:$W$8,0))*H115*IF(G115&lt;0.3,1,2)</f>
        <v>5134.8</v>
      </c>
      <c r="O115" s="12">
        <f>INDEX(关卡奖励!$AI$9:$AI$11,MATCH($D$14,关卡奖励!$W$9:$W$11,0))*((1/G115)-1)*H115</f>
        <v>433.95000000000005</v>
      </c>
      <c r="P115" s="12">
        <f>I115-N115-O115</f>
        <v>-1168.7500000000002</v>
      </c>
      <c r="Q115" s="12">
        <f>1/G115</f>
        <v>2</v>
      </c>
      <c r="R115" s="12">
        <f>IFERROR(INDEX(base_v,MATCH($F115,base_k,1)),0)*离线奖励!$C$12</f>
        <v>6900</v>
      </c>
      <c r="S115" s="12">
        <f>IFERROR(INDEX(关卡进度奖励!$I$7:$I$15,MATCH(F115,关卡进度奖励!$D$7:$D$15,0)),0)</f>
        <v>0</v>
      </c>
      <c r="T115" s="12">
        <f>AVERAGE(签到!$E$7:$E$13)*$H115</f>
        <v>9088.3047619047611</v>
      </c>
      <c r="U115" s="12">
        <f>转盘!$C$26*H115*V115/$D$13</f>
        <v>0</v>
      </c>
      <c r="V115" s="12">
        <f t="shared" si="20"/>
        <v>0</v>
      </c>
      <c r="W115" s="12">
        <f>IFERROR(MATCH(INDEX(转盘!$C$17:$F$17,1,MATCH($D$13,转盘!$C$16:$F$16,0))*MAX(F115-转盘!$C$6,0),转盘!$L$9:$L$51,1),0)</f>
        <v>5</v>
      </c>
      <c r="X115" s="12">
        <f>IFERROR(MATCH($F115,gift_k_level,0)^0,0)*进度礼包!$C$17*$H115/$D$13</f>
        <v>0</v>
      </c>
      <c r="Y115" s="12">
        <f>IFERROR(MATCH($F115,turn_k_1,0)^0,0)*转盘!$C$42*$H115/$D$13</f>
        <v>0</v>
      </c>
      <c r="Z115" s="12">
        <f>IFERROR(MATCH($F115,gift_k_level,0)^0,0)*进度礼包!$C$34*$H115/$D$13</f>
        <v>0</v>
      </c>
      <c r="AA115" s="12">
        <f>IFERROR(MATCH($F115,gift_k_time,0)^0,0)*限时礼包!$C$15*$H115/$D$13</f>
        <v>0</v>
      </c>
      <c r="AB115" s="12">
        <f>SUM(H$6:H115)</f>
        <v>191100</v>
      </c>
      <c r="AC115" s="12">
        <f>SUM(N$6:N115)+SUM($M$6:M115)</f>
        <v>337846.49999999994</v>
      </c>
      <c r="AD115" s="12">
        <f>SUM(O$6:O115)</f>
        <v>51107.672249999974</v>
      </c>
      <c r="AE115" s="12">
        <f>SUM($P$6:P115)</f>
        <v>61245.827749999982</v>
      </c>
      <c r="AF115" s="12">
        <f>SUM(U$6:U115)</f>
        <v>33085.660377358487</v>
      </c>
      <c r="AG115" s="12">
        <f>SUM(S$6:S115)</f>
        <v>6500</v>
      </c>
      <c r="AH115" s="12">
        <f>SUM(Y$6:Y115)</f>
        <v>286526.2</v>
      </c>
      <c r="AI115" s="12">
        <f>SUM(X$6:X115)</f>
        <v>21996.405823033794</v>
      </c>
      <c r="AJ115" s="12">
        <f>SUM(Z$6:Z115)</f>
        <v>71326.628333998437</v>
      </c>
      <c r="AK115" s="12">
        <f>SUM(AA$6:AA115)</f>
        <v>271078.63090834022</v>
      </c>
      <c r="AL115" s="12">
        <f>F115</f>
        <v>110</v>
      </c>
      <c r="AM115" s="12">
        <f t="shared" si="18"/>
        <v>460536.23845039221</v>
      </c>
      <c r="AN115" s="12">
        <f>SUM(I$6:I115)</f>
        <v>450200</v>
      </c>
      <c r="AO115" s="8">
        <f>SUM(Q$6:Q115)</f>
        <v>249</v>
      </c>
      <c r="AP115" s="12">
        <f t="shared" si="19"/>
        <v>10336.238450392208</v>
      </c>
      <c r="AS115" s="12">
        <v>109</v>
      </c>
      <c r="AT115" s="12">
        <v>20</v>
      </c>
      <c r="AU115" s="12">
        <f t="shared" si="24"/>
        <v>2190</v>
      </c>
      <c r="AV115" s="12">
        <f t="shared" si="25"/>
        <v>0</v>
      </c>
      <c r="AW115" s="12">
        <f>INDEX($AO$6:$AO$215,MATCH(BC115,$F$6:$F$215,0))</f>
        <v>467</v>
      </c>
      <c r="AX115" s="12">
        <f t="shared" si="26"/>
        <v>1135512.1739951316</v>
      </c>
      <c r="AY115" s="12">
        <f t="shared" si="21"/>
        <v>7650</v>
      </c>
      <c r="AZ115" s="12">
        <f t="shared" si="22"/>
        <v>10740.72380952381</v>
      </c>
      <c r="BA115" s="12">
        <f>AX115+SUM($AY$6:AY115)+SUM($AZ$6:AZ115)</f>
        <v>3063742.6120903715</v>
      </c>
      <c r="BB115" s="12">
        <f t="shared" si="27"/>
        <v>956200</v>
      </c>
      <c r="BC115" s="12">
        <f t="shared" si="28"/>
        <v>210</v>
      </c>
      <c r="BD115" s="12">
        <f t="shared" si="29"/>
        <v>0</v>
      </c>
      <c r="BE115" s="12">
        <f t="shared" si="30"/>
        <v>211</v>
      </c>
      <c r="BF115" s="12">
        <f t="shared" si="23"/>
        <v>2107542.6120903715</v>
      </c>
    </row>
    <row r="116" spans="6:58" x14ac:dyDescent="0.35">
      <c r="F116" s="12">
        <v>111</v>
      </c>
      <c r="G116" s="8">
        <f>INDEX(验算胜率!$E$6:$I$1005,F116,MATCH($D$16,验算胜率!$E$5:$I$5,0))</f>
        <v>0.5</v>
      </c>
      <c r="H116" s="12">
        <f t="shared" si="16"/>
        <v>2200</v>
      </c>
      <c r="I116" s="12">
        <f t="shared" si="17"/>
        <v>4400</v>
      </c>
      <c r="J116" s="12">
        <v>4</v>
      </c>
      <c r="K116" s="12">
        <v>1</v>
      </c>
      <c r="M116" s="12">
        <f>IF($D$16=验算胜率!$F$5,验算胜率!K116,0)*H116*关卡道具消耗!$D$8/关卡道具消耗!$D$26</f>
        <v>0</v>
      </c>
      <c r="N116" s="12">
        <f>INDEX(关卡奖励!$AH$6:$AH$8,MATCH($D$14,关卡奖励!$W$6:$W$8,0))*H116*IF(G116&lt;0.3,1,2)</f>
        <v>5134.8</v>
      </c>
      <c r="O116" s="12">
        <f>INDEX(关卡奖励!$AI$9:$AI$11,MATCH($D$14,关卡奖励!$W$9:$W$11,0))*((1/G116)-1)*H116</f>
        <v>433.95000000000005</v>
      </c>
      <c r="P116" s="12">
        <f>I116-N116-O116</f>
        <v>-1168.7500000000002</v>
      </c>
      <c r="Q116" s="12">
        <f>1/G116</f>
        <v>2</v>
      </c>
      <c r="R116" s="12">
        <f>IFERROR(INDEX(base_v,MATCH($F116,base_k,1)),0)*离线奖励!$C$12</f>
        <v>6900</v>
      </c>
      <c r="S116" s="12">
        <f>IFERROR(INDEX(关卡进度奖励!$I$7:$I$15,MATCH(F116,关卡进度奖励!$D$7:$D$15,0)),0)</f>
        <v>0</v>
      </c>
      <c r="T116" s="12">
        <f>AVERAGE(签到!$E$7:$E$13)*$H116</f>
        <v>9088.3047619047611</v>
      </c>
      <c r="U116" s="12">
        <f>转盘!$C$26*H116*V116/$D$13</f>
        <v>0</v>
      </c>
      <c r="V116" s="12">
        <f t="shared" si="20"/>
        <v>0</v>
      </c>
      <c r="W116" s="12">
        <f>IFERROR(MATCH(INDEX(转盘!$C$17:$F$17,1,MATCH($D$13,转盘!$C$16:$F$16,0))*MAX(F116-转盘!$C$6,0),转盘!$L$9:$L$51,1),0)</f>
        <v>5</v>
      </c>
      <c r="X116" s="12">
        <f>IFERROR(MATCH($F116,gift_k_level,0)^0,0)*进度礼包!$C$17*$H116/$D$13</f>
        <v>0</v>
      </c>
      <c r="Y116" s="12">
        <f>IFERROR(MATCH($F116,turn_k_1,0)^0,0)*转盘!$C$42*$H116/$D$13</f>
        <v>0</v>
      </c>
      <c r="Z116" s="12">
        <f>IFERROR(MATCH($F116,gift_k_level,0)^0,0)*进度礼包!$C$34*$H116/$D$13</f>
        <v>0</v>
      </c>
      <c r="AA116" s="12">
        <f>IFERROR(MATCH($F116,gift_k_time,0)^0,0)*限时礼包!$C$15*$H116/$D$13</f>
        <v>0</v>
      </c>
      <c r="AB116" s="12">
        <f>SUM(H$6:H116)</f>
        <v>193300</v>
      </c>
      <c r="AC116" s="12">
        <f>SUM(N$6:N116)+SUM($M$6:M116)</f>
        <v>342981.29999999993</v>
      </c>
      <c r="AD116" s="12">
        <f>SUM(O$6:O116)</f>
        <v>51541.622249999971</v>
      </c>
      <c r="AE116" s="12">
        <f>SUM($P$6:P116)</f>
        <v>60077.077749999982</v>
      </c>
      <c r="AF116" s="12">
        <f>SUM(U$6:U116)</f>
        <v>33085.660377358487</v>
      </c>
      <c r="AG116" s="12">
        <f>SUM(S$6:S116)</f>
        <v>6500</v>
      </c>
      <c r="AH116" s="12">
        <f>SUM(Y$6:Y116)</f>
        <v>286526.2</v>
      </c>
      <c r="AI116" s="12">
        <f>SUM(X$6:X116)</f>
        <v>21996.405823033794</v>
      </c>
      <c r="AJ116" s="12">
        <f>SUM(Z$6:Z116)</f>
        <v>71326.628333998437</v>
      </c>
      <c r="AK116" s="12">
        <f>SUM(AA$6:AA116)</f>
        <v>271078.63090834022</v>
      </c>
      <c r="AL116" s="12">
        <f>F116</f>
        <v>111</v>
      </c>
      <c r="AM116" s="12">
        <f t="shared" si="18"/>
        <v>466104.98845039215</v>
      </c>
      <c r="AN116" s="12">
        <f>SUM(I$6:I116)</f>
        <v>454600</v>
      </c>
      <c r="AO116" s="8">
        <f>SUM(Q$6:Q116)</f>
        <v>251</v>
      </c>
      <c r="AP116" s="12">
        <f t="shared" si="19"/>
        <v>11504.988450392149</v>
      </c>
      <c r="AS116" s="12">
        <v>110</v>
      </c>
      <c r="AT116" s="12">
        <v>20</v>
      </c>
      <c r="AU116" s="12">
        <f t="shared" si="24"/>
        <v>2210</v>
      </c>
      <c r="AV116" s="12">
        <f t="shared" si="25"/>
        <v>0</v>
      </c>
      <c r="AW116" s="12">
        <f>INDEX($AO$6:$AO$215,MATCH(BC116,$F$6:$F$215,0))</f>
        <v>467</v>
      </c>
      <c r="AX116" s="12">
        <f t="shared" si="26"/>
        <v>1135512.1739951316</v>
      </c>
      <c r="AY116" s="12">
        <f t="shared" si="21"/>
        <v>7650</v>
      </c>
      <c r="AZ116" s="12">
        <f t="shared" si="22"/>
        <v>10740.72380952381</v>
      </c>
      <c r="BA116" s="12">
        <f>AX116+SUM($AY$6:AY116)+SUM($AZ$6:AZ116)</f>
        <v>3082133.3358998951</v>
      </c>
      <c r="BB116" s="12">
        <f t="shared" si="27"/>
        <v>956200</v>
      </c>
      <c r="BC116" s="12">
        <f t="shared" si="28"/>
        <v>210</v>
      </c>
      <c r="BD116" s="12">
        <f t="shared" si="29"/>
        <v>0</v>
      </c>
      <c r="BE116" s="12">
        <f t="shared" si="30"/>
        <v>211</v>
      </c>
      <c r="BF116" s="12">
        <f t="shared" si="23"/>
        <v>2125933.3358998951</v>
      </c>
    </row>
    <row r="117" spans="6:58" x14ac:dyDescent="0.35">
      <c r="F117" s="12">
        <v>112</v>
      </c>
      <c r="G117" s="8">
        <f>INDEX(验算胜率!$E$6:$I$1005,F117,MATCH($D$16,验算胜率!$E$5:$I$5,0))</f>
        <v>0.5</v>
      </c>
      <c r="H117" s="12">
        <f t="shared" si="16"/>
        <v>2200</v>
      </c>
      <c r="I117" s="12">
        <f t="shared" si="17"/>
        <v>4400</v>
      </c>
      <c r="J117" s="12">
        <v>4</v>
      </c>
      <c r="K117" s="12">
        <v>2</v>
      </c>
      <c r="M117" s="12">
        <f>IF($D$16=验算胜率!$F$5,验算胜率!K117,0)*H117*关卡道具消耗!$D$8/关卡道具消耗!$D$26</f>
        <v>0</v>
      </c>
      <c r="N117" s="12">
        <f>INDEX(关卡奖励!$AH$6:$AH$8,MATCH($D$14,关卡奖励!$W$6:$W$8,0))*H117*IF(G117&lt;0.3,1,2)</f>
        <v>5134.8</v>
      </c>
      <c r="O117" s="12">
        <f>INDEX(关卡奖励!$AI$9:$AI$11,MATCH($D$14,关卡奖励!$W$9:$W$11,0))*((1/G117)-1)*H117</f>
        <v>433.95000000000005</v>
      </c>
      <c r="P117" s="12">
        <f>I117-N117-O117</f>
        <v>-1168.7500000000002</v>
      </c>
      <c r="Q117" s="12">
        <f>1/G117</f>
        <v>2</v>
      </c>
      <c r="R117" s="12">
        <f>IFERROR(INDEX(base_v,MATCH($F117,base_k,1)),0)*离线奖励!$C$12</f>
        <v>6900</v>
      </c>
      <c r="S117" s="12">
        <f>IFERROR(INDEX(关卡进度奖励!$I$7:$I$15,MATCH(F117,关卡进度奖励!$D$7:$D$15,0)),0)</f>
        <v>0</v>
      </c>
      <c r="T117" s="12">
        <f>AVERAGE(签到!$E$7:$E$13)*$H117</f>
        <v>9088.3047619047611</v>
      </c>
      <c r="U117" s="12">
        <f>转盘!$C$26*H117*V117/$D$13</f>
        <v>0</v>
      </c>
      <c r="V117" s="12">
        <f t="shared" si="20"/>
        <v>0</v>
      </c>
      <c r="W117" s="12">
        <f>IFERROR(MATCH(INDEX(转盘!$C$17:$F$17,1,MATCH($D$13,转盘!$C$16:$F$16,0))*MAX(F117-转盘!$C$6,0),转盘!$L$9:$L$51,1),0)</f>
        <v>5</v>
      </c>
      <c r="X117" s="12">
        <f>IFERROR(MATCH($F117,gift_k_level,0)^0,0)*进度礼包!$C$17*$H117/$D$13</f>
        <v>0</v>
      </c>
      <c r="Y117" s="12">
        <f>IFERROR(MATCH($F117,turn_k_1,0)^0,0)*转盘!$C$42*$H117/$D$13</f>
        <v>0</v>
      </c>
      <c r="Z117" s="12">
        <f>IFERROR(MATCH($F117,gift_k_level,0)^0,0)*进度礼包!$C$34*$H117/$D$13</f>
        <v>0</v>
      </c>
      <c r="AA117" s="12">
        <f>IFERROR(MATCH($F117,gift_k_time,0)^0,0)*限时礼包!$C$15*$H117/$D$13</f>
        <v>0</v>
      </c>
      <c r="AB117" s="12">
        <f>SUM(H$6:H117)</f>
        <v>195500</v>
      </c>
      <c r="AC117" s="12">
        <f>SUM(N$6:N117)+SUM($M$6:M117)</f>
        <v>348116.09999999992</v>
      </c>
      <c r="AD117" s="12">
        <f>SUM(O$6:O117)</f>
        <v>51975.572249999968</v>
      </c>
      <c r="AE117" s="12">
        <f>SUM($P$6:P117)</f>
        <v>58908.327749999982</v>
      </c>
      <c r="AF117" s="12">
        <f>SUM(U$6:U117)</f>
        <v>33085.660377358487</v>
      </c>
      <c r="AG117" s="12">
        <f>SUM(S$6:S117)</f>
        <v>6500</v>
      </c>
      <c r="AH117" s="12">
        <f>SUM(Y$6:Y117)</f>
        <v>286526.2</v>
      </c>
      <c r="AI117" s="12">
        <f>SUM(X$6:X117)</f>
        <v>21996.405823033794</v>
      </c>
      <c r="AJ117" s="12">
        <f>SUM(Z$6:Z117)</f>
        <v>71326.628333998437</v>
      </c>
      <c r="AK117" s="12">
        <f>SUM(AA$6:AA117)</f>
        <v>271078.63090834022</v>
      </c>
      <c r="AL117" s="12">
        <f>F117</f>
        <v>112</v>
      </c>
      <c r="AM117" s="12">
        <f t="shared" si="18"/>
        <v>471673.73845039215</v>
      </c>
      <c r="AN117" s="12">
        <f>SUM(I$6:I117)</f>
        <v>459000</v>
      </c>
      <c r="AO117" s="8">
        <f>SUM(Q$6:Q117)</f>
        <v>253</v>
      </c>
      <c r="AP117" s="12">
        <f t="shared" si="19"/>
        <v>12673.738450392149</v>
      </c>
      <c r="AS117" s="12">
        <v>111</v>
      </c>
      <c r="AT117" s="12">
        <v>20</v>
      </c>
      <c r="AU117" s="12">
        <f t="shared" si="24"/>
        <v>2230</v>
      </c>
      <c r="AV117" s="12">
        <f t="shared" si="25"/>
        <v>0</v>
      </c>
      <c r="AW117" s="12">
        <f>INDEX($AO$6:$AO$215,MATCH(BC117,$F$6:$F$215,0))</f>
        <v>467</v>
      </c>
      <c r="AX117" s="12">
        <f t="shared" si="26"/>
        <v>1135512.1739951316</v>
      </c>
      <c r="AY117" s="12">
        <f t="shared" si="21"/>
        <v>7650</v>
      </c>
      <c r="AZ117" s="12">
        <f t="shared" si="22"/>
        <v>10740.72380952381</v>
      </c>
      <c r="BA117" s="12">
        <f>AX117+SUM($AY$6:AY117)+SUM($AZ$6:AZ117)</f>
        <v>3100524.0597094186</v>
      </c>
      <c r="BB117" s="12">
        <f t="shared" si="27"/>
        <v>956200</v>
      </c>
      <c r="BC117" s="12">
        <f t="shared" si="28"/>
        <v>210</v>
      </c>
      <c r="BD117" s="12">
        <f t="shared" si="29"/>
        <v>0</v>
      </c>
      <c r="BE117" s="12">
        <f t="shared" si="30"/>
        <v>211</v>
      </c>
      <c r="BF117" s="12">
        <f t="shared" si="23"/>
        <v>2144324.0597094186</v>
      </c>
    </row>
    <row r="118" spans="6:58" x14ac:dyDescent="0.35">
      <c r="F118" s="12">
        <v>113</v>
      </c>
      <c r="G118" s="8">
        <f>INDEX(验算胜率!$E$6:$I$1005,F118,MATCH($D$16,验算胜率!$E$5:$I$5,0))</f>
        <v>0.5</v>
      </c>
      <c r="H118" s="12">
        <f t="shared" si="16"/>
        <v>2200</v>
      </c>
      <c r="I118" s="12">
        <f t="shared" si="17"/>
        <v>4400</v>
      </c>
      <c r="J118" s="12">
        <v>4</v>
      </c>
      <c r="K118" s="12">
        <v>1</v>
      </c>
      <c r="M118" s="12">
        <f>IF($D$16=验算胜率!$F$5,验算胜率!K118,0)*H118*关卡道具消耗!$D$8/关卡道具消耗!$D$26</f>
        <v>0</v>
      </c>
      <c r="N118" s="12">
        <f>INDEX(关卡奖励!$AH$6:$AH$8,MATCH($D$14,关卡奖励!$W$6:$W$8,0))*H118*IF(G118&lt;0.3,1,2)</f>
        <v>5134.8</v>
      </c>
      <c r="O118" s="12">
        <f>INDEX(关卡奖励!$AI$9:$AI$11,MATCH($D$14,关卡奖励!$W$9:$W$11,0))*((1/G118)-1)*H118</f>
        <v>433.95000000000005</v>
      </c>
      <c r="P118" s="12">
        <f>I118-N118-O118</f>
        <v>-1168.7500000000002</v>
      </c>
      <c r="Q118" s="12">
        <f>1/G118</f>
        <v>2</v>
      </c>
      <c r="R118" s="12">
        <f>IFERROR(INDEX(base_v,MATCH($F118,base_k,1)),0)*离线奖励!$C$12</f>
        <v>6900</v>
      </c>
      <c r="S118" s="12">
        <f>IFERROR(INDEX(关卡进度奖励!$I$7:$I$15,MATCH(F118,关卡进度奖励!$D$7:$D$15,0)),0)</f>
        <v>0</v>
      </c>
      <c r="T118" s="12">
        <f>AVERAGE(签到!$E$7:$E$13)*$H118</f>
        <v>9088.3047619047611</v>
      </c>
      <c r="U118" s="12">
        <f>转盘!$C$26*H118*V118/$D$13</f>
        <v>0</v>
      </c>
      <c r="V118" s="12">
        <f t="shared" si="20"/>
        <v>0</v>
      </c>
      <c r="W118" s="12">
        <f>IFERROR(MATCH(INDEX(转盘!$C$17:$F$17,1,MATCH($D$13,转盘!$C$16:$F$16,0))*MAX(F118-转盘!$C$6,0),转盘!$L$9:$L$51,1),0)</f>
        <v>5</v>
      </c>
      <c r="X118" s="12">
        <f>IFERROR(MATCH($F118,gift_k_level,0)^0,0)*进度礼包!$C$17*$H118/$D$13</f>
        <v>0</v>
      </c>
      <c r="Y118" s="12">
        <f>IFERROR(MATCH($F118,turn_k_1,0)^0,0)*转盘!$C$42*$H118/$D$13</f>
        <v>0</v>
      </c>
      <c r="Z118" s="12">
        <f>IFERROR(MATCH($F118,gift_k_level,0)^0,0)*进度礼包!$C$34*$H118/$D$13</f>
        <v>0</v>
      </c>
      <c r="AA118" s="12">
        <f>IFERROR(MATCH($F118,gift_k_time,0)^0,0)*限时礼包!$C$15*$H118/$D$13</f>
        <v>0</v>
      </c>
      <c r="AB118" s="12">
        <f>SUM(H$6:H118)</f>
        <v>197700</v>
      </c>
      <c r="AC118" s="12">
        <f>SUM(N$6:N118)+SUM($M$6:M118)</f>
        <v>353250.89999999991</v>
      </c>
      <c r="AD118" s="12">
        <f>SUM(O$6:O118)</f>
        <v>52409.522249999965</v>
      </c>
      <c r="AE118" s="12">
        <f>SUM($P$6:P118)</f>
        <v>57739.577749999982</v>
      </c>
      <c r="AF118" s="12">
        <f>SUM(U$6:U118)</f>
        <v>33085.660377358487</v>
      </c>
      <c r="AG118" s="12">
        <f>SUM(S$6:S118)</f>
        <v>6500</v>
      </c>
      <c r="AH118" s="12">
        <f>SUM(Y$6:Y118)</f>
        <v>286526.2</v>
      </c>
      <c r="AI118" s="12">
        <f>SUM(X$6:X118)</f>
        <v>21996.405823033794</v>
      </c>
      <c r="AJ118" s="12">
        <f>SUM(Z$6:Z118)</f>
        <v>71326.628333998437</v>
      </c>
      <c r="AK118" s="12">
        <f>SUM(AA$6:AA118)</f>
        <v>271078.63090834022</v>
      </c>
      <c r="AL118" s="12">
        <f>F118</f>
        <v>113</v>
      </c>
      <c r="AM118" s="12">
        <f t="shared" si="18"/>
        <v>477242.48845039215</v>
      </c>
      <c r="AN118" s="12">
        <f>SUM(I$6:I118)</f>
        <v>463400</v>
      </c>
      <c r="AO118" s="8">
        <f>SUM(Q$6:Q118)</f>
        <v>255</v>
      </c>
      <c r="AP118" s="12">
        <f t="shared" si="19"/>
        <v>13842.488450392149</v>
      </c>
      <c r="AS118" s="12">
        <v>112</v>
      </c>
      <c r="AT118" s="12">
        <v>20</v>
      </c>
      <c r="AU118" s="12">
        <f t="shared" si="24"/>
        <v>2250</v>
      </c>
      <c r="AV118" s="12">
        <f t="shared" si="25"/>
        <v>0</v>
      </c>
      <c r="AW118" s="12">
        <f>INDEX($AO$6:$AO$215,MATCH(BC118,$F$6:$F$215,0))</f>
        <v>467</v>
      </c>
      <c r="AX118" s="12">
        <f t="shared" si="26"/>
        <v>1135512.1739951316</v>
      </c>
      <c r="AY118" s="12">
        <f t="shared" si="21"/>
        <v>7650</v>
      </c>
      <c r="AZ118" s="12">
        <f t="shared" si="22"/>
        <v>10740.72380952381</v>
      </c>
      <c r="BA118" s="12">
        <f>AX118+SUM($AY$6:AY118)+SUM($AZ$6:AZ118)</f>
        <v>3118914.7835189425</v>
      </c>
      <c r="BB118" s="12">
        <f t="shared" si="27"/>
        <v>956200</v>
      </c>
      <c r="BC118" s="12">
        <f t="shared" si="28"/>
        <v>210</v>
      </c>
      <c r="BD118" s="12">
        <f t="shared" si="29"/>
        <v>0</v>
      </c>
      <c r="BE118" s="12">
        <f t="shared" si="30"/>
        <v>211</v>
      </c>
      <c r="BF118" s="12">
        <f t="shared" si="23"/>
        <v>2162714.7835189425</v>
      </c>
    </row>
    <row r="119" spans="6:58" x14ac:dyDescent="0.35">
      <c r="F119" s="12">
        <v>114</v>
      </c>
      <c r="G119" s="8">
        <f>INDEX(验算胜率!$E$6:$I$1005,F119,MATCH($D$16,验算胜率!$E$5:$I$5,0))</f>
        <v>0.2</v>
      </c>
      <c r="H119" s="12">
        <f t="shared" si="16"/>
        <v>2200</v>
      </c>
      <c r="I119" s="12">
        <f t="shared" si="17"/>
        <v>11000</v>
      </c>
      <c r="J119" s="12">
        <v>4</v>
      </c>
      <c r="K119" s="12">
        <v>1</v>
      </c>
      <c r="M119" s="12">
        <f>IF($D$16=验算胜率!$F$5,验算胜率!K119,0)*H119*关卡道具消耗!$D$8/关卡道具消耗!$D$26</f>
        <v>0</v>
      </c>
      <c r="N119" s="12">
        <f>INDEX(关卡奖励!$AH$6:$AH$8,MATCH($D$14,关卡奖励!$W$6:$W$8,0))*H119*IF(G119&lt;0.3,1,2)</f>
        <v>2567.4</v>
      </c>
      <c r="O119" s="12">
        <f>INDEX(关卡奖励!$AI$9:$AI$11,MATCH($D$14,关卡奖励!$W$9:$W$11,0))*((1/G119)-1)*H119</f>
        <v>1735.8000000000002</v>
      </c>
      <c r="P119" s="12">
        <f>I119-N119-O119</f>
        <v>6696.8</v>
      </c>
      <c r="Q119" s="12">
        <f>1/G119</f>
        <v>5</v>
      </c>
      <c r="R119" s="12">
        <f>IFERROR(INDEX(base_v,MATCH($F119,base_k,1)),0)*离线奖励!$C$12</f>
        <v>6900</v>
      </c>
      <c r="S119" s="12">
        <f>IFERROR(INDEX(关卡进度奖励!$I$7:$I$15,MATCH(F119,关卡进度奖励!$D$7:$D$15,0)),0)</f>
        <v>0</v>
      </c>
      <c r="T119" s="12">
        <f>AVERAGE(签到!$E$7:$E$13)*$H119</f>
        <v>9088.3047619047611</v>
      </c>
      <c r="U119" s="12">
        <f>转盘!$C$26*H119*V119/$D$13</f>
        <v>0</v>
      </c>
      <c r="V119" s="12">
        <f t="shared" si="20"/>
        <v>0</v>
      </c>
      <c r="W119" s="12">
        <f>IFERROR(MATCH(INDEX(转盘!$C$17:$F$17,1,MATCH($D$13,转盘!$C$16:$F$16,0))*MAX(F119-转盘!$C$6,0),转盘!$L$9:$L$51,1),0)</f>
        <v>5</v>
      </c>
      <c r="X119" s="12">
        <f>IFERROR(MATCH($F119,gift_k_level,0)^0,0)*进度礼包!$C$17*$H119/$D$13</f>
        <v>0</v>
      </c>
      <c r="Y119" s="12">
        <f>IFERROR(MATCH($F119,turn_k_1,0)^0,0)*转盘!$C$42*$H119/$D$13</f>
        <v>0</v>
      </c>
      <c r="Z119" s="12">
        <f>IFERROR(MATCH($F119,gift_k_level,0)^0,0)*进度礼包!$C$34*$H119/$D$13</f>
        <v>0</v>
      </c>
      <c r="AA119" s="12">
        <f>IFERROR(MATCH($F119,gift_k_time,0)^0,0)*限时礼包!$C$15*$H119/$D$13</f>
        <v>0</v>
      </c>
      <c r="AB119" s="12">
        <f>SUM(H$6:H119)</f>
        <v>199900</v>
      </c>
      <c r="AC119" s="12">
        <f>SUM(N$6:N119)+SUM($M$6:M119)</f>
        <v>355818.29999999993</v>
      </c>
      <c r="AD119" s="12">
        <f>SUM(O$6:O119)</f>
        <v>54145.322249999968</v>
      </c>
      <c r="AE119" s="12">
        <f>SUM($P$6:P119)</f>
        <v>64436.377749999985</v>
      </c>
      <c r="AF119" s="12">
        <f>SUM(U$6:U119)</f>
        <v>33085.660377358487</v>
      </c>
      <c r="AG119" s="12">
        <f>SUM(S$6:S119)</f>
        <v>6500</v>
      </c>
      <c r="AH119" s="12">
        <f>SUM(Y$6:Y119)</f>
        <v>286526.2</v>
      </c>
      <c r="AI119" s="12">
        <f>SUM(X$6:X119)</f>
        <v>21996.405823033794</v>
      </c>
      <c r="AJ119" s="12">
        <f>SUM(Z$6:Z119)</f>
        <v>71326.628333998437</v>
      </c>
      <c r="AK119" s="12">
        <f>SUM(AA$6:AA119)</f>
        <v>271078.63090834022</v>
      </c>
      <c r="AL119" s="12">
        <f>F119</f>
        <v>114</v>
      </c>
      <c r="AM119" s="12">
        <f t="shared" si="18"/>
        <v>481545.68845039216</v>
      </c>
      <c r="AN119" s="12">
        <f>SUM(I$6:I119)</f>
        <v>474400</v>
      </c>
      <c r="AO119" s="8">
        <f>SUM(Q$6:Q119)</f>
        <v>260</v>
      </c>
      <c r="AP119" s="12">
        <f t="shared" si="19"/>
        <v>7145.688450392161</v>
      </c>
      <c r="AS119" s="12">
        <v>113</v>
      </c>
      <c r="AT119" s="12">
        <v>20</v>
      </c>
      <c r="AU119" s="12">
        <f t="shared" si="24"/>
        <v>2270</v>
      </c>
      <c r="AV119" s="12">
        <f t="shared" si="25"/>
        <v>0</v>
      </c>
      <c r="AW119" s="12">
        <f>INDEX($AO$6:$AO$215,MATCH(BC119,$F$6:$F$215,0))</f>
        <v>467</v>
      </c>
      <c r="AX119" s="12">
        <f t="shared" si="26"/>
        <v>1135512.1739951316</v>
      </c>
      <c r="AY119" s="12">
        <f t="shared" si="21"/>
        <v>7650</v>
      </c>
      <c r="AZ119" s="12">
        <f t="shared" si="22"/>
        <v>10740.72380952381</v>
      </c>
      <c r="BA119" s="12">
        <f>AX119+SUM($AY$6:AY119)+SUM($AZ$6:AZ119)</f>
        <v>3137305.5073284665</v>
      </c>
      <c r="BB119" s="12">
        <f t="shared" si="27"/>
        <v>956200</v>
      </c>
      <c r="BC119" s="12">
        <f t="shared" si="28"/>
        <v>210</v>
      </c>
      <c r="BD119" s="12">
        <f t="shared" si="29"/>
        <v>0</v>
      </c>
      <c r="BE119" s="12">
        <f t="shared" si="30"/>
        <v>211</v>
      </c>
      <c r="BF119" s="12">
        <f t="shared" si="23"/>
        <v>2181105.5073284665</v>
      </c>
    </row>
    <row r="120" spans="6:58" x14ac:dyDescent="0.35">
      <c r="F120" s="12">
        <v>115</v>
      </c>
      <c r="G120" s="8">
        <f>INDEX(验算胜率!$E$6:$I$1005,F120,MATCH($D$16,验算胜率!$E$5:$I$5,0))</f>
        <v>0.5</v>
      </c>
      <c r="H120" s="12">
        <f t="shared" si="16"/>
        <v>2200</v>
      </c>
      <c r="I120" s="12">
        <f t="shared" si="17"/>
        <v>4400</v>
      </c>
      <c r="J120" s="12">
        <v>4</v>
      </c>
      <c r="K120" s="12">
        <v>1</v>
      </c>
      <c r="M120" s="12">
        <f>IF($D$16=验算胜率!$F$5,验算胜率!K120,0)*H120*关卡道具消耗!$D$8/关卡道具消耗!$D$26</f>
        <v>0</v>
      </c>
      <c r="N120" s="12">
        <f>INDEX(关卡奖励!$AH$6:$AH$8,MATCH($D$14,关卡奖励!$W$6:$W$8,0))*H120*IF(G120&lt;0.3,1,2)</f>
        <v>5134.8</v>
      </c>
      <c r="O120" s="12">
        <f>INDEX(关卡奖励!$AI$9:$AI$11,MATCH($D$14,关卡奖励!$W$9:$W$11,0))*((1/G120)-1)*H120</f>
        <v>433.95000000000005</v>
      </c>
      <c r="P120" s="12">
        <f>I120-N120-O120</f>
        <v>-1168.7500000000002</v>
      </c>
      <c r="Q120" s="12">
        <f>1/G120</f>
        <v>2</v>
      </c>
      <c r="R120" s="12">
        <f>IFERROR(INDEX(base_v,MATCH($F120,base_k,1)),0)*离线奖励!$C$12</f>
        <v>6900</v>
      </c>
      <c r="S120" s="12">
        <f>IFERROR(INDEX(关卡进度奖励!$I$7:$I$15,MATCH(F120,关卡进度奖励!$D$7:$D$15,0)),0)</f>
        <v>0</v>
      </c>
      <c r="T120" s="12">
        <f>AVERAGE(签到!$E$7:$E$13)*$H120</f>
        <v>9088.3047619047611</v>
      </c>
      <c r="U120" s="12">
        <f>转盘!$C$26*H120*V120/$D$13</f>
        <v>0</v>
      </c>
      <c r="V120" s="12">
        <f t="shared" si="20"/>
        <v>0</v>
      </c>
      <c r="W120" s="12">
        <f>IFERROR(MATCH(INDEX(转盘!$C$17:$F$17,1,MATCH($D$13,转盘!$C$16:$F$16,0))*MAX(F120-转盘!$C$6,0),转盘!$L$9:$L$51,1),0)</f>
        <v>5</v>
      </c>
      <c r="X120" s="12">
        <f>IFERROR(MATCH($F120,gift_k_level,0)^0,0)*进度礼包!$C$17*$H120/$D$13</f>
        <v>0</v>
      </c>
      <c r="Y120" s="12">
        <f>IFERROR(MATCH($F120,turn_k_1,0)^0,0)*转盘!$C$42*$H120/$D$13</f>
        <v>0</v>
      </c>
      <c r="Z120" s="12">
        <f>IFERROR(MATCH($F120,gift_k_level,0)^0,0)*进度礼包!$C$34*$H120/$D$13</f>
        <v>0</v>
      </c>
      <c r="AA120" s="12">
        <f>IFERROR(MATCH($F120,gift_k_time,0)^0,0)*限时礼包!$C$15*$H120/$D$13</f>
        <v>0</v>
      </c>
      <c r="AB120" s="12">
        <f>SUM(H$6:H120)</f>
        <v>202100</v>
      </c>
      <c r="AC120" s="12">
        <f>SUM(N$6:N120)+SUM($M$6:M120)</f>
        <v>360953.09999999992</v>
      </c>
      <c r="AD120" s="12">
        <f>SUM(O$6:O120)</f>
        <v>54579.272249999965</v>
      </c>
      <c r="AE120" s="12">
        <f>SUM($P$6:P120)</f>
        <v>63267.627749999985</v>
      </c>
      <c r="AF120" s="12">
        <f>SUM(U$6:U120)</f>
        <v>33085.660377358487</v>
      </c>
      <c r="AG120" s="12">
        <f>SUM(S$6:S120)</f>
        <v>6500</v>
      </c>
      <c r="AH120" s="12">
        <f>SUM(Y$6:Y120)</f>
        <v>286526.2</v>
      </c>
      <c r="AI120" s="12">
        <f>SUM(X$6:X120)</f>
        <v>21996.405823033794</v>
      </c>
      <c r="AJ120" s="12">
        <f>SUM(Z$6:Z120)</f>
        <v>71326.628333998437</v>
      </c>
      <c r="AK120" s="12">
        <f>SUM(AA$6:AA120)</f>
        <v>271078.63090834022</v>
      </c>
      <c r="AL120" s="12">
        <f>F120</f>
        <v>115</v>
      </c>
      <c r="AM120" s="12">
        <f t="shared" si="18"/>
        <v>487114.43845039216</v>
      </c>
      <c r="AN120" s="12">
        <f>SUM(I$6:I120)</f>
        <v>478800</v>
      </c>
      <c r="AO120" s="8">
        <f>SUM(Q$6:Q120)</f>
        <v>262</v>
      </c>
      <c r="AP120" s="12">
        <f t="shared" si="19"/>
        <v>8314.438450392161</v>
      </c>
      <c r="AS120" s="12">
        <v>114</v>
      </c>
      <c r="AT120" s="12">
        <v>20</v>
      </c>
      <c r="AU120" s="12">
        <f t="shared" si="24"/>
        <v>2290</v>
      </c>
      <c r="AV120" s="12">
        <f t="shared" si="25"/>
        <v>0</v>
      </c>
      <c r="AW120" s="12">
        <f>INDEX($AO$6:$AO$215,MATCH(BC120,$F$6:$F$215,0))</f>
        <v>467</v>
      </c>
      <c r="AX120" s="12">
        <f t="shared" si="26"/>
        <v>1135512.1739951316</v>
      </c>
      <c r="AY120" s="12">
        <f t="shared" si="21"/>
        <v>7650</v>
      </c>
      <c r="AZ120" s="12">
        <f t="shared" si="22"/>
        <v>10740.72380952381</v>
      </c>
      <c r="BA120" s="12">
        <f>AX120+SUM($AY$6:AY120)+SUM($AZ$6:AZ120)</f>
        <v>3155696.23113799</v>
      </c>
      <c r="BB120" s="12">
        <f t="shared" si="27"/>
        <v>956200</v>
      </c>
      <c r="BC120" s="12">
        <f t="shared" si="28"/>
        <v>210</v>
      </c>
      <c r="BD120" s="12">
        <f t="shared" si="29"/>
        <v>0</v>
      </c>
      <c r="BE120" s="12">
        <f t="shared" si="30"/>
        <v>211</v>
      </c>
      <c r="BF120" s="12">
        <f t="shared" si="23"/>
        <v>2199496.23113799</v>
      </c>
    </row>
    <row r="121" spans="6:58" x14ac:dyDescent="0.35">
      <c r="F121" s="12">
        <v>116</v>
      </c>
      <c r="G121" s="8">
        <f>INDEX(验算胜率!$E$6:$I$1005,F121,MATCH($D$16,验算胜率!$E$5:$I$5,0))</f>
        <v>0.5</v>
      </c>
      <c r="H121" s="12">
        <f t="shared" si="16"/>
        <v>2200</v>
      </c>
      <c r="I121" s="12">
        <f t="shared" si="17"/>
        <v>4400</v>
      </c>
      <c r="J121" s="12">
        <v>4</v>
      </c>
      <c r="K121" s="12">
        <v>2</v>
      </c>
      <c r="M121" s="12">
        <f>IF($D$16=验算胜率!$F$5,验算胜率!K121,0)*H121*关卡道具消耗!$D$8/关卡道具消耗!$D$26</f>
        <v>0</v>
      </c>
      <c r="N121" s="12">
        <f>INDEX(关卡奖励!$AH$6:$AH$8,MATCH($D$14,关卡奖励!$W$6:$W$8,0))*H121*IF(G121&lt;0.3,1,2)</f>
        <v>5134.8</v>
      </c>
      <c r="O121" s="12">
        <f>INDEX(关卡奖励!$AI$9:$AI$11,MATCH($D$14,关卡奖励!$W$9:$W$11,0))*((1/G121)-1)*H121</f>
        <v>433.95000000000005</v>
      </c>
      <c r="P121" s="12">
        <f>I121-N121-O121</f>
        <v>-1168.7500000000002</v>
      </c>
      <c r="Q121" s="12">
        <f>1/G121</f>
        <v>2</v>
      </c>
      <c r="R121" s="12">
        <f>IFERROR(INDEX(base_v,MATCH($F121,base_k,1)),0)*离线奖励!$C$12</f>
        <v>6900</v>
      </c>
      <c r="S121" s="12">
        <f>IFERROR(INDEX(关卡进度奖励!$I$7:$I$15,MATCH(F121,关卡进度奖励!$D$7:$D$15,0)),0)</f>
        <v>0</v>
      </c>
      <c r="T121" s="12">
        <f>AVERAGE(签到!$E$7:$E$13)*$H121</f>
        <v>9088.3047619047611</v>
      </c>
      <c r="U121" s="12">
        <f>转盘!$C$26*H121*V121/$D$13</f>
        <v>0</v>
      </c>
      <c r="V121" s="12">
        <f t="shared" si="20"/>
        <v>0</v>
      </c>
      <c r="W121" s="12">
        <f>IFERROR(MATCH(INDEX(转盘!$C$17:$F$17,1,MATCH($D$13,转盘!$C$16:$F$16,0))*MAX(F121-转盘!$C$6,0),转盘!$L$9:$L$51,1),0)</f>
        <v>5</v>
      </c>
      <c r="X121" s="12">
        <f>IFERROR(MATCH($F121,gift_k_level,0)^0,0)*进度礼包!$C$17*$H121/$D$13</f>
        <v>0</v>
      </c>
      <c r="Y121" s="12">
        <f>IFERROR(MATCH($F121,turn_k_1,0)^0,0)*转盘!$C$42*$H121/$D$13</f>
        <v>73297.399999999994</v>
      </c>
      <c r="Z121" s="12">
        <f>IFERROR(MATCH($F121,gift_k_level,0)^0,0)*进度礼包!$C$34*$H121/$D$13</f>
        <v>0</v>
      </c>
      <c r="AA121" s="12">
        <f>IFERROR(MATCH($F121,gift_k_time,0)^0,0)*限时礼包!$C$15*$H121/$D$13</f>
        <v>0</v>
      </c>
      <c r="AB121" s="12">
        <f>SUM(H$6:H121)</f>
        <v>204300</v>
      </c>
      <c r="AC121" s="12">
        <f>SUM(N$6:N121)+SUM($M$6:M121)</f>
        <v>366087.89999999991</v>
      </c>
      <c r="AD121" s="12">
        <f>SUM(O$6:O121)</f>
        <v>55013.222249999963</v>
      </c>
      <c r="AE121" s="12">
        <f>SUM($P$6:P121)</f>
        <v>62098.877749999985</v>
      </c>
      <c r="AF121" s="12">
        <f>SUM(U$6:U121)</f>
        <v>33085.660377358487</v>
      </c>
      <c r="AG121" s="12">
        <f>SUM(S$6:S121)</f>
        <v>6500</v>
      </c>
      <c r="AH121" s="12">
        <f>SUM(Y$6:Y121)</f>
        <v>359823.6</v>
      </c>
      <c r="AI121" s="12">
        <f>SUM(X$6:X121)</f>
        <v>21996.405823033794</v>
      </c>
      <c r="AJ121" s="12">
        <f>SUM(Z$6:Z121)</f>
        <v>71326.628333998437</v>
      </c>
      <c r="AK121" s="12">
        <f>SUM(AA$6:AA121)</f>
        <v>271078.63090834022</v>
      </c>
      <c r="AL121" s="12">
        <f>F121</f>
        <v>116</v>
      </c>
      <c r="AM121" s="12">
        <f t="shared" si="18"/>
        <v>492683.18845039216</v>
      </c>
      <c r="AN121" s="12">
        <f>SUM(I$6:I121)</f>
        <v>483200</v>
      </c>
      <c r="AO121" s="8">
        <f>SUM(Q$6:Q121)</f>
        <v>264</v>
      </c>
      <c r="AP121" s="12">
        <f t="shared" si="19"/>
        <v>9483.188450392161</v>
      </c>
      <c r="AS121" s="12">
        <v>115</v>
      </c>
      <c r="AT121" s="12">
        <v>20</v>
      </c>
      <c r="AU121" s="12">
        <f t="shared" si="24"/>
        <v>2310</v>
      </c>
      <c r="AV121" s="12">
        <f t="shared" si="25"/>
        <v>0</v>
      </c>
      <c r="AW121" s="12">
        <f>INDEX($AO$6:$AO$215,MATCH(BC121,$F$6:$F$215,0))</f>
        <v>467</v>
      </c>
      <c r="AX121" s="12">
        <f t="shared" si="26"/>
        <v>1135512.1739951316</v>
      </c>
      <c r="AY121" s="12">
        <f t="shared" si="21"/>
        <v>7650</v>
      </c>
      <c r="AZ121" s="12">
        <f t="shared" si="22"/>
        <v>10740.72380952381</v>
      </c>
      <c r="BA121" s="12">
        <f>AX121+SUM($AY$6:AY121)+SUM($AZ$6:AZ121)</f>
        <v>3174086.9549475135</v>
      </c>
      <c r="BB121" s="12">
        <f t="shared" si="27"/>
        <v>956200</v>
      </c>
      <c r="BC121" s="12">
        <f t="shared" si="28"/>
        <v>210</v>
      </c>
      <c r="BD121" s="12">
        <f t="shared" si="29"/>
        <v>0</v>
      </c>
      <c r="BE121" s="12">
        <f t="shared" si="30"/>
        <v>211</v>
      </c>
      <c r="BF121" s="12">
        <f t="shared" si="23"/>
        <v>2217886.9549475135</v>
      </c>
    </row>
    <row r="122" spans="6:58" x14ac:dyDescent="0.35">
      <c r="F122" s="12">
        <v>117</v>
      </c>
      <c r="G122" s="8">
        <f>INDEX(验算胜率!$E$6:$I$1005,F122,MATCH($D$16,验算胜率!$E$5:$I$5,0))</f>
        <v>0.5</v>
      </c>
      <c r="H122" s="12">
        <f t="shared" si="16"/>
        <v>2200</v>
      </c>
      <c r="I122" s="12">
        <f t="shared" si="17"/>
        <v>4400</v>
      </c>
      <c r="J122" s="12">
        <v>4</v>
      </c>
      <c r="K122" s="12">
        <v>0</v>
      </c>
      <c r="M122" s="12">
        <f>IF($D$16=验算胜率!$F$5,验算胜率!K122,0)*H122*关卡道具消耗!$D$8/关卡道具消耗!$D$26</f>
        <v>0</v>
      </c>
      <c r="N122" s="12">
        <f>INDEX(关卡奖励!$AH$6:$AH$8,MATCH($D$14,关卡奖励!$W$6:$W$8,0))*H122*IF(G122&lt;0.3,1,2)</f>
        <v>5134.8</v>
      </c>
      <c r="O122" s="12">
        <f>INDEX(关卡奖励!$AI$9:$AI$11,MATCH($D$14,关卡奖励!$W$9:$W$11,0))*((1/G122)-1)*H122</f>
        <v>433.95000000000005</v>
      </c>
      <c r="P122" s="12">
        <f>I122-N122-O122</f>
        <v>-1168.7500000000002</v>
      </c>
      <c r="Q122" s="12">
        <f>1/G122</f>
        <v>2</v>
      </c>
      <c r="R122" s="12">
        <f>IFERROR(INDEX(base_v,MATCH($F122,base_k,1)),0)*离线奖励!$C$12</f>
        <v>6900</v>
      </c>
      <c r="S122" s="12">
        <f>IFERROR(INDEX(关卡进度奖励!$I$7:$I$15,MATCH(F122,关卡进度奖励!$D$7:$D$15,0)),0)</f>
        <v>0</v>
      </c>
      <c r="T122" s="12">
        <f>AVERAGE(签到!$E$7:$E$13)*$H122</f>
        <v>9088.3047619047611</v>
      </c>
      <c r="U122" s="12">
        <f>转盘!$C$26*H122*V122/$D$13</f>
        <v>8463.7735849056589</v>
      </c>
      <c r="V122" s="12">
        <f t="shared" si="20"/>
        <v>1</v>
      </c>
      <c r="W122" s="12">
        <f>IFERROR(MATCH(INDEX(转盘!$C$17:$F$17,1,MATCH($D$13,转盘!$C$16:$F$16,0))*MAX(F122-转盘!$C$6,0),转盘!$L$9:$L$51,1),0)</f>
        <v>6</v>
      </c>
      <c r="X122" s="12">
        <f>IFERROR(MATCH($F122,gift_k_level,0)^0,0)*进度礼包!$C$17*$H122/$D$13</f>
        <v>0</v>
      </c>
      <c r="Y122" s="12">
        <f>IFERROR(MATCH($F122,turn_k_1,0)^0,0)*转盘!$C$42*$H122/$D$13</f>
        <v>0</v>
      </c>
      <c r="Z122" s="12">
        <f>IFERROR(MATCH($F122,gift_k_level,0)^0,0)*进度礼包!$C$34*$H122/$D$13</f>
        <v>0</v>
      </c>
      <c r="AA122" s="12">
        <f>IFERROR(MATCH($F122,gift_k_time,0)^0,0)*限时礼包!$C$15*$H122/$D$13</f>
        <v>65535.493186631706</v>
      </c>
      <c r="AB122" s="12">
        <f>SUM(H$6:H122)</f>
        <v>206500</v>
      </c>
      <c r="AC122" s="12">
        <f>SUM(N$6:N122)+SUM($M$6:M122)</f>
        <v>371222.6999999999</v>
      </c>
      <c r="AD122" s="12">
        <f>SUM(O$6:O122)</f>
        <v>55447.17224999996</v>
      </c>
      <c r="AE122" s="12">
        <f>SUM($P$6:P122)</f>
        <v>60930.127749999985</v>
      </c>
      <c r="AF122" s="12">
        <f>SUM(U$6:U122)</f>
        <v>41549.433962264142</v>
      </c>
      <c r="AG122" s="12">
        <f>SUM(S$6:S122)</f>
        <v>6500</v>
      </c>
      <c r="AH122" s="12">
        <f>SUM(Y$6:Y122)</f>
        <v>359823.6</v>
      </c>
      <c r="AI122" s="12">
        <f>SUM(X$6:X122)</f>
        <v>21996.405823033794</v>
      </c>
      <c r="AJ122" s="12">
        <f>SUM(Z$6:Z122)</f>
        <v>71326.628333998437</v>
      </c>
      <c r="AK122" s="12">
        <f>SUM(AA$6:AA122)</f>
        <v>336614.12409497192</v>
      </c>
      <c r="AL122" s="12">
        <f>F122</f>
        <v>117</v>
      </c>
      <c r="AM122" s="12">
        <f t="shared" si="18"/>
        <v>506715.71203529777</v>
      </c>
      <c r="AN122" s="12">
        <f>SUM(I$6:I122)</f>
        <v>487600</v>
      </c>
      <c r="AO122" s="8">
        <f>SUM(Q$6:Q122)</f>
        <v>266</v>
      </c>
      <c r="AP122" s="12">
        <f t="shared" si="19"/>
        <v>19115.712035297765</v>
      </c>
      <c r="AS122" s="12">
        <v>116</v>
      </c>
      <c r="AT122" s="12">
        <v>20</v>
      </c>
      <c r="AU122" s="12">
        <f t="shared" si="24"/>
        <v>2330</v>
      </c>
      <c r="AV122" s="12">
        <f t="shared" si="25"/>
        <v>0</v>
      </c>
      <c r="AW122" s="12">
        <f>INDEX($AO$6:$AO$215,MATCH(BC122,$F$6:$F$215,0))</f>
        <v>467</v>
      </c>
      <c r="AX122" s="12">
        <f t="shared" si="26"/>
        <v>1135512.1739951316</v>
      </c>
      <c r="AY122" s="12">
        <f t="shared" si="21"/>
        <v>7650</v>
      </c>
      <c r="AZ122" s="12">
        <f t="shared" si="22"/>
        <v>10740.72380952381</v>
      </c>
      <c r="BA122" s="12">
        <f>AX122+SUM($AY$6:AY122)+SUM($AZ$6:AZ122)</f>
        <v>3192477.6787570375</v>
      </c>
      <c r="BB122" s="12">
        <f t="shared" si="27"/>
        <v>956200</v>
      </c>
      <c r="BC122" s="12">
        <f t="shared" si="28"/>
        <v>210</v>
      </c>
      <c r="BD122" s="12">
        <f t="shared" si="29"/>
        <v>0</v>
      </c>
      <c r="BE122" s="12">
        <f t="shared" si="30"/>
        <v>211</v>
      </c>
      <c r="BF122" s="12">
        <f t="shared" si="23"/>
        <v>2236277.6787570375</v>
      </c>
    </row>
    <row r="123" spans="6:58" x14ac:dyDescent="0.35">
      <c r="F123" s="12">
        <v>118</v>
      </c>
      <c r="G123" s="8">
        <f>INDEX(验算胜率!$E$6:$I$1005,F123,MATCH($D$16,验算胜率!$E$5:$I$5,0))</f>
        <v>0.5</v>
      </c>
      <c r="H123" s="12">
        <f t="shared" si="16"/>
        <v>2200</v>
      </c>
      <c r="I123" s="12">
        <f t="shared" si="17"/>
        <v>4400</v>
      </c>
      <c r="J123" s="12">
        <v>4</v>
      </c>
      <c r="K123" s="12">
        <v>0</v>
      </c>
      <c r="M123" s="12">
        <f>IF($D$16=验算胜率!$F$5,验算胜率!K123,0)*H123*关卡道具消耗!$D$8/关卡道具消耗!$D$26</f>
        <v>0</v>
      </c>
      <c r="N123" s="12">
        <f>INDEX(关卡奖励!$AH$6:$AH$8,MATCH($D$14,关卡奖励!$W$6:$W$8,0))*H123*IF(G123&lt;0.3,1,2)</f>
        <v>5134.8</v>
      </c>
      <c r="O123" s="12">
        <f>INDEX(关卡奖励!$AI$9:$AI$11,MATCH($D$14,关卡奖励!$W$9:$W$11,0))*((1/G123)-1)*H123</f>
        <v>433.95000000000005</v>
      </c>
      <c r="P123" s="12">
        <f>I123-N123-O123</f>
        <v>-1168.7500000000002</v>
      </c>
      <c r="Q123" s="12">
        <f>1/G123</f>
        <v>2</v>
      </c>
      <c r="R123" s="12">
        <f>IFERROR(INDEX(base_v,MATCH($F123,base_k,1)),0)*离线奖励!$C$12</f>
        <v>6900</v>
      </c>
      <c r="S123" s="12">
        <f>IFERROR(INDEX(关卡进度奖励!$I$7:$I$15,MATCH(F123,关卡进度奖励!$D$7:$D$15,0)),0)</f>
        <v>0</v>
      </c>
      <c r="T123" s="12">
        <f>AVERAGE(签到!$E$7:$E$13)*$H123</f>
        <v>9088.3047619047611</v>
      </c>
      <c r="U123" s="12">
        <f>转盘!$C$26*H123*V123/$D$13</f>
        <v>0</v>
      </c>
      <c r="V123" s="12">
        <f t="shared" si="20"/>
        <v>0</v>
      </c>
      <c r="W123" s="12">
        <f>IFERROR(MATCH(INDEX(转盘!$C$17:$F$17,1,MATCH($D$13,转盘!$C$16:$F$16,0))*MAX(F123-转盘!$C$6,0),转盘!$L$9:$L$51,1),0)</f>
        <v>6</v>
      </c>
      <c r="X123" s="12">
        <f>IFERROR(MATCH($F123,gift_k_level,0)^0,0)*进度礼包!$C$17*$H123/$D$13</f>
        <v>0</v>
      </c>
      <c r="Y123" s="12">
        <f>IFERROR(MATCH($F123,turn_k_1,0)^0,0)*转盘!$C$42*$H123/$D$13</f>
        <v>0</v>
      </c>
      <c r="Z123" s="12">
        <f>IFERROR(MATCH($F123,gift_k_level,0)^0,0)*进度礼包!$C$34*$H123/$D$13</f>
        <v>0</v>
      </c>
      <c r="AA123" s="12">
        <f>IFERROR(MATCH($F123,gift_k_time,0)^0,0)*限时礼包!$C$15*$H123/$D$13</f>
        <v>0</v>
      </c>
      <c r="AB123" s="12">
        <f>SUM(H$6:H123)</f>
        <v>208700</v>
      </c>
      <c r="AC123" s="12">
        <f>SUM(N$6:N123)+SUM($M$6:M123)</f>
        <v>376357.49999999988</v>
      </c>
      <c r="AD123" s="12">
        <f>SUM(O$6:O123)</f>
        <v>55881.122249999957</v>
      </c>
      <c r="AE123" s="12">
        <f>SUM($P$6:P123)</f>
        <v>59761.377749999985</v>
      </c>
      <c r="AF123" s="12">
        <f>SUM(U$6:U123)</f>
        <v>41549.433962264142</v>
      </c>
      <c r="AG123" s="12">
        <f>SUM(S$6:S123)</f>
        <v>6500</v>
      </c>
      <c r="AH123" s="12">
        <f>SUM(Y$6:Y123)</f>
        <v>359823.6</v>
      </c>
      <c r="AI123" s="12">
        <f>SUM(X$6:X123)</f>
        <v>21996.405823033794</v>
      </c>
      <c r="AJ123" s="12">
        <f>SUM(Z$6:Z123)</f>
        <v>71326.628333998437</v>
      </c>
      <c r="AK123" s="12">
        <f>SUM(AA$6:AA123)</f>
        <v>336614.12409497192</v>
      </c>
      <c r="AL123" s="12">
        <f>F123</f>
        <v>118</v>
      </c>
      <c r="AM123" s="12">
        <f t="shared" si="18"/>
        <v>512284.46203529777</v>
      </c>
      <c r="AN123" s="12">
        <f>SUM(I$6:I123)</f>
        <v>492000</v>
      </c>
      <c r="AO123" s="8">
        <f>SUM(Q$6:Q123)</f>
        <v>268</v>
      </c>
      <c r="AP123" s="12">
        <f t="shared" si="19"/>
        <v>20284.462035297765</v>
      </c>
      <c r="AS123" s="12">
        <v>117</v>
      </c>
      <c r="AT123" s="12">
        <v>20</v>
      </c>
      <c r="AU123" s="12">
        <f t="shared" si="24"/>
        <v>2350</v>
      </c>
      <c r="AV123" s="12">
        <f t="shared" si="25"/>
        <v>0</v>
      </c>
      <c r="AW123" s="12">
        <f>INDEX($AO$6:$AO$215,MATCH(BC123,$F$6:$F$215,0))</f>
        <v>467</v>
      </c>
      <c r="AX123" s="12">
        <f t="shared" si="26"/>
        <v>1135512.1739951316</v>
      </c>
      <c r="AY123" s="12">
        <f t="shared" si="21"/>
        <v>7650</v>
      </c>
      <c r="AZ123" s="12">
        <f t="shared" si="22"/>
        <v>10740.72380952381</v>
      </c>
      <c r="BA123" s="12">
        <f>AX123+SUM($AY$6:AY123)+SUM($AZ$6:AZ123)</f>
        <v>3210868.4025665615</v>
      </c>
      <c r="BB123" s="12">
        <f t="shared" si="27"/>
        <v>956200</v>
      </c>
      <c r="BC123" s="12">
        <f t="shared" si="28"/>
        <v>210</v>
      </c>
      <c r="BD123" s="12">
        <f t="shared" si="29"/>
        <v>0</v>
      </c>
      <c r="BE123" s="12">
        <f t="shared" si="30"/>
        <v>211</v>
      </c>
      <c r="BF123" s="12">
        <f t="shared" si="23"/>
        <v>2254668.4025665615</v>
      </c>
    </row>
    <row r="124" spans="6:58" x14ac:dyDescent="0.35">
      <c r="F124" s="12">
        <v>119</v>
      </c>
      <c r="G124" s="8">
        <f>INDEX(验算胜率!$E$6:$I$1005,F124,MATCH($D$16,验算胜率!$E$5:$I$5,0))</f>
        <v>0.2</v>
      </c>
      <c r="H124" s="12">
        <f t="shared" si="16"/>
        <v>2200</v>
      </c>
      <c r="I124" s="12">
        <f t="shared" si="17"/>
        <v>11000</v>
      </c>
      <c r="J124" s="12">
        <v>4</v>
      </c>
      <c r="K124" s="12">
        <v>1</v>
      </c>
      <c r="M124" s="12">
        <f>IF($D$16=验算胜率!$F$5,验算胜率!K124,0)*H124*关卡道具消耗!$D$8/关卡道具消耗!$D$26</f>
        <v>0</v>
      </c>
      <c r="N124" s="12">
        <f>INDEX(关卡奖励!$AH$6:$AH$8,MATCH($D$14,关卡奖励!$W$6:$W$8,0))*H124*IF(G124&lt;0.3,1,2)</f>
        <v>2567.4</v>
      </c>
      <c r="O124" s="12">
        <f>INDEX(关卡奖励!$AI$9:$AI$11,MATCH($D$14,关卡奖励!$W$9:$W$11,0))*((1/G124)-1)*H124</f>
        <v>1735.8000000000002</v>
      </c>
      <c r="P124" s="12">
        <f>I124-N124-O124</f>
        <v>6696.8</v>
      </c>
      <c r="Q124" s="12">
        <f>1/G124</f>
        <v>5</v>
      </c>
      <c r="R124" s="12">
        <f>IFERROR(INDEX(base_v,MATCH($F124,base_k,1)),0)*离线奖励!$C$12</f>
        <v>6900</v>
      </c>
      <c r="S124" s="12">
        <f>IFERROR(INDEX(关卡进度奖励!$I$7:$I$15,MATCH(F124,关卡进度奖励!$D$7:$D$15,0)),0)</f>
        <v>0</v>
      </c>
      <c r="T124" s="12">
        <f>AVERAGE(签到!$E$7:$E$13)*$H124</f>
        <v>9088.3047619047611</v>
      </c>
      <c r="U124" s="12">
        <f>转盘!$C$26*H124*V124/$D$13</f>
        <v>0</v>
      </c>
      <c r="V124" s="12">
        <f t="shared" si="20"/>
        <v>0</v>
      </c>
      <c r="W124" s="12">
        <f>IFERROR(MATCH(INDEX(转盘!$C$17:$F$17,1,MATCH($D$13,转盘!$C$16:$F$16,0))*MAX(F124-转盘!$C$6,0),转盘!$L$9:$L$51,1),0)</f>
        <v>6</v>
      </c>
      <c r="X124" s="12">
        <f>IFERROR(MATCH($F124,gift_k_level,0)^0,0)*进度礼包!$C$17*$H124/$D$13</f>
        <v>0</v>
      </c>
      <c r="Y124" s="12">
        <f>IFERROR(MATCH($F124,turn_k_1,0)^0,0)*转盘!$C$42*$H124/$D$13</f>
        <v>0</v>
      </c>
      <c r="Z124" s="12">
        <f>IFERROR(MATCH($F124,gift_k_level,0)^0,0)*进度礼包!$C$34*$H124/$D$13</f>
        <v>0</v>
      </c>
      <c r="AA124" s="12">
        <f>IFERROR(MATCH($F124,gift_k_time,0)^0,0)*限时礼包!$C$15*$H124/$D$13</f>
        <v>0</v>
      </c>
      <c r="AB124" s="12">
        <f>SUM(H$6:H124)</f>
        <v>210900</v>
      </c>
      <c r="AC124" s="12">
        <f>SUM(N$6:N124)+SUM($M$6:M124)</f>
        <v>378924.89999999991</v>
      </c>
      <c r="AD124" s="12">
        <f>SUM(O$6:O124)</f>
        <v>57616.92224999996</v>
      </c>
      <c r="AE124" s="12">
        <f>SUM($P$6:P124)</f>
        <v>66458.177749999988</v>
      </c>
      <c r="AF124" s="12">
        <f>SUM(U$6:U124)</f>
        <v>41549.433962264142</v>
      </c>
      <c r="AG124" s="12">
        <f>SUM(S$6:S124)</f>
        <v>6500</v>
      </c>
      <c r="AH124" s="12">
        <f>SUM(Y$6:Y124)</f>
        <v>359823.6</v>
      </c>
      <c r="AI124" s="12">
        <f>SUM(X$6:X124)</f>
        <v>21996.405823033794</v>
      </c>
      <c r="AJ124" s="12">
        <f>SUM(Z$6:Z124)</f>
        <v>71326.628333998437</v>
      </c>
      <c r="AK124" s="12">
        <f>SUM(AA$6:AA124)</f>
        <v>336614.12409497192</v>
      </c>
      <c r="AL124" s="12">
        <f>F124</f>
        <v>119</v>
      </c>
      <c r="AM124" s="12">
        <f t="shared" si="18"/>
        <v>516587.66203529778</v>
      </c>
      <c r="AN124" s="12">
        <f>SUM(I$6:I124)</f>
        <v>503000</v>
      </c>
      <c r="AO124" s="8">
        <f>SUM(Q$6:Q124)</f>
        <v>273</v>
      </c>
      <c r="AP124" s="12">
        <f t="shared" si="19"/>
        <v>13587.662035297777</v>
      </c>
      <c r="AS124" s="12">
        <v>118</v>
      </c>
      <c r="AT124" s="12">
        <v>20</v>
      </c>
      <c r="AU124" s="12">
        <f t="shared" si="24"/>
        <v>2370</v>
      </c>
      <c r="AV124" s="12">
        <f t="shared" si="25"/>
        <v>0</v>
      </c>
      <c r="AW124" s="12">
        <f>INDEX($AO$6:$AO$215,MATCH(BC124,$F$6:$F$215,0))</f>
        <v>467</v>
      </c>
      <c r="AX124" s="12">
        <f t="shared" si="26"/>
        <v>1135512.1739951316</v>
      </c>
      <c r="AY124" s="12">
        <f t="shared" si="21"/>
        <v>7650</v>
      </c>
      <c r="AZ124" s="12">
        <f t="shared" si="22"/>
        <v>10740.72380952381</v>
      </c>
      <c r="BA124" s="12">
        <f>AX124+SUM($AY$6:AY124)+SUM($AZ$6:AZ124)</f>
        <v>3229259.126376085</v>
      </c>
      <c r="BB124" s="12">
        <f t="shared" si="27"/>
        <v>956200</v>
      </c>
      <c r="BC124" s="12">
        <f t="shared" si="28"/>
        <v>210</v>
      </c>
      <c r="BD124" s="12">
        <f t="shared" si="29"/>
        <v>0</v>
      </c>
      <c r="BE124" s="12">
        <f t="shared" si="30"/>
        <v>211</v>
      </c>
      <c r="BF124" s="12">
        <f t="shared" si="23"/>
        <v>2273059.126376085</v>
      </c>
    </row>
    <row r="125" spans="6:58" x14ac:dyDescent="0.35">
      <c r="F125" s="12">
        <v>120</v>
      </c>
      <c r="G125" s="8">
        <f>INDEX(验算胜率!$E$6:$I$1005,F125,MATCH($D$16,验算胜率!$E$5:$I$5,0))</f>
        <v>0.5</v>
      </c>
      <c r="H125" s="12">
        <f t="shared" si="16"/>
        <v>2200</v>
      </c>
      <c r="I125" s="12">
        <f t="shared" si="17"/>
        <v>4400</v>
      </c>
      <c r="J125" s="12">
        <v>4</v>
      </c>
      <c r="K125" s="12">
        <v>1</v>
      </c>
      <c r="M125" s="12">
        <f>IF($D$16=验算胜率!$F$5,验算胜率!K125,0)*H125*关卡道具消耗!$D$8/关卡道具消耗!$D$26</f>
        <v>0</v>
      </c>
      <c r="N125" s="12">
        <f>INDEX(关卡奖励!$AH$6:$AH$8,MATCH($D$14,关卡奖励!$W$6:$W$8,0))*H125*IF(G125&lt;0.3,1,2)</f>
        <v>5134.8</v>
      </c>
      <c r="O125" s="12">
        <f>INDEX(关卡奖励!$AI$9:$AI$11,MATCH($D$14,关卡奖励!$W$9:$W$11,0))*((1/G125)-1)*H125</f>
        <v>433.95000000000005</v>
      </c>
      <c r="P125" s="12">
        <f>I125-N125-O125</f>
        <v>-1168.7500000000002</v>
      </c>
      <c r="Q125" s="12">
        <f>1/G125</f>
        <v>2</v>
      </c>
      <c r="R125" s="12">
        <f>IFERROR(INDEX(base_v,MATCH($F125,base_k,1)),0)*离线奖励!$C$12</f>
        <v>6900</v>
      </c>
      <c r="S125" s="12">
        <f>IFERROR(INDEX(关卡进度奖励!$I$7:$I$15,MATCH(F125,关卡进度奖励!$D$7:$D$15,0)),0)</f>
        <v>0</v>
      </c>
      <c r="T125" s="12">
        <f>AVERAGE(签到!$E$7:$E$13)*$H125</f>
        <v>9088.3047619047611</v>
      </c>
      <c r="U125" s="12">
        <f>转盘!$C$26*H125*V125/$D$13</f>
        <v>0</v>
      </c>
      <c r="V125" s="12">
        <f t="shared" si="20"/>
        <v>0</v>
      </c>
      <c r="W125" s="12">
        <f>IFERROR(MATCH(INDEX(转盘!$C$17:$F$17,1,MATCH($D$13,转盘!$C$16:$F$16,0))*MAX(F125-转盘!$C$6,0),转盘!$L$9:$L$51,1),0)</f>
        <v>6</v>
      </c>
      <c r="X125" s="12">
        <f>IFERROR(MATCH($F125,gift_k_level,0)^0,0)*进度礼包!$C$17*$H125/$D$13</f>
        <v>0</v>
      </c>
      <c r="Y125" s="12">
        <f>IFERROR(MATCH($F125,turn_k_1,0)^0,0)*转盘!$C$42*$H125/$D$13</f>
        <v>0</v>
      </c>
      <c r="Z125" s="12">
        <f>IFERROR(MATCH($F125,gift_k_level,0)^0,0)*进度礼包!$C$34*$H125/$D$13</f>
        <v>0</v>
      </c>
      <c r="AA125" s="12">
        <f>IFERROR(MATCH($F125,gift_k_time,0)^0,0)*限时礼包!$C$15*$H125/$D$13</f>
        <v>0</v>
      </c>
      <c r="AB125" s="12">
        <f>SUM(H$6:H125)</f>
        <v>213100</v>
      </c>
      <c r="AC125" s="12">
        <f>SUM(N$6:N125)+SUM($M$6:M125)</f>
        <v>384059.6999999999</v>
      </c>
      <c r="AD125" s="12">
        <f>SUM(O$6:O125)</f>
        <v>58050.872249999957</v>
      </c>
      <c r="AE125" s="12">
        <f>SUM($P$6:P125)</f>
        <v>65289.427749999988</v>
      </c>
      <c r="AF125" s="12">
        <f>SUM(U$6:U125)</f>
        <v>41549.433962264142</v>
      </c>
      <c r="AG125" s="12">
        <f>SUM(S$6:S125)</f>
        <v>6500</v>
      </c>
      <c r="AH125" s="12">
        <f>SUM(Y$6:Y125)</f>
        <v>359823.6</v>
      </c>
      <c r="AI125" s="12">
        <f>SUM(X$6:X125)</f>
        <v>21996.405823033794</v>
      </c>
      <c r="AJ125" s="12">
        <f>SUM(Z$6:Z125)</f>
        <v>71326.628333998437</v>
      </c>
      <c r="AK125" s="12">
        <f>SUM(AA$6:AA125)</f>
        <v>336614.12409497192</v>
      </c>
      <c r="AL125" s="12">
        <f>F125</f>
        <v>120</v>
      </c>
      <c r="AM125" s="12">
        <f t="shared" si="18"/>
        <v>522156.41203529778</v>
      </c>
      <c r="AN125" s="12">
        <f>SUM(I$6:I125)</f>
        <v>507400</v>
      </c>
      <c r="AO125" s="8">
        <f>SUM(Q$6:Q125)</f>
        <v>275</v>
      </c>
      <c r="AP125" s="12">
        <f t="shared" si="19"/>
        <v>14756.412035297777</v>
      </c>
      <c r="AS125" s="12">
        <v>119</v>
      </c>
      <c r="AT125" s="12">
        <v>20</v>
      </c>
      <c r="AU125" s="12">
        <f t="shared" si="24"/>
        <v>2390</v>
      </c>
      <c r="AV125" s="12">
        <f t="shared" si="25"/>
        <v>0</v>
      </c>
      <c r="AW125" s="12">
        <f>INDEX($AO$6:$AO$215,MATCH(BC125,$F$6:$F$215,0))</f>
        <v>467</v>
      </c>
      <c r="AX125" s="12">
        <f t="shared" si="26"/>
        <v>1135512.1739951316</v>
      </c>
      <c r="AY125" s="12">
        <f t="shared" si="21"/>
        <v>7650</v>
      </c>
      <c r="AZ125" s="12">
        <f t="shared" si="22"/>
        <v>10740.72380952381</v>
      </c>
      <c r="BA125" s="12">
        <f>AX125+SUM($AY$6:AY125)+SUM($AZ$6:AZ125)</f>
        <v>3247649.8501856085</v>
      </c>
      <c r="BB125" s="12">
        <f t="shared" si="27"/>
        <v>956200</v>
      </c>
      <c r="BC125" s="12">
        <f t="shared" si="28"/>
        <v>210</v>
      </c>
      <c r="BD125" s="12">
        <f t="shared" si="29"/>
        <v>0</v>
      </c>
      <c r="BE125" s="12">
        <f t="shared" si="30"/>
        <v>211</v>
      </c>
      <c r="BF125" s="12">
        <f t="shared" si="23"/>
        <v>2291449.8501856085</v>
      </c>
    </row>
    <row r="126" spans="6:58" x14ac:dyDescent="0.35">
      <c r="F126" s="12">
        <v>121</v>
      </c>
      <c r="G126" s="8">
        <f>INDEX(验算胜率!$E$6:$I$1005,F126,MATCH($D$16,验算胜率!$E$5:$I$5,0))</f>
        <v>0.5</v>
      </c>
      <c r="H126" s="12">
        <f t="shared" si="16"/>
        <v>2200</v>
      </c>
      <c r="I126" s="12">
        <f t="shared" si="17"/>
        <v>4400</v>
      </c>
      <c r="J126" s="12">
        <v>4</v>
      </c>
      <c r="K126" s="12">
        <v>3</v>
      </c>
      <c r="M126" s="12">
        <f>IF($D$16=验算胜率!$F$5,验算胜率!K126,0)*H126*关卡道具消耗!$D$8/关卡道具消耗!$D$26</f>
        <v>0</v>
      </c>
      <c r="N126" s="12">
        <f>INDEX(关卡奖励!$AH$6:$AH$8,MATCH($D$14,关卡奖励!$W$6:$W$8,0))*H126*IF(G126&lt;0.3,1,2)</f>
        <v>5134.8</v>
      </c>
      <c r="O126" s="12">
        <f>INDEX(关卡奖励!$AI$9:$AI$11,MATCH($D$14,关卡奖励!$W$9:$W$11,0))*((1/G126)-1)*H126</f>
        <v>433.95000000000005</v>
      </c>
      <c r="P126" s="12">
        <f>I126-N126-O126</f>
        <v>-1168.7500000000002</v>
      </c>
      <c r="Q126" s="12">
        <f>1/G126</f>
        <v>2</v>
      </c>
      <c r="R126" s="12">
        <f>IFERROR(INDEX(base_v,MATCH($F126,base_k,1)),0)*离线奖励!$C$12</f>
        <v>6900</v>
      </c>
      <c r="S126" s="12">
        <f>IFERROR(INDEX(关卡进度奖励!$I$7:$I$15,MATCH(F126,关卡进度奖励!$D$7:$D$15,0)),0)</f>
        <v>0</v>
      </c>
      <c r="T126" s="12">
        <f>AVERAGE(签到!$E$7:$E$13)*$H126</f>
        <v>9088.3047619047611</v>
      </c>
      <c r="U126" s="12">
        <f>转盘!$C$26*H126*V126/$D$13</f>
        <v>0</v>
      </c>
      <c r="V126" s="12">
        <f t="shared" si="20"/>
        <v>0</v>
      </c>
      <c r="W126" s="12">
        <f>IFERROR(MATCH(INDEX(转盘!$C$17:$F$17,1,MATCH($D$13,转盘!$C$16:$F$16,0))*MAX(F126-转盘!$C$6,0),转盘!$L$9:$L$51,1),0)</f>
        <v>6</v>
      </c>
      <c r="X126" s="12">
        <f>IFERROR(MATCH($F126,gift_k_level,0)^0,0)*进度礼包!$C$17*$H126/$D$13</f>
        <v>0</v>
      </c>
      <c r="Y126" s="12">
        <f>IFERROR(MATCH($F126,turn_k_1,0)^0,0)*转盘!$C$42*$H126/$D$13</f>
        <v>0</v>
      </c>
      <c r="Z126" s="12">
        <f>IFERROR(MATCH($F126,gift_k_level,0)^0,0)*进度礼包!$C$34*$H126/$D$13</f>
        <v>0</v>
      </c>
      <c r="AA126" s="12">
        <f>IFERROR(MATCH($F126,gift_k_time,0)^0,0)*限时礼包!$C$15*$H126/$D$13</f>
        <v>0</v>
      </c>
      <c r="AB126" s="12">
        <f>SUM(H$6:H126)</f>
        <v>215300</v>
      </c>
      <c r="AC126" s="12">
        <f>SUM(N$6:N126)+SUM($M$6:M126)</f>
        <v>389194.49999999988</v>
      </c>
      <c r="AD126" s="12">
        <f>SUM(O$6:O126)</f>
        <v>58484.822249999954</v>
      </c>
      <c r="AE126" s="12">
        <f>SUM($P$6:P126)</f>
        <v>64120.677749999988</v>
      </c>
      <c r="AF126" s="12">
        <f>SUM(U$6:U126)</f>
        <v>41549.433962264142</v>
      </c>
      <c r="AG126" s="12">
        <f>SUM(S$6:S126)</f>
        <v>6500</v>
      </c>
      <c r="AH126" s="12">
        <f>SUM(Y$6:Y126)</f>
        <v>359823.6</v>
      </c>
      <c r="AI126" s="12">
        <f>SUM(X$6:X126)</f>
        <v>21996.405823033794</v>
      </c>
      <c r="AJ126" s="12">
        <f>SUM(Z$6:Z126)</f>
        <v>71326.628333998437</v>
      </c>
      <c r="AK126" s="12">
        <f>SUM(AA$6:AA126)</f>
        <v>336614.12409497192</v>
      </c>
      <c r="AL126" s="12">
        <f>F126</f>
        <v>121</v>
      </c>
      <c r="AM126" s="12">
        <f t="shared" si="18"/>
        <v>527725.16203529784</v>
      </c>
      <c r="AN126" s="12">
        <f>SUM(I$6:I126)</f>
        <v>511800</v>
      </c>
      <c r="AO126" s="8">
        <f>SUM(Q$6:Q126)</f>
        <v>277</v>
      </c>
      <c r="AP126" s="12">
        <f t="shared" si="19"/>
        <v>15925.162035297835</v>
      </c>
      <c r="AS126" s="12">
        <v>120</v>
      </c>
      <c r="AT126" s="12">
        <v>20</v>
      </c>
      <c r="AU126" s="12">
        <f t="shared" si="24"/>
        <v>2410</v>
      </c>
      <c r="AV126" s="12">
        <f t="shared" si="25"/>
        <v>0</v>
      </c>
      <c r="AW126" s="12">
        <f>INDEX($AO$6:$AO$215,MATCH(BC126,$F$6:$F$215,0))</f>
        <v>467</v>
      </c>
      <c r="AX126" s="12">
        <f t="shared" si="26"/>
        <v>1135512.1739951316</v>
      </c>
      <c r="AY126" s="12">
        <f t="shared" si="21"/>
        <v>7650</v>
      </c>
      <c r="AZ126" s="12">
        <f t="shared" si="22"/>
        <v>10740.72380952381</v>
      </c>
      <c r="BA126" s="12">
        <f>AX126+SUM($AY$6:AY126)+SUM($AZ$6:AZ126)</f>
        <v>3266040.5739951325</v>
      </c>
      <c r="BB126" s="12">
        <f t="shared" si="27"/>
        <v>956200</v>
      </c>
      <c r="BC126" s="12">
        <f t="shared" si="28"/>
        <v>210</v>
      </c>
      <c r="BD126" s="12">
        <f t="shared" si="29"/>
        <v>0</v>
      </c>
      <c r="BE126" s="12">
        <f t="shared" si="30"/>
        <v>211</v>
      </c>
      <c r="BF126" s="12">
        <f t="shared" si="23"/>
        <v>2309840.5739951325</v>
      </c>
    </row>
    <row r="127" spans="6:58" x14ac:dyDescent="0.35">
      <c r="F127" s="12">
        <v>122</v>
      </c>
      <c r="G127" s="8">
        <f>INDEX(验算胜率!$E$6:$I$1005,F127,MATCH($D$16,验算胜率!$E$5:$I$5,0))</f>
        <v>0.5</v>
      </c>
      <c r="H127" s="12">
        <f t="shared" si="16"/>
        <v>2200</v>
      </c>
      <c r="I127" s="12">
        <f t="shared" si="17"/>
        <v>4400</v>
      </c>
      <c r="J127" s="12">
        <v>4</v>
      </c>
      <c r="K127" s="12">
        <v>1</v>
      </c>
      <c r="M127" s="12">
        <f>IF($D$16=验算胜率!$F$5,验算胜率!K127,0)*H127*关卡道具消耗!$D$8/关卡道具消耗!$D$26</f>
        <v>0</v>
      </c>
      <c r="N127" s="12">
        <f>INDEX(关卡奖励!$AH$6:$AH$8,MATCH($D$14,关卡奖励!$W$6:$W$8,0))*H127*IF(G127&lt;0.3,1,2)</f>
        <v>5134.8</v>
      </c>
      <c r="O127" s="12">
        <f>INDEX(关卡奖励!$AI$9:$AI$11,MATCH($D$14,关卡奖励!$W$9:$W$11,0))*((1/G127)-1)*H127</f>
        <v>433.95000000000005</v>
      </c>
      <c r="P127" s="12">
        <f>I127-N127-O127</f>
        <v>-1168.7500000000002</v>
      </c>
      <c r="Q127" s="12">
        <f>1/G127</f>
        <v>2</v>
      </c>
      <c r="R127" s="12">
        <f>IFERROR(INDEX(base_v,MATCH($F127,base_k,1)),0)*离线奖励!$C$12</f>
        <v>6900</v>
      </c>
      <c r="S127" s="12">
        <f>IFERROR(INDEX(关卡进度奖励!$I$7:$I$15,MATCH(F127,关卡进度奖励!$D$7:$D$15,0)),0)</f>
        <v>0</v>
      </c>
      <c r="T127" s="12">
        <f>AVERAGE(签到!$E$7:$E$13)*$H127</f>
        <v>9088.3047619047611</v>
      </c>
      <c r="U127" s="12">
        <f>转盘!$C$26*H127*V127/$D$13</f>
        <v>0</v>
      </c>
      <c r="V127" s="12">
        <f t="shared" si="20"/>
        <v>0</v>
      </c>
      <c r="W127" s="12">
        <f>IFERROR(MATCH(INDEX(转盘!$C$17:$F$17,1,MATCH($D$13,转盘!$C$16:$F$16,0))*MAX(F127-转盘!$C$6,0),转盘!$L$9:$L$51,1),0)</f>
        <v>6</v>
      </c>
      <c r="X127" s="12">
        <f>IFERROR(MATCH($F127,gift_k_level,0)^0,0)*进度礼包!$C$17*$H127/$D$13</f>
        <v>0</v>
      </c>
      <c r="Y127" s="12">
        <f>IFERROR(MATCH($F127,turn_k_1,0)^0,0)*转盘!$C$42*$H127/$D$13</f>
        <v>0</v>
      </c>
      <c r="Z127" s="12">
        <f>IFERROR(MATCH($F127,gift_k_level,0)^0,0)*进度礼包!$C$34*$H127/$D$13</f>
        <v>0</v>
      </c>
      <c r="AA127" s="12">
        <f>IFERROR(MATCH($F127,gift_k_time,0)^0,0)*限时礼包!$C$15*$H127/$D$13</f>
        <v>0</v>
      </c>
      <c r="AB127" s="12">
        <f>SUM(H$6:H127)</f>
        <v>217500</v>
      </c>
      <c r="AC127" s="12">
        <f>SUM(N$6:N127)+SUM($M$6:M127)</f>
        <v>394329.29999999987</v>
      </c>
      <c r="AD127" s="12">
        <f>SUM(O$6:O127)</f>
        <v>58918.772249999951</v>
      </c>
      <c r="AE127" s="12">
        <f>SUM($P$6:P127)</f>
        <v>62951.927749999988</v>
      </c>
      <c r="AF127" s="12">
        <f>SUM(U$6:U127)</f>
        <v>41549.433962264142</v>
      </c>
      <c r="AG127" s="12">
        <f>SUM(S$6:S127)</f>
        <v>6500</v>
      </c>
      <c r="AH127" s="12">
        <f>SUM(Y$6:Y127)</f>
        <v>359823.6</v>
      </c>
      <c r="AI127" s="12">
        <f>SUM(X$6:X127)</f>
        <v>21996.405823033794</v>
      </c>
      <c r="AJ127" s="12">
        <f>SUM(Z$6:Z127)</f>
        <v>71326.628333998437</v>
      </c>
      <c r="AK127" s="12">
        <f>SUM(AA$6:AA127)</f>
        <v>336614.12409497192</v>
      </c>
      <c r="AL127" s="12">
        <f>F127</f>
        <v>122</v>
      </c>
      <c r="AM127" s="12">
        <f t="shared" si="18"/>
        <v>533293.91203529784</v>
      </c>
      <c r="AN127" s="12">
        <f>SUM(I$6:I127)</f>
        <v>516200</v>
      </c>
      <c r="AO127" s="8">
        <f>SUM(Q$6:Q127)</f>
        <v>279</v>
      </c>
      <c r="AP127" s="12">
        <f t="shared" si="19"/>
        <v>17093.912035297835</v>
      </c>
      <c r="AS127" s="12">
        <v>121</v>
      </c>
      <c r="AT127" s="12">
        <v>20</v>
      </c>
      <c r="AU127" s="12">
        <f t="shared" si="24"/>
        <v>2430</v>
      </c>
      <c r="AV127" s="12">
        <f t="shared" si="25"/>
        <v>0</v>
      </c>
      <c r="AW127" s="12">
        <f>INDEX($AO$6:$AO$215,MATCH(BC127,$F$6:$F$215,0))</f>
        <v>467</v>
      </c>
      <c r="AX127" s="12">
        <f t="shared" si="26"/>
        <v>1135512.1739951316</v>
      </c>
      <c r="AY127" s="12">
        <f t="shared" si="21"/>
        <v>7650</v>
      </c>
      <c r="AZ127" s="12">
        <f t="shared" si="22"/>
        <v>10740.72380952381</v>
      </c>
      <c r="BA127" s="12">
        <f>AX127+SUM($AY$6:AY127)+SUM($AZ$6:AZ127)</f>
        <v>3284431.2978046564</v>
      </c>
      <c r="BB127" s="12">
        <f t="shared" si="27"/>
        <v>956200</v>
      </c>
      <c r="BC127" s="12">
        <f t="shared" si="28"/>
        <v>210</v>
      </c>
      <c r="BD127" s="12">
        <f t="shared" si="29"/>
        <v>0</v>
      </c>
      <c r="BE127" s="12">
        <f t="shared" si="30"/>
        <v>211</v>
      </c>
      <c r="BF127" s="12">
        <f t="shared" si="23"/>
        <v>2328231.2978046564</v>
      </c>
    </row>
    <row r="128" spans="6:58" x14ac:dyDescent="0.35">
      <c r="F128" s="12">
        <v>123</v>
      </c>
      <c r="G128" s="8">
        <f>INDEX(验算胜率!$E$6:$I$1005,F128,MATCH($D$16,验算胜率!$E$5:$I$5,0))</f>
        <v>0.5</v>
      </c>
      <c r="H128" s="12">
        <f t="shared" si="16"/>
        <v>2200</v>
      </c>
      <c r="I128" s="12">
        <f t="shared" si="17"/>
        <v>4400</v>
      </c>
      <c r="J128" s="12">
        <v>4</v>
      </c>
      <c r="K128" s="12">
        <v>4</v>
      </c>
      <c r="M128" s="12">
        <f>IF($D$16=验算胜率!$F$5,验算胜率!K128,0)*H128*关卡道具消耗!$D$8/关卡道具消耗!$D$26</f>
        <v>0</v>
      </c>
      <c r="N128" s="12">
        <f>INDEX(关卡奖励!$AH$6:$AH$8,MATCH($D$14,关卡奖励!$W$6:$W$8,0))*H128*IF(G128&lt;0.3,1,2)</f>
        <v>5134.8</v>
      </c>
      <c r="O128" s="12">
        <f>INDEX(关卡奖励!$AI$9:$AI$11,MATCH($D$14,关卡奖励!$W$9:$W$11,0))*((1/G128)-1)*H128</f>
        <v>433.95000000000005</v>
      </c>
      <c r="P128" s="12">
        <f>I128-N128-O128</f>
        <v>-1168.7500000000002</v>
      </c>
      <c r="Q128" s="12">
        <f>1/G128</f>
        <v>2</v>
      </c>
      <c r="R128" s="12">
        <f>IFERROR(INDEX(base_v,MATCH($F128,base_k,1)),0)*离线奖励!$C$12</f>
        <v>6900</v>
      </c>
      <c r="S128" s="12">
        <f>IFERROR(INDEX(关卡进度奖励!$I$7:$I$15,MATCH(F128,关卡进度奖励!$D$7:$D$15,0)),0)</f>
        <v>0</v>
      </c>
      <c r="T128" s="12">
        <f>AVERAGE(签到!$E$7:$E$13)*$H128</f>
        <v>9088.3047619047611</v>
      </c>
      <c r="U128" s="12">
        <f>转盘!$C$26*H128*V128/$D$13</f>
        <v>0</v>
      </c>
      <c r="V128" s="12">
        <f t="shared" si="20"/>
        <v>0</v>
      </c>
      <c r="W128" s="12">
        <f>IFERROR(MATCH(INDEX(转盘!$C$17:$F$17,1,MATCH($D$13,转盘!$C$16:$F$16,0))*MAX(F128-转盘!$C$6,0),转盘!$L$9:$L$51,1),0)</f>
        <v>6</v>
      </c>
      <c r="X128" s="12">
        <f>IFERROR(MATCH($F128,gift_k_level,0)^0,0)*进度礼包!$C$17*$H128/$D$13</f>
        <v>0</v>
      </c>
      <c r="Y128" s="12">
        <f>IFERROR(MATCH($F128,turn_k_1,0)^0,0)*转盘!$C$42*$H128/$D$13</f>
        <v>0</v>
      </c>
      <c r="Z128" s="12">
        <f>IFERROR(MATCH($F128,gift_k_level,0)^0,0)*进度礼包!$C$34*$H128/$D$13</f>
        <v>0</v>
      </c>
      <c r="AA128" s="12">
        <f>IFERROR(MATCH($F128,gift_k_time,0)^0,0)*限时礼包!$C$15*$H128/$D$13</f>
        <v>0</v>
      </c>
      <c r="AB128" s="12">
        <f>SUM(H$6:H128)</f>
        <v>219700</v>
      </c>
      <c r="AC128" s="12">
        <f>SUM(N$6:N128)+SUM($M$6:M128)</f>
        <v>399464.09999999986</v>
      </c>
      <c r="AD128" s="12">
        <f>SUM(O$6:O128)</f>
        <v>59352.722249999948</v>
      </c>
      <c r="AE128" s="12">
        <f>SUM($P$6:P128)</f>
        <v>61783.177749999988</v>
      </c>
      <c r="AF128" s="12">
        <f>SUM(U$6:U128)</f>
        <v>41549.433962264142</v>
      </c>
      <c r="AG128" s="12">
        <f>SUM(S$6:S128)</f>
        <v>6500</v>
      </c>
      <c r="AH128" s="12">
        <f>SUM(Y$6:Y128)</f>
        <v>359823.6</v>
      </c>
      <c r="AI128" s="12">
        <f>SUM(X$6:X128)</f>
        <v>21996.405823033794</v>
      </c>
      <c r="AJ128" s="12">
        <f>SUM(Z$6:Z128)</f>
        <v>71326.628333998437</v>
      </c>
      <c r="AK128" s="12">
        <f>SUM(AA$6:AA128)</f>
        <v>336614.12409497192</v>
      </c>
      <c r="AL128" s="12">
        <f>F128</f>
        <v>123</v>
      </c>
      <c r="AM128" s="12">
        <f t="shared" si="18"/>
        <v>538862.66203529772</v>
      </c>
      <c r="AN128" s="12">
        <f>SUM(I$6:I128)</f>
        <v>520600</v>
      </c>
      <c r="AO128" s="8">
        <f>SUM(Q$6:Q128)</f>
        <v>281</v>
      </c>
      <c r="AP128" s="12">
        <f t="shared" si="19"/>
        <v>18262.662035297719</v>
      </c>
      <c r="AS128" s="12">
        <v>122</v>
      </c>
      <c r="AT128" s="12">
        <v>20</v>
      </c>
      <c r="AU128" s="12">
        <f t="shared" si="24"/>
        <v>2450</v>
      </c>
      <c r="AV128" s="12">
        <f t="shared" si="25"/>
        <v>0</v>
      </c>
      <c r="AW128" s="12">
        <f>INDEX($AO$6:$AO$215,MATCH(BC128,$F$6:$F$215,0))</f>
        <v>467</v>
      </c>
      <c r="AX128" s="12">
        <f t="shared" si="26"/>
        <v>1135512.1739951316</v>
      </c>
      <c r="AY128" s="12">
        <f t="shared" si="21"/>
        <v>7650</v>
      </c>
      <c r="AZ128" s="12">
        <f t="shared" si="22"/>
        <v>10740.72380952381</v>
      </c>
      <c r="BA128" s="12">
        <f>AX128+SUM($AY$6:AY128)+SUM($AZ$6:AZ128)</f>
        <v>3302822.0216141799</v>
      </c>
      <c r="BB128" s="12">
        <f t="shared" si="27"/>
        <v>956200</v>
      </c>
      <c r="BC128" s="12">
        <f t="shared" si="28"/>
        <v>210</v>
      </c>
      <c r="BD128" s="12">
        <f t="shared" si="29"/>
        <v>0</v>
      </c>
      <c r="BE128" s="12">
        <f t="shared" si="30"/>
        <v>211</v>
      </c>
      <c r="BF128" s="12">
        <f t="shared" si="23"/>
        <v>2346622.0216141799</v>
      </c>
    </row>
    <row r="129" spans="6:58" x14ac:dyDescent="0.35">
      <c r="F129" s="12">
        <v>124</v>
      </c>
      <c r="G129" s="8">
        <f>INDEX(验算胜率!$E$6:$I$1005,F129,MATCH($D$16,验算胜率!$E$5:$I$5,0))</f>
        <v>0.2</v>
      </c>
      <c r="H129" s="12">
        <f t="shared" si="16"/>
        <v>2200</v>
      </c>
      <c r="I129" s="12">
        <f t="shared" si="17"/>
        <v>11000</v>
      </c>
      <c r="J129" s="12">
        <v>4</v>
      </c>
      <c r="K129" s="12">
        <v>2</v>
      </c>
      <c r="M129" s="12">
        <f>IF($D$16=验算胜率!$F$5,验算胜率!K129,0)*H129*关卡道具消耗!$D$8/关卡道具消耗!$D$26</f>
        <v>0</v>
      </c>
      <c r="N129" s="12">
        <f>INDEX(关卡奖励!$AH$6:$AH$8,MATCH($D$14,关卡奖励!$W$6:$W$8,0))*H129*IF(G129&lt;0.3,1,2)</f>
        <v>2567.4</v>
      </c>
      <c r="O129" s="12">
        <f>INDEX(关卡奖励!$AI$9:$AI$11,MATCH($D$14,关卡奖励!$W$9:$W$11,0))*((1/G129)-1)*H129</f>
        <v>1735.8000000000002</v>
      </c>
      <c r="P129" s="12">
        <f>I129-N129-O129</f>
        <v>6696.8</v>
      </c>
      <c r="Q129" s="12">
        <f>1/G129</f>
        <v>5</v>
      </c>
      <c r="R129" s="12">
        <f>IFERROR(INDEX(base_v,MATCH($F129,base_k,1)),0)*离线奖励!$C$12</f>
        <v>6900</v>
      </c>
      <c r="S129" s="12">
        <f>IFERROR(INDEX(关卡进度奖励!$I$7:$I$15,MATCH(F129,关卡进度奖励!$D$7:$D$15,0)),0)</f>
        <v>0</v>
      </c>
      <c r="T129" s="12">
        <f>AVERAGE(签到!$E$7:$E$13)*$H129</f>
        <v>9088.3047619047611</v>
      </c>
      <c r="U129" s="12">
        <f>转盘!$C$26*H129*V129/$D$13</f>
        <v>0</v>
      </c>
      <c r="V129" s="12">
        <f t="shared" si="20"/>
        <v>0</v>
      </c>
      <c r="W129" s="12">
        <f>IFERROR(MATCH(INDEX(转盘!$C$17:$F$17,1,MATCH($D$13,转盘!$C$16:$F$16,0))*MAX(F129-转盘!$C$6,0),转盘!$L$9:$L$51,1),0)</f>
        <v>6</v>
      </c>
      <c r="X129" s="12">
        <f>IFERROR(MATCH($F129,gift_k_level,0)^0,0)*进度礼包!$C$17*$H129/$D$13</f>
        <v>0</v>
      </c>
      <c r="Y129" s="12">
        <f>IFERROR(MATCH($F129,turn_k_1,0)^0,0)*转盘!$C$42*$H129/$D$13</f>
        <v>0</v>
      </c>
      <c r="Z129" s="12">
        <f>IFERROR(MATCH($F129,gift_k_level,0)^0,0)*进度礼包!$C$34*$H129/$D$13</f>
        <v>0</v>
      </c>
      <c r="AA129" s="12">
        <f>IFERROR(MATCH($F129,gift_k_time,0)^0,0)*限时礼包!$C$15*$H129/$D$13</f>
        <v>0</v>
      </c>
      <c r="AB129" s="12">
        <f>SUM(H$6:H129)</f>
        <v>221900</v>
      </c>
      <c r="AC129" s="12">
        <f>SUM(N$6:N129)+SUM($M$6:M129)</f>
        <v>402031.49999999988</v>
      </c>
      <c r="AD129" s="12">
        <f>SUM(O$6:O129)</f>
        <v>61088.522249999951</v>
      </c>
      <c r="AE129" s="12">
        <f>SUM($P$6:P129)</f>
        <v>68479.977749999991</v>
      </c>
      <c r="AF129" s="12">
        <f>SUM(U$6:U129)</f>
        <v>41549.433962264142</v>
      </c>
      <c r="AG129" s="12">
        <f>SUM(S$6:S129)</f>
        <v>6500</v>
      </c>
      <c r="AH129" s="12">
        <f>SUM(Y$6:Y129)</f>
        <v>359823.6</v>
      </c>
      <c r="AI129" s="12">
        <f>SUM(X$6:X129)</f>
        <v>21996.405823033794</v>
      </c>
      <c r="AJ129" s="12">
        <f>SUM(Z$6:Z129)</f>
        <v>71326.628333998437</v>
      </c>
      <c r="AK129" s="12">
        <f>SUM(AA$6:AA129)</f>
        <v>336614.12409497192</v>
      </c>
      <c r="AL129" s="12">
        <f>F129</f>
        <v>124</v>
      </c>
      <c r="AM129" s="12">
        <f t="shared" si="18"/>
        <v>543165.86203529779</v>
      </c>
      <c r="AN129" s="12">
        <f>SUM(I$6:I129)</f>
        <v>531600</v>
      </c>
      <c r="AO129" s="8">
        <f>SUM(Q$6:Q129)</f>
        <v>286</v>
      </c>
      <c r="AP129" s="12">
        <f t="shared" si="19"/>
        <v>11565.862035297789</v>
      </c>
      <c r="AS129" s="12">
        <v>123</v>
      </c>
      <c r="AT129" s="12">
        <v>20</v>
      </c>
      <c r="AU129" s="12">
        <f t="shared" si="24"/>
        <v>2470</v>
      </c>
      <c r="AV129" s="12">
        <f t="shared" si="25"/>
        <v>0</v>
      </c>
      <c r="AW129" s="12">
        <f>INDEX($AO$6:$AO$215,MATCH(BC129,$F$6:$F$215,0))</f>
        <v>467</v>
      </c>
      <c r="AX129" s="12">
        <f t="shared" si="26"/>
        <v>1135512.1739951316</v>
      </c>
      <c r="AY129" s="12">
        <f t="shared" si="21"/>
        <v>7650</v>
      </c>
      <c r="AZ129" s="12">
        <f t="shared" si="22"/>
        <v>10740.72380952381</v>
      </c>
      <c r="BA129" s="12">
        <f>AX129+SUM($AY$6:AY129)+SUM($AZ$6:AZ129)</f>
        <v>3321212.7454237035</v>
      </c>
      <c r="BB129" s="12">
        <f t="shared" si="27"/>
        <v>956200</v>
      </c>
      <c r="BC129" s="12">
        <f t="shared" si="28"/>
        <v>210</v>
      </c>
      <c r="BD129" s="12">
        <f t="shared" si="29"/>
        <v>0</v>
      </c>
      <c r="BE129" s="12">
        <f t="shared" si="30"/>
        <v>211</v>
      </c>
      <c r="BF129" s="12">
        <f t="shared" si="23"/>
        <v>2365012.7454237035</v>
      </c>
    </row>
    <row r="130" spans="6:58" x14ac:dyDescent="0.35">
      <c r="F130" s="12">
        <v>125</v>
      </c>
      <c r="G130" s="8">
        <f>INDEX(验算胜率!$E$6:$I$1005,F130,MATCH($D$16,验算胜率!$E$5:$I$5,0))</f>
        <v>0.5</v>
      </c>
      <c r="H130" s="12">
        <f t="shared" si="16"/>
        <v>2200</v>
      </c>
      <c r="I130" s="12">
        <f t="shared" si="17"/>
        <v>4400</v>
      </c>
      <c r="J130" s="12">
        <v>4</v>
      </c>
      <c r="K130" s="12">
        <v>2</v>
      </c>
      <c r="M130" s="12">
        <f>IF($D$16=验算胜率!$F$5,验算胜率!K130,0)*H130*关卡道具消耗!$D$8/关卡道具消耗!$D$26</f>
        <v>0</v>
      </c>
      <c r="N130" s="12">
        <f>INDEX(关卡奖励!$AH$6:$AH$8,MATCH($D$14,关卡奖励!$W$6:$W$8,0))*H130*IF(G130&lt;0.3,1,2)</f>
        <v>5134.8</v>
      </c>
      <c r="O130" s="12">
        <f>INDEX(关卡奖励!$AI$9:$AI$11,MATCH($D$14,关卡奖励!$W$9:$W$11,0))*((1/G130)-1)*H130</f>
        <v>433.95000000000005</v>
      </c>
      <c r="P130" s="12">
        <f>I130-N130-O130</f>
        <v>-1168.7500000000002</v>
      </c>
      <c r="Q130" s="12">
        <f>1/G130</f>
        <v>2</v>
      </c>
      <c r="R130" s="12">
        <f>IFERROR(INDEX(base_v,MATCH($F130,base_k,1)),0)*离线奖励!$C$12</f>
        <v>6900</v>
      </c>
      <c r="S130" s="12">
        <f>IFERROR(INDEX(关卡进度奖励!$I$7:$I$15,MATCH(F130,关卡进度奖励!$D$7:$D$15,0)),0)</f>
        <v>0</v>
      </c>
      <c r="T130" s="12">
        <f>AVERAGE(签到!$E$7:$E$13)*$H130</f>
        <v>9088.3047619047611</v>
      </c>
      <c r="U130" s="12">
        <f>转盘!$C$26*H130*V130/$D$13</f>
        <v>0</v>
      </c>
      <c r="V130" s="12">
        <f t="shared" si="20"/>
        <v>0</v>
      </c>
      <c r="W130" s="12">
        <f>IFERROR(MATCH(INDEX(转盘!$C$17:$F$17,1,MATCH($D$13,转盘!$C$16:$F$16,0))*MAX(F130-转盘!$C$6,0),转盘!$L$9:$L$51,1),0)</f>
        <v>6</v>
      </c>
      <c r="X130" s="12">
        <f>IFERROR(MATCH($F130,gift_k_level,0)^0,0)*进度礼包!$C$17*$H130/$D$13</f>
        <v>0</v>
      </c>
      <c r="Y130" s="12">
        <f>IFERROR(MATCH($F130,turn_k_1,0)^0,0)*转盘!$C$42*$H130/$D$13</f>
        <v>0</v>
      </c>
      <c r="Z130" s="12">
        <f>IFERROR(MATCH($F130,gift_k_level,0)^0,0)*进度礼包!$C$34*$H130/$D$13</f>
        <v>0</v>
      </c>
      <c r="AA130" s="12">
        <f>IFERROR(MATCH($F130,gift_k_time,0)^0,0)*限时礼包!$C$15*$H130/$D$13</f>
        <v>0</v>
      </c>
      <c r="AB130" s="12">
        <f>SUM(H$6:H130)</f>
        <v>224100</v>
      </c>
      <c r="AC130" s="12">
        <f>SUM(N$6:N130)+SUM($M$6:M130)</f>
        <v>407166.29999999987</v>
      </c>
      <c r="AD130" s="12">
        <f>SUM(O$6:O130)</f>
        <v>61522.472249999948</v>
      </c>
      <c r="AE130" s="12">
        <f>SUM($P$6:P130)</f>
        <v>67311.227749999991</v>
      </c>
      <c r="AF130" s="12">
        <f>SUM(U$6:U130)</f>
        <v>41549.433962264142</v>
      </c>
      <c r="AG130" s="12">
        <f>SUM(S$6:S130)</f>
        <v>6500</v>
      </c>
      <c r="AH130" s="12">
        <f>SUM(Y$6:Y130)</f>
        <v>359823.6</v>
      </c>
      <c r="AI130" s="12">
        <f>SUM(X$6:X130)</f>
        <v>21996.405823033794</v>
      </c>
      <c r="AJ130" s="12">
        <f>SUM(Z$6:Z130)</f>
        <v>71326.628333998437</v>
      </c>
      <c r="AK130" s="12">
        <f>SUM(AA$6:AA130)</f>
        <v>336614.12409497192</v>
      </c>
      <c r="AL130" s="12">
        <f>F130</f>
        <v>125</v>
      </c>
      <c r="AM130" s="12">
        <f t="shared" si="18"/>
        <v>548734.61203529779</v>
      </c>
      <c r="AN130" s="12">
        <f>SUM(I$6:I130)</f>
        <v>536000</v>
      </c>
      <c r="AO130" s="8">
        <f>SUM(Q$6:Q130)</f>
        <v>288</v>
      </c>
      <c r="AP130" s="12">
        <f t="shared" si="19"/>
        <v>12734.612035297789</v>
      </c>
      <c r="AS130" s="12">
        <v>124</v>
      </c>
      <c r="AT130" s="12">
        <v>20</v>
      </c>
      <c r="AU130" s="12">
        <f t="shared" si="24"/>
        <v>2490</v>
      </c>
      <c r="AV130" s="12">
        <f t="shared" si="25"/>
        <v>0</v>
      </c>
      <c r="AW130" s="12">
        <f>INDEX($AO$6:$AO$215,MATCH(BC130,$F$6:$F$215,0))</f>
        <v>467</v>
      </c>
      <c r="AX130" s="12">
        <f t="shared" si="26"/>
        <v>1135512.1739951316</v>
      </c>
      <c r="AY130" s="12">
        <f t="shared" si="21"/>
        <v>7650</v>
      </c>
      <c r="AZ130" s="12">
        <f t="shared" si="22"/>
        <v>10740.72380952381</v>
      </c>
      <c r="BA130" s="12">
        <f>AX130+SUM($AY$6:AY130)+SUM($AZ$6:AZ130)</f>
        <v>3339603.4692332274</v>
      </c>
      <c r="BB130" s="12">
        <f t="shared" si="27"/>
        <v>956200</v>
      </c>
      <c r="BC130" s="12">
        <f t="shared" si="28"/>
        <v>210</v>
      </c>
      <c r="BD130" s="12">
        <f t="shared" si="29"/>
        <v>0</v>
      </c>
      <c r="BE130" s="12">
        <f t="shared" si="30"/>
        <v>211</v>
      </c>
      <c r="BF130" s="12">
        <f t="shared" si="23"/>
        <v>2383403.4692332274</v>
      </c>
    </row>
    <row r="131" spans="6:58" x14ac:dyDescent="0.35">
      <c r="F131" s="12">
        <v>126</v>
      </c>
      <c r="G131" s="8">
        <f>INDEX(验算胜率!$E$6:$I$1005,F131,MATCH($D$16,验算胜率!$E$5:$I$5,0))</f>
        <v>0.5</v>
      </c>
      <c r="H131" s="12">
        <f t="shared" si="16"/>
        <v>2200</v>
      </c>
      <c r="I131" s="12">
        <f t="shared" si="17"/>
        <v>4400</v>
      </c>
      <c r="J131" s="12">
        <v>4</v>
      </c>
      <c r="K131" s="12">
        <v>1</v>
      </c>
      <c r="M131" s="12">
        <f>IF($D$16=验算胜率!$F$5,验算胜率!K131,0)*H131*关卡道具消耗!$D$8/关卡道具消耗!$D$26</f>
        <v>0</v>
      </c>
      <c r="N131" s="12">
        <f>INDEX(关卡奖励!$AH$6:$AH$8,MATCH($D$14,关卡奖励!$W$6:$W$8,0))*H131*IF(G131&lt;0.3,1,2)</f>
        <v>5134.8</v>
      </c>
      <c r="O131" s="12">
        <f>INDEX(关卡奖励!$AI$9:$AI$11,MATCH($D$14,关卡奖励!$W$9:$W$11,0))*((1/G131)-1)*H131</f>
        <v>433.95000000000005</v>
      </c>
      <c r="P131" s="12">
        <f>I131-N131-O131</f>
        <v>-1168.7500000000002</v>
      </c>
      <c r="Q131" s="12">
        <f>1/G131</f>
        <v>2</v>
      </c>
      <c r="R131" s="12">
        <f>IFERROR(INDEX(base_v,MATCH($F131,base_k,1)),0)*离线奖励!$C$12</f>
        <v>6900</v>
      </c>
      <c r="S131" s="12">
        <f>IFERROR(INDEX(关卡进度奖励!$I$7:$I$15,MATCH(F131,关卡进度奖励!$D$7:$D$15,0)),0)</f>
        <v>0</v>
      </c>
      <c r="T131" s="12">
        <f>AVERAGE(签到!$E$7:$E$13)*$H131</f>
        <v>9088.3047619047611</v>
      </c>
      <c r="U131" s="12">
        <f>转盘!$C$26*H131*V131/$D$13</f>
        <v>0</v>
      </c>
      <c r="V131" s="12">
        <f t="shared" si="20"/>
        <v>0</v>
      </c>
      <c r="W131" s="12">
        <f>IFERROR(MATCH(INDEX(转盘!$C$17:$F$17,1,MATCH($D$13,转盘!$C$16:$F$16,0))*MAX(F131-转盘!$C$6,0),转盘!$L$9:$L$51,1),0)</f>
        <v>6</v>
      </c>
      <c r="X131" s="12">
        <f>IFERROR(MATCH($F131,gift_k_level,0)^0,0)*进度礼包!$C$17*$H131/$D$13</f>
        <v>0</v>
      </c>
      <c r="Y131" s="12">
        <f>IFERROR(MATCH($F131,turn_k_1,0)^0,0)*转盘!$C$42*$H131/$D$13</f>
        <v>0</v>
      </c>
      <c r="Z131" s="12">
        <f>IFERROR(MATCH($F131,gift_k_level,0)^0,0)*进度礼包!$C$34*$H131/$D$13</f>
        <v>0</v>
      </c>
      <c r="AA131" s="12">
        <f>IFERROR(MATCH($F131,gift_k_time,0)^0,0)*限时礼包!$C$15*$H131/$D$13</f>
        <v>0</v>
      </c>
      <c r="AB131" s="12">
        <f>SUM(H$6:H131)</f>
        <v>226300</v>
      </c>
      <c r="AC131" s="12">
        <f>SUM(N$6:N131)+SUM($M$6:M131)</f>
        <v>412301.09999999986</v>
      </c>
      <c r="AD131" s="12">
        <f>SUM(O$6:O131)</f>
        <v>61956.422249999945</v>
      </c>
      <c r="AE131" s="12">
        <f>SUM($P$6:P131)</f>
        <v>66142.477749999991</v>
      </c>
      <c r="AF131" s="12">
        <f>SUM(U$6:U131)</f>
        <v>41549.433962264142</v>
      </c>
      <c r="AG131" s="12">
        <f>SUM(S$6:S131)</f>
        <v>6500</v>
      </c>
      <c r="AH131" s="12">
        <f>SUM(Y$6:Y131)</f>
        <v>359823.6</v>
      </c>
      <c r="AI131" s="12">
        <f>SUM(X$6:X131)</f>
        <v>21996.405823033794</v>
      </c>
      <c r="AJ131" s="12">
        <f>SUM(Z$6:Z131)</f>
        <v>71326.628333998437</v>
      </c>
      <c r="AK131" s="12">
        <f>SUM(AA$6:AA131)</f>
        <v>336614.12409497192</v>
      </c>
      <c r="AL131" s="12">
        <f>F131</f>
        <v>126</v>
      </c>
      <c r="AM131" s="12">
        <f t="shared" si="18"/>
        <v>554303.36203529779</v>
      </c>
      <c r="AN131" s="12">
        <f>SUM(I$6:I131)</f>
        <v>540400</v>
      </c>
      <c r="AO131" s="8">
        <f>SUM(Q$6:Q131)</f>
        <v>290</v>
      </c>
      <c r="AP131" s="12">
        <f t="shared" si="19"/>
        <v>13903.362035297789</v>
      </c>
      <c r="AS131" s="12">
        <v>125</v>
      </c>
      <c r="AT131" s="12">
        <v>20</v>
      </c>
      <c r="AU131" s="12">
        <f t="shared" si="24"/>
        <v>2510</v>
      </c>
      <c r="AV131" s="12">
        <f t="shared" si="25"/>
        <v>0</v>
      </c>
      <c r="AW131" s="12">
        <f>INDEX($AO$6:$AO$215,MATCH(BC131,$F$6:$F$215,0))</f>
        <v>467</v>
      </c>
      <c r="AX131" s="12">
        <f t="shared" si="26"/>
        <v>1135512.1739951316</v>
      </c>
      <c r="AY131" s="12">
        <f t="shared" si="21"/>
        <v>7650</v>
      </c>
      <c r="AZ131" s="12">
        <f t="shared" si="22"/>
        <v>10740.72380952381</v>
      </c>
      <c r="BA131" s="12">
        <f>AX131+SUM($AY$6:AY131)+SUM($AZ$6:AZ131)</f>
        <v>3357994.1930427514</v>
      </c>
      <c r="BB131" s="12">
        <f t="shared" si="27"/>
        <v>956200</v>
      </c>
      <c r="BC131" s="12">
        <f t="shared" si="28"/>
        <v>210</v>
      </c>
      <c r="BD131" s="12">
        <f t="shared" si="29"/>
        <v>0</v>
      </c>
      <c r="BE131" s="12">
        <f t="shared" si="30"/>
        <v>211</v>
      </c>
      <c r="BF131" s="12">
        <f t="shared" si="23"/>
        <v>2401794.1930427514</v>
      </c>
    </row>
    <row r="132" spans="6:58" x14ac:dyDescent="0.35">
      <c r="F132" s="12">
        <v>127</v>
      </c>
      <c r="G132" s="8">
        <f>INDEX(验算胜率!$E$6:$I$1005,F132,MATCH($D$16,验算胜率!$E$5:$I$5,0))</f>
        <v>0.5</v>
      </c>
      <c r="H132" s="12">
        <f t="shared" si="16"/>
        <v>2200</v>
      </c>
      <c r="I132" s="12">
        <f t="shared" si="17"/>
        <v>4400</v>
      </c>
      <c r="J132" s="12">
        <v>4</v>
      </c>
      <c r="K132" s="12">
        <v>0</v>
      </c>
      <c r="M132" s="12">
        <f>IF($D$16=验算胜率!$F$5,验算胜率!K132,0)*H132*关卡道具消耗!$D$8/关卡道具消耗!$D$26</f>
        <v>0</v>
      </c>
      <c r="N132" s="12">
        <f>INDEX(关卡奖励!$AH$6:$AH$8,MATCH($D$14,关卡奖励!$W$6:$W$8,0))*H132*IF(G132&lt;0.3,1,2)</f>
        <v>5134.8</v>
      </c>
      <c r="O132" s="12">
        <f>INDEX(关卡奖励!$AI$9:$AI$11,MATCH($D$14,关卡奖励!$W$9:$W$11,0))*((1/G132)-1)*H132</f>
        <v>433.95000000000005</v>
      </c>
      <c r="P132" s="12">
        <f>I132-N132-O132</f>
        <v>-1168.7500000000002</v>
      </c>
      <c r="Q132" s="12">
        <f>1/G132</f>
        <v>2</v>
      </c>
      <c r="R132" s="12">
        <f>IFERROR(INDEX(base_v,MATCH($F132,base_k,1)),0)*离线奖励!$C$12</f>
        <v>7050</v>
      </c>
      <c r="S132" s="12">
        <f>IFERROR(INDEX(关卡进度奖励!$I$7:$I$15,MATCH(F132,关卡进度奖励!$D$7:$D$15,0)),0)</f>
        <v>0</v>
      </c>
      <c r="T132" s="12">
        <f>AVERAGE(签到!$E$7:$E$13)*$H132</f>
        <v>9088.3047619047611</v>
      </c>
      <c r="U132" s="12">
        <f>转盘!$C$26*H132*V132/$D$13</f>
        <v>0</v>
      </c>
      <c r="V132" s="12">
        <f t="shared" si="20"/>
        <v>0</v>
      </c>
      <c r="W132" s="12">
        <f>IFERROR(MATCH(INDEX(转盘!$C$17:$F$17,1,MATCH($D$13,转盘!$C$16:$F$16,0))*MAX(F132-转盘!$C$6,0),转盘!$L$9:$L$51,1),0)</f>
        <v>6</v>
      </c>
      <c r="X132" s="12">
        <f>IFERROR(MATCH($F132,gift_k_level,0)^0,0)*进度礼包!$C$17*$H132/$D$13</f>
        <v>7805.1762597861843</v>
      </c>
      <c r="Y132" s="12">
        <f>IFERROR(MATCH($F132,turn_k_1,0)^0,0)*转盘!$C$42*$H132/$D$13</f>
        <v>0</v>
      </c>
      <c r="Z132" s="12">
        <f>IFERROR(MATCH($F132,gift_k_level,0)^0,0)*进度礼包!$C$34*$H132/$D$13</f>
        <v>25309.448763676861</v>
      </c>
      <c r="AA132" s="12">
        <f>IFERROR(MATCH($F132,gift_k_time,0)^0,0)*限时礼包!$C$15*$H132/$D$13</f>
        <v>0</v>
      </c>
      <c r="AB132" s="12">
        <f>SUM(H$6:H132)</f>
        <v>228500</v>
      </c>
      <c r="AC132" s="12">
        <f>SUM(N$6:N132)+SUM($M$6:M132)</f>
        <v>417435.89999999985</v>
      </c>
      <c r="AD132" s="12">
        <f>SUM(O$6:O132)</f>
        <v>62390.372249999942</v>
      </c>
      <c r="AE132" s="12">
        <f>SUM($P$6:P132)</f>
        <v>64973.727749999991</v>
      </c>
      <c r="AF132" s="12">
        <f>SUM(U$6:U132)</f>
        <v>41549.433962264142</v>
      </c>
      <c r="AG132" s="12">
        <f>SUM(S$6:S132)</f>
        <v>6500</v>
      </c>
      <c r="AH132" s="12">
        <f>SUM(Y$6:Y132)</f>
        <v>359823.6</v>
      </c>
      <c r="AI132" s="12">
        <f>SUM(X$6:X132)</f>
        <v>29801.582082819979</v>
      </c>
      <c r="AJ132" s="12">
        <f>SUM(Z$6:Z132)</f>
        <v>96636.077097675297</v>
      </c>
      <c r="AK132" s="12">
        <f>SUM(AA$6:AA132)</f>
        <v>336614.12409497192</v>
      </c>
      <c r="AL132" s="12">
        <f>F132</f>
        <v>127</v>
      </c>
      <c r="AM132" s="12">
        <f t="shared" si="18"/>
        <v>567677.28829508391</v>
      </c>
      <c r="AN132" s="12">
        <f>SUM(I$6:I132)</f>
        <v>544800</v>
      </c>
      <c r="AO132" s="8">
        <f>SUM(Q$6:Q132)</f>
        <v>292</v>
      </c>
      <c r="AP132" s="12">
        <f t="shared" si="19"/>
        <v>22877.288295083912</v>
      </c>
      <c r="AS132" s="12">
        <v>126</v>
      </c>
      <c r="AT132" s="12">
        <v>20</v>
      </c>
      <c r="AU132" s="12">
        <f t="shared" si="24"/>
        <v>2530</v>
      </c>
      <c r="AV132" s="12">
        <f t="shared" si="25"/>
        <v>0</v>
      </c>
      <c r="AW132" s="12">
        <f>INDEX($AO$6:$AO$215,MATCH(BC132,$F$6:$F$215,0))</f>
        <v>467</v>
      </c>
      <c r="AX132" s="12">
        <f t="shared" si="26"/>
        <v>1135512.1739951316</v>
      </c>
      <c r="AY132" s="12">
        <f t="shared" si="21"/>
        <v>7650</v>
      </c>
      <c r="AZ132" s="12">
        <f t="shared" si="22"/>
        <v>10740.72380952381</v>
      </c>
      <c r="BA132" s="12">
        <f>AX132+SUM($AY$6:AY132)+SUM($AZ$6:AZ132)</f>
        <v>3376384.9168522749</v>
      </c>
      <c r="BB132" s="12">
        <f t="shared" si="27"/>
        <v>956200</v>
      </c>
      <c r="BC132" s="12">
        <f t="shared" si="28"/>
        <v>210</v>
      </c>
      <c r="BD132" s="12">
        <f t="shared" si="29"/>
        <v>0</v>
      </c>
      <c r="BE132" s="12">
        <f t="shared" si="30"/>
        <v>211</v>
      </c>
      <c r="BF132" s="12">
        <f t="shared" si="23"/>
        <v>2420184.9168522749</v>
      </c>
    </row>
    <row r="133" spans="6:58" x14ac:dyDescent="0.35">
      <c r="F133" s="12">
        <v>128</v>
      </c>
      <c r="G133" s="8">
        <f>INDEX(验算胜率!$E$6:$I$1005,F133,MATCH($D$16,验算胜率!$E$5:$I$5,0))</f>
        <v>0.5</v>
      </c>
      <c r="H133" s="12">
        <f t="shared" si="16"/>
        <v>2200</v>
      </c>
      <c r="I133" s="12">
        <f t="shared" si="17"/>
        <v>4400</v>
      </c>
      <c r="J133" s="12">
        <v>4</v>
      </c>
      <c r="K133" s="12">
        <v>0</v>
      </c>
      <c r="M133" s="12">
        <f>IF($D$16=验算胜率!$F$5,验算胜率!K133,0)*H133*关卡道具消耗!$D$8/关卡道具消耗!$D$26</f>
        <v>0</v>
      </c>
      <c r="N133" s="12">
        <f>INDEX(关卡奖励!$AH$6:$AH$8,MATCH($D$14,关卡奖励!$W$6:$W$8,0))*H133*IF(G133&lt;0.3,1,2)</f>
        <v>5134.8</v>
      </c>
      <c r="O133" s="12">
        <f>INDEX(关卡奖励!$AI$9:$AI$11,MATCH($D$14,关卡奖励!$W$9:$W$11,0))*((1/G133)-1)*H133</f>
        <v>433.95000000000005</v>
      </c>
      <c r="P133" s="12">
        <f>I133-N133-O133</f>
        <v>-1168.7500000000002</v>
      </c>
      <c r="Q133" s="12">
        <f>1/G133</f>
        <v>2</v>
      </c>
      <c r="R133" s="12">
        <f>IFERROR(INDEX(base_v,MATCH($F133,base_k,1)),0)*离线奖励!$C$12</f>
        <v>7050</v>
      </c>
      <c r="S133" s="12">
        <f>IFERROR(INDEX(关卡进度奖励!$I$7:$I$15,MATCH(F133,关卡进度奖励!$D$7:$D$15,0)),0)</f>
        <v>0</v>
      </c>
      <c r="T133" s="12">
        <f>AVERAGE(签到!$E$7:$E$13)*$H133</f>
        <v>9088.3047619047611</v>
      </c>
      <c r="U133" s="12">
        <f>转盘!$C$26*H133*V133/$D$13</f>
        <v>0</v>
      </c>
      <c r="V133" s="12">
        <f t="shared" si="20"/>
        <v>0</v>
      </c>
      <c r="W133" s="12">
        <f>IFERROR(MATCH(INDEX(转盘!$C$17:$F$17,1,MATCH($D$13,转盘!$C$16:$F$16,0))*MAX(F133-转盘!$C$6,0),转盘!$L$9:$L$51,1),0)</f>
        <v>6</v>
      </c>
      <c r="X133" s="12">
        <f>IFERROR(MATCH($F133,gift_k_level,0)^0,0)*进度礼包!$C$17*$H133/$D$13</f>
        <v>0</v>
      </c>
      <c r="Y133" s="12">
        <f>IFERROR(MATCH($F133,turn_k_1,0)^0,0)*转盘!$C$42*$H133/$D$13</f>
        <v>0</v>
      </c>
      <c r="Z133" s="12">
        <f>IFERROR(MATCH($F133,gift_k_level,0)^0,0)*进度礼包!$C$34*$H133/$D$13</f>
        <v>0</v>
      </c>
      <c r="AA133" s="12">
        <f>IFERROR(MATCH($F133,gift_k_time,0)^0,0)*限时礼包!$C$15*$H133/$D$13</f>
        <v>0</v>
      </c>
      <c r="AB133" s="12">
        <f>SUM(H$6:H133)</f>
        <v>230700</v>
      </c>
      <c r="AC133" s="12">
        <f>SUM(N$6:N133)+SUM($M$6:M133)</f>
        <v>422570.69999999984</v>
      </c>
      <c r="AD133" s="12">
        <f>SUM(O$6:O133)</f>
        <v>62824.322249999939</v>
      </c>
      <c r="AE133" s="12">
        <f>SUM($P$6:P133)</f>
        <v>63804.977749999991</v>
      </c>
      <c r="AF133" s="12">
        <f>SUM(U$6:U133)</f>
        <v>41549.433962264142</v>
      </c>
      <c r="AG133" s="12">
        <f>SUM(S$6:S133)</f>
        <v>6500</v>
      </c>
      <c r="AH133" s="12">
        <f>SUM(Y$6:Y133)</f>
        <v>359823.6</v>
      </c>
      <c r="AI133" s="12">
        <f>SUM(X$6:X133)</f>
        <v>29801.582082819979</v>
      </c>
      <c r="AJ133" s="12">
        <f>SUM(Z$6:Z133)</f>
        <v>96636.077097675297</v>
      </c>
      <c r="AK133" s="12">
        <f>SUM(AA$6:AA133)</f>
        <v>336614.12409497192</v>
      </c>
      <c r="AL133" s="12">
        <f>F133</f>
        <v>128</v>
      </c>
      <c r="AM133" s="12">
        <f t="shared" si="18"/>
        <v>573246.03829508391</v>
      </c>
      <c r="AN133" s="12">
        <f>SUM(I$6:I133)</f>
        <v>549200</v>
      </c>
      <c r="AO133" s="8">
        <f>SUM(Q$6:Q133)</f>
        <v>294</v>
      </c>
      <c r="AP133" s="12">
        <f t="shared" si="19"/>
        <v>24046.038295083912</v>
      </c>
      <c r="AS133" s="12">
        <v>127</v>
      </c>
      <c r="AT133" s="12">
        <v>20</v>
      </c>
      <c r="AU133" s="12">
        <f t="shared" si="24"/>
        <v>2550</v>
      </c>
      <c r="AV133" s="12">
        <f t="shared" si="25"/>
        <v>0</v>
      </c>
      <c r="AW133" s="12">
        <f>INDEX($AO$6:$AO$215,MATCH(BC133,$F$6:$F$215,0))</f>
        <v>467</v>
      </c>
      <c r="AX133" s="12">
        <f t="shared" si="26"/>
        <v>1135512.1739951316</v>
      </c>
      <c r="AY133" s="12">
        <f t="shared" si="21"/>
        <v>7650</v>
      </c>
      <c r="AZ133" s="12">
        <f t="shared" si="22"/>
        <v>10740.72380952381</v>
      </c>
      <c r="BA133" s="12">
        <f>AX133+SUM($AY$6:AY133)+SUM($AZ$6:AZ133)</f>
        <v>3394775.6406617984</v>
      </c>
      <c r="BB133" s="12">
        <f t="shared" si="27"/>
        <v>956200</v>
      </c>
      <c r="BC133" s="12">
        <f t="shared" si="28"/>
        <v>210</v>
      </c>
      <c r="BD133" s="12">
        <f t="shared" si="29"/>
        <v>0</v>
      </c>
      <c r="BE133" s="12">
        <f t="shared" si="30"/>
        <v>211</v>
      </c>
      <c r="BF133" s="12">
        <f t="shared" si="23"/>
        <v>2438575.6406617984</v>
      </c>
    </row>
    <row r="134" spans="6:58" x14ac:dyDescent="0.35">
      <c r="F134" s="12">
        <v>129</v>
      </c>
      <c r="G134" s="8">
        <f>INDEX(验算胜率!$E$6:$I$1005,F134,MATCH($D$16,验算胜率!$E$5:$I$5,0))</f>
        <v>0.2</v>
      </c>
      <c r="H134" s="12">
        <f t="shared" ref="H134:H197" si="31">INDEX(leve_cost_v,MATCH($F134,leve_cost_k,1))*$D$13</f>
        <v>2200</v>
      </c>
      <c r="I134" s="12">
        <f t="shared" si="17"/>
        <v>11000</v>
      </c>
      <c r="J134" s="12">
        <v>4</v>
      </c>
      <c r="K134" s="12">
        <v>1</v>
      </c>
      <c r="M134" s="12">
        <f>IF($D$16=验算胜率!$F$5,验算胜率!K134,0)*H134*关卡道具消耗!$D$8/关卡道具消耗!$D$26</f>
        <v>0</v>
      </c>
      <c r="N134" s="12">
        <f>INDEX(关卡奖励!$AH$6:$AH$8,MATCH($D$14,关卡奖励!$W$6:$W$8,0))*H134*IF(G134&lt;0.3,1,2)</f>
        <v>2567.4</v>
      </c>
      <c r="O134" s="12">
        <f>INDEX(关卡奖励!$AI$9:$AI$11,MATCH($D$14,关卡奖励!$W$9:$W$11,0))*((1/G134)-1)*H134</f>
        <v>1735.8000000000002</v>
      </c>
      <c r="P134" s="12">
        <f>I134-N134-O134</f>
        <v>6696.8</v>
      </c>
      <c r="Q134" s="12">
        <f>1/G134</f>
        <v>5</v>
      </c>
      <c r="R134" s="12">
        <f>IFERROR(INDEX(base_v,MATCH($F134,base_k,1)),0)*离线奖励!$C$12</f>
        <v>7050</v>
      </c>
      <c r="S134" s="12">
        <f>IFERROR(INDEX(关卡进度奖励!$I$7:$I$15,MATCH(F134,关卡进度奖励!$D$7:$D$15,0)),0)</f>
        <v>0</v>
      </c>
      <c r="T134" s="12">
        <f>AVERAGE(签到!$E$7:$E$13)*$H134</f>
        <v>9088.3047619047611</v>
      </c>
      <c r="U134" s="12">
        <f>转盘!$C$26*H134*V134/$D$13</f>
        <v>0</v>
      </c>
      <c r="V134" s="12">
        <f t="shared" si="20"/>
        <v>0</v>
      </c>
      <c r="W134" s="12">
        <f>IFERROR(MATCH(INDEX(转盘!$C$17:$F$17,1,MATCH($D$13,转盘!$C$16:$F$16,0))*MAX(F134-转盘!$C$6,0),转盘!$L$9:$L$51,1),0)</f>
        <v>6</v>
      </c>
      <c r="X134" s="12">
        <f>IFERROR(MATCH($F134,gift_k_level,0)^0,0)*进度礼包!$C$17*$H134/$D$13</f>
        <v>0</v>
      </c>
      <c r="Y134" s="12">
        <f>IFERROR(MATCH($F134,turn_k_1,0)^0,0)*转盘!$C$42*$H134/$D$13</f>
        <v>0</v>
      </c>
      <c r="Z134" s="12">
        <f>IFERROR(MATCH($F134,gift_k_level,0)^0,0)*进度礼包!$C$34*$H134/$D$13</f>
        <v>0</v>
      </c>
      <c r="AA134" s="12">
        <f>IFERROR(MATCH($F134,gift_k_time,0)^0,0)*限时礼包!$C$15*$H134/$D$13</f>
        <v>0</v>
      </c>
      <c r="AB134" s="12">
        <f>SUM(H$6:H134)</f>
        <v>232900</v>
      </c>
      <c r="AC134" s="12">
        <f>SUM(N$6:N134)+SUM($M$6:M134)</f>
        <v>425138.09999999986</v>
      </c>
      <c r="AD134" s="12">
        <f>SUM(O$6:O134)</f>
        <v>64560.122249999942</v>
      </c>
      <c r="AE134" s="12">
        <f>SUM($P$6:P134)</f>
        <v>70501.777749999994</v>
      </c>
      <c r="AF134" s="12">
        <f>SUM(U$6:U134)</f>
        <v>41549.433962264142</v>
      </c>
      <c r="AG134" s="12">
        <f>SUM(S$6:S134)</f>
        <v>6500</v>
      </c>
      <c r="AH134" s="12">
        <f>SUM(Y$6:Y134)</f>
        <v>359823.6</v>
      </c>
      <c r="AI134" s="12">
        <f>SUM(X$6:X134)</f>
        <v>29801.582082819979</v>
      </c>
      <c r="AJ134" s="12">
        <f>SUM(Z$6:Z134)</f>
        <v>96636.077097675297</v>
      </c>
      <c r="AK134" s="12">
        <f>SUM(AA$6:AA134)</f>
        <v>336614.12409497192</v>
      </c>
      <c r="AL134" s="12">
        <f>F134</f>
        <v>129</v>
      </c>
      <c r="AM134" s="12">
        <f t="shared" si="18"/>
        <v>577549.23829508398</v>
      </c>
      <c r="AN134" s="12">
        <f>SUM(I$6:I134)</f>
        <v>560200</v>
      </c>
      <c r="AO134" s="8">
        <f>SUM(Q$6:Q134)</f>
        <v>299</v>
      </c>
      <c r="AP134" s="12">
        <f t="shared" si="19"/>
        <v>17349.238295083982</v>
      </c>
      <c r="AS134" s="12">
        <v>128</v>
      </c>
      <c r="AT134" s="12">
        <v>20</v>
      </c>
      <c r="AU134" s="12">
        <f t="shared" si="24"/>
        <v>2570</v>
      </c>
      <c r="AV134" s="12">
        <f t="shared" si="25"/>
        <v>0</v>
      </c>
      <c r="AW134" s="12">
        <f>INDEX($AO$6:$AO$215,MATCH(BC134,$F$6:$F$215,0))</f>
        <v>467</v>
      </c>
      <c r="AX134" s="12">
        <f t="shared" si="26"/>
        <v>1135512.1739951316</v>
      </c>
      <c r="AY134" s="12">
        <f t="shared" si="21"/>
        <v>7650</v>
      </c>
      <c r="AZ134" s="12">
        <f t="shared" si="22"/>
        <v>10740.72380952381</v>
      </c>
      <c r="BA134" s="12">
        <f>AX134+SUM($AY$6:AY134)+SUM($AZ$6:AZ134)</f>
        <v>3413166.3644713224</v>
      </c>
      <c r="BB134" s="12">
        <f t="shared" si="27"/>
        <v>956200</v>
      </c>
      <c r="BC134" s="12">
        <f t="shared" si="28"/>
        <v>210</v>
      </c>
      <c r="BD134" s="12">
        <f t="shared" si="29"/>
        <v>0</v>
      </c>
      <c r="BE134" s="12">
        <f t="shared" si="30"/>
        <v>211</v>
      </c>
      <c r="BF134" s="12">
        <f t="shared" si="23"/>
        <v>2456966.3644713224</v>
      </c>
    </row>
    <row r="135" spans="6:58" x14ac:dyDescent="0.35">
      <c r="F135" s="12">
        <v>130</v>
      </c>
      <c r="G135" s="8">
        <f>INDEX(验算胜率!$E$6:$I$1005,F135,MATCH($D$16,验算胜率!$E$5:$I$5,0))</f>
        <v>0.5</v>
      </c>
      <c r="H135" s="12">
        <f t="shared" si="31"/>
        <v>2200</v>
      </c>
      <c r="I135" s="12">
        <f t="shared" ref="I135:I198" si="32">H135/G135</f>
        <v>4400</v>
      </c>
      <c r="J135" s="12">
        <v>4</v>
      </c>
      <c r="K135" s="12">
        <v>1</v>
      </c>
      <c r="M135" s="12">
        <f>IF($D$16=验算胜率!$F$5,验算胜率!K135,0)*H135*关卡道具消耗!$D$8/关卡道具消耗!$D$26</f>
        <v>0</v>
      </c>
      <c r="N135" s="12">
        <f>INDEX(关卡奖励!$AH$6:$AH$8,MATCH($D$14,关卡奖励!$W$6:$W$8,0))*H135*IF(G135&lt;0.3,1,2)</f>
        <v>5134.8</v>
      </c>
      <c r="O135" s="12">
        <f>INDEX(关卡奖励!$AI$9:$AI$11,MATCH($D$14,关卡奖励!$W$9:$W$11,0))*((1/G135)-1)*H135</f>
        <v>433.95000000000005</v>
      </c>
      <c r="P135" s="12">
        <f>I135-N135-O135</f>
        <v>-1168.7500000000002</v>
      </c>
      <c r="Q135" s="12">
        <f>1/G135</f>
        <v>2</v>
      </c>
      <c r="R135" s="12">
        <f>IFERROR(INDEX(base_v,MATCH($F135,base_k,1)),0)*离线奖励!$C$12</f>
        <v>7050</v>
      </c>
      <c r="S135" s="12">
        <f>IFERROR(INDEX(关卡进度奖励!$I$7:$I$15,MATCH(F135,关卡进度奖励!$D$7:$D$15,0)),0)</f>
        <v>0</v>
      </c>
      <c r="T135" s="12">
        <f>AVERAGE(签到!$E$7:$E$13)*$H135</f>
        <v>9088.3047619047611</v>
      </c>
      <c r="U135" s="12">
        <f>转盘!$C$26*H135*V135/$D$13</f>
        <v>0</v>
      </c>
      <c r="V135" s="12">
        <f t="shared" si="20"/>
        <v>0</v>
      </c>
      <c r="W135" s="12">
        <f>IFERROR(MATCH(INDEX(转盘!$C$17:$F$17,1,MATCH($D$13,转盘!$C$16:$F$16,0))*MAX(F135-转盘!$C$6,0),转盘!$L$9:$L$51,1),0)</f>
        <v>6</v>
      </c>
      <c r="X135" s="12">
        <f>IFERROR(MATCH($F135,gift_k_level,0)^0,0)*进度礼包!$C$17*$H135/$D$13</f>
        <v>0</v>
      </c>
      <c r="Y135" s="12">
        <f>IFERROR(MATCH($F135,turn_k_1,0)^0,0)*转盘!$C$42*$H135/$D$13</f>
        <v>0</v>
      </c>
      <c r="Z135" s="12">
        <f>IFERROR(MATCH($F135,gift_k_level,0)^0,0)*进度礼包!$C$34*$H135/$D$13</f>
        <v>0</v>
      </c>
      <c r="AA135" s="12">
        <f>IFERROR(MATCH($F135,gift_k_time,0)^0,0)*限时礼包!$C$15*$H135/$D$13</f>
        <v>0</v>
      </c>
      <c r="AB135" s="12">
        <f>SUM(H$6:H135)</f>
        <v>235100</v>
      </c>
      <c r="AC135" s="12">
        <f>SUM(N$6:N135)+SUM($M$6:M135)</f>
        <v>430272.89999999985</v>
      </c>
      <c r="AD135" s="12">
        <f>SUM(O$6:O135)</f>
        <v>64994.072249999939</v>
      </c>
      <c r="AE135" s="12">
        <f>SUM($P$6:P135)</f>
        <v>69333.027749999994</v>
      </c>
      <c r="AF135" s="12">
        <f>SUM(U$6:U135)</f>
        <v>41549.433962264142</v>
      </c>
      <c r="AG135" s="12">
        <f>SUM(S$6:S135)</f>
        <v>6500</v>
      </c>
      <c r="AH135" s="12">
        <f>SUM(Y$6:Y135)</f>
        <v>359823.6</v>
      </c>
      <c r="AI135" s="12">
        <f>SUM(X$6:X135)</f>
        <v>29801.582082819979</v>
      </c>
      <c r="AJ135" s="12">
        <f>SUM(Z$6:Z135)</f>
        <v>96636.077097675297</v>
      </c>
      <c r="AK135" s="12">
        <f>SUM(AA$6:AA135)</f>
        <v>336614.12409497192</v>
      </c>
      <c r="AL135" s="12">
        <f>F135</f>
        <v>130</v>
      </c>
      <c r="AM135" s="12">
        <f t="shared" ref="AM135:AM198" si="33">SUM(AC135,AD135,AF135,AI135,AG135)+$D$5</f>
        <v>583117.98829508387</v>
      </c>
      <c r="AN135" s="12">
        <f>SUM(I$6:I135)</f>
        <v>564600</v>
      </c>
      <c r="AO135" s="8">
        <f>SUM(Q$6:Q135)</f>
        <v>301</v>
      </c>
      <c r="AP135" s="12">
        <f t="shared" ref="AP135:AP198" si="34">AM135-AN135</f>
        <v>18517.988295083866</v>
      </c>
      <c r="AS135" s="12">
        <v>129</v>
      </c>
      <c r="AT135" s="12">
        <v>20</v>
      </c>
      <c r="AU135" s="12">
        <f t="shared" si="24"/>
        <v>2590</v>
      </c>
      <c r="AV135" s="12">
        <f t="shared" si="25"/>
        <v>0</v>
      </c>
      <c r="AW135" s="12">
        <f>INDEX($AO$6:$AO$215,MATCH(BC135,$F$6:$F$215,0))</f>
        <v>467</v>
      </c>
      <c r="AX135" s="12">
        <f t="shared" si="26"/>
        <v>1135512.1739951316</v>
      </c>
      <c r="AY135" s="12">
        <f t="shared" si="21"/>
        <v>7650</v>
      </c>
      <c r="AZ135" s="12">
        <f t="shared" si="22"/>
        <v>10740.72380952381</v>
      </c>
      <c r="BA135" s="12">
        <f>AX135+SUM($AY$6:AY135)+SUM($AZ$6:AZ135)</f>
        <v>3431557.0882808464</v>
      </c>
      <c r="BB135" s="12">
        <f t="shared" si="27"/>
        <v>956200</v>
      </c>
      <c r="BC135" s="12">
        <f t="shared" si="28"/>
        <v>210</v>
      </c>
      <c r="BD135" s="12">
        <f t="shared" si="29"/>
        <v>0</v>
      </c>
      <c r="BE135" s="12">
        <f t="shared" si="30"/>
        <v>211</v>
      </c>
      <c r="BF135" s="12">
        <f t="shared" si="23"/>
        <v>2475357.0882808464</v>
      </c>
    </row>
    <row r="136" spans="6:58" x14ac:dyDescent="0.35">
      <c r="F136" s="12">
        <v>131</v>
      </c>
      <c r="G136" s="8">
        <f>INDEX(验算胜率!$E$6:$I$1005,F136,MATCH($D$16,验算胜率!$E$5:$I$5,0))</f>
        <v>0.5</v>
      </c>
      <c r="H136" s="12">
        <f t="shared" si="31"/>
        <v>2200</v>
      </c>
      <c r="I136" s="12">
        <f t="shared" si="32"/>
        <v>4400</v>
      </c>
      <c r="J136" s="12">
        <v>4</v>
      </c>
      <c r="K136" s="12">
        <v>2</v>
      </c>
      <c r="M136" s="12">
        <f>IF($D$16=验算胜率!$F$5,验算胜率!K136,0)*H136*关卡道具消耗!$D$8/关卡道具消耗!$D$26</f>
        <v>0</v>
      </c>
      <c r="N136" s="12">
        <f>INDEX(关卡奖励!$AH$6:$AH$8,MATCH($D$14,关卡奖励!$W$6:$W$8,0))*H136*IF(G136&lt;0.3,1,2)</f>
        <v>5134.8</v>
      </c>
      <c r="O136" s="12">
        <f>INDEX(关卡奖励!$AI$9:$AI$11,MATCH($D$14,关卡奖励!$W$9:$W$11,0))*((1/G136)-1)*H136</f>
        <v>433.95000000000005</v>
      </c>
      <c r="P136" s="12">
        <f>I136-N136-O136</f>
        <v>-1168.7500000000002</v>
      </c>
      <c r="Q136" s="12">
        <f>1/G136</f>
        <v>2</v>
      </c>
      <c r="R136" s="12">
        <f>IFERROR(INDEX(base_v,MATCH($F136,base_k,1)),0)*离线奖励!$C$12</f>
        <v>7050</v>
      </c>
      <c r="S136" s="12">
        <f>IFERROR(INDEX(关卡进度奖励!$I$7:$I$15,MATCH(F136,关卡进度奖励!$D$7:$D$15,0)),0)</f>
        <v>0</v>
      </c>
      <c r="T136" s="12">
        <f>AVERAGE(签到!$E$7:$E$13)*$H136</f>
        <v>9088.3047619047611</v>
      </c>
      <c r="U136" s="12">
        <f>转盘!$C$26*H136*V136/$D$13</f>
        <v>0</v>
      </c>
      <c r="V136" s="12">
        <f t="shared" ref="V136:V199" si="35">IF(W136=W135,0,1)</f>
        <v>0</v>
      </c>
      <c r="W136" s="12">
        <f>IFERROR(MATCH(INDEX(转盘!$C$17:$F$17,1,MATCH($D$13,转盘!$C$16:$F$16,0))*MAX(F136-转盘!$C$6,0),转盘!$L$9:$L$51,1),0)</f>
        <v>6</v>
      </c>
      <c r="X136" s="12">
        <f>IFERROR(MATCH($F136,gift_k_level,0)^0,0)*进度礼包!$C$17*$H136/$D$13</f>
        <v>0</v>
      </c>
      <c r="Y136" s="12">
        <f>IFERROR(MATCH($F136,turn_k_1,0)^0,0)*转盘!$C$42*$H136/$D$13</f>
        <v>0</v>
      </c>
      <c r="Z136" s="12">
        <f>IFERROR(MATCH($F136,gift_k_level,0)^0,0)*进度礼包!$C$34*$H136/$D$13</f>
        <v>0</v>
      </c>
      <c r="AA136" s="12">
        <f>IFERROR(MATCH($F136,gift_k_time,0)^0,0)*限时礼包!$C$15*$H136/$D$13</f>
        <v>0</v>
      </c>
      <c r="AB136" s="12">
        <f>SUM(H$6:H136)</f>
        <v>237300</v>
      </c>
      <c r="AC136" s="12">
        <f>SUM(N$6:N136)+SUM($M$6:M136)</f>
        <v>435407.69999999984</v>
      </c>
      <c r="AD136" s="12">
        <f>SUM(O$6:O136)</f>
        <v>65428.022249999936</v>
      </c>
      <c r="AE136" s="12">
        <f>SUM($P$6:P136)</f>
        <v>68164.277749999994</v>
      </c>
      <c r="AF136" s="12">
        <f>SUM(U$6:U136)</f>
        <v>41549.433962264142</v>
      </c>
      <c r="AG136" s="12">
        <f>SUM(S$6:S136)</f>
        <v>6500</v>
      </c>
      <c r="AH136" s="12">
        <f>SUM(Y$6:Y136)</f>
        <v>359823.6</v>
      </c>
      <c r="AI136" s="12">
        <f>SUM(X$6:X136)</f>
        <v>29801.582082819979</v>
      </c>
      <c r="AJ136" s="12">
        <f>SUM(Z$6:Z136)</f>
        <v>96636.077097675297</v>
      </c>
      <c r="AK136" s="12">
        <f>SUM(AA$6:AA136)</f>
        <v>336614.12409497192</v>
      </c>
      <c r="AL136" s="12">
        <f>F136</f>
        <v>131</v>
      </c>
      <c r="AM136" s="12">
        <f t="shared" si="33"/>
        <v>588686.73829508387</v>
      </c>
      <c r="AN136" s="12">
        <f>SUM(I$6:I136)</f>
        <v>569000</v>
      </c>
      <c r="AO136" s="8">
        <f>SUM(Q$6:Q136)</f>
        <v>303</v>
      </c>
      <c r="AP136" s="12">
        <f t="shared" si="34"/>
        <v>19686.738295083866</v>
      </c>
      <c r="AS136" s="12">
        <v>130</v>
      </c>
      <c r="AT136" s="12">
        <v>20</v>
      </c>
      <c r="AU136" s="12">
        <f t="shared" si="24"/>
        <v>2610</v>
      </c>
      <c r="AV136" s="12">
        <f t="shared" si="25"/>
        <v>0</v>
      </c>
      <c r="AW136" s="12">
        <f>INDEX($AO$6:$AO$215,MATCH(BC136,$F$6:$F$215,0))</f>
        <v>467</v>
      </c>
      <c r="AX136" s="12">
        <f t="shared" si="26"/>
        <v>1135512.1739951316</v>
      </c>
      <c r="AY136" s="12">
        <f t="shared" ref="AY136:AY199" si="36">INDEX($R$6:$R$1005,$BC135)</f>
        <v>7650</v>
      </c>
      <c r="AZ136" s="12">
        <f t="shared" ref="AZ136:AZ199" si="37">INDEX($T$6:$T$1005,$BC135)</f>
        <v>10740.72380952381</v>
      </c>
      <c r="BA136" s="12">
        <f>AX136+SUM($AY$6:AY136)+SUM($AZ$6:AZ136)</f>
        <v>3449947.8120903699</v>
      </c>
      <c r="BB136" s="12">
        <f t="shared" si="27"/>
        <v>956200</v>
      </c>
      <c r="BC136" s="12">
        <f t="shared" si="28"/>
        <v>210</v>
      </c>
      <c r="BD136" s="12">
        <f t="shared" si="29"/>
        <v>0</v>
      </c>
      <c r="BE136" s="12">
        <f t="shared" si="30"/>
        <v>211</v>
      </c>
      <c r="BF136" s="12">
        <f t="shared" ref="BF136:BF199" si="38">BA136-BB136</f>
        <v>2493747.8120903699</v>
      </c>
    </row>
    <row r="137" spans="6:58" x14ac:dyDescent="0.35">
      <c r="F137" s="12">
        <v>132</v>
      </c>
      <c r="G137" s="8">
        <f>INDEX(验算胜率!$E$6:$I$1005,F137,MATCH($D$16,验算胜率!$E$5:$I$5,0))</f>
        <v>0.5</v>
      </c>
      <c r="H137" s="12">
        <f t="shared" si="31"/>
        <v>2200</v>
      </c>
      <c r="I137" s="12">
        <f t="shared" si="32"/>
        <v>4400</v>
      </c>
      <c r="J137" s="12">
        <v>4</v>
      </c>
      <c r="K137" s="12">
        <v>0</v>
      </c>
      <c r="M137" s="12">
        <f>IF($D$16=验算胜率!$F$5,验算胜率!K137,0)*H137*关卡道具消耗!$D$8/关卡道具消耗!$D$26</f>
        <v>0</v>
      </c>
      <c r="N137" s="12">
        <f>INDEX(关卡奖励!$AH$6:$AH$8,MATCH($D$14,关卡奖励!$W$6:$W$8,0))*H137*IF(G137&lt;0.3,1,2)</f>
        <v>5134.8</v>
      </c>
      <c r="O137" s="12">
        <f>INDEX(关卡奖励!$AI$9:$AI$11,MATCH($D$14,关卡奖励!$W$9:$W$11,0))*((1/G137)-1)*H137</f>
        <v>433.95000000000005</v>
      </c>
      <c r="P137" s="12">
        <f>I137-N137-O137</f>
        <v>-1168.7500000000002</v>
      </c>
      <c r="Q137" s="12">
        <f>1/G137</f>
        <v>2</v>
      </c>
      <c r="R137" s="12">
        <f>IFERROR(INDEX(base_v,MATCH($F137,base_k,1)),0)*离线奖励!$C$12</f>
        <v>7050</v>
      </c>
      <c r="S137" s="12">
        <f>IFERROR(INDEX(关卡进度奖励!$I$7:$I$15,MATCH(F137,关卡进度奖励!$D$7:$D$15,0)),0)</f>
        <v>0</v>
      </c>
      <c r="T137" s="12">
        <f>AVERAGE(签到!$E$7:$E$13)*$H137</f>
        <v>9088.3047619047611</v>
      </c>
      <c r="U137" s="12">
        <f>转盘!$C$26*H137*V137/$D$13</f>
        <v>0</v>
      </c>
      <c r="V137" s="12">
        <f t="shared" si="35"/>
        <v>0</v>
      </c>
      <c r="W137" s="12">
        <f>IFERROR(MATCH(INDEX(转盘!$C$17:$F$17,1,MATCH($D$13,转盘!$C$16:$F$16,0))*MAX(F137-转盘!$C$6,0),转盘!$L$9:$L$51,1),0)</f>
        <v>6</v>
      </c>
      <c r="X137" s="12">
        <f>IFERROR(MATCH($F137,gift_k_level,0)^0,0)*进度礼包!$C$17*$H137/$D$13</f>
        <v>0</v>
      </c>
      <c r="Y137" s="12">
        <f>IFERROR(MATCH($F137,turn_k_1,0)^0,0)*转盘!$C$42*$H137/$D$13</f>
        <v>0</v>
      </c>
      <c r="Z137" s="12">
        <f>IFERROR(MATCH($F137,gift_k_level,0)^0,0)*进度礼包!$C$34*$H137/$D$13</f>
        <v>0</v>
      </c>
      <c r="AA137" s="12">
        <f>IFERROR(MATCH($F137,gift_k_time,0)^0,0)*限时礼包!$C$15*$H137/$D$13</f>
        <v>0</v>
      </c>
      <c r="AB137" s="12">
        <f>SUM(H$6:H137)</f>
        <v>239500</v>
      </c>
      <c r="AC137" s="12">
        <f>SUM(N$6:N137)+SUM($M$6:M137)</f>
        <v>440542.49999999983</v>
      </c>
      <c r="AD137" s="12">
        <f>SUM(O$6:O137)</f>
        <v>65861.972249999933</v>
      </c>
      <c r="AE137" s="12">
        <f>SUM($P$6:P137)</f>
        <v>66995.527749999994</v>
      </c>
      <c r="AF137" s="12">
        <f>SUM(U$6:U137)</f>
        <v>41549.433962264142</v>
      </c>
      <c r="AG137" s="12">
        <f>SUM(S$6:S137)</f>
        <v>6500</v>
      </c>
      <c r="AH137" s="12">
        <f>SUM(Y$6:Y137)</f>
        <v>359823.6</v>
      </c>
      <c r="AI137" s="12">
        <f>SUM(X$6:X137)</f>
        <v>29801.582082819979</v>
      </c>
      <c r="AJ137" s="12">
        <f>SUM(Z$6:Z137)</f>
        <v>96636.077097675297</v>
      </c>
      <c r="AK137" s="12">
        <f>SUM(AA$6:AA137)</f>
        <v>336614.12409497192</v>
      </c>
      <c r="AL137" s="12">
        <f>F137</f>
        <v>132</v>
      </c>
      <c r="AM137" s="12">
        <f t="shared" si="33"/>
        <v>594255.48829508387</v>
      </c>
      <c r="AN137" s="12">
        <f>SUM(I$6:I137)</f>
        <v>573400</v>
      </c>
      <c r="AO137" s="8">
        <f>SUM(Q$6:Q137)</f>
        <v>305</v>
      </c>
      <c r="AP137" s="12">
        <f t="shared" si="34"/>
        <v>20855.488295083866</v>
      </c>
      <c r="AS137" s="12">
        <v>131</v>
      </c>
      <c r="AT137" s="12">
        <v>20</v>
      </c>
      <c r="AU137" s="12">
        <f t="shared" ref="AU137:AU200" si="39">AT137+AU136</f>
        <v>2630</v>
      </c>
      <c r="AV137" s="12">
        <f t="shared" ref="AV137:AV200" si="40">AW137-AW136</f>
        <v>0</v>
      </c>
      <c r="AW137" s="12">
        <f>INDEX($AO$6:$AO$215,MATCH(BC137,$F$6:$F$215,0))</f>
        <v>467</v>
      </c>
      <c r="AX137" s="12">
        <f t="shared" ref="AX137:AX200" si="41">INDEX($AM$6:$AM$215,MATCH(AU137,$AO$6:$AO$215,1))</f>
        <v>1135512.1739951316</v>
      </c>
      <c r="AY137" s="12">
        <f t="shared" si="36"/>
        <v>7650</v>
      </c>
      <c r="AZ137" s="12">
        <f t="shared" si="37"/>
        <v>10740.72380952381</v>
      </c>
      <c r="BA137" s="12">
        <f>AX137+SUM($AY$6:AY137)+SUM($AZ$6:AZ137)</f>
        <v>3468338.5358998934</v>
      </c>
      <c r="BB137" s="12">
        <f t="shared" ref="BB137:BB200" si="42">INDEX($AN$6:$AN$1005,MATCH(AU137,$AO$6:$AO$1005,1))</f>
        <v>956200</v>
      </c>
      <c r="BC137" s="12">
        <f t="shared" ref="BC137:BC200" si="43">MATCH(AU137,$AO$6:$AO$215,1)</f>
        <v>210</v>
      </c>
      <c r="BD137" s="12">
        <f t="shared" ref="BD137:BD200" si="44">BC137-BC136</f>
        <v>0</v>
      </c>
      <c r="BE137" s="12">
        <f t="shared" ref="BE137:BE200" si="45">BC136+1</f>
        <v>211</v>
      </c>
      <c r="BF137" s="12">
        <f t="shared" si="38"/>
        <v>2512138.5358998934</v>
      </c>
    </row>
    <row r="138" spans="6:58" x14ac:dyDescent="0.35">
      <c r="F138" s="12">
        <v>133</v>
      </c>
      <c r="G138" s="8">
        <f>INDEX(验算胜率!$E$6:$I$1005,F138,MATCH($D$16,验算胜率!$E$5:$I$5,0))</f>
        <v>0.5</v>
      </c>
      <c r="H138" s="12">
        <f t="shared" si="31"/>
        <v>2200</v>
      </c>
      <c r="I138" s="12">
        <f t="shared" si="32"/>
        <v>4400</v>
      </c>
      <c r="J138" s="12">
        <v>4</v>
      </c>
      <c r="K138" s="12">
        <v>0</v>
      </c>
      <c r="M138" s="12">
        <f>IF($D$16=验算胜率!$F$5,验算胜率!K138,0)*H138*关卡道具消耗!$D$8/关卡道具消耗!$D$26</f>
        <v>0</v>
      </c>
      <c r="N138" s="12">
        <f>INDEX(关卡奖励!$AH$6:$AH$8,MATCH($D$14,关卡奖励!$W$6:$W$8,0))*H138*IF(G138&lt;0.3,1,2)</f>
        <v>5134.8</v>
      </c>
      <c r="O138" s="12">
        <f>INDEX(关卡奖励!$AI$9:$AI$11,MATCH($D$14,关卡奖励!$W$9:$W$11,0))*((1/G138)-1)*H138</f>
        <v>433.95000000000005</v>
      </c>
      <c r="P138" s="12">
        <f>I138-N138-O138</f>
        <v>-1168.7500000000002</v>
      </c>
      <c r="Q138" s="12">
        <f>1/G138</f>
        <v>2</v>
      </c>
      <c r="R138" s="12">
        <f>IFERROR(INDEX(base_v,MATCH($F138,base_k,1)),0)*离线奖励!$C$12</f>
        <v>7050</v>
      </c>
      <c r="S138" s="12">
        <f>IFERROR(INDEX(关卡进度奖励!$I$7:$I$15,MATCH(F138,关卡进度奖励!$D$7:$D$15,0)),0)</f>
        <v>0</v>
      </c>
      <c r="T138" s="12">
        <f>AVERAGE(签到!$E$7:$E$13)*$H138</f>
        <v>9088.3047619047611</v>
      </c>
      <c r="U138" s="12">
        <f>转盘!$C$26*H138*V138/$D$13</f>
        <v>0</v>
      </c>
      <c r="V138" s="12">
        <f t="shared" si="35"/>
        <v>0</v>
      </c>
      <c r="W138" s="12">
        <f>IFERROR(MATCH(INDEX(转盘!$C$17:$F$17,1,MATCH($D$13,转盘!$C$16:$F$16,0))*MAX(F138-转盘!$C$6,0),转盘!$L$9:$L$51,1),0)</f>
        <v>6</v>
      </c>
      <c r="X138" s="12">
        <f>IFERROR(MATCH($F138,gift_k_level,0)^0,0)*进度礼包!$C$17*$H138/$D$13</f>
        <v>0</v>
      </c>
      <c r="Y138" s="12">
        <f>IFERROR(MATCH($F138,turn_k_1,0)^0,0)*转盘!$C$42*$H138/$D$13</f>
        <v>0</v>
      </c>
      <c r="Z138" s="12">
        <f>IFERROR(MATCH($F138,gift_k_level,0)^0,0)*进度礼包!$C$34*$H138/$D$13</f>
        <v>0</v>
      </c>
      <c r="AA138" s="12">
        <f>IFERROR(MATCH($F138,gift_k_time,0)^0,0)*限时礼包!$C$15*$H138/$D$13</f>
        <v>0</v>
      </c>
      <c r="AB138" s="12">
        <f>SUM(H$6:H138)</f>
        <v>241700</v>
      </c>
      <c r="AC138" s="12">
        <f>SUM(N$6:N138)+SUM($M$6:M138)</f>
        <v>445677.29999999981</v>
      </c>
      <c r="AD138" s="12">
        <f>SUM(O$6:O138)</f>
        <v>66295.922249999931</v>
      </c>
      <c r="AE138" s="12">
        <f>SUM($P$6:P138)</f>
        <v>65826.777749999994</v>
      </c>
      <c r="AF138" s="12">
        <f>SUM(U$6:U138)</f>
        <v>41549.433962264142</v>
      </c>
      <c r="AG138" s="12">
        <f>SUM(S$6:S138)</f>
        <v>6500</v>
      </c>
      <c r="AH138" s="12">
        <f>SUM(Y$6:Y138)</f>
        <v>359823.6</v>
      </c>
      <c r="AI138" s="12">
        <f>SUM(X$6:X138)</f>
        <v>29801.582082819979</v>
      </c>
      <c r="AJ138" s="12">
        <f>SUM(Z$6:Z138)</f>
        <v>96636.077097675297</v>
      </c>
      <c r="AK138" s="12">
        <f>SUM(AA$6:AA138)</f>
        <v>336614.12409497192</v>
      </c>
      <c r="AL138" s="12">
        <f>F138</f>
        <v>133</v>
      </c>
      <c r="AM138" s="12">
        <f t="shared" si="33"/>
        <v>599824.23829508387</v>
      </c>
      <c r="AN138" s="12">
        <f>SUM(I$6:I138)</f>
        <v>577800</v>
      </c>
      <c r="AO138" s="8">
        <f>SUM(Q$6:Q138)</f>
        <v>307</v>
      </c>
      <c r="AP138" s="12">
        <f t="shared" si="34"/>
        <v>22024.238295083866</v>
      </c>
      <c r="AS138" s="12">
        <v>132</v>
      </c>
      <c r="AT138" s="12">
        <v>20</v>
      </c>
      <c r="AU138" s="12">
        <f t="shared" si="39"/>
        <v>2650</v>
      </c>
      <c r="AV138" s="12">
        <f t="shared" si="40"/>
        <v>0</v>
      </c>
      <c r="AW138" s="12">
        <f>INDEX($AO$6:$AO$215,MATCH(BC138,$F$6:$F$215,0))</f>
        <v>467</v>
      </c>
      <c r="AX138" s="12">
        <f t="shared" si="41"/>
        <v>1135512.1739951316</v>
      </c>
      <c r="AY138" s="12">
        <f t="shared" si="36"/>
        <v>7650</v>
      </c>
      <c r="AZ138" s="12">
        <f t="shared" si="37"/>
        <v>10740.72380952381</v>
      </c>
      <c r="BA138" s="12">
        <f>AX138+SUM($AY$6:AY138)+SUM($AZ$6:AZ138)</f>
        <v>3486729.2597094174</v>
      </c>
      <c r="BB138" s="12">
        <f t="shared" si="42"/>
        <v>956200</v>
      </c>
      <c r="BC138" s="12">
        <f t="shared" si="43"/>
        <v>210</v>
      </c>
      <c r="BD138" s="12">
        <f t="shared" si="44"/>
        <v>0</v>
      </c>
      <c r="BE138" s="12">
        <f t="shared" si="45"/>
        <v>211</v>
      </c>
      <c r="BF138" s="12">
        <f t="shared" si="38"/>
        <v>2530529.2597094174</v>
      </c>
    </row>
    <row r="139" spans="6:58" x14ac:dyDescent="0.35">
      <c r="F139" s="12">
        <v>134</v>
      </c>
      <c r="G139" s="8">
        <f>INDEX(验算胜率!$E$6:$I$1005,F139,MATCH($D$16,验算胜率!$E$5:$I$5,0))</f>
        <v>0.2</v>
      </c>
      <c r="H139" s="12">
        <f t="shared" si="31"/>
        <v>2200</v>
      </c>
      <c r="I139" s="12">
        <f t="shared" si="32"/>
        <v>11000</v>
      </c>
      <c r="J139" s="12">
        <v>4</v>
      </c>
      <c r="K139" s="12">
        <v>3</v>
      </c>
      <c r="M139" s="12">
        <f>IF($D$16=验算胜率!$F$5,验算胜率!K139,0)*H139*关卡道具消耗!$D$8/关卡道具消耗!$D$26</f>
        <v>0</v>
      </c>
      <c r="N139" s="12">
        <f>INDEX(关卡奖励!$AH$6:$AH$8,MATCH($D$14,关卡奖励!$W$6:$W$8,0))*H139*IF(G139&lt;0.3,1,2)</f>
        <v>2567.4</v>
      </c>
      <c r="O139" s="12">
        <f>INDEX(关卡奖励!$AI$9:$AI$11,MATCH($D$14,关卡奖励!$W$9:$W$11,0))*((1/G139)-1)*H139</f>
        <v>1735.8000000000002</v>
      </c>
      <c r="P139" s="12">
        <f>I139-N139-O139</f>
        <v>6696.8</v>
      </c>
      <c r="Q139" s="12">
        <f>1/G139</f>
        <v>5</v>
      </c>
      <c r="R139" s="12">
        <f>IFERROR(INDEX(base_v,MATCH($F139,base_k,1)),0)*离线奖励!$C$12</f>
        <v>7050</v>
      </c>
      <c r="S139" s="12">
        <f>IFERROR(INDEX(关卡进度奖励!$I$7:$I$15,MATCH(F139,关卡进度奖励!$D$7:$D$15,0)),0)</f>
        <v>0</v>
      </c>
      <c r="T139" s="12">
        <f>AVERAGE(签到!$E$7:$E$13)*$H139</f>
        <v>9088.3047619047611</v>
      </c>
      <c r="U139" s="12">
        <f>转盘!$C$26*H139*V139/$D$13</f>
        <v>0</v>
      </c>
      <c r="V139" s="12">
        <f t="shared" si="35"/>
        <v>0</v>
      </c>
      <c r="W139" s="12">
        <f>IFERROR(MATCH(INDEX(转盘!$C$17:$F$17,1,MATCH($D$13,转盘!$C$16:$F$16,0))*MAX(F139-转盘!$C$6,0),转盘!$L$9:$L$51,1),0)</f>
        <v>6</v>
      </c>
      <c r="X139" s="12">
        <f>IFERROR(MATCH($F139,gift_k_level,0)^0,0)*进度礼包!$C$17*$H139/$D$13</f>
        <v>0</v>
      </c>
      <c r="Y139" s="12">
        <f>IFERROR(MATCH($F139,turn_k_1,0)^0,0)*转盘!$C$42*$H139/$D$13</f>
        <v>0</v>
      </c>
      <c r="Z139" s="12">
        <f>IFERROR(MATCH($F139,gift_k_level,0)^0,0)*进度礼包!$C$34*$H139/$D$13</f>
        <v>0</v>
      </c>
      <c r="AA139" s="12">
        <f>IFERROR(MATCH($F139,gift_k_time,0)^0,0)*限时礼包!$C$15*$H139/$D$13</f>
        <v>0</v>
      </c>
      <c r="AB139" s="12">
        <f>SUM(H$6:H139)</f>
        <v>243900</v>
      </c>
      <c r="AC139" s="12">
        <f>SUM(N$6:N139)+SUM($M$6:M139)</f>
        <v>448244.69999999984</v>
      </c>
      <c r="AD139" s="12">
        <f>SUM(O$6:O139)</f>
        <v>68031.722249999933</v>
      </c>
      <c r="AE139" s="12">
        <f>SUM($P$6:P139)</f>
        <v>72523.577749999997</v>
      </c>
      <c r="AF139" s="12">
        <f>SUM(U$6:U139)</f>
        <v>41549.433962264142</v>
      </c>
      <c r="AG139" s="12">
        <f>SUM(S$6:S139)</f>
        <v>6500</v>
      </c>
      <c r="AH139" s="12">
        <f>SUM(Y$6:Y139)</f>
        <v>359823.6</v>
      </c>
      <c r="AI139" s="12">
        <f>SUM(X$6:X139)</f>
        <v>29801.582082819979</v>
      </c>
      <c r="AJ139" s="12">
        <f>SUM(Z$6:Z139)</f>
        <v>96636.077097675297</v>
      </c>
      <c r="AK139" s="12">
        <f>SUM(AA$6:AA139)</f>
        <v>336614.12409497192</v>
      </c>
      <c r="AL139" s="12">
        <f>F139</f>
        <v>134</v>
      </c>
      <c r="AM139" s="12">
        <f t="shared" si="33"/>
        <v>604127.43829508394</v>
      </c>
      <c r="AN139" s="12">
        <f>SUM(I$6:I139)</f>
        <v>588800</v>
      </c>
      <c r="AO139" s="8">
        <f>SUM(Q$6:Q139)</f>
        <v>312</v>
      </c>
      <c r="AP139" s="12">
        <f t="shared" si="34"/>
        <v>15327.438295083935</v>
      </c>
      <c r="AS139" s="12">
        <v>133</v>
      </c>
      <c r="AT139" s="12">
        <v>20</v>
      </c>
      <c r="AU139" s="12">
        <f t="shared" si="39"/>
        <v>2670</v>
      </c>
      <c r="AV139" s="12">
        <f t="shared" si="40"/>
        <v>0</v>
      </c>
      <c r="AW139" s="12">
        <f>INDEX($AO$6:$AO$215,MATCH(BC139,$F$6:$F$215,0))</f>
        <v>467</v>
      </c>
      <c r="AX139" s="12">
        <f t="shared" si="41"/>
        <v>1135512.1739951316</v>
      </c>
      <c r="AY139" s="12">
        <f t="shared" si="36"/>
        <v>7650</v>
      </c>
      <c r="AZ139" s="12">
        <f t="shared" si="37"/>
        <v>10740.72380952381</v>
      </c>
      <c r="BA139" s="12">
        <f>AX139+SUM($AY$6:AY139)+SUM($AZ$6:AZ139)</f>
        <v>3505119.9835189413</v>
      </c>
      <c r="BB139" s="12">
        <f t="shared" si="42"/>
        <v>956200</v>
      </c>
      <c r="BC139" s="12">
        <f t="shared" si="43"/>
        <v>210</v>
      </c>
      <c r="BD139" s="12">
        <f t="shared" si="44"/>
        <v>0</v>
      </c>
      <c r="BE139" s="12">
        <f t="shared" si="45"/>
        <v>211</v>
      </c>
      <c r="BF139" s="12">
        <f t="shared" si="38"/>
        <v>2548919.9835189413</v>
      </c>
    </row>
    <row r="140" spans="6:58" x14ac:dyDescent="0.35">
      <c r="F140" s="12">
        <v>135</v>
      </c>
      <c r="G140" s="8">
        <f>INDEX(验算胜率!$E$6:$I$1005,F140,MATCH($D$16,验算胜率!$E$5:$I$5,0))</f>
        <v>0.5</v>
      </c>
      <c r="H140" s="12">
        <f t="shared" si="31"/>
        <v>2200</v>
      </c>
      <c r="I140" s="12">
        <f t="shared" si="32"/>
        <v>4400</v>
      </c>
      <c r="J140" s="12">
        <v>4</v>
      </c>
      <c r="K140" s="12">
        <v>3</v>
      </c>
      <c r="M140" s="12">
        <f>IF($D$16=验算胜率!$F$5,验算胜率!K140,0)*H140*关卡道具消耗!$D$8/关卡道具消耗!$D$26</f>
        <v>0</v>
      </c>
      <c r="N140" s="12">
        <f>INDEX(关卡奖励!$AH$6:$AH$8,MATCH($D$14,关卡奖励!$W$6:$W$8,0))*H140*IF(G140&lt;0.3,1,2)</f>
        <v>5134.8</v>
      </c>
      <c r="O140" s="12">
        <f>INDEX(关卡奖励!$AI$9:$AI$11,MATCH($D$14,关卡奖励!$W$9:$W$11,0))*((1/G140)-1)*H140</f>
        <v>433.95000000000005</v>
      </c>
      <c r="P140" s="12">
        <f>I140-N140-O140</f>
        <v>-1168.7500000000002</v>
      </c>
      <c r="Q140" s="12">
        <f>1/G140</f>
        <v>2</v>
      </c>
      <c r="R140" s="12">
        <f>IFERROR(INDEX(base_v,MATCH($F140,base_k,1)),0)*离线奖励!$C$12</f>
        <v>7050</v>
      </c>
      <c r="S140" s="12">
        <f>IFERROR(INDEX(关卡进度奖励!$I$7:$I$15,MATCH(F140,关卡进度奖励!$D$7:$D$15,0)),0)</f>
        <v>0</v>
      </c>
      <c r="T140" s="12">
        <f>AVERAGE(签到!$E$7:$E$13)*$H140</f>
        <v>9088.3047619047611</v>
      </c>
      <c r="U140" s="12">
        <f>转盘!$C$26*H140*V140/$D$13</f>
        <v>0</v>
      </c>
      <c r="V140" s="12">
        <f t="shared" si="35"/>
        <v>0</v>
      </c>
      <c r="W140" s="12">
        <f>IFERROR(MATCH(INDEX(转盘!$C$17:$F$17,1,MATCH($D$13,转盘!$C$16:$F$16,0))*MAX(F140-转盘!$C$6,0),转盘!$L$9:$L$51,1),0)</f>
        <v>6</v>
      </c>
      <c r="X140" s="12">
        <f>IFERROR(MATCH($F140,gift_k_level,0)^0,0)*进度礼包!$C$17*$H140/$D$13</f>
        <v>0</v>
      </c>
      <c r="Y140" s="12">
        <f>IFERROR(MATCH($F140,turn_k_1,0)^0,0)*转盘!$C$42*$H140/$D$13</f>
        <v>0</v>
      </c>
      <c r="Z140" s="12">
        <f>IFERROR(MATCH($F140,gift_k_level,0)^0,0)*进度礼包!$C$34*$H140/$D$13</f>
        <v>0</v>
      </c>
      <c r="AA140" s="12">
        <f>IFERROR(MATCH($F140,gift_k_time,0)^0,0)*限时礼包!$C$15*$H140/$D$13</f>
        <v>0</v>
      </c>
      <c r="AB140" s="12">
        <f>SUM(H$6:H140)</f>
        <v>246100</v>
      </c>
      <c r="AC140" s="12">
        <f>SUM(N$6:N140)+SUM($M$6:M140)</f>
        <v>453379.49999999983</v>
      </c>
      <c r="AD140" s="12">
        <f>SUM(O$6:O140)</f>
        <v>68465.672249999931</v>
      </c>
      <c r="AE140" s="12">
        <f>SUM($P$6:P140)</f>
        <v>71354.827749999997</v>
      </c>
      <c r="AF140" s="12">
        <f>SUM(U$6:U140)</f>
        <v>41549.433962264142</v>
      </c>
      <c r="AG140" s="12">
        <f>SUM(S$6:S140)</f>
        <v>6500</v>
      </c>
      <c r="AH140" s="12">
        <f>SUM(Y$6:Y140)</f>
        <v>359823.6</v>
      </c>
      <c r="AI140" s="12">
        <f>SUM(X$6:X140)</f>
        <v>29801.582082819979</v>
      </c>
      <c r="AJ140" s="12">
        <f>SUM(Z$6:Z140)</f>
        <v>96636.077097675297</v>
      </c>
      <c r="AK140" s="12">
        <f>SUM(AA$6:AA140)</f>
        <v>336614.12409497192</v>
      </c>
      <c r="AL140" s="12">
        <f>F140</f>
        <v>135</v>
      </c>
      <c r="AM140" s="12">
        <f t="shared" si="33"/>
        <v>609696.18829508394</v>
      </c>
      <c r="AN140" s="12">
        <f>SUM(I$6:I140)</f>
        <v>593200</v>
      </c>
      <c r="AO140" s="8">
        <f>SUM(Q$6:Q140)</f>
        <v>314</v>
      </c>
      <c r="AP140" s="12">
        <f t="shared" si="34"/>
        <v>16496.188295083935</v>
      </c>
      <c r="AS140" s="12">
        <v>134</v>
      </c>
      <c r="AT140" s="12">
        <v>20</v>
      </c>
      <c r="AU140" s="12">
        <f t="shared" si="39"/>
        <v>2690</v>
      </c>
      <c r="AV140" s="12">
        <f t="shared" si="40"/>
        <v>0</v>
      </c>
      <c r="AW140" s="12">
        <f>INDEX($AO$6:$AO$215,MATCH(BC140,$F$6:$F$215,0))</f>
        <v>467</v>
      </c>
      <c r="AX140" s="12">
        <f t="shared" si="41"/>
        <v>1135512.1739951316</v>
      </c>
      <c r="AY140" s="12">
        <f t="shared" si="36"/>
        <v>7650</v>
      </c>
      <c r="AZ140" s="12">
        <f t="shared" si="37"/>
        <v>10740.72380952381</v>
      </c>
      <c r="BA140" s="12">
        <f>AX140+SUM($AY$6:AY140)+SUM($AZ$6:AZ140)</f>
        <v>3523510.7073284648</v>
      </c>
      <c r="BB140" s="12">
        <f t="shared" si="42"/>
        <v>956200</v>
      </c>
      <c r="BC140" s="12">
        <f t="shared" si="43"/>
        <v>210</v>
      </c>
      <c r="BD140" s="12">
        <f t="shared" si="44"/>
        <v>0</v>
      </c>
      <c r="BE140" s="12">
        <f t="shared" si="45"/>
        <v>211</v>
      </c>
      <c r="BF140" s="12">
        <f t="shared" si="38"/>
        <v>2567310.7073284648</v>
      </c>
    </row>
    <row r="141" spans="6:58" x14ac:dyDescent="0.35">
      <c r="F141" s="12">
        <v>136</v>
      </c>
      <c r="G141" s="8">
        <f>INDEX(验算胜率!$E$6:$I$1005,F141,MATCH($D$16,验算胜率!$E$5:$I$5,0))</f>
        <v>0.5</v>
      </c>
      <c r="H141" s="12">
        <f t="shared" si="31"/>
        <v>2200</v>
      </c>
      <c r="I141" s="12">
        <f t="shared" si="32"/>
        <v>4400</v>
      </c>
      <c r="J141" s="12">
        <v>4</v>
      </c>
      <c r="K141" s="12">
        <v>3</v>
      </c>
      <c r="M141" s="12">
        <f>IF($D$16=验算胜率!$F$5,验算胜率!K141,0)*H141*关卡道具消耗!$D$8/关卡道具消耗!$D$26</f>
        <v>0</v>
      </c>
      <c r="N141" s="12">
        <f>INDEX(关卡奖励!$AH$6:$AH$8,MATCH($D$14,关卡奖励!$W$6:$W$8,0))*H141*IF(G141&lt;0.3,1,2)</f>
        <v>5134.8</v>
      </c>
      <c r="O141" s="12">
        <f>INDEX(关卡奖励!$AI$9:$AI$11,MATCH($D$14,关卡奖励!$W$9:$W$11,0))*((1/G141)-1)*H141</f>
        <v>433.95000000000005</v>
      </c>
      <c r="P141" s="12">
        <f>I141-N141-O141</f>
        <v>-1168.7500000000002</v>
      </c>
      <c r="Q141" s="12">
        <f>1/G141</f>
        <v>2</v>
      </c>
      <c r="R141" s="12">
        <f>IFERROR(INDEX(base_v,MATCH($F141,base_k,1)),0)*离线奖励!$C$12</f>
        <v>7050</v>
      </c>
      <c r="S141" s="12">
        <f>IFERROR(INDEX(关卡进度奖励!$I$7:$I$15,MATCH(F141,关卡进度奖励!$D$7:$D$15,0)),0)</f>
        <v>0</v>
      </c>
      <c r="T141" s="12">
        <f>AVERAGE(签到!$E$7:$E$13)*$H141</f>
        <v>9088.3047619047611</v>
      </c>
      <c r="U141" s="12">
        <f>转盘!$C$26*H141*V141/$D$13</f>
        <v>0</v>
      </c>
      <c r="V141" s="12">
        <f t="shared" si="35"/>
        <v>0</v>
      </c>
      <c r="W141" s="12">
        <f>IFERROR(MATCH(INDEX(转盘!$C$17:$F$17,1,MATCH($D$13,转盘!$C$16:$F$16,0))*MAX(F141-转盘!$C$6,0),转盘!$L$9:$L$51,1),0)</f>
        <v>6</v>
      </c>
      <c r="X141" s="12">
        <f>IFERROR(MATCH($F141,gift_k_level,0)^0,0)*进度礼包!$C$17*$H141/$D$13</f>
        <v>0</v>
      </c>
      <c r="Y141" s="12">
        <f>IFERROR(MATCH($F141,turn_k_1,0)^0,0)*转盘!$C$42*$H141/$D$13</f>
        <v>73297.399999999994</v>
      </c>
      <c r="Z141" s="12">
        <f>IFERROR(MATCH($F141,gift_k_level,0)^0,0)*进度礼包!$C$34*$H141/$D$13</f>
        <v>0</v>
      </c>
      <c r="AA141" s="12">
        <f>IFERROR(MATCH($F141,gift_k_time,0)^0,0)*限时礼包!$C$15*$H141/$D$13</f>
        <v>0</v>
      </c>
      <c r="AB141" s="12">
        <f>SUM(H$6:H141)</f>
        <v>248300</v>
      </c>
      <c r="AC141" s="12">
        <f>SUM(N$6:N141)+SUM($M$6:M141)</f>
        <v>458514.29999999981</v>
      </c>
      <c r="AD141" s="12">
        <f>SUM(O$6:O141)</f>
        <v>68899.622249999928</v>
      </c>
      <c r="AE141" s="12">
        <f>SUM($P$6:P141)</f>
        <v>70186.077749999997</v>
      </c>
      <c r="AF141" s="12">
        <f>SUM(U$6:U141)</f>
        <v>41549.433962264142</v>
      </c>
      <c r="AG141" s="12">
        <f>SUM(S$6:S141)</f>
        <v>6500</v>
      </c>
      <c r="AH141" s="12">
        <f>SUM(Y$6:Y141)</f>
        <v>433121</v>
      </c>
      <c r="AI141" s="12">
        <f>SUM(X$6:X141)</f>
        <v>29801.582082819979</v>
      </c>
      <c r="AJ141" s="12">
        <f>SUM(Z$6:Z141)</f>
        <v>96636.077097675297</v>
      </c>
      <c r="AK141" s="12">
        <f>SUM(AA$6:AA141)</f>
        <v>336614.12409497192</v>
      </c>
      <c r="AL141" s="12">
        <f>F141</f>
        <v>136</v>
      </c>
      <c r="AM141" s="12">
        <f t="shared" si="33"/>
        <v>615264.93829508382</v>
      </c>
      <c r="AN141" s="12">
        <f>SUM(I$6:I141)</f>
        <v>597600</v>
      </c>
      <c r="AO141" s="8">
        <f>SUM(Q$6:Q141)</f>
        <v>316</v>
      </c>
      <c r="AP141" s="12">
        <f t="shared" si="34"/>
        <v>17664.938295083819</v>
      </c>
      <c r="AS141" s="12">
        <v>135</v>
      </c>
      <c r="AT141" s="12">
        <v>20</v>
      </c>
      <c r="AU141" s="12">
        <f t="shared" si="39"/>
        <v>2710</v>
      </c>
      <c r="AV141" s="12">
        <f t="shared" si="40"/>
        <v>0</v>
      </c>
      <c r="AW141" s="12">
        <f>INDEX($AO$6:$AO$215,MATCH(BC141,$F$6:$F$215,0))</f>
        <v>467</v>
      </c>
      <c r="AX141" s="12">
        <f t="shared" si="41"/>
        <v>1135512.1739951316</v>
      </c>
      <c r="AY141" s="12">
        <f t="shared" si="36"/>
        <v>7650</v>
      </c>
      <c r="AZ141" s="12">
        <f t="shared" si="37"/>
        <v>10740.72380952381</v>
      </c>
      <c r="BA141" s="12">
        <f>AX141+SUM($AY$6:AY141)+SUM($AZ$6:AZ141)</f>
        <v>3541901.4311379883</v>
      </c>
      <c r="BB141" s="12">
        <f t="shared" si="42"/>
        <v>956200</v>
      </c>
      <c r="BC141" s="12">
        <f t="shared" si="43"/>
        <v>210</v>
      </c>
      <c r="BD141" s="12">
        <f t="shared" si="44"/>
        <v>0</v>
      </c>
      <c r="BE141" s="12">
        <f t="shared" si="45"/>
        <v>211</v>
      </c>
      <c r="BF141" s="12">
        <f t="shared" si="38"/>
        <v>2585701.4311379883</v>
      </c>
    </row>
    <row r="142" spans="6:58" x14ac:dyDescent="0.35">
      <c r="F142" s="12">
        <v>137</v>
      </c>
      <c r="G142" s="8">
        <f>INDEX(验算胜率!$E$6:$I$1005,F142,MATCH($D$16,验算胜率!$E$5:$I$5,0))</f>
        <v>0.5</v>
      </c>
      <c r="H142" s="12">
        <f t="shared" si="31"/>
        <v>2200</v>
      </c>
      <c r="I142" s="12">
        <f t="shared" si="32"/>
        <v>4400</v>
      </c>
      <c r="J142" s="12">
        <v>4</v>
      </c>
      <c r="K142" s="12">
        <v>3</v>
      </c>
      <c r="M142" s="12">
        <f>IF($D$16=验算胜率!$F$5,验算胜率!K142,0)*H142*关卡道具消耗!$D$8/关卡道具消耗!$D$26</f>
        <v>0</v>
      </c>
      <c r="N142" s="12">
        <f>INDEX(关卡奖励!$AH$6:$AH$8,MATCH($D$14,关卡奖励!$W$6:$W$8,0))*H142*IF(G142&lt;0.3,1,2)</f>
        <v>5134.8</v>
      </c>
      <c r="O142" s="12">
        <f>INDEX(关卡奖励!$AI$9:$AI$11,MATCH($D$14,关卡奖励!$W$9:$W$11,0))*((1/G142)-1)*H142</f>
        <v>433.95000000000005</v>
      </c>
      <c r="P142" s="12">
        <f>I142-N142-O142</f>
        <v>-1168.7500000000002</v>
      </c>
      <c r="Q142" s="12">
        <f>1/G142</f>
        <v>2</v>
      </c>
      <c r="R142" s="12">
        <f>IFERROR(INDEX(base_v,MATCH($F142,base_k,1)),0)*离线奖励!$C$12</f>
        <v>7050</v>
      </c>
      <c r="S142" s="12">
        <f>IFERROR(INDEX(关卡进度奖励!$I$7:$I$15,MATCH(F142,关卡进度奖励!$D$7:$D$15,0)),0)</f>
        <v>0</v>
      </c>
      <c r="T142" s="12">
        <f>AVERAGE(签到!$E$7:$E$13)*$H142</f>
        <v>9088.3047619047611</v>
      </c>
      <c r="U142" s="12">
        <f>转盘!$C$26*H142*V142/$D$13</f>
        <v>8463.7735849056589</v>
      </c>
      <c r="V142" s="12">
        <f t="shared" si="35"/>
        <v>1</v>
      </c>
      <c r="W142" s="12">
        <f>IFERROR(MATCH(INDEX(转盘!$C$17:$F$17,1,MATCH($D$13,转盘!$C$16:$F$16,0))*MAX(F142-转盘!$C$6,0),转盘!$L$9:$L$51,1),0)</f>
        <v>7</v>
      </c>
      <c r="X142" s="12">
        <f>IFERROR(MATCH($F142,gift_k_level,0)^0,0)*进度礼包!$C$17*$H142/$D$13</f>
        <v>0</v>
      </c>
      <c r="Y142" s="12">
        <f>IFERROR(MATCH($F142,turn_k_1,0)^0,0)*转盘!$C$42*$H142/$D$13</f>
        <v>0</v>
      </c>
      <c r="Z142" s="12">
        <f>IFERROR(MATCH($F142,gift_k_level,0)^0,0)*进度礼包!$C$34*$H142/$D$13</f>
        <v>0</v>
      </c>
      <c r="AA142" s="12">
        <f>IFERROR(MATCH($F142,gift_k_time,0)^0,0)*限时礼包!$C$15*$H142/$D$13</f>
        <v>65535.493186631706</v>
      </c>
      <c r="AB142" s="12">
        <f>SUM(H$6:H142)</f>
        <v>250500</v>
      </c>
      <c r="AC142" s="12">
        <f>SUM(N$6:N142)+SUM($M$6:M142)</f>
        <v>463649.0999999998</v>
      </c>
      <c r="AD142" s="12">
        <f>SUM(O$6:O142)</f>
        <v>69333.572249999925</v>
      </c>
      <c r="AE142" s="12">
        <f>SUM($P$6:P142)</f>
        <v>69017.327749999997</v>
      </c>
      <c r="AF142" s="12">
        <f>SUM(U$6:U142)</f>
        <v>50013.207547169804</v>
      </c>
      <c r="AG142" s="12">
        <f>SUM(S$6:S142)</f>
        <v>6500</v>
      </c>
      <c r="AH142" s="12">
        <f>SUM(Y$6:Y142)</f>
        <v>433121</v>
      </c>
      <c r="AI142" s="12">
        <f>SUM(X$6:X142)</f>
        <v>29801.582082819979</v>
      </c>
      <c r="AJ142" s="12">
        <f>SUM(Z$6:Z142)</f>
        <v>96636.077097675297</v>
      </c>
      <c r="AK142" s="12">
        <f>SUM(AA$6:AA142)</f>
        <v>402149.61728160363</v>
      </c>
      <c r="AL142" s="12">
        <f>F142</f>
        <v>137</v>
      </c>
      <c r="AM142" s="12">
        <f t="shared" si="33"/>
        <v>629297.46187998948</v>
      </c>
      <c r="AN142" s="12">
        <f>SUM(I$6:I142)</f>
        <v>602000</v>
      </c>
      <c r="AO142" s="8">
        <f>SUM(Q$6:Q142)</f>
        <v>318</v>
      </c>
      <c r="AP142" s="12">
        <f t="shared" si="34"/>
        <v>27297.461879989482</v>
      </c>
      <c r="AS142" s="12">
        <v>136</v>
      </c>
      <c r="AT142" s="12">
        <v>20</v>
      </c>
      <c r="AU142" s="12">
        <f t="shared" si="39"/>
        <v>2730</v>
      </c>
      <c r="AV142" s="12">
        <f t="shared" si="40"/>
        <v>0</v>
      </c>
      <c r="AW142" s="12">
        <f>INDEX($AO$6:$AO$215,MATCH(BC142,$F$6:$F$215,0))</f>
        <v>467</v>
      </c>
      <c r="AX142" s="12">
        <f t="shared" si="41"/>
        <v>1135512.1739951316</v>
      </c>
      <c r="AY142" s="12">
        <f t="shared" si="36"/>
        <v>7650</v>
      </c>
      <c r="AZ142" s="12">
        <f t="shared" si="37"/>
        <v>10740.72380952381</v>
      </c>
      <c r="BA142" s="12">
        <f>AX142+SUM($AY$6:AY142)+SUM($AZ$6:AZ142)</f>
        <v>3560292.1549475123</v>
      </c>
      <c r="BB142" s="12">
        <f t="shared" si="42"/>
        <v>956200</v>
      </c>
      <c r="BC142" s="12">
        <f t="shared" si="43"/>
        <v>210</v>
      </c>
      <c r="BD142" s="12">
        <f t="shared" si="44"/>
        <v>0</v>
      </c>
      <c r="BE142" s="12">
        <f t="shared" si="45"/>
        <v>211</v>
      </c>
      <c r="BF142" s="12">
        <f t="shared" si="38"/>
        <v>2604092.1549475123</v>
      </c>
    </row>
    <row r="143" spans="6:58" x14ac:dyDescent="0.35">
      <c r="F143" s="12">
        <v>138</v>
      </c>
      <c r="G143" s="8">
        <f>INDEX(验算胜率!$E$6:$I$1005,F143,MATCH($D$16,验算胜率!$E$5:$I$5,0))</f>
        <v>0.5</v>
      </c>
      <c r="H143" s="12">
        <f t="shared" si="31"/>
        <v>2200</v>
      </c>
      <c r="I143" s="12">
        <f t="shared" si="32"/>
        <v>4400</v>
      </c>
      <c r="J143" s="12">
        <v>4</v>
      </c>
      <c r="K143" s="12">
        <v>3</v>
      </c>
      <c r="M143" s="12">
        <f>IF($D$16=验算胜率!$F$5,验算胜率!K143,0)*H143*关卡道具消耗!$D$8/关卡道具消耗!$D$26</f>
        <v>0</v>
      </c>
      <c r="N143" s="12">
        <f>INDEX(关卡奖励!$AH$6:$AH$8,MATCH($D$14,关卡奖励!$W$6:$W$8,0))*H143*IF(G143&lt;0.3,1,2)</f>
        <v>5134.8</v>
      </c>
      <c r="O143" s="12">
        <f>INDEX(关卡奖励!$AI$9:$AI$11,MATCH($D$14,关卡奖励!$W$9:$W$11,0))*((1/G143)-1)*H143</f>
        <v>433.95000000000005</v>
      </c>
      <c r="P143" s="12">
        <f>I143-N143-O143</f>
        <v>-1168.7500000000002</v>
      </c>
      <c r="Q143" s="12">
        <f>1/G143</f>
        <v>2</v>
      </c>
      <c r="R143" s="12">
        <f>IFERROR(INDEX(base_v,MATCH($F143,base_k,1)),0)*离线奖励!$C$12</f>
        <v>7050</v>
      </c>
      <c r="S143" s="12">
        <f>IFERROR(INDEX(关卡进度奖励!$I$7:$I$15,MATCH(F143,关卡进度奖励!$D$7:$D$15,0)),0)</f>
        <v>0</v>
      </c>
      <c r="T143" s="12">
        <f>AVERAGE(签到!$E$7:$E$13)*$H143</f>
        <v>9088.3047619047611</v>
      </c>
      <c r="U143" s="12">
        <f>转盘!$C$26*H143*V143/$D$13</f>
        <v>0</v>
      </c>
      <c r="V143" s="12">
        <f t="shared" si="35"/>
        <v>0</v>
      </c>
      <c r="W143" s="12">
        <f>IFERROR(MATCH(INDEX(转盘!$C$17:$F$17,1,MATCH($D$13,转盘!$C$16:$F$16,0))*MAX(F143-转盘!$C$6,0),转盘!$L$9:$L$51,1),0)</f>
        <v>7</v>
      </c>
      <c r="X143" s="12">
        <f>IFERROR(MATCH($F143,gift_k_level,0)^0,0)*进度礼包!$C$17*$H143/$D$13</f>
        <v>0</v>
      </c>
      <c r="Y143" s="12">
        <f>IFERROR(MATCH($F143,turn_k_1,0)^0,0)*转盘!$C$42*$H143/$D$13</f>
        <v>0</v>
      </c>
      <c r="Z143" s="12">
        <f>IFERROR(MATCH($F143,gift_k_level,0)^0,0)*进度礼包!$C$34*$H143/$D$13</f>
        <v>0</v>
      </c>
      <c r="AA143" s="12">
        <f>IFERROR(MATCH($F143,gift_k_time,0)^0,0)*限时礼包!$C$15*$H143/$D$13</f>
        <v>0</v>
      </c>
      <c r="AB143" s="12">
        <f>SUM(H$6:H143)</f>
        <v>252700</v>
      </c>
      <c r="AC143" s="12">
        <f>SUM(N$6:N143)+SUM($M$6:M143)</f>
        <v>468783.89999999979</v>
      </c>
      <c r="AD143" s="12">
        <f>SUM(O$6:O143)</f>
        <v>69767.522249999922</v>
      </c>
      <c r="AE143" s="12">
        <f>SUM($P$6:P143)</f>
        <v>67848.577749999997</v>
      </c>
      <c r="AF143" s="12">
        <f>SUM(U$6:U143)</f>
        <v>50013.207547169804</v>
      </c>
      <c r="AG143" s="12">
        <f>SUM(S$6:S143)</f>
        <v>6500</v>
      </c>
      <c r="AH143" s="12">
        <f>SUM(Y$6:Y143)</f>
        <v>433121</v>
      </c>
      <c r="AI143" s="12">
        <f>SUM(X$6:X143)</f>
        <v>29801.582082819979</v>
      </c>
      <c r="AJ143" s="12">
        <f>SUM(Z$6:Z143)</f>
        <v>96636.077097675297</v>
      </c>
      <c r="AK143" s="12">
        <f>SUM(AA$6:AA143)</f>
        <v>402149.61728160363</v>
      </c>
      <c r="AL143" s="12">
        <f>F143</f>
        <v>138</v>
      </c>
      <c r="AM143" s="12">
        <f t="shared" si="33"/>
        <v>634866.21187998948</v>
      </c>
      <c r="AN143" s="12">
        <f>SUM(I$6:I143)</f>
        <v>606400</v>
      </c>
      <c r="AO143" s="8">
        <f>SUM(Q$6:Q143)</f>
        <v>320</v>
      </c>
      <c r="AP143" s="12">
        <f t="shared" si="34"/>
        <v>28466.211879989482</v>
      </c>
      <c r="AS143" s="12">
        <v>137</v>
      </c>
      <c r="AT143" s="12">
        <v>20</v>
      </c>
      <c r="AU143" s="12">
        <f t="shared" si="39"/>
        <v>2750</v>
      </c>
      <c r="AV143" s="12">
        <f t="shared" si="40"/>
        <v>0</v>
      </c>
      <c r="AW143" s="12">
        <f>INDEX($AO$6:$AO$215,MATCH(BC143,$F$6:$F$215,0))</f>
        <v>467</v>
      </c>
      <c r="AX143" s="12">
        <f t="shared" si="41"/>
        <v>1135512.1739951316</v>
      </c>
      <c r="AY143" s="12">
        <f t="shared" si="36"/>
        <v>7650</v>
      </c>
      <c r="AZ143" s="12">
        <f t="shared" si="37"/>
        <v>10740.72380952381</v>
      </c>
      <c r="BA143" s="12">
        <f>AX143+SUM($AY$6:AY143)+SUM($AZ$6:AZ143)</f>
        <v>3578682.8787570363</v>
      </c>
      <c r="BB143" s="12">
        <f t="shared" si="42"/>
        <v>956200</v>
      </c>
      <c r="BC143" s="12">
        <f t="shared" si="43"/>
        <v>210</v>
      </c>
      <c r="BD143" s="12">
        <f t="shared" si="44"/>
        <v>0</v>
      </c>
      <c r="BE143" s="12">
        <f t="shared" si="45"/>
        <v>211</v>
      </c>
      <c r="BF143" s="12">
        <f t="shared" si="38"/>
        <v>2622482.8787570363</v>
      </c>
    </row>
    <row r="144" spans="6:58" x14ac:dyDescent="0.35">
      <c r="F144" s="12">
        <v>139</v>
      </c>
      <c r="G144" s="8">
        <f>INDEX(验算胜率!$E$6:$I$1005,F144,MATCH($D$16,验算胜率!$E$5:$I$5,0))</f>
        <v>0.2</v>
      </c>
      <c r="H144" s="12">
        <f t="shared" si="31"/>
        <v>2200</v>
      </c>
      <c r="I144" s="12">
        <f t="shared" si="32"/>
        <v>11000</v>
      </c>
      <c r="J144" s="12">
        <v>4</v>
      </c>
      <c r="K144" s="12">
        <v>1</v>
      </c>
      <c r="M144" s="12">
        <f>IF($D$16=验算胜率!$F$5,验算胜率!K144,0)*H144*关卡道具消耗!$D$8/关卡道具消耗!$D$26</f>
        <v>0</v>
      </c>
      <c r="N144" s="12">
        <f>INDEX(关卡奖励!$AH$6:$AH$8,MATCH($D$14,关卡奖励!$W$6:$W$8,0))*H144*IF(G144&lt;0.3,1,2)</f>
        <v>2567.4</v>
      </c>
      <c r="O144" s="12">
        <f>INDEX(关卡奖励!$AI$9:$AI$11,MATCH($D$14,关卡奖励!$W$9:$W$11,0))*((1/G144)-1)*H144</f>
        <v>1735.8000000000002</v>
      </c>
      <c r="P144" s="12">
        <f>I144-N144-O144</f>
        <v>6696.8</v>
      </c>
      <c r="Q144" s="12">
        <f>1/G144</f>
        <v>5</v>
      </c>
      <c r="R144" s="12">
        <f>IFERROR(INDEX(base_v,MATCH($F144,base_k,1)),0)*离线奖励!$C$12</f>
        <v>7050</v>
      </c>
      <c r="S144" s="12">
        <f>IFERROR(INDEX(关卡进度奖励!$I$7:$I$15,MATCH(F144,关卡进度奖励!$D$7:$D$15,0)),0)</f>
        <v>0</v>
      </c>
      <c r="T144" s="12">
        <f>AVERAGE(签到!$E$7:$E$13)*$H144</f>
        <v>9088.3047619047611</v>
      </c>
      <c r="U144" s="12">
        <f>转盘!$C$26*H144*V144/$D$13</f>
        <v>0</v>
      </c>
      <c r="V144" s="12">
        <f t="shared" si="35"/>
        <v>0</v>
      </c>
      <c r="W144" s="12">
        <f>IFERROR(MATCH(INDEX(转盘!$C$17:$F$17,1,MATCH($D$13,转盘!$C$16:$F$16,0))*MAX(F144-转盘!$C$6,0),转盘!$L$9:$L$51,1),0)</f>
        <v>7</v>
      </c>
      <c r="X144" s="12">
        <f>IFERROR(MATCH($F144,gift_k_level,0)^0,0)*进度礼包!$C$17*$H144/$D$13</f>
        <v>0</v>
      </c>
      <c r="Y144" s="12">
        <f>IFERROR(MATCH($F144,turn_k_1,0)^0,0)*转盘!$C$42*$H144/$D$13</f>
        <v>0</v>
      </c>
      <c r="Z144" s="12">
        <f>IFERROR(MATCH($F144,gift_k_level,0)^0,0)*进度礼包!$C$34*$H144/$D$13</f>
        <v>0</v>
      </c>
      <c r="AA144" s="12">
        <f>IFERROR(MATCH($F144,gift_k_time,0)^0,0)*限时礼包!$C$15*$H144/$D$13</f>
        <v>0</v>
      </c>
      <c r="AB144" s="12">
        <f>SUM(H$6:H144)</f>
        <v>254900</v>
      </c>
      <c r="AC144" s="12">
        <f>SUM(N$6:N144)+SUM($M$6:M144)</f>
        <v>471351.29999999981</v>
      </c>
      <c r="AD144" s="12">
        <f>SUM(O$6:O144)</f>
        <v>71503.322249999925</v>
      </c>
      <c r="AE144" s="12">
        <f>SUM($P$6:P144)</f>
        <v>74545.37775</v>
      </c>
      <c r="AF144" s="12">
        <f>SUM(U$6:U144)</f>
        <v>50013.207547169804</v>
      </c>
      <c r="AG144" s="12">
        <f>SUM(S$6:S144)</f>
        <v>6500</v>
      </c>
      <c r="AH144" s="12">
        <f>SUM(Y$6:Y144)</f>
        <v>433121</v>
      </c>
      <c r="AI144" s="12">
        <f>SUM(X$6:X144)</f>
        <v>29801.582082819979</v>
      </c>
      <c r="AJ144" s="12">
        <f>SUM(Z$6:Z144)</f>
        <v>96636.077097675297</v>
      </c>
      <c r="AK144" s="12">
        <f>SUM(AA$6:AA144)</f>
        <v>402149.61728160363</v>
      </c>
      <c r="AL144" s="12">
        <f>F144</f>
        <v>139</v>
      </c>
      <c r="AM144" s="12">
        <f t="shared" si="33"/>
        <v>639169.41187998955</v>
      </c>
      <c r="AN144" s="12">
        <f>SUM(I$6:I144)</f>
        <v>617400</v>
      </c>
      <c r="AO144" s="8">
        <f>SUM(Q$6:Q144)</f>
        <v>325</v>
      </c>
      <c r="AP144" s="12">
        <f t="shared" si="34"/>
        <v>21769.411879989551</v>
      </c>
      <c r="AS144" s="12">
        <v>138</v>
      </c>
      <c r="AT144" s="12">
        <v>20</v>
      </c>
      <c r="AU144" s="12">
        <f t="shared" si="39"/>
        <v>2770</v>
      </c>
      <c r="AV144" s="12">
        <f t="shared" si="40"/>
        <v>0</v>
      </c>
      <c r="AW144" s="12">
        <f>INDEX($AO$6:$AO$215,MATCH(BC144,$F$6:$F$215,0))</f>
        <v>467</v>
      </c>
      <c r="AX144" s="12">
        <f t="shared" si="41"/>
        <v>1135512.1739951316</v>
      </c>
      <c r="AY144" s="12">
        <f t="shared" si="36"/>
        <v>7650</v>
      </c>
      <c r="AZ144" s="12">
        <f t="shared" si="37"/>
        <v>10740.72380952381</v>
      </c>
      <c r="BA144" s="12">
        <f>AX144+SUM($AY$6:AY144)+SUM($AZ$6:AZ144)</f>
        <v>3597073.6025665598</v>
      </c>
      <c r="BB144" s="12">
        <f t="shared" si="42"/>
        <v>956200</v>
      </c>
      <c r="BC144" s="12">
        <f t="shared" si="43"/>
        <v>210</v>
      </c>
      <c r="BD144" s="12">
        <f t="shared" si="44"/>
        <v>0</v>
      </c>
      <c r="BE144" s="12">
        <f t="shared" si="45"/>
        <v>211</v>
      </c>
      <c r="BF144" s="12">
        <f t="shared" si="38"/>
        <v>2640873.6025665598</v>
      </c>
    </row>
    <row r="145" spans="6:58" x14ac:dyDescent="0.35">
      <c r="F145" s="12">
        <v>140</v>
      </c>
      <c r="G145" s="8">
        <f>INDEX(验算胜率!$E$6:$I$1005,F145,MATCH($D$16,验算胜率!$E$5:$I$5,0))</f>
        <v>0.5</v>
      </c>
      <c r="H145" s="12">
        <f t="shared" si="31"/>
        <v>2200</v>
      </c>
      <c r="I145" s="12">
        <f t="shared" si="32"/>
        <v>4400</v>
      </c>
      <c r="J145" s="12">
        <v>4</v>
      </c>
      <c r="K145" s="12">
        <v>0</v>
      </c>
      <c r="M145" s="12">
        <f>IF($D$16=验算胜率!$F$5,验算胜率!K145,0)*H145*关卡道具消耗!$D$8/关卡道具消耗!$D$26</f>
        <v>0</v>
      </c>
      <c r="N145" s="12">
        <f>INDEX(关卡奖励!$AH$6:$AH$8,MATCH($D$14,关卡奖励!$W$6:$W$8,0))*H145*IF(G145&lt;0.3,1,2)</f>
        <v>5134.8</v>
      </c>
      <c r="O145" s="12">
        <f>INDEX(关卡奖励!$AI$9:$AI$11,MATCH($D$14,关卡奖励!$W$9:$W$11,0))*((1/G145)-1)*H145</f>
        <v>433.95000000000005</v>
      </c>
      <c r="P145" s="12">
        <f>I145-N145-O145</f>
        <v>-1168.7500000000002</v>
      </c>
      <c r="Q145" s="12">
        <f>1/G145</f>
        <v>2</v>
      </c>
      <c r="R145" s="12">
        <f>IFERROR(INDEX(base_v,MATCH($F145,base_k,1)),0)*离线奖励!$C$12</f>
        <v>7050</v>
      </c>
      <c r="S145" s="12">
        <f>IFERROR(INDEX(关卡进度奖励!$I$7:$I$15,MATCH(F145,关卡进度奖励!$D$7:$D$15,0)),0)</f>
        <v>0</v>
      </c>
      <c r="T145" s="12">
        <f>AVERAGE(签到!$E$7:$E$13)*$H145</f>
        <v>9088.3047619047611</v>
      </c>
      <c r="U145" s="12">
        <f>转盘!$C$26*H145*V145/$D$13</f>
        <v>0</v>
      </c>
      <c r="V145" s="12">
        <f t="shared" si="35"/>
        <v>0</v>
      </c>
      <c r="W145" s="12">
        <f>IFERROR(MATCH(INDEX(转盘!$C$17:$F$17,1,MATCH($D$13,转盘!$C$16:$F$16,0))*MAX(F145-转盘!$C$6,0),转盘!$L$9:$L$51,1),0)</f>
        <v>7</v>
      </c>
      <c r="X145" s="12">
        <f>IFERROR(MATCH($F145,gift_k_level,0)^0,0)*进度礼包!$C$17*$H145/$D$13</f>
        <v>0</v>
      </c>
      <c r="Y145" s="12">
        <f>IFERROR(MATCH($F145,turn_k_1,0)^0,0)*转盘!$C$42*$H145/$D$13</f>
        <v>0</v>
      </c>
      <c r="Z145" s="12">
        <f>IFERROR(MATCH($F145,gift_k_level,0)^0,0)*进度礼包!$C$34*$H145/$D$13</f>
        <v>0</v>
      </c>
      <c r="AA145" s="12">
        <f>IFERROR(MATCH($F145,gift_k_time,0)^0,0)*限时礼包!$C$15*$H145/$D$13</f>
        <v>0</v>
      </c>
      <c r="AB145" s="12">
        <f>SUM(H$6:H145)</f>
        <v>257100</v>
      </c>
      <c r="AC145" s="12">
        <f>SUM(N$6:N145)+SUM($M$6:M145)</f>
        <v>476486.0999999998</v>
      </c>
      <c r="AD145" s="12">
        <f>SUM(O$6:O145)</f>
        <v>71937.272249999922</v>
      </c>
      <c r="AE145" s="12">
        <f>SUM($P$6:P145)</f>
        <v>73376.62775</v>
      </c>
      <c r="AF145" s="12">
        <f>SUM(U$6:U145)</f>
        <v>50013.207547169804</v>
      </c>
      <c r="AG145" s="12">
        <f>SUM(S$6:S145)</f>
        <v>6500</v>
      </c>
      <c r="AH145" s="12">
        <f>SUM(Y$6:Y145)</f>
        <v>433121</v>
      </c>
      <c r="AI145" s="12">
        <f>SUM(X$6:X145)</f>
        <v>29801.582082819979</v>
      </c>
      <c r="AJ145" s="12">
        <f>SUM(Z$6:Z145)</f>
        <v>96636.077097675297</v>
      </c>
      <c r="AK145" s="12">
        <f>SUM(AA$6:AA145)</f>
        <v>402149.61728160363</v>
      </c>
      <c r="AL145" s="12">
        <f>F145</f>
        <v>140</v>
      </c>
      <c r="AM145" s="12">
        <f t="shared" si="33"/>
        <v>644738.16187998955</v>
      </c>
      <c r="AN145" s="12">
        <f>SUM(I$6:I145)</f>
        <v>621800</v>
      </c>
      <c r="AO145" s="8">
        <f>SUM(Q$6:Q145)</f>
        <v>327</v>
      </c>
      <c r="AP145" s="12">
        <f t="shared" si="34"/>
        <v>22938.161879989551</v>
      </c>
      <c r="AS145" s="12">
        <v>139</v>
      </c>
      <c r="AT145" s="12">
        <v>20</v>
      </c>
      <c r="AU145" s="12">
        <f t="shared" si="39"/>
        <v>2790</v>
      </c>
      <c r="AV145" s="12">
        <f t="shared" si="40"/>
        <v>0</v>
      </c>
      <c r="AW145" s="12">
        <f>INDEX($AO$6:$AO$215,MATCH(BC145,$F$6:$F$215,0))</f>
        <v>467</v>
      </c>
      <c r="AX145" s="12">
        <f t="shared" si="41"/>
        <v>1135512.1739951316</v>
      </c>
      <c r="AY145" s="12">
        <f t="shared" si="36"/>
        <v>7650</v>
      </c>
      <c r="AZ145" s="12">
        <f t="shared" si="37"/>
        <v>10740.72380952381</v>
      </c>
      <c r="BA145" s="12">
        <f>AX145+SUM($AY$6:AY145)+SUM($AZ$6:AZ145)</f>
        <v>3615464.3263760833</v>
      </c>
      <c r="BB145" s="12">
        <f t="shared" si="42"/>
        <v>956200</v>
      </c>
      <c r="BC145" s="12">
        <f t="shared" si="43"/>
        <v>210</v>
      </c>
      <c r="BD145" s="12">
        <f t="shared" si="44"/>
        <v>0</v>
      </c>
      <c r="BE145" s="12">
        <f t="shared" si="45"/>
        <v>211</v>
      </c>
      <c r="BF145" s="12">
        <f t="shared" si="38"/>
        <v>2659264.3263760833</v>
      </c>
    </row>
    <row r="146" spans="6:58" x14ac:dyDescent="0.35">
      <c r="F146" s="12">
        <v>141</v>
      </c>
      <c r="G146" s="8">
        <f>INDEX(验算胜率!$E$6:$I$1005,F146,MATCH($D$16,验算胜率!$E$5:$I$5,0))</f>
        <v>0.5</v>
      </c>
      <c r="H146" s="12">
        <f t="shared" si="31"/>
        <v>2200</v>
      </c>
      <c r="I146" s="12">
        <f t="shared" si="32"/>
        <v>4400</v>
      </c>
      <c r="J146" s="12">
        <v>4</v>
      </c>
      <c r="K146" s="12">
        <v>0</v>
      </c>
      <c r="M146" s="12">
        <f>IF($D$16=验算胜率!$F$5,验算胜率!K146,0)*H146*关卡道具消耗!$D$8/关卡道具消耗!$D$26</f>
        <v>0</v>
      </c>
      <c r="N146" s="12">
        <f>INDEX(关卡奖励!$AH$6:$AH$8,MATCH($D$14,关卡奖励!$W$6:$W$8,0))*H146*IF(G146&lt;0.3,1,2)</f>
        <v>5134.8</v>
      </c>
      <c r="O146" s="12">
        <f>INDEX(关卡奖励!$AI$9:$AI$11,MATCH($D$14,关卡奖励!$W$9:$W$11,0))*((1/G146)-1)*H146</f>
        <v>433.95000000000005</v>
      </c>
      <c r="P146" s="12">
        <f>I146-N146-O146</f>
        <v>-1168.7500000000002</v>
      </c>
      <c r="Q146" s="12">
        <f>1/G146</f>
        <v>2</v>
      </c>
      <c r="R146" s="12">
        <f>IFERROR(INDEX(base_v,MATCH($F146,base_k,1)),0)*离线奖励!$C$12</f>
        <v>7050</v>
      </c>
      <c r="S146" s="12">
        <f>IFERROR(INDEX(关卡进度奖励!$I$7:$I$15,MATCH(F146,关卡进度奖励!$D$7:$D$15,0)),0)</f>
        <v>0</v>
      </c>
      <c r="T146" s="12">
        <f>AVERAGE(签到!$E$7:$E$13)*$H146</f>
        <v>9088.3047619047611</v>
      </c>
      <c r="U146" s="12">
        <f>转盘!$C$26*H146*V146/$D$13</f>
        <v>0</v>
      </c>
      <c r="V146" s="12">
        <f t="shared" si="35"/>
        <v>0</v>
      </c>
      <c r="W146" s="12">
        <f>IFERROR(MATCH(INDEX(转盘!$C$17:$F$17,1,MATCH($D$13,转盘!$C$16:$F$16,0))*MAX(F146-转盘!$C$6,0),转盘!$L$9:$L$51,1),0)</f>
        <v>7</v>
      </c>
      <c r="X146" s="12">
        <f>IFERROR(MATCH($F146,gift_k_level,0)^0,0)*进度礼包!$C$17*$H146/$D$13</f>
        <v>0</v>
      </c>
      <c r="Y146" s="12">
        <f>IFERROR(MATCH($F146,turn_k_1,0)^0,0)*转盘!$C$42*$H146/$D$13</f>
        <v>0</v>
      </c>
      <c r="Z146" s="12">
        <f>IFERROR(MATCH($F146,gift_k_level,0)^0,0)*进度礼包!$C$34*$H146/$D$13</f>
        <v>0</v>
      </c>
      <c r="AA146" s="12">
        <f>IFERROR(MATCH($F146,gift_k_time,0)^0,0)*限时礼包!$C$15*$H146/$D$13</f>
        <v>0</v>
      </c>
      <c r="AB146" s="12">
        <f>SUM(H$6:H146)</f>
        <v>259300</v>
      </c>
      <c r="AC146" s="12">
        <f>SUM(N$6:N146)+SUM($M$6:M146)</f>
        <v>481620.89999999979</v>
      </c>
      <c r="AD146" s="12">
        <f>SUM(O$6:O146)</f>
        <v>72371.222249999919</v>
      </c>
      <c r="AE146" s="12">
        <f>SUM($P$6:P146)</f>
        <v>72207.87775</v>
      </c>
      <c r="AF146" s="12">
        <f>SUM(U$6:U146)</f>
        <v>50013.207547169804</v>
      </c>
      <c r="AG146" s="12">
        <f>SUM(S$6:S146)</f>
        <v>6500</v>
      </c>
      <c r="AH146" s="12">
        <f>SUM(Y$6:Y146)</f>
        <v>433121</v>
      </c>
      <c r="AI146" s="12">
        <f>SUM(X$6:X146)</f>
        <v>29801.582082819979</v>
      </c>
      <c r="AJ146" s="12">
        <f>SUM(Z$6:Z146)</f>
        <v>96636.077097675297</v>
      </c>
      <c r="AK146" s="12">
        <f>SUM(AA$6:AA146)</f>
        <v>402149.61728160363</v>
      </c>
      <c r="AL146" s="12">
        <f>F146</f>
        <v>141</v>
      </c>
      <c r="AM146" s="12">
        <f t="shared" si="33"/>
        <v>650306.91187998943</v>
      </c>
      <c r="AN146" s="12">
        <f>SUM(I$6:I146)</f>
        <v>626200</v>
      </c>
      <c r="AO146" s="8">
        <f>SUM(Q$6:Q146)</f>
        <v>329</v>
      </c>
      <c r="AP146" s="12">
        <f t="shared" si="34"/>
        <v>24106.911879989435</v>
      </c>
      <c r="AS146" s="12">
        <v>140</v>
      </c>
      <c r="AT146" s="12">
        <v>20</v>
      </c>
      <c r="AU146" s="12">
        <f t="shared" si="39"/>
        <v>2810</v>
      </c>
      <c r="AV146" s="12">
        <f t="shared" si="40"/>
        <v>0</v>
      </c>
      <c r="AW146" s="12">
        <f>INDEX($AO$6:$AO$215,MATCH(BC146,$F$6:$F$215,0))</f>
        <v>467</v>
      </c>
      <c r="AX146" s="12">
        <f t="shared" si="41"/>
        <v>1135512.1739951316</v>
      </c>
      <c r="AY146" s="12">
        <f t="shared" si="36"/>
        <v>7650</v>
      </c>
      <c r="AZ146" s="12">
        <f t="shared" si="37"/>
        <v>10740.72380952381</v>
      </c>
      <c r="BA146" s="12">
        <f>AX146+SUM($AY$6:AY146)+SUM($AZ$6:AZ146)</f>
        <v>3633855.0501856073</v>
      </c>
      <c r="BB146" s="12">
        <f t="shared" si="42"/>
        <v>956200</v>
      </c>
      <c r="BC146" s="12">
        <f t="shared" si="43"/>
        <v>210</v>
      </c>
      <c r="BD146" s="12">
        <f t="shared" si="44"/>
        <v>0</v>
      </c>
      <c r="BE146" s="12">
        <f t="shared" si="45"/>
        <v>211</v>
      </c>
      <c r="BF146" s="12">
        <f t="shared" si="38"/>
        <v>2677655.0501856073</v>
      </c>
    </row>
    <row r="147" spans="6:58" x14ac:dyDescent="0.35">
      <c r="F147" s="12">
        <v>142</v>
      </c>
      <c r="G147" s="8">
        <f>INDEX(验算胜率!$E$6:$I$1005,F147,MATCH($D$16,验算胜率!$E$5:$I$5,0))</f>
        <v>0.5</v>
      </c>
      <c r="H147" s="12">
        <f t="shared" si="31"/>
        <v>2200</v>
      </c>
      <c r="I147" s="12">
        <f t="shared" si="32"/>
        <v>4400</v>
      </c>
      <c r="J147" s="12">
        <v>4</v>
      </c>
      <c r="K147" s="12">
        <v>0</v>
      </c>
      <c r="M147" s="12">
        <f>IF($D$16=验算胜率!$F$5,验算胜率!K147,0)*H147*关卡道具消耗!$D$8/关卡道具消耗!$D$26</f>
        <v>0</v>
      </c>
      <c r="N147" s="12">
        <f>INDEX(关卡奖励!$AH$6:$AH$8,MATCH($D$14,关卡奖励!$W$6:$W$8,0))*H147*IF(G147&lt;0.3,1,2)</f>
        <v>5134.8</v>
      </c>
      <c r="O147" s="12">
        <f>INDEX(关卡奖励!$AI$9:$AI$11,MATCH($D$14,关卡奖励!$W$9:$W$11,0))*((1/G147)-1)*H147</f>
        <v>433.95000000000005</v>
      </c>
      <c r="P147" s="12">
        <f>I147-N147-O147</f>
        <v>-1168.7500000000002</v>
      </c>
      <c r="Q147" s="12">
        <f>1/G147</f>
        <v>2</v>
      </c>
      <c r="R147" s="12">
        <f>IFERROR(INDEX(base_v,MATCH($F147,base_k,1)),0)*离线奖励!$C$12</f>
        <v>7050</v>
      </c>
      <c r="S147" s="12">
        <f>IFERROR(INDEX(关卡进度奖励!$I$7:$I$15,MATCH(F147,关卡进度奖励!$D$7:$D$15,0)),0)</f>
        <v>0</v>
      </c>
      <c r="T147" s="12">
        <f>AVERAGE(签到!$E$7:$E$13)*$H147</f>
        <v>9088.3047619047611</v>
      </c>
      <c r="U147" s="12">
        <f>转盘!$C$26*H147*V147/$D$13</f>
        <v>0</v>
      </c>
      <c r="V147" s="12">
        <f t="shared" si="35"/>
        <v>0</v>
      </c>
      <c r="W147" s="12">
        <f>IFERROR(MATCH(INDEX(转盘!$C$17:$F$17,1,MATCH($D$13,转盘!$C$16:$F$16,0))*MAX(F147-转盘!$C$6,0),转盘!$L$9:$L$51,1),0)</f>
        <v>7</v>
      </c>
      <c r="X147" s="12">
        <f>IFERROR(MATCH($F147,gift_k_level,0)^0,0)*进度礼包!$C$17*$H147/$D$13</f>
        <v>0</v>
      </c>
      <c r="Y147" s="12">
        <f>IFERROR(MATCH($F147,turn_k_1,0)^0,0)*转盘!$C$42*$H147/$D$13</f>
        <v>0</v>
      </c>
      <c r="Z147" s="12">
        <f>IFERROR(MATCH($F147,gift_k_level,0)^0,0)*进度礼包!$C$34*$H147/$D$13</f>
        <v>0</v>
      </c>
      <c r="AA147" s="12">
        <f>IFERROR(MATCH($F147,gift_k_time,0)^0,0)*限时礼包!$C$15*$H147/$D$13</f>
        <v>0</v>
      </c>
      <c r="AB147" s="12">
        <f>SUM(H$6:H147)</f>
        <v>261500</v>
      </c>
      <c r="AC147" s="12">
        <f>SUM(N$6:N147)+SUM($M$6:M147)</f>
        <v>486755.69999999978</v>
      </c>
      <c r="AD147" s="12">
        <f>SUM(O$6:O147)</f>
        <v>72805.172249999916</v>
      </c>
      <c r="AE147" s="12">
        <f>SUM($P$6:P147)</f>
        <v>71039.12775</v>
      </c>
      <c r="AF147" s="12">
        <f>SUM(U$6:U147)</f>
        <v>50013.207547169804</v>
      </c>
      <c r="AG147" s="12">
        <f>SUM(S$6:S147)</f>
        <v>6500</v>
      </c>
      <c r="AH147" s="12">
        <f>SUM(Y$6:Y147)</f>
        <v>433121</v>
      </c>
      <c r="AI147" s="12">
        <f>SUM(X$6:X147)</f>
        <v>29801.582082819979</v>
      </c>
      <c r="AJ147" s="12">
        <f>SUM(Z$6:Z147)</f>
        <v>96636.077097675297</v>
      </c>
      <c r="AK147" s="12">
        <f>SUM(AA$6:AA147)</f>
        <v>402149.61728160363</v>
      </c>
      <c r="AL147" s="12">
        <f>F147</f>
        <v>142</v>
      </c>
      <c r="AM147" s="12">
        <f t="shared" si="33"/>
        <v>655875.66187998943</v>
      </c>
      <c r="AN147" s="12">
        <f>SUM(I$6:I147)</f>
        <v>630600</v>
      </c>
      <c r="AO147" s="8">
        <f>SUM(Q$6:Q147)</f>
        <v>331</v>
      </c>
      <c r="AP147" s="12">
        <f t="shared" si="34"/>
        <v>25275.661879989435</v>
      </c>
      <c r="AS147" s="12">
        <v>141</v>
      </c>
      <c r="AT147" s="12">
        <v>20</v>
      </c>
      <c r="AU147" s="12">
        <f t="shared" si="39"/>
        <v>2830</v>
      </c>
      <c r="AV147" s="12">
        <f t="shared" si="40"/>
        <v>0</v>
      </c>
      <c r="AW147" s="12">
        <f>INDEX($AO$6:$AO$215,MATCH(BC147,$F$6:$F$215,0))</f>
        <v>467</v>
      </c>
      <c r="AX147" s="12">
        <f t="shared" si="41"/>
        <v>1135512.1739951316</v>
      </c>
      <c r="AY147" s="12">
        <f t="shared" si="36"/>
        <v>7650</v>
      </c>
      <c r="AZ147" s="12">
        <f t="shared" si="37"/>
        <v>10740.72380952381</v>
      </c>
      <c r="BA147" s="12">
        <f>AX147+SUM($AY$6:AY147)+SUM($AZ$6:AZ147)</f>
        <v>3652245.7739951313</v>
      </c>
      <c r="BB147" s="12">
        <f t="shared" si="42"/>
        <v>956200</v>
      </c>
      <c r="BC147" s="12">
        <f t="shared" si="43"/>
        <v>210</v>
      </c>
      <c r="BD147" s="12">
        <f t="shared" si="44"/>
        <v>0</v>
      </c>
      <c r="BE147" s="12">
        <f t="shared" si="45"/>
        <v>211</v>
      </c>
      <c r="BF147" s="12">
        <f t="shared" si="38"/>
        <v>2696045.7739951313</v>
      </c>
    </row>
    <row r="148" spans="6:58" x14ac:dyDescent="0.35">
      <c r="F148" s="12">
        <v>143</v>
      </c>
      <c r="G148" s="8">
        <f>INDEX(验算胜率!$E$6:$I$1005,F148,MATCH($D$16,验算胜率!$E$5:$I$5,0))</f>
        <v>0.5</v>
      </c>
      <c r="H148" s="12">
        <f t="shared" si="31"/>
        <v>2200</v>
      </c>
      <c r="I148" s="12">
        <f t="shared" si="32"/>
        <v>4400</v>
      </c>
      <c r="J148" s="12">
        <v>4</v>
      </c>
      <c r="K148" s="12">
        <v>0</v>
      </c>
      <c r="M148" s="12">
        <f>IF($D$16=验算胜率!$F$5,验算胜率!K148,0)*H148*关卡道具消耗!$D$8/关卡道具消耗!$D$26</f>
        <v>0</v>
      </c>
      <c r="N148" s="12">
        <f>INDEX(关卡奖励!$AH$6:$AH$8,MATCH($D$14,关卡奖励!$W$6:$W$8,0))*H148*IF(G148&lt;0.3,1,2)</f>
        <v>5134.8</v>
      </c>
      <c r="O148" s="12">
        <f>INDEX(关卡奖励!$AI$9:$AI$11,MATCH($D$14,关卡奖励!$W$9:$W$11,0))*((1/G148)-1)*H148</f>
        <v>433.95000000000005</v>
      </c>
      <c r="P148" s="12">
        <f>I148-N148-O148</f>
        <v>-1168.7500000000002</v>
      </c>
      <c r="Q148" s="12">
        <f>1/G148</f>
        <v>2</v>
      </c>
      <c r="R148" s="12">
        <f>IFERROR(INDEX(base_v,MATCH($F148,base_k,1)),0)*离线奖励!$C$12</f>
        <v>7050</v>
      </c>
      <c r="S148" s="12">
        <f>IFERROR(INDEX(关卡进度奖励!$I$7:$I$15,MATCH(F148,关卡进度奖励!$D$7:$D$15,0)),0)</f>
        <v>0</v>
      </c>
      <c r="T148" s="12">
        <f>AVERAGE(签到!$E$7:$E$13)*$H148</f>
        <v>9088.3047619047611</v>
      </c>
      <c r="U148" s="12">
        <f>转盘!$C$26*H148*V148/$D$13</f>
        <v>0</v>
      </c>
      <c r="V148" s="12">
        <f t="shared" si="35"/>
        <v>0</v>
      </c>
      <c r="W148" s="12">
        <f>IFERROR(MATCH(INDEX(转盘!$C$17:$F$17,1,MATCH($D$13,转盘!$C$16:$F$16,0))*MAX(F148-转盘!$C$6,0),转盘!$L$9:$L$51,1),0)</f>
        <v>7</v>
      </c>
      <c r="X148" s="12">
        <f>IFERROR(MATCH($F148,gift_k_level,0)^0,0)*进度礼包!$C$17*$H148/$D$13</f>
        <v>0</v>
      </c>
      <c r="Y148" s="12">
        <f>IFERROR(MATCH($F148,turn_k_1,0)^0,0)*转盘!$C$42*$H148/$D$13</f>
        <v>0</v>
      </c>
      <c r="Z148" s="12">
        <f>IFERROR(MATCH($F148,gift_k_level,0)^0,0)*进度礼包!$C$34*$H148/$D$13</f>
        <v>0</v>
      </c>
      <c r="AA148" s="12">
        <f>IFERROR(MATCH($F148,gift_k_time,0)^0,0)*限时礼包!$C$15*$H148/$D$13</f>
        <v>0</v>
      </c>
      <c r="AB148" s="12">
        <f>SUM(H$6:H148)</f>
        <v>263700</v>
      </c>
      <c r="AC148" s="12">
        <f>SUM(N$6:N148)+SUM($M$6:M148)</f>
        <v>491890.49999999977</v>
      </c>
      <c r="AD148" s="12">
        <f>SUM(O$6:O148)</f>
        <v>73239.122249999913</v>
      </c>
      <c r="AE148" s="12">
        <f>SUM($P$6:P148)</f>
        <v>69870.37775</v>
      </c>
      <c r="AF148" s="12">
        <f>SUM(U$6:U148)</f>
        <v>50013.207547169804</v>
      </c>
      <c r="AG148" s="12">
        <f>SUM(S$6:S148)</f>
        <v>6500</v>
      </c>
      <c r="AH148" s="12">
        <f>SUM(Y$6:Y148)</f>
        <v>433121</v>
      </c>
      <c r="AI148" s="12">
        <f>SUM(X$6:X148)</f>
        <v>29801.582082819979</v>
      </c>
      <c r="AJ148" s="12">
        <f>SUM(Z$6:Z148)</f>
        <v>96636.077097675297</v>
      </c>
      <c r="AK148" s="12">
        <f>SUM(AA$6:AA148)</f>
        <v>402149.61728160363</v>
      </c>
      <c r="AL148" s="12">
        <f>F148</f>
        <v>143</v>
      </c>
      <c r="AM148" s="12">
        <f t="shared" si="33"/>
        <v>661444.41187998943</v>
      </c>
      <c r="AN148" s="12">
        <f>SUM(I$6:I148)</f>
        <v>635000</v>
      </c>
      <c r="AO148" s="8">
        <f>SUM(Q$6:Q148)</f>
        <v>333</v>
      </c>
      <c r="AP148" s="12">
        <f t="shared" si="34"/>
        <v>26444.411879989435</v>
      </c>
      <c r="AS148" s="12">
        <v>142</v>
      </c>
      <c r="AT148" s="12">
        <v>20</v>
      </c>
      <c r="AU148" s="12">
        <f t="shared" si="39"/>
        <v>2850</v>
      </c>
      <c r="AV148" s="12">
        <f t="shared" si="40"/>
        <v>0</v>
      </c>
      <c r="AW148" s="12">
        <f>INDEX($AO$6:$AO$215,MATCH(BC148,$F$6:$F$215,0))</f>
        <v>467</v>
      </c>
      <c r="AX148" s="12">
        <f t="shared" si="41"/>
        <v>1135512.1739951316</v>
      </c>
      <c r="AY148" s="12">
        <f t="shared" si="36"/>
        <v>7650</v>
      </c>
      <c r="AZ148" s="12">
        <f t="shared" si="37"/>
        <v>10740.72380952381</v>
      </c>
      <c r="BA148" s="12">
        <f>AX148+SUM($AY$6:AY148)+SUM($AZ$6:AZ148)</f>
        <v>3670636.4978046548</v>
      </c>
      <c r="BB148" s="12">
        <f t="shared" si="42"/>
        <v>956200</v>
      </c>
      <c r="BC148" s="12">
        <f t="shared" si="43"/>
        <v>210</v>
      </c>
      <c r="BD148" s="12">
        <f t="shared" si="44"/>
        <v>0</v>
      </c>
      <c r="BE148" s="12">
        <f t="shared" si="45"/>
        <v>211</v>
      </c>
      <c r="BF148" s="12">
        <f t="shared" si="38"/>
        <v>2714436.4978046548</v>
      </c>
    </row>
    <row r="149" spans="6:58" x14ac:dyDescent="0.35">
      <c r="F149" s="12">
        <v>144</v>
      </c>
      <c r="G149" s="8">
        <f>INDEX(验算胜率!$E$6:$I$1005,F149,MATCH($D$16,验算胜率!$E$5:$I$5,0))</f>
        <v>0.5</v>
      </c>
      <c r="H149" s="12">
        <f t="shared" si="31"/>
        <v>2200</v>
      </c>
      <c r="I149" s="12">
        <f t="shared" si="32"/>
        <v>4400</v>
      </c>
      <c r="J149" s="12">
        <v>4</v>
      </c>
      <c r="K149" s="12">
        <v>0</v>
      </c>
      <c r="M149" s="12">
        <f>IF($D$16=验算胜率!$F$5,验算胜率!K149,0)*H149*关卡道具消耗!$D$8/关卡道具消耗!$D$26</f>
        <v>0</v>
      </c>
      <c r="N149" s="12">
        <f>INDEX(关卡奖励!$AH$6:$AH$8,MATCH($D$14,关卡奖励!$W$6:$W$8,0))*H149*IF(G149&lt;0.3,1,2)</f>
        <v>5134.8</v>
      </c>
      <c r="O149" s="12">
        <f>INDEX(关卡奖励!$AI$9:$AI$11,MATCH($D$14,关卡奖励!$W$9:$W$11,0))*((1/G149)-1)*H149</f>
        <v>433.95000000000005</v>
      </c>
      <c r="P149" s="12">
        <f>I149-N149-O149</f>
        <v>-1168.7500000000002</v>
      </c>
      <c r="Q149" s="12">
        <f>1/G149</f>
        <v>2</v>
      </c>
      <c r="R149" s="12">
        <f>IFERROR(INDEX(base_v,MATCH($F149,base_k,1)),0)*离线奖励!$C$12</f>
        <v>7050</v>
      </c>
      <c r="S149" s="12">
        <f>IFERROR(INDEX(关卡进度奖励!$I$7:$I$15,MATCH(F149,关卡进度奖励!$D$7:$D$15,0)),0)</f>
        <v>0</v>
      </c>
      <c r="T149" s="12">
        <f>AVERAGE(签到!$E$7:$E$13)*$H149</f>
        <v>9088.3047619047611</v>
      </c>
      <c r="U149" s="12">
        <f>转盘!$C$26*H149*V149/$D$13</f>
        <v>0</v>
      </c>
      <c r="V149" s="12">
        <f t="shared" si="35"/>
        <v>0</v>
      </c>
      <c r="W149" s="12">
        <f>IFERROR(MATCH(INDEX(转盘!$C$17:$F$17,1,MATCH($D$13,转盘!$C$16:$F$16,0))*MAX(F149-转盘!$C$6,0),转盘!$L$9:$L$51,1),0)</f>
        <v>7</v>
      </c>
      <c r="X149" s="12">
        <f>IFERROR(MATCH($F149,gift_k_level,0)^0,0)*进度礼包!$C$17*$H149/$D$13</f>
        <v>0</v>
      </c>
      <c r="Y149" s="12">
        <f>IFERROR(MATCH($F149,turn_k_1,0)^0,0)*转盘!$C$42*$H149/$D$13</f>
        <v>0</v>
      </c>
      <c r="Z149" s="12">
        <f>IFERROR(MATCH($F149,gift_k_level,0)^0,0)*进度礼包!$C$34*$H149/$D$13</f>
        <v>0</v>
      </c>
      <c r="AA149" s="12">
        <f>IFERROR(MATCH($F149,gift_k_time,0)^0,0)*限时礼包!$C$15*$H149/$D$13</f>
        <v>0</v>
      </c>
      <c r="AB149" s="12">
        <f>SUM(H$6:H149)</f>
        <v>265900</v>
      </c>
      <c r="AC149" s="12">
        <f>SUM(N$6:N149)+SUM($M$6:M149)</f>
        <v>497025.29999999976</v>
      </c>
      <c r="AD149" s="12">
        <f>SUM(O$6:O149)</f>
        <v>73673.07224999991</v>
      </c>
      <c r="AE149" s="12">
        <f>SUM($P$6:P149)</f>
        <v>68701.62775</v>
      </c>
      <c r="AF149" s="12">
        <f>SUM(U$6:U149)</f>
        <v>50013.207547169804</v>
      </c>
      <c r="AG149" s="12">
        <f>SUM(S$6:S149)</f>
        <v>6500</v>
      </c>
      <c r="AH149" s="12">
        <f>SUM(Y$6:Y149)</f>
        <v>433121</v>
      </c>
      <c r="AI149" s="12">
        <f>SUM(X$6:X149)</f>
        <v>29801.582082819979</v>
      </c>
      <c r="AJ149" s="12">
        <f>SUM(Z$6:Z149)</f>
        <v>96636.077097675297</v>
      </c>
      <c r="AK149" s="12">
        <f>SUM(AA$6:AA149)</f>
        <v>402149.61728160363</v>
      </c>
      <c r="AL149" s="12">
        <f>F149</f>
        <v>144</v>
      </c>
      <c r="AM149" s="12">
        <f t="shared" si="33"/>
        <v>667013.16187998943</v>
      </c>
      <c r="AN149" s="12">
        <f>SUM(I$6:I149)</f>
        <v>639400</v>
      </c>
      <c r="AO149" s="8">
        <f>SUM(Q$6:Q149)</f>
        <v>335</v>
      </c>
      <c r="AP149" s="12">
        <f t="shared" si="34"/>
        <v>27613.161879989435</v>
      </c>
      <c r="AS149" s="12">
        <v>143</v>
      </c>
      <c r="AT149" s="12">
        <v>20</v>
      </c>
      <c r="AU149" s="12">
        <f t="shared" si="39"/>
        <v>2870</v>
      </c>
      <c r="AV149" s="12">
        <f t="shared" si="40"/>
        <v>0</v>
      </c>
      <c r="AW149" s="12">
        <f>INDEX($AO$6:$AO$215,MATCH(BC149,$F$6:$F$215,0))</f>
        <v>467</v>
      </c>
      <c r="AX149" s="12">
        <f t="shared" si="41"/>
        <v>1135512.1739951316</v>
      </c>
      <c r="AY149" s="12">
        <f t="shared" si="36"/>
        <v>7650</v>
      </c>
      <c r="AZ149" s="12">
        <f t="shared" si="37"/>
        <v>10740.72380952381</v>
      </c>
      <c r="BA149" s="12">
        <f>AX149+SUM($AY$6:AY149)+SUM($AZ$6:AZ149)</f>
        <v>3689027.2216141783</v>
      </c>
      <c r="BB149" s="12">
        <f t="shared" si="42"/>
        <v>956200</v>
      </c>
      <c r="BC149" s="12">
        <f t="shared" si="43"/>
        <v>210</v>
      </c>
      <c r="BD149" s="12">
        <f t="shared" si="44"/>
        <v>0</v>
      </c>
      <c r="BE149" s="12">
        <f t="shared" si="45"/>
        <v>211</v>
      </c>
      <c r="BF149" s="12">
        <f t="shared" si="38"/>
        <v>2732827.2216141783</v>
      </c>
    </row>
    <row r="150" spans="6:58" x14ac:dyDescent="0.35">
      <c r="F150" s="12">
        <v>145</v>
      </c>
      <c r="G150" s="8">
        <f>INDEX(验算胜率!$E$6:$I$1005,F150,MATCH($D$16,验算胜率!$E$5:$I$5,0))</f>
        <v>0.5</v>
      </c>
      <c r="H150" s="12">
        <f t="shared" si="31"/>
        <v>2200</v>
      </c>
      <c r="I150" s="12">
        <f t="shared" si="32"/>
        <v>4400</v>
      </c>
      <c r="J150" s="12">
        <v>4</v>
      </c>
      <c r="K150" s="12">
        <v>0</v>
      </c>
      <c r="M150" s="12">
        <f>IF($D$16=验算胜率!$F$5,验算胜率!K150,0)*H150*关卡道具消耗!$D$8/关卡道具消耗!$D$26</f>
        <v>0</v>
      </c>
      <c r="N150" s="12">
        <f>INDEX(关卡奖励!$AH$6:$AH$8,MATCH($D$14,关卡奖励!$W$6:$W$8,0))*H150*IF(G150&lt;0.3,1,2)</f>
        <v>5134.8</v>
      </c>
      <c r="O150" s="12">
        <f>INDEX(关卡奖励!$AI$9:$AI$11,MATCH($D$14,关卡奖励!$W$9:$W$11,0))*((1/G150)-1)*H150</f>
        <v>433.95000000000005</v>
      </c>
      <c r="P150" s="12">
        <f>I150-N150-O150</f>
        <v>-1168.7500000000002</v>
      </c>
      <c r="Q150" s="12">
        <f>1/G150</f>
        <v>2</v>
      </c>
      <c r="R150" s="12">
        <f>IFERROR(INDEX(base_v,MATCH($F150,base_k,1)),0)*离线奖励!$C$12</f>
        <v>7050</v>
      </c>
      <c r="S150" s="12">
        <f>IFERROR(INDEX(关卡进度奖励!$I$7:$I$15,MATCH(F150,关卡进度奖励!$D$7:$D$15,0)),0)</f>
        <v>0</v>
      </c>
      <c r="T150" s="12">
        <f>AVERAGE(签到!$E$7:$E$13)*$H150</f>
        <v>9088.3047619047611</v>
      </c>
      <c r="U150" s="12">
        <f>转盘!$C$26*H150*V150/$D$13</f>
        <v>0</v>
      </c>
      <c r="V150" s="12">
        <f t="shared" si="35"/>
        <v>0</v>
      </c>
      <c r="W150" s="12">
        <f>IFERROR(MATCH(INDEX(转盘!$C$17:$F$17,1,MATCH($D$13,转盘!$C$16:$F$16,0))*MAX(F150-转盘!$C$6,0),转盘!$L$9:$L$51,1),0)</f>
        <v>7</v>
      </c>
      <c r="X150" s="12">
        <f>IFERROR(MATCH($F150,gift_k_level,0)^0,0)*进度礼包!$C$17*$H150/$D$13</f>
        <v>0</v>
      </c>
      <c r="Y150" s="12">
        <f>IFERROR(MATCH($F150,turn_k_1,0)^0,0)*转盘!$C$42*$H150/$D$13</f>
        <v>0</v>
      </c>
      <c r="Z150" s="12">
        <f>IFERROR(MATCH($F150,gift_k_level,0)^0,0)*进度礼包!$C$34*$H150/$D$13</f>
        <v>0</v>
      </c>
      <c r="AA150" s="12">
        <f>IFERROR(MATCH($F150,gift_k_time,0)^0,0)*限时礼包!$C$15*$H150/$D$13</f>
        <v>0</v>
      </c>
      <c r="AB150" s="12">
        <f>SUM(H$6:H150)</f>
        <v>268100</v>
      </c>
      <c r="AC150" s="12">
        <f>SUM(N$6:N150)+SUM($M$6:M150)</f>
        <v>502160.09999999974</v>
      </c>
      <c r="AD150" s="12">
        <f>SUM(O$6:O150)</f>
        <v>74107.022249999907</v>
      </c>
      <c r="AE150" s="12">
        <f>SUM($P$6:P150)</f>
        <v>67532.87775</v>
      </c>
      <c r="AF150" s="12">
        <f>SUM(U$6:U150)</f>
        <v>50013.207547169804</v>
      </c>
      <c r="AG150" s="12">
        <f>SUM(S$6:S150)</f>
        <v>6500</v>
      </c>
      <c r="AH150" s="12">
        <f>SUM(Y$6:Y150)</f>
        <v>433121</v>
      </c>
      <c r="AI150" s="12">
        <f>SUM(X$6:X150)</f>
        <v>29801.582082819979</v>
      </c>
      <c r="AJ150" s="12">
        <f>SUM(Z$6:Z150)</f>
        <v>96636.077097675297</v>
      </c>
      <c r="AK150" s="12">
        <f>SUM(AA$6:AA150)</f>
        <v>402149.61728160363</v>
      </c>
      <c r="AL150" s="12">
        <f>F150</f>
        <v>145</v>
      </c>
      <c r="AM150" s="12">
        <f t="shared" si="33"/>
        <v>672581.91187998943</v>
      </c>
      <c r="AN150" s="12">
        <f>SUM(I$6:I150)</f>
        <v>643800</v>
      </c>
      <c r="AO150" s="8">
        <f>SUM(Q$6:Q150)</f>
        <v>337</v>
      </c>
      <c r="AP150" s="12">
        <f t="shared" si="34"/>
        <v>28781.911879989435</v>
      </c>
      <c r="AS150" s="12">
        <v>144</v>
      </c>
      <c r="AT150" s="12">
        <v>20</v>
      </c>
      <c r="AU150" s="12">
        <f t="shared" si="39"/>
        <v>2890</v>
      </c>
      <c r="AV150" s="12">
        <f t="shared" si="40"/>
        <v>0</v>
      </c>
      <c r="AW150" s="12">
        <f>INDEX($AO$6:$AO$215,MATCH(BC150,$F$6:$F$215,0))</f>
        <v>467</v>
      </c>
      <c r="AX150" s="12">
        <f t="shared" si="41"/>
        <v>1135512.1739951316</v>
      </c>
      <c r="AY150" s="12">
        <f t="shared" si="36"/>
        <v>7650</v>
      </c>
      <c r="AZ150" s="12">
        <f t="shared" si="37"/>
        <v>10740.72380952381</v>
      </c>
      <c r="BA150" s="12">
        <f>AX150+SUM($AY$6:AY150)+SUM($AZ$6:AZ150)</f>
        <v>3707417.9454237022</v>
      </c>
      <c r="BB150" s="12">
        <f t="shared" si="42"/>
        <v>956200</v>
      </c>
      <c r="BC150" s="12">
        <f t="shared" si="43"/>
        <v>210</v>
      </c>
      <c r="BD150" s="12">
        <f t="shared" si="44"/>
        <v>0</v>
      </c>
      <c r="BE150" s="12">
        <f t="shared" si="45"/>
        <v>211</v>
      </c>
      <c r="BF150" s="12">
        <f t="shared" si="38"/>
        <v>2751217.9454237022</v>
      </c>
    </row>
    <row r="151" spans="6:58" x14ac:dyDescent="0.35">
      <c r="F151" s="12">
        <v>146</v>
      </c>
      <c r="G151" s="8">
        <f>INDEX(验算胜率!$E$6:$I$1005,F151,MATCH($D$16,验算胜率!$E$5:$I$5,0))</f>
        <v>0.5</v>
      </c>
      <c r="H151" s="12">
        <f t="shared" si="31"/>
        <v>2200</v>
      </c>
      <c r="I151" s="12">
        <f t="shared" si="32"/>
        <v>4400</v>
      </c>
      <c r="J151" s="12">
        <v>4</v>
      </c>
      <c r="K151" s="12">
        <v>0</v>
      </c>
      <c r="M151" s="12">
        <f>IF($D$16=验算胜率!$F$5,验算胜率!K151,0)*H151*关卡道具消耗!$D$8/关卡道具消耗!$D$26</f>
        <v>0</v>
      </c>
      <c r="N151" s="12">
        <f>INDEX(关卡奖励!$AH$6:$AH$8,MATCH($D$14,关卡奖励!$W$6:$W$8,0))*H151*IF(G151&lt;0.3,1,2)</f>
        <v>5134.8</v>
      </c>
      <c r="O151" s="12">
        <f>INDEX(关卡奖励!$AI$9:$AI$11,MATCH($D$14,关卡奖励!$W$9:$W$11,0))*((1/G151)-1)*H151</f>
        <v>433.95000000000005</v>
      </c>
      <c r="P151" s="12">
        <f>I151-N151-O151</f>
        <v>-1168.7500000000002</v>
      </c>
      <c r="Q151" s="12">
        <f>1/G151</f>
        <v>2</v>
      </c>
      <c r="R151" s="12">
        <f>IFERROR(INDEX(base_v,MATCH($F151,base_k,1)),0)*离线奖励!$C$12</f>
        <v>7050</v>
      </c>
      <c r="S151" s="12">
        <f>IFERROR(INDEX(关卡进度奖励!$I$7:$I$15,MATCH(F151,关卡进度奖励!$D$7:$D$15,0)),0)</f>
        <v>0</v>
      </c>
      <c r="T151" s="12">
        <f>AVERAGE(签到!$E$7:$E$13)*$H151</f>
        <v>9088.3047619047611</v>
      </c>
      <c r="U151" s="12">
        <f>转盘!$C$26*H151*V151/$D$13</f>
        <v>0</v>
      </c>
      <c r="V151" s="12">
        <f t="shared" si="35"/>
        <v>0</v>
      </c>
      <c r="W151" s="12">
        <f>IFERROR(MATCH(INDEX(转盘!$C$17:$F$17,1,MATCH($D$13,转盘!$C$16:$F$16,0))*MAX(F151-转盘!$C$6,0),转盘!$L$9:$L$51,1),0)</f>
        <v>7</v>
      </c>
      <c r="X151" s="12">
        <f>IFERROR(MATCH($F151,gift_k_level,0)^0,0)*进度礼包!$C$17*$H151/$D$13</f>
        <v>0</v>
      </c>
      <c r="Y151" s="12">
        <f>IFERROR(MATCH($F151,turn_k_1,0)^0,0)*转盘!$C$42*$H151/$D$13</f>
        <v>0</v>
      </c>
      <c r="Z151" s="12">
        <f>IFERROR(MATCH($F151,gift_k_level,0)^0,0)*进度礼包!$C$34*$H151/$D$13</f>
        <v>0</v>
      </c>
      <c r="AA151" s="12">
        <f>IFERROR(MATCH($F151,gift_k_time,0)^0,0)*限时礼包!$C$15*$H151/$D$13</f>
        <v>0</v>
      </c>
      <c r="AB151" s="12">
        <f>SUM(H$6:H151)</f>
        <v>270300</v>
      </c>
      <c r="AC151" s="12">
        <f>SUM(N$6:N151)+SUM($M$6:M151)</f>
        <v>507294.89999999973</v>
      </c>
      <c r="AD151" s="12">
        <f>SUM(O$6:O151)</f>
        <v>74540.972249999904</v>
      </c>
      <c r="AE151" s="12">
        <f>SUM($P$6:P151)</f>
        <v>66364.12775</v>
      </c>
      <c r="AF151" s="12">
        <f>SUM(U$6:U151)</f>
        <v>50013.207547169804</v>
      </c>
      <c r="AG151" s="12">
        <f>SUM(S$6:S151)</f>
        <v>6500</v>
      </c>
      <c r="AH151" s="12">
        <f>SUM(Y$6:Y151)</f>
        <v>433121</v>
      </c>
      <c r="AI151" s="12">
        <f>SUM(X$6:X151)</f>
        <v>29801.582082819979</v>
      </c>
      <c r="AJ151" s="12">
        <f>SUM(Z$6:Z151)</f>
        <v>96636.077097675297</v>
      </c>
      <c r="AK151" s="12">
        <f>SUM(AA$6:AA151)</f>
        <v>402149.61728160363</v>
      </c>
      <c r="AL151" s="12">
        <f>F151</f>
        <v>146</v>
      </c>
      <c r="AM151" s="12">
        <f t="shared" si="33"/>
        <v>678150.66187998943</v>
      </c>
      <c r="AN151" s="12">
        <f>SUM(I$6:I151)</f>
        <v>648200</v>
      </c>
      <c r="AO151" s="8">
        <f>SUM(Q$6:Q151)</f>
        <v>339</v>
      </c>
      <c r="AP151" s="12">
        <f t="shared" si="34"/>
        <v>29950.661879989435</v>
      </c>
      <c r="AS151" s="12">
        <v>145</v>
      </c>
      <c r="AT151" s="12">
        <v>20</v>
      </c>
      <c r="AU151" s="12">
        <f t="shared" si="39"/>
        <v>2910</v>
      </c>
      <c r="AV151" s="12">
        <f t="shared" si="40"/>
        <v>0</v>
      </c>
      <c r="AW151" s="12">
        <f>INDEX($AO$6:$AO$215,MATCH(BC151,$F$6:$F$215,0))</f>
        <v>467</v>
      </c>
      <c r="AX151" s="12">
        <f t="shared" si="41"/>
        <v>1135512.1739951316</v>
      </c>
      <c r="AY151" s="12">
        <f t="shared" si="36"/>
        <v>7650</v>
      </c>
      <c r="AZ151" s="12">
        <f t="shared" si="37"/>
        <v>10740.72380952381</v>
      </c>
      <c r="BA151" s="12">
        <f>AX151+SUM($AY$6:AY151)+SUM($AZ$6:AZ151)</f>
        <v>3725808.6692332262</v>
      </c>
      <c r="BB151" s="12">
        <f t="shared" si="42"/>
        <v>956200</v>
      </c>
      <c r="BC151" s="12">
        <f t="shared" si="43"/>
        <v>210</v>
      </c>
      <c r="BD151" s="12">
        <f t="shared" si="44"/>
        <v>0</v>
      </c>
      <c r="BE151" s="12">
        <f t="shared" si="45"/>
        <v>211</v>
      </c>
      <c r="BF151" s="12">
        <f t="shared" si="38"/>
        <v>2769608.6692332262</v>
      </c>
    </row>
    <row r="152" spans="6:58" x14ac:dyDescent="0.35">
      <c r="F152" s="12">
        <v>147</v>
      </c>
      <c r="G152" s="8">
        <f>INDEX(验算胜率!$E$6:$I$1005,F152,MATCH($D$16,验算胜率!$E$5:$I$5,0))</f>
        <v>0.5</v>
      </c>
      <c r="H152" s="12">
        <f t="shared" si="31"/>
        <v>2200</v>
      </c>
      <c r="I152" s="12">
        <f t="shared" si="32"/>
        <v>4400</v>
      </c>
      <c r="J152" s="12">
        <v>4</v>
      </c>
      <c r="K152" s="12">
        <v>0</v>
      </c>
      <c r="M152" s="12">
        <f>IF($D$16=验算胜率!$F$5,验算胜率!K152,0)*H152*关卡道具消耗!$D$8/关卡道具消耗!$D$26</f>
        <v>0</v>
      </c>
      <c r="N152" s="12">
        <f>INDEX(关卡奖励!$AH$6:$AH$8,MATCH($D$14,关卡奖励!$W$6:$W$8,0))*H152*IF(G152&lt;0.3,1,2)</f>
        <v>5134.8</v>
      </c>
      <c r="O152" s="12">
        <f>INDEX(关卡奖励!$AI$9:$AI$11,MATCH($D$14,关卡奖励!$W$9:$W$11,0))*((1/G152)-1)*H152</f>
        <v>433.95000000000005</v>
      </c>
      <c r="P152" s="12">
        <f>I152-N152-O152</f>
        <v>-1168.7500000000002</v>
      </c>
      <c r="Q152" s="12">
        <f>1/G152</f>
        <v>2</v>
      </c>
      <c r="R152" s="12">
        <f>IFERROR(INDEX(base_v,MATCH($F152,base_k,1)),0)*离线奖励!$C$12</f>
        <v>7200</v>
      </c>
      <c r="S152" s="12">
        <f>IFERROR(INDEX(关卡进度奖励!$I$7:$I$15,MATCH(F152,关卡进度奖励!$D$7:$D$15,0)),0)</f>
        <v>0</v>
      </c>
      <c r="T152" s="12">
        <f>AVERAGE(签到!$E$7:$E$13)*$H152</f>
        <v>9088.3047619047611</v>
      </c>
      <c r="U152" s="12">
        <f>转盘!$C$26*H152*V152/$D$13</f>
        <v>0</v>
      </c>
      <c r="V152" s="12">
        <f t="shared" si="35"/>
        <v>0</v>
      </c>
      <c r="W152" s="12">
        <f>IFERROR(MATCH(INDEX(转盘!$C$17:$F$17,1,MATCH($D$13,转盘!$C$16:$F$16,0))*MAX(F152-转盘!$C$6,0),转盘!$L$9:$L$51,1),0)</f>
        <v>7</v>
      </c>
      <c r="X152" s="12">
        <f>IFERROR(MATCH($F152,gift_k_level,0)^0,0)*进度礼包!$C$17*$H152/$D$13</f>
        <v>7805.1762597861843</v>
      </c>
      <c r="Y152" s="12">
        <f>IFERROR(MATCH($F152,turn_k_1,0)^0,0)*转盘!$C$42*$H152/$D$13</f>
        <v>0</v>
      </c>
      <c r="Z152" s="12">
        <f>IFERROR(MATCH($F152,gift_k_level,0)^0,0)*进度礼包!$C$34*$H152/$D$13</f>
        <v>25309.448763676861</v>
      </c>
      <c r="AA152" s="12">
        <f>IFERROR(MATCH($F152,gift_k_time,0)^0,0)*限时礼包!$C$15*$H152/$D$13</f>
        <v>0</v>
      </c>
      <c r="AB152" s="12">
        <f>SUM(H$6:H152)</f>
        <v>272500</v>
      </c>
      <c r="AC152" s="12">
        <f>SUM(N$6:N152)+SUM($M$6:M152)</f>
        <v>512429.69999999972</v>
      </c>
      <c r="AD152" s="12">
        <f>SUM(O$6:O152)</f>
        <v>74974.922249999901</v>
      </c>
      <c r="AE152" s="12">
        <f>SUM($P$6:P152)</f>
        <v>65195.37775</v>
      </c>
      <c r="AF152" s="12">
        <f>SUM(U$6:U152)</f>
        <v>50013.207547169804</v>
      </c>
      <c r="AG152" s="12">
        <f>SUM(S$6:S152)</f>
        <v>6500</v>
      </c>
      <c r="AH152" s="12">
        <f>SUM(Y$6:Y152)</f>
        <v>433121</v>
      </c>
      <c r="AI152" s="12">
        <f>SUM(X$6:X152)</f>
        <v>37606.758342606161</v>
      </c>
      <c r="AJ152" s="12">
        <f>SUM(Z$6:Z152)</f>
        <v>121945.52586135216</v>
      </c>
      <c r="AK152" s="12">
        <f>SUM(AA$6:AA152)</f>
        <v>402149.61728160363</v>
      </c>
      <c r="AL152" s="12">
        <f>F152</f>
        <v>147</v>
      </c>
      <c r="AM152" s="12">
        <f t="shared" si="33"/>
        <v>691524.58813977556</v>
      </c>
      <c r="AN152" s="12">
        <f>SUM(I$6:I152)</f>
        <v>652600</v>
      </c>
      <c r="AO152" s="8">
        <f>SUM(Q$6:Q152)</f>
        <v>341</v>
      </c>
      <c r="AP152" s="12">
        <f t="shared" si="34"/>
        <v>38924.588139775558</v>
      </c>
      <c r="AS152" s="12">
        <v>146</v>
      </c>
      <c r="AT152" s="12">
        <v>20</v>
      </c>
      <c r="AU152" s="12">
        <f t="shared" si="39"/>
        <v>2930</v>
      </c>
      <c r="AV152" s="12">
        <f t="shared" si="40"/>
        <v>0</v>
      </c>
      <c r="AW152" s="12">
        <f>INDEX($AO$6:$AO$215,MATCH(BC152,$F$6:$F$215,0))</f>
        <v>467</v>
      </c>
      <c r="AX152" s="12">
        <f t="shared" si="41"/>
        <v>1135512.1739951316</v>
      </c>
      <c r="AY152" s="12">
        <f t="shared" si="36"/>
        <v>7650</v>
      </c>
      <c r="AZ152" s="12">
        <f t="shared" si="37"/>
        <v>10740.72380952381</v>
      </c>
      <c r="BA152" s="12">
        <f>AX152+SUM($AY$6:AY152)+SUM($AZ$6:AZ152)</f>
        <v>3744199.3930427497</v>
      </c>
      <c r="BB152" s="12">
        <f t="shared" si="42"/>
        <v>956200</v>
      </c>
      <c r="BC152" s="12">
        <f t="shared" si="43"/>
        <v>210</v>
      </c>
      <c r="BD152" s="12">
        <f t="shared" si="44"/>
        <v>0</v>
      </c>
      <c r="BE152" s="12">
        <f t="shared" si="45"/>
        <v>211</v>
      </c>
      <c r="BF152" s="12">
        <f t="shared" si="38"/>
        <v>2787999.3930427497</v>
      </c>
    </row>
    <row r="153" spans="6:58" x14ac:dyDescent="0.35">
      <c r="F153" s="12">
        <v>148</v>
      </c>
      <c r="G153" s="8">
        <f>INDEX(验算胜率!$E$6:$I$1005,F153,MATCH($D$16,验算胜率!$E$5:$I$5,0))</f>
        <v>0.5</v>
      </c>
      <c r="H153" s="12">
        <f t="shared" si="31"/>
        <v>2200</v>
      </c>
      <c r="I153" s="12">
        <f t="shared" si="32"/>
        <v>4400</v>
      </c>
      <c r="J153" s="12">
        <v>4</v>
      </c>
      <c r="K153" s="12">
        <v>0</v>
      </c>
      <c r="M153" s="12">
        <f>IF($D$16=验算胜率!$F$5,验算胜率!K153,0)*H153*关卡道具消耗!$D$8/关卡道具消耗!$D$26</f>
        <v>0</v>
      </c>
      <c r="N153" s="12">
        <f>INDEX(关卡奖励!$AH$6:$AH$8,MATCH($D$14,关卡奖励!$W$6:$W$8,0))*H153*IF(G153&lt;0.3,1,2)</f>
        <v>5134.8</v>
      </c>
      <c r="O153" s="12">
        <f>INDEX(关卡奖励!$AI$9:$AI$11,MATCH($D$14,关卡奖励!$W$9:$W$11,0))*((1/G153)-1)*H153</f>
        <v>433.95000000000005</v>
      </c>
      <c r="P153" s="12">
        <f>I153-N153-O153</f>
        <v>-1168.7500000000002</v>
      </c>
      <c r="Q153" s="12">
        <f>1/G153</f>
        <v>2</v>
      </c>
      <c r="R153" s="12">
        <f>IFERROR(INDEX(base_v,MATCH($F153,base_k,1)),0)*离线奖励!$C$12</f>
        <v>7200</v>
      </c>
      <c r="S153" s="12">
        <f>IFERROR(INDEX(关卡进度奖励!$I$7:$I$15,MATCH(F153,关卡进度奖励!$D$7:$D$15,0)),0)</f>
        <v>0</v>
      </c>
      <c r="T153" s="12">
        <f>AVERAGE(签到!$E$7:$E$13)*$H153</f>
        <v>9088.3047619047611</v>
      </c>
      <c r="U153" s="12">
        <f>转盘!$C$26*H153*V153/$D$13</f>
        <v>0</v>
      </c>
      <c r="V153" s="12">
        <f t="shared" si="35"/>
        <v>0</v>
      </c>
      <c r="W153" s="12">
        <f>IFERROR(MATCH(INDEX(转盘!$C$17:$F$17,1,MATCH($D$13,转盘!$C$16:$F$16,0))*MAX(F153-转盘!$C$6,0),转盘!$L$9:$L$51,1),0)</f>
        <v>7</v>
      </c>
      <c r="X153" s="12">
        <f>IFERROR(MATCH($F153,gift_k_level,0)^0,0)*进度礼包!$C$17*$H153/$D$13</f>
        <v>0</v>
      </c>
      <c r="Y153" s="12">
        <f>IFERROR(MATCH($F153,turn_k_1,0)^0,0)*转盘!$C$42*$H153/$D$13</f>
        <v>0</v>
      </c>
      <c r="Z153" s="12">
        <f>IFERROR(MATCH($F153,gift_k_level,0)^0,0)*进度礼包!$C$34*$H153/$D$13</f>
        <v>0</v>
      </c>
      <c r="AA153" s="12">
        <f>IFERROR(MATCH($F153,gift_k_time,0)^0,0)*限时礼包!$C$15*$H153/$D$13</f>
        <v>0</v>
      </c>
      <c r="AB153" s="12">
        <f>SUM(H$6:H153)</f>
        <v>274700</v>
      </c>
      <c r="AC153" s="12">
        <f>SUM(N$6:N153)+SUM($M$6:M153)</f>
        <v>517564.49999999971</v>
      </c>
      <c r="AD153" s="12">
        <f>SUM(O$6:O153)</f>
        <v>75408.872249999898</v>
      </c>
      <c r="AE153" s="12">
        <f>SUM($P$6:P153)</f>
        <v>64026.62775</v>
      </c>
      <c r="AF153" s="12">
        <f>SUM(U$6:U153)</f>
        <v>50013.207547169804</v>
      </c>
      <c r="AG153" s="12">
        <f>SUM(S$6:S153)</f>
        <v>6500</v>
      </c>
      <c r="AH153" s="12">
        <f>SUM(Y$6:Y153)</f>
        <v>433121</v>
      </c>
      <c r="AI153" s="12">
        <f>SUM(X$6:X153)</f>
        <v>37606.758342606161</v>
      </c>
      <c r="AJ153" s="12">
        <f>SUM(Z$6:Z153)</f>
        <v>121945.52586135216</v>
      </c>
      <c r="AK153" s="12">
        <f>SUM(AA$6:AA153)</f>
        <v>402149.61728160363</v>
      </c>
      <c r="AL153" s="12">
        <f>F153</f>
        <v>148</v>
      </c>
      <c r="AM153" s="12">
        <f t="shared" si="33"/>
        <v>697093.33813977544</v>
      </c>
      <c r="AN153" s="12">
        <f>SUM(I$6:I153)</f>
        <v>657000</v>
      </c>
      <c r="AO153" s="8">
        <f>SUM(Q$6:Q153)</f>
        <v>343</v>
      </c>
      <c r="AP153" s="12">
        <f t="shared" si="34"/>
        <v>40093.338139775442</v>
      </c>
      <c r="AS153" s="12">
        <v>147</v>
      </c>
      <c r="AT153" s="12">
        <v>20</v>
      </c>
      <c r="AU153" s="12">
        <f t="shared" si="39"/>
        <v>2950</v>
      </c>
      <c r="AV153" s="12">
        <f t="shared" si="40"/>
        <v>0</v>
      </c>
      <c r="AW153" s="12">
        <f>INDEX($AO$6:$AO$215,MATCH(BC153,$F$6:$F$215,0))</f>
        <v>467</v>
      </c>
      <c r="AX153" s="12">
        <f t="shared" si="41"/>
        <v>1135512.1739951316</v>
      </c>
      <c r="AY153" s="12">
        <f t="shared" si="36"/>
        <v>7650</v>
      </c>
      <c r="AZ153" s="12">
        <f t="shared" si="37"/>
        <v>10740.72380952381</v>
      </c>
      <c r="BA153" s="12">
        <f>AX153+SUM($AY$6:AY153)+SUM($AZ$6:AZ153)</f>
        <v>3762590.1168522732</v>
      </c>
      <c r="BB153" s="12">
        <f t="shared" si="42"/>
        <v>956200</v>
      </c>
      <c r="BC153" s="12">
        <f t="shared" si="43"/>
        <v>210</v>
      </c>
      <c r="BD153" s="12">
        <f t="shared" si="44"/>
        <v>0</v>
      </c>
      <c r="BE153" s="12">
        <f t="shared" si="45"/>
        <v>211</v>
      </c>
      <c r="BF153" s="12">
        <f t="shared" si="38"/>
        <v>2806390.1168522732</v>
      </c>
    </row>
    <row r="154" spans="6:58" x14ac:dyDescent="0.35">
      <c r="F154" s="12">
        <v>149</v>
      </c>
      <c r="G154" s="8">
        <f>INDEX(验算胜率!$E$6:$I$1005,F154,MATCH($D$16,验算胜率!$E$5:$I$5,0))</f>
        <v>0.5</v>
      </c>
      <c r="H154" s="12">
        <f t="shared" si="31"/>
        <v>2200</v>
      </c>
      <c r="I154" s="12">
        <f t="shared" si="32"/>
        <v>4400</v>
      </c>
      <c r="J154" s="12">
        <v>4</v>
      </c>
      <c r="K154" s="12">
        <v>0</v>
      </c>
      <c r="M154" s="12">
        <f>IF($D$16=验算胜率!$F$5,验算胜率!K154,0)*H154*关卡道具消耗!$D$8/关卡道具消耗!$D$26</f>
        <v>0</v>
      </c>
      <c r="N154" s="12">
        <f>INDEX(关卡奖励!$AH$6:$AH$8,MATCH($D$14,关卡奖励!$W$6:$W$8,0))*H154*IF(G154&lt;0.3,1,2)</f>
        <v>5134.8</v>
      </c>
      <c r="O154" s="12">
        <f>INDEX(关卡奖励!$AI$9:$AI$11,MATCH($D$14,关卡奖励!$W$9:$W$11,0))*((1/G154)-1)*H154</f>
        <v>433.95000000000005</v>
      </c>
      <c r="P154" s="12">
        <f>I154-N154-O154</f>
        <v>-1168.7500000000002</v>
      </c>
      <c r="Q154" s="12">
        <f>1/G154</f>
        <v>2</v>
      </c>
      <c r="R154" s="12">
        <f>IFERROR(INDEX(base_v,MATCH($F154,base_k,1)),0)*离线奖励!$C$12</f>
        <v>7200</v>
      </c>
      <c r="S154" s="12">
        <f>IFERROR(INDEX(关卡进度奖励!$I$7:$I$15,MATCH(F154,关卡进度奖励!$D$7:$D$15,0)),0)</f>
        <v>3000</v>
      </c>
      <c r="T154" s="12">
        <f>AVERAGE(签到!$E$7:$E$13)*$H154</f>
        <v>9088.3047619047611</v>
      </c>
      <c r="U154" s="12">
        <f>转盘!$C$26*H154*V154/$D$13</f>
        <v>0</v>
      </c>
      <c r="V154" s="12">
        <f t="shared" si="35"/>
        <v>0</v>
      </c>
      <c r="W154" s="12">
        <f>IFERROR(MATCH(INDEX(转盘!$C$17:$F$17,1,MATCH($D$13,转盘!$C$16:$F$16,0))*MAX(F154-转盘!$C$6,0),转盘!$L$9:$L$51,1),0)</f>
        <v>7</v>
      </c>
      <c r="X154" s="12">
        <f>IFERROR(MATCH($F154,gift_k_level,0)^0,0)*进度礼包!$C$17*$H154/$D$13</f>
        <v>0</v>
      </c>
      <c r="Y154" s="12">
        <f>IFERROR(MATCH($F154,turn_k_1,0)^0,0)*转盘!$C$42*$H154/$D$13</f>
        <v>0</v>
      </c>
      <c r="Z154" s="12">
        <f>IFERROR(MATCH($F154,gift_k_level,0)^0,0)*进度礼包!$C$34*$H154/$D$13</f>
        <v>0</v>
      </c>
      <c r="AA154" s="12">
        <f>IFERROR(MATCH($F154,gift_k_time,0)^0,0)*限时礼包!$C$15*$H154/$D$13</f>
        <v>0</v>
      </c>
      <c r="AB154" s="12">
        <f>SUM(H$6:H154)</f>
        <v>276900</v>
      </c>
      <c r="AC154" s="12">
        <f>SUM(N$6:N154)+SUM($M$6:M154)</f>
        <v>522699.2999999997</v>
      </c>
      <c r="AD154" s="12">
        <f>SUM(O$6:O154)</f>
        <v>75842.822249999896</v>
      </c>
      <c r="AE154" s="12">
        <f>SUM($P$6:P154)</f>
        <v>62857.87775</v>
      </c>
      <c r="AF154" s="12">
        <f>SUM(U$6:U154)</f>
        <v>50013.207547169804</v>
      </c>
      <c r="AG154" s="12">
        <f>SUM(S$6:S154)</f>
        <v>9500</v>
      </c>
      <c r="AH154" s="12">
        <f>SUM(Y$6:Y154)</f>
        <v>433121</v>
      </c>
      <c r="AI154" s="12">
        <f>SUM(X$6:X154)</f>
        <v>37606.758342606161</v>
      </c>
      <c r="AJ154" s="12">
        <f>SUM(Z$6:Z154)</f>
        <v>121945.52586135216</v>
      </c>
      <c r="AK154" s="12">
        <f>SUM(AA$6:AA154)</f>
        <v>402149.61728160363</v>
      </c>
      <c r="AL154" s="12">
        <f>F154</f>
        <v>149</v>
      </c>
      <c r="AM154" s="12">
        <f t="shared" si="33"/>
        <v>705662.08813977544</v>
      </c>
      <c r="AN154" s="12">
        <f>SUM(I$6:I154)</f>
        <v>661400</v>
      </c>
      <c r="AO154" s="8">
        <f>SUM(Q$6:Q154)</f>
        <v>345</v>
      </c>
      <c r="AP154" s="12">
        <f t="shared" si="34"/>
        <v>44262.088139775442</v>
      </c>
      <c r="AS154" s="12">
        <v>148</v>
      </c>
      <c r="AT154" s="12">
        <v>20</v>
      </c>
      <c r="AU154" s="12">
        <f t="shared" si="39"/>
        <v>2970</v>
      </c>
      <c r="AV154" s="12">
        <f t="shared" si="40"/>
        <v>0</v>
      </c>
      <c r="AW154" s="12">
        <f>INDEX($AO$6:$AO$215,MATCH(BC154,$F$6:$F$215,0))</f>
        <v>467</v>
      </c>
      <c r="AX154" s="12">
        <f t="shared" si="41"/>
        <v>1135512.1739951316</v>
      </c>
      <c r="AY154" s="12">
        <f t="shared" si="36"/>
        <v>7650</v>
      </c>
      <c r="AZ154" s="12">
        <f t="shared" si="37"/>
        <v>10740.72380952381</v>
      </c>
      <c r="BA154" s="12">
        <f>AX154+SUM($AY$6:AY154)+SUM($AZ$6:AZ154)</f>
        <v>3780980.8406617972</v>
      </c>
      <c r="BB154" s="12">
        <f t="shared" si="42"/>
        <v>956200</v>
      </c>
      <c r="BC154" s="12">
        <f t="shared" si="43"/>
        <v>210</v>
      </c>
      <c r="BD154" s="12">
        <f t="shared" si="44"/>
        <v>0</v>
      </c>
      <c r="BE154" s="12">
        <f t="shared" si="45"/>
        <v>211</v>
      </c>
      <c r="BF154" s="12">
        <f t="shared" si="38"/>
        <v>2824780.8406617972</v>
      </c>
    </row>
    <row r="155" spans="6:58" x14ac:dyDescent="0.35">
      <c r="F155" s="12">
        <v>150</v>
      </c>
      <c r="G155" s="8">
        <f>INDEX(验算胜率!$E$6:$I$1005,F155,MATCH($D$16,验算胜率!$E$5:$I$5,0))</f>
        <v>0.5</v>
      </c>
      <c r="H155" s="12">
        <f t="shared" si="31"/>
        <v>2200</v>
      </c>
      <c r="I155" s="12">
        <f t="shared" si="32"/>
        <v>4400</v>
      </c>
      <c r="J155" s="12">
        <v>4</v>
      </c>
      <c r="K155" s="12">
        <v>0</v>
      </c>
      <c r="M155" s="12">
        <f>IF($D$16=验算胜率!$F$5,验算胜率!K155,0)*H155*关卡道具消耗!$D$8/关卡道具消耗!$D$26</f>
        <v>0</v>
      </c>
      <c r="N155" s="12">
        <f>INDEX(关卡奖励!$AH$6:$AH$8,MATCH($D$14,关卡奖励!$W$6:$W$8,0))*H155*IF(G155&lt;0.3,1,2)</f>
        <v>5134.8</v>
      </c>
      <c r="O155" s="12">
        <f>INDEX(关卡奖励!$AI$9:$AI$11,MATCH($D$14,关卡奖励!$W$9:$W$11,0))*((1/G155)-1)*H155</f>
        <v>433.95000000000005</v>
      </c>
      <c r="P155" s="12">
        <f>I155-N155-O155</f>
        <v>-1168.7500000000002</v>
      </c>
      <c r="Q155" s="12">
        <f>1/G155</f>
        <v>2</v>
      </c>
      <c r="R155" s="12">
        <f>IFERROR(INDEX(base_v,MATCH($F155,base_k,1)),0)*离线奖励!$C$12</f>
        <v>7200</v>
      </c>
      <c r="S155" s="12">
        <f>IFERROR(INDEX(关卡进度奖励!$I$7:$I$15,MATCH(F155,关卡进度奖励!$D$7:$D$15,0)),0)</f>
        <v>0</v>
      </c>
      <c r="T155" s="12">
        <f>AVERAGE(签到!$E$7:$E$13)*$H155</f>
        <v>9088.3047619047611</v>
      </c>
      <c r="U155" s="12">
        <f>转盘!$C$26*H155*V155/$D$13</f>
        <v>0</v>
      </c>
      <c r="V155" s="12">
        <f t="shared" si="35"/>
        <v>0</v>
      </c>
      <c r="W155" s="12">
        <f>IFERROR(MATCH(INDEX(转盘!$C$17:$F$17,1,MATCH($D$13,转盘!$C$16:$F$16,0))*MAX(F155-转盘!$C$6,0),转盘!$L$9:$L$51,1),0)</f>
        <v>7</v>
      </c>
      <c r="X155" s="12">
        <f>IFERROR(MATCH($F155,gift_k_level,0)^0,0)*进度礼包!$C$17*$H155/$D$13</f>
        <v>0</v>
      </c>
      <c r="Y155" s="12">
        <f>IFERROR(MATCH($F155,turn_k_1,0)^0,0)*转盘!$C$42*$H155/$D$13</f>
        <v>0</v>
      </c>
      <c r="Z155" s="12">
        <f>IFERROR(MATCH($F155,gift_k_level,0)^0,0)*进度礼包!$C$34*$H155/$D$13</f>
        <v>0</v>
      </c>
      <c r="AA155" s="12">
        <f>IFERROR(MATCH($F155,gift_k_time,0)^0,0)*限时礼包!$C$15*$H155/$D$13</f>
        <v>0</v>
      </c>
      <c r="AB155" s="12">
        <f>SUM(H$6:H155)</f>
        <v>279100</v>
      </c>
      <c r="AC155" s="12">
        <f>SUM(N$6:N155)+SUM($M$6:M155)</f>
        <v>527834.09999999974</v>
      </c>
      <c r="AD155" s="12">
        <f>SUM(O$6:O155)</f>
        <v>76276.772249999893</v>
      </c>
      <c r="AE155" s="12">
        <f>SUM($P$6:P155)</f>
        <v>61689.12775</v>
      </c>
      <c r="AF155" s="12">
        <f>SUM(U$6:U155)</f>
        <v>50013.207547169804</v>
      </c>
      <c r="AG155" s="12">
        <f>SUM(S$6:S155)</f>
        <v>9500</v>
      </c>
      <c r="AH155" s="12">
        <f>SUM(Y$6:Y155)</f>
        <v>433121</v>
      </c>
      <c r="AI155" s="12">
        <f>SUM(X$6:X155)</f>
        <v>37606.758342606161</v>
      </c>
      <c r="AJ155" s="12">
        <f>SUM(Z$6:Z155)</f>
        <v>121945.52586135216</v>
      </c>
      <c r="AK155" s="12">
        <f>SUM(AA$6:AA155)</f>
        <v>402149.61728160363</v>
      </c>
      <c r="AL155" s="12">
        <f>F155</f>
        <v>150</v>
      </c>
      <c r="AM155" s="12">
        <f t="shared" si="33"/>
        <v>711230.83813977556</v>
      </c>
      <c r="AN155" s="12">
        <f>SUM(I$6:I155)</f>
        <v>665800</v>
      </c>
      <c r="AO155" s="8">
        <f>SUM(Q$6:Q155)</f>
        <v>347</v>
      </c>
      <c r="AP155" s="12">
        <f t="shared" si="34"/>
        <v>45430.838139775558</v>
      </c>
      <c r="AS155" s="12">
        <v>149</v>
      </c>
      <c r="AT155" s="12">
        <v>20</v>
      </c>
      <c r="AU155" s="12">
        <f t="shared" si="39"/>
        <v>2990</v>
      </c>
      <c r="AV155" s="12">
        <f t="shared" si="40"/>
        <v>0</v>
      </c>
      <c r="AW155" s="12">
        <f>INDEX($AO$6:$AO$215,MATCH(BC155,$F$6:$F$215,0))</f>
        <v>467</v>
      </c>
      <c r="AX155" s="12">
        <f t="shared" si="41"/>
        <v>1135512.1739951316</v>
      </c>
      <c r="AY155" s="12">
        <f t="shared" si="36"/>
        <v>7650</v>
      </c>
      <c r="AZ155" s="12">
        <f t="shared" si="37"/>
        <v>10740.72380952381</v>
      </c>
      <c r="BA155" s="12">
        <f>AX155+SUM($AY$6:AY155)+SUM($AZ$6:AZ155)</f>
        <v>3799371.5644713212</v>
      </c>
      <c r="BB155" s="12">
        <f t="shared" si="42"/>
        <v>956200</v>
      </c>
      <c r="BC155" s="12">
        <f t="shared" si="43"/>
        <v>210</v>
      </c>
      <c r="BD155" s="12">
        <f t="shared" si="44"/>
        <v>0</v>
      </c>
      <c r="BE155" s="12">
        <f t="shared" si="45"/>
        <v>211</v>
      </c>
      <c r="BF155" s="12">
        <f t="shared" si="38"/>
        <v>2843171.5644713212</v>
      </c>
    </row>
    <row r="156" spans="6:58" x14ac:dyDescent="0.35">
      <c r="F156" s="12">
        <v>151</v>
      </c>
      <c r="G156" s="8">
        <f>INDEX(验算胜率!$E$6:$I$1005,F156,MATCH($D$16,验算胜率!$E$5:$I$5,0))</f>
        <v>0.5</v>
      </c>
      <c r="H156" s="12">
        <f t="shared" si="31"/>
        <v>2200</v>
      </c>
      <c r="I156" s="12">
        <f t="shared" si="32"/>
        <v>4400</v>
      </c>
      <c r="J156" s="12">
        <v>4</v>
      </c>
      <c r="K156" s="12">
        <v>0</v>
      </c>
      <c r="M156" s="12">
        <f>IF($D$16=验算胜率!$F$5,验算胜率!K156,0)*H156*关卡道具消耗!$D$8/关卡道具消耗!$D$26</f>
        <v>0</v>
      </c>
      <c r="N156" s="12">
        <f>INDEX(关卡奖励!$AH$6:$AH$8,MATCH($D$14,关卡奖励!$W$6:$W$8,0))*H156*IF(G156&lt;0.3,1,2)</f>
        <v>5134.8</v>
      </c>
      <c r="O156" s="12">
        <f>INDEX(关卡奖励!$AI$9:$AI$11,MATCH($D$14,关卡奖励!$W$9:$W$11,0))*((1/G156)-1)*H156</f>
        <v>433.95000000000005</v>
      </c>
      <c r="P156" s="12">
        <f>I156-N156-O156</f>
        <v>-1168.7500000000002</v>
      </c>
      <c r="Q156" s="12">
        <f>1/G156</f>
        <v>2</v>
      </c>
      <c r="R156" s="12">
        <f>IFERROR(INDEX(base_v,MATCH($F156,base_k,1)),0)*离线奖励!$C$12</f>
        <v>7200</v>
      </c>
      <c r="S156" s="12">
        <f>IFERROR(INDEX(关卡进度奖励!$I$7:$I$15,MATCH(F156,关卡进度奖励!$D$7:$D$15,0)),0)</f>
        <v>0</v>
      </c>
      <c r="T156" s="12">
        <f>AVERAGE(签到!$E$7:$E$13)*$H156</f>
        <v>9088.3047619047611</v>
      </c>
      <c r="U156" s="12">
        <f>转盘!$C$26*H156*V156/$D$13</f>
        <v>0</v>
      </c>
      <c r="V156" s="12">
        <f t="shared" si="35"/>
        <v>0</v>
      </c>
      <c r="W156" s="12">
        <f>IFERROR(MATCH(INDEX(转盘!$C$17:$F$17,1,MATCH($D$13,转盘!$C$16:$F$16,0))*MAX(F156-转盘!$C$6,0),转盘!$L$9:$L$51,1),0)</f>
        <v>7</v>
      </c>
      <c r="X156" s="12">
        <f>IFERROR(MATCH($F156,gift_k_level,0)^0,0)*进度礼包!$C$17*$H156/$D$13</f>
        <v>0</v>
      </c>
      <c r="Y156" s="12">
        <f>IFERROR(MATCH($F156,turn_k_1,0)^0,0)*转盘!$C$42*$H156/$D$13</f>
        <v>0</v>
      </c>
      <c r="Z156" s="12">
        <f>IFERROR(MATCH($F156,gift_k_level,0)^0,0)*进度礼包!$C$34*$H156/$D$13</f>
        <v>0</v>
      </c>
      <c r="AA156" s="12">
        <f>IFERROR(MATCH($F156,gift_k_time,0)^0,0)*限时礼包!$C$15*$H156/$D$13</f>
        <v>0</v>
      </c>
      <c r="AB156" s="12">
        <f>SUM(H$6:H156)</f>
        <v>281300</v>
      </c>
      <c r="AC156" s="12">
        <f>SUM(N$6:N156)+SUM($M$6:M156)</f>
        <v>532968.89999999979</v>
      </c>
      <c r="AD156" s="12">
        <f>SUM(O$6:O156)</f>
        <v>76710.72224999989</v>
      </c>
      <c r="AE156" s="12">
        <f>SUM($P$6:P156)</f>
        <v>60520.37775</v>
      </c>
      <c r="AF156" s="12">
        <f>SUM(U$6:U156)</f>
        <v>50013.207547169804</v>
      </c>
      <c r="AG156" s="12">
        <f>SUM(S$6:S156)</f>
        <v>9500</v>
      </c>
      <c r="AH156" s="12">
        <f>SUM(Y$6:Y156)</f>
        <v>433121</v>
      </c>
      <c r="AI156" s="12">
        <f>SUM(X$6:X156)</f>
        <v>37606.758342606161</v>
      </c>
      <c r="AJ156" s="12">
        <f>SUM(Z$6:Z156)</f>
        <v>121945.52586135216</v>
      </c>
      <c r="AK156" s="12">
        <f>SUM(AA$6:AA156)</f>
        <v>402149.61728160363</v>
      </c>
      <c r="AL156" s="12">
        <f>F156</f>
        <v>151</v>
      </c>
      <c r="AM156" s="12">
        <f t="shared" si="33"/>
        <v>716799.58813977556</v>
      </c>
      <c r="AN156" s="12">
        <f>SUM(I$6:I156)</f>
        <v>670200</v>
      </c>
      <c r="AO156" s="8">
        <f>SUM(Q$6:Q156)</f>
        <v>349</v>
      </c>
      <c r="AP156" s="12">
        <f t="shared" si="34"/>
        <v>46599.588139775558</v>
      </c>
      <c r="AS156" s="12">
        <v>150</v>
      </c>
      <c r="AT156" s="12">
        <v>20</v>
      </c>
      <c r="AU156" s="12">
        <f t="shared" si="39"/>
        <v>3010</v>
      </c>
      <c r="AV156" s="12">
        <f t="shared" si="40"/>
        <v>0</v>
      </c>
      <c r="AW156" s="12">
        <f>INDEX($AO$6:$AO$215,MATCH(BC156,$F$6:$F$215,0))</f>
        <v>467</v>
      </c>
      <c r="AX156" s="12">
        <f t="shared" si="41"/>
        <v>1135512.1739951316</v>
      </c>
      <c r="AY156" s="12">
        <f t="shared" si="36"/>
        <v>7650</v>
      </c>
      <c r="AZ156" s="12">
        <f t="shared" si="37"/>
        <v>10740.72380952381</v>
      </c>
      <c r="BA156" s="12">
        <f>AX156+SUM($AY$6:AY156)+SUM($AZ$6:AZ156)</f>
        <v>3817762.2882808447</v>
      </c>
      <c r="BB156" s="12">
        <f t="shared" si="42"/>
        <v>956200</v>
      </c>
      <c r="BC156" s="12">
        <f t="shared" si="43"/>
        <v>210</v>
      </c>
      <c r="BD156" s="12">
        <f t="shared" si="44"/>
        <v>0</v>
      </c>
      <c r="BE156" s="12">
        <f t="shared" si="45"/>
        <v>211</v>
      </c>
      <c r="BF156" s="12">
        <f t="shared" si="38"/>
        <v>2861562.2882808447</v>
      </c>
    </row>
    <row r="157" spans="6:58" x14ac:dyDescent="0.35">
      <c r="F157" s="12">
        <v>152</v>
      </c>
      <c r="G157" s="8">
        <f>INDEX(验算胜率!$E$6:$I$1005,F157,MATCH($D$16,验算胜率!$E$5:$I$5,0))</f>
        <v>0.5</v>
      </c>
      <c r="H157" s="12">
        <f t="shared" si="31"/>
        <v>2200</v>
      </c>
      <c r="I157" s="12">
        <f t="shared" si="32"/>
        <v>4400</v>
      </c>
      <c r="J157" s="12">
        <v>4</v>
      </c>
      <c r="K157" s="12">
        <v>0</v>
      </c>
      <c r="M157" s="12">
        <f>IF($D$16=验算胜率!$F$5,验算胜率!K157,0)*H157*关卡道具消耗!$D$8/关卡道具消耗!$D$26</f>
        <v>0</v>
      </c>
      <c r="N157" s="12">
        <f>INDEX(关卡奖励!$AH$6:$AH$8,MATCH($D$14,关卡奖励!$W$6:$W$8,0))*H157*IF(G157&lt;0.3,1,2)</f>
        <v>5134.8</v>
      </c>
      <c r="O157" s="12">
        <f>INDEX(关卡奖励!$AI$9:$AI$11,MATCH($D$14,关卡奖励!$W$9:$W$11,0))*((1/G157)-1)*H157</f>
        <v>433.95000000000005</v>
      </c>
      <c r="P157" s="12">
        <f>I157-N157-O157</f>
        <v>-1168.7500000000002</v>
      </c>
      <c r="Q157" s="12">
        <f>1/G157</f>
        <v>2</v>
      </c>
      <c r="R157" s="12">
        <f>IFERROR(INDEX(base_v,MATCH($F157,base_k,1)),0)*离线奖励!$C$12</f>
        <v>7200</v>
      </c>
      <c r="S157" s="12">
        <f>IFERROR(INDEX(关卡进度奖励!$I$7:$I$15,MATCH(F157,关卡进度奖励!$D$7:$D$15,0)),0)</f>
        <v>0</v>
      </c>
      <c r="T157" s="12">
        <f>AVERAGE(签到!$E$7:$E$13)*$H157</f>
        <v>9088.3047619047611</v>
      </c>
      <c r="U157" s="12">
        <f>转盘!$C$26*H157*V157/$D$13</f>
        <v>0</v>
      </c>
      <c r="V157" s="12">
        <f t="shared" si="35"/>
        <v>0</v>
      </c>
      <c r="W157" s="12">
        <f>IFERROR(MATCH(INDEX(转盘!$C$17:$F$17,1,MATCH($D$13,转盘!$C$16:$F$16,0))*MAX(F157-转盘!$C$6,0),转盘!$L$9:$L$51,1),0)</f>
        <v>7</v>
      </c>
      <c r="X157" s="12">
        <f>IFERROR(MATCH($F157,gift_k_level,0)^0,0)*进度礼包!$C$17*$H157/$D$13</f>
        <v>0</v>
      </c>
      <c r="Y157" s="12">
        <f>IFERROR(MATCH($F157,turn_k_1,0)^0,0)*转盘!$C$42*$H157/$D$13</f>
        <v>0</v>
      </c>
      <c r="Z157" s="12">
        <f>IFERROR(MATCH($F157,gift_k_level,0)^0,0)*进度礼包!$C$34*$H157/$D$13</f>
        <v>0</v>
      </c>
      <c r="AA157" s="12">
        <f>IFERROR(MATCH($F157,gift_k_time,0)^0,0)*限时礼包!$C$15*$H157/$D$13</f>
        <v>0</v>
      </c>
      <c r="AB157" s="12">
        <f>SUM(H$6:H157)</f>
        <v>283500</v>
      </c>
      <c r="AC157" s="12">
        <f>SUM(N$6:N157)+SUM($M$6:M157)</f>
        <v>538103.69999999984</v>
      </c>
      <c r="AD157" s="12">
        <f>SUM(O$6:O157)</f>
        <v>77144.672249999887</v>
      </c>
      <c r="AE157" s="12">
        <f>SUM($P$6:P157)</f>
        <v>59351.62775</v>
      </c>
      <c r="AF157" s="12">
        <f>SUM(U$6:U157)</f>
        <v>50013.207547169804</v>
      </c>
      <c r="AG157" s="12">
        <f>SUM(S$6:S157)</f>
        <v>9500</v>
      </c>
      <c r="AH157" s="12">
        <f>SUM(Y$6:Y157)</f>
        <v>433121</v>
      </c>
      <c r="AI157" s="12">
        <f>SUM(X$6:X157)</f>
        <v>37606.758342606161</v>
      </c>
      <c r="AJ157" s="12">
        <f>SUM(Z$6:Z157)</f>
        <v>121945.52586135216</v>
      </c>
      <c r="AK157" s="12">
        <f>SUM(AA$6:AA157)</f>
        <v>402149.61728160363</v>
      </c>
      <c r="AL157" s="12">
        <f>F157</f>
        <v>152</v>
      </c>
      <c r="AM157" s="12">
        <f t="shared" si="33"/>
        <v>722368.33813977567</v>
      </c>
      <c r="AN157" s="12">
        <f>SUM(I$6:I157)</f>
        <v>674600</v>
      </c>
      <c r="AO157" s="8">
        <f>SUM(Q$6:Q157)</f>
        <v>351</v>
      </c>
      <c r="AP157" s="12">
        <f t="shared" si="34"/>
        <v>47768.338139775675</v>
      </c>
      <c r="AS157" s="12">
        <v>151</v>
      </c>
      <c r="AT157" s="12">
        <v>20</v>
      </c>
      <c r="AU157" s="12">
        <f t="shared" si="39"/>
        <v>3030</v>
      </c>
      <c r="AV157" s="12">
        <f t="shared" si="40"/>
        <v>0</v>
      </c>
      <c r="AW157" s="12">
        <f>INDEX($AO$6:$AO$215,MATCH(BC157,$F$6:$F$215,0))</f>
        <v>467</v>
      </c>
      <c r="AX157" s="12">
        <f t="shared" si="41"/>
        <v>1135512.1739951316</v>
      </c>
      <c r="AY157" s="12">
        <f t="shared" si="36"/>
        <v>7650</v>
      </c>
      <c r="AZ157" s="12">
        <f t="shared" si="37"/>
        <v>10740.72380952381</v>
      </c>
      <c r="BA157" s="12">
        <f>AX157+SUM($AY$6:AY157)+SUM($AZ$6:AZ157)</f>
        <v>3836153.0120903682</v>
      </c>
      <c r="BB157" s="12">
        <f t="shared" si="42"/>
        <v>956200</v>
      </c>
      <c r="BC157" s="12">
        <f t="shared" si="43"/>
        <v>210</v>
      </c>
      <c r="BD157" s="12">
        <f t="shared" si="44"/>
        <v>0</v>
      </c>
      <c r="BE157" s="12">
        <f t="shared" si="45"/>
        <v>211</v>
      </c>
      <c r="BF157" s="12">
        <f t="shared" si="38"/>
        <v>2879953.0120903682</v>
      </c>
    </row>
    <row r="158" spans="6:58" x14ac:dyDescent="0.35">
      <c r="F158" s="12">
        <v>153</v>
      </c>
      <c r="G158" s="8">
        <f>INDEX(验算胜率!$E$6:$I$1005,F158,MATCH($D$16,验算胜率!$E$5:$I$5,0))</f>
        <v>0.5</v>
      </c>
      <c r="H158" s="12">
        <f t="shared" si="31"/>
        <v>2200</v>
      </c>
      <c r="I158" s="12">
        <f t="shared" si="32"/>
        <v>4400</v>
      </c>
      <c r="J158" s="12">
        <v>4</v>
      </c>
      <c r="K158" s="12">
        <v>0</v>
      </c>
      <c r="M158" s="12">
        <f>IF($D$16=验算胜率!$F$5,验算胜率!K158,0)*H158*关卡道具消耗!$D$8/关卡道具消耗!$D$26</f>
        <v>0</v>
      </c>
      <c r="N158" s="12">
        <f>INDEX(关卡奖励!$AH$6:$AH$8,MATCH($D$14,关卡奖励!$W$6:$W$8,0))*H158*IF(G158&lt;0.3,1,2)</f>
        <v>5134.8</v>
      </c>
      <c r="O158" s="12">
        <f>INDEX(关卡奖励!$AI$9:$AI$11,MATCH($D$14,关卡奖励!$W$9:$W$11,0))*((1/G158)-1)*H158</f>
        <v>433.95000000000005</v>
      </c>
      <c r="P158" s="12">
        <f>I158-N158-O158</f>
        <v>-1168.7500000000002</v>
      </c>
      <c r="Q158" s="12">
        <f>1/G158</f>
        <v>2</v>
      </c>
      <c r="R158" s="12">
        <f>IFERROR(INDEX(base_v,MATCH($F158,base_k,1)),0)*离线奖励!$C$12</f>
        <v>7200</v>
      </c>
      <c r="S158" s="12">
        <f>IFERROR(INDEX(关卡进度奖励!$I$7:$I$15,MATCH(F158,关卡进度奖励!$D$7:$D$15,0)),0)</f>
        <v>0</v>
      </c>
      <c r="T158" s="12">
        <f>AVERAGE(签到!$E$7:$E$13)*$H158</f>
        <v>9088.3047619047611</v>
      </c>
      <c r="U158" s="12">
        <f>转盘!$C$26*H158*V158/$D$13</f>
        <v>0</v>
      </c>
      <c r="V158" s="12">
        <f t="shared" si="35"/>
        <v>0</v>
      </c>
      <c r="W158" s="12">
        <f>IFERROR(MATCH(INDEX(转盘!$C$17:$F$17,1,MATCH($D$13,转盘!$C$16:$F$16,0))*MAX(F158-转盘!$C$6,0),转盘!$L$9:$L$51,1),0)</f>
        <v>7</v>
      </c>
      <c r="X158" s="12">
        <f>IFERROR(MATCH($F158,gift_k_level,0)^0,0)*进度礼包!$C$17*$H158/$D$13</f>
        <v>0</v>
      </c>
      <c r="Y158" s="12">
        <f>IFERROR(MATCH($F158,turn_k_1,0)^0,0)*转盘!$C$42*$H158/$D$13</f>
        <v>0</v>
      </c>
      <c r="Z158" s="12">
        <f>IFERROR(MATCH($F158,gift_k_level,0)^0,0)*进度礼包!$C$34*$H158/$D$13</f>
        <v>0</v>
      </c>
      <c r="AA158" s="12">
        <f>IFERROR(MATCH($F158,gift_k_time,0)^0,0)*限时礼包!$C$15*$H158/$D$13</f>
        <v>0</v>
      </c>
      <c r="AB158" s="12">
        <f>SUM(H$6:H158)</f>
        <v>285700</v>
      </c>
      <c r="AC158" s="12">
        <f>SUM(N$6:N158)+SUM($M$6:M158)</f>
        <v>543238.49999999988</v>
      </c>
      <c r="AD158" s="12">
        <f>SUM(O$6:O158)</f>
        <v>77578.622249999884</v>
      </c>
      <c r="AE158" s="12">
        <f>SUM($P$6:P158)</f>
        <v>58182.87775</v>
      </c>
      <c r="AF158" s="12">
        <f>SUM(U$6:U158)</f>
        <v>50013.207547169804</v>
      </c>
      <c r="AG158" s="12">
        <f>SUM(S$6:S158)</f>
        <v>9500</v>
      </c>
      <c r="AH158" s="12">
        <f>SUM(Y$6:Y158)</f>
        <v>433121</v>
      </c>
      <c r="AI158" s="12">
        <f>SUM(X$6:X158)</f>
        <v>37606.758342606161</v>
      </c>
      <c r="AJ158" s="12">
        <f>SUM(Z$6:Z158)</f>
        <v>121945.52586135216</v>
      </c>
      <c r="AK158" s="12">
        <f>SUM(AA$6:AA158)</f>
        <v>402149.61728160363</v>
      </c>
      <c r="AL158" s="12">
        <f>F158</f>
        <v>153</v>
      </c>
      <c r="AM158" s="12">
        <f t="shared" si="33"/>
        <v>727937.08813977567</v>
      </c>
      <c r="AN158" s="12">
        <f>SUM(I$6:I158)</f>
        <v>679000</v>
      </c>
      <c r="AO158" s="8">
        <f>SUM(Q$6:Q158)</f>
        <v>353</v>
      </c>
      <c r="AP158" s="12">
        <f t="shared" si="34"/>
        <v>48937.088139775675</v>
      </c>
      <c r="AS158" s="12">
        <v>152</v>
      </c>
      <c r="AT158" s="12">
        <v>20</v>
      </c>
      <c r="AU158" s="12">
        <f t="shared" si="39"/>
        <v>3050</v>
      </c>
      <c r="AV158" s="12">
        <f t="shared" si="40"/>
        <v>0</v>
      </c>
      <c r="AW158" s="12">
        <f>INDEX($AO$6:$AO$215,MATCH(BC158,$F$6:$F$215,0))</f>
        <v>467</v>
      </c>
      <c r="AX158" s="12">
        <f t="shared" si="41"/>
        <v>1135512.1739951316</v>
      </c>
      <c r="AY158" s="12">
        <f t="shared" si="36"/>
        <v>7650</v>
      </c>
      <c r="AZ158" s="12">
        <f t="shared" si="37"/>
        <v>10740.72380952381</v>
      </c>
      <c r="BA158" s="12">
        <f>AX158+SUM($AY$6:AY158)+SUM($AZ$6:AZ158)</f>
        <v>3854543.7358998922</v>
      </c>
      <c r="BB158" s="12">
        <f t="shared" si="42"/>
        <v>956200</v>
      </c>
      <c r="BC158" s="12">
        <f t="shared" si="43"/>
        <v>210</v>
      </c>
      <c r="BD158" s="12">
        <f t="shared" si="44"/>
        <v>0</v>
      </c>
      <c r="BE158" s="12">
        <f t="shared" si="45"/>
        <v>211</v>
      </c>
      <c r="BF158" s="12">
        <f t="shared" si="38"/>
        <v>2898343.7358998922</v>
      </c>
    </row>
    <row r="159" spans="6:58" x14ac:dyDescent="0.35">
      <c r="F159" s="12">
        <v>154</v>
      </c>
      <c r="G159" s="8">
        <f>INDEX(验算胜率!$E$6:$I$1005,F159,MATCH($D$16,验算胜率!$E$5:$I$5,0))</f>
        <v>0.5</v>
      </c>
      <c r="H159" s="12">
        <f t="shared" si="31"/>
        <v>2200</v>
      </c>
      <c r="I159" s="12">
        <f t="shared" si="32"/>
        <v>4400</v>
      </c>
      <c r="J159" s="12">
        <v>4</v>
      </c>
      <c r="K159" s="12">
        <v>0</v>
      </c>
      <c r="M159" s="12">
        <f>IF($D$16=验算胜率!$F$5,验算胜率!K159,0)*H159*关卡道具消耗!$D$8/关卡道具消耗!$D$26</f>
        <v>0</v>
      </c>
      <c r="N159" s="12">
        <f>INDEX(关卡奖励!$AH$6:$AH$8,MATCH($D$14,关卡奖励!$W$6:$W$8,0))*H159*IF(G159&lt;0.3,1,2)</f>
        <v>5134.8</v>
      </c>
      <c r="O159" s="12">
        <f>INDEX(关卡奖励!$AI$9:$AI$11,MATCH($D$14,关卡奖励!$W$9:$W$11,0))*((1/G159)-1)*H159</f>
        <v>433.95000000000005</v>
      </c>
      <c r="P159" s="12">
        <f>I159-N159-O159</f>
        <v>-1168.7500000000002</v>
      </c>
      <c r="Q159" s="12">
        <f>1/G159</f>
        <v>2</v>
      </c>
      <c r="R159" s="12">
        <f>IFERROR(INDEX(base_v,MATCH($F159,base_k,1)),0)*离线奖励!$C$12</f>
        <v>7200</v>
      </c>
      <c r="S159" s="12">
        <f>IFERROR(INDEX(关卡进度奖励!$I$7:$I$15,MATCH(F159,关卡进度奖励!$D$7:$D$15,0)),0)</f>
        <v>0</v>
      </c>
      <c r="T159" s="12">
        <f>AVERAGE(签到!$E$7:$E$13)*$H159</f>
        <v>9088.3047619047611</v>
      </c>
      <c r="U159" s="12">
        <f>转盘!$C$26*H159*V159/$D$13</f>
        <v>0</v>
      </c>
      <c r="V159" s="12">
        <f t="shared" si="35"/>
        <v>0</v>
      </c>
      <c r="W159" s="12">
        <f>IFERROR(MATCH(INDEX(转盘!$C$17:$F$17,1,MATCH($D$13,转盘!$C$16:$F$16,0))*MAX(F159-转盘!$C$6,0),转盘!$L$9:$L$51,1),0)</f>
        <v>7</v>
      </c>
      <c r="X159" s="12">
        <f>IFERROR(MATCH($F159,gift_k_level,0)^0,0)*进度礼包!$C$17*$H159/$D$13</f>
        <v>0</v>
      </c>
      <c r="Y159" s="12">
        <f>IFERROR(MATCH($F159,turn_k_1,0)^0,0)*转盘!$C$42*$H159/$D$13</f>
        <v>0</v>
      </c>
      <c r="Z159" s="12">
        <f>IFERROR(MATCH($F159,gift_k_level,0)^0,0)*进度礼包!$C$34*$H159/$D$13</f>
        <v>0</v>
      </c>
      <c r="AA159" s="12">
        <f>IFERROR(MATCH($F159,gift_k_time,0)^0,0)*限时礼包!$C$15*$H159/$D$13</f>
        <v>0</v>
      </c>
      <c r="AB159" s="12">
        <f>SUM(H$6:H159)</f>
        <v>287900</v>
      </c>
      <c r="AC159" s="12">
        <f>SUM(N$6:N159)+SUM($M$6:M159)</f>
        <v>548373.29999999993</v>
      </c>
      <c r="AD159" s="12">
        <f>SUM(O$6:O159)</f>
        <v>78012.572249999881</v>
      </c>
      <c r="AE159" s="12">
        <f>SUM($P$6:P159)</f>
        <v>57014.12775</v>
      </c>
      <c r="AF159" s="12">
        <f>SUM(U$6:U159)</f>
        <v>50013.207547169804</v>
      </c>
      <c r="AG159" s="12">
        <f>SUM(S$6:S159)</f>
        <v>9500</v>
      </c>
      <c r="AH159" s="12">
        <f>SUM(Y$6:Y159)</f>
        <v>433121</v>
      </c>
      <c r="AI159" s="12">
        <f>SUM(X$6:X159)</f>
        <v>37606.758342606161</v>
      </c>
      <c r="AJ159" s="12">
        <f>SUM(Z$6:Z159)</f>
        <v>121945.52586135216</v>
      </c>
      <c r="AK159" s="12">
        <f>SUM(AA$6:AA159)</f>
        <v>402149.61728160363</v>
      </c>
      <c r="AL159" s="12">
        <f>F159</f>
        <v>154</v>
      </c>
      <c r="AM159" s="12">
        <f t="shared" si="33"/>
        <v>733505.83813977567</v>
      </c>
      <c r="AN159" s="12">
        <f>SUM(I$6:I159)</f>
        <v>683400</v>
      </c>
      <c r="AO159" s="8">
        <f>SUM(Q$6:Q159)</f>
        <v>355</v>
      </c>
      <c r="AP159" s="12">
        <f t="shared" si="34"/>
        <v>50105.838139775675</v>
      </c>
      <c r="AS159" s="12">
        <v>153</v>
      </c>
      <c r="AT159" s="12">
        <v>20</v>
      </c>
      <c r="AU159" s="12">
        <f t="shared" si="39"/>
        <v>3070</v>
      </c>
      <c r="AV159" s="12">
        <f t="shared" si="40"/>
        <v>0</v>
      </c>
      <c r="AW159" s="12">
        <f>INDEX($AO$6:$AO$215,MATCH(BC159,$F$6:$F$215,0))</f>
        <v>467</v>
      </c>
      <c r="AX159" s="12">
        <f t="shared" si="41"/>
        <v>1135512.1739951316</v>
      </c>
      <c r="AY159" s="12">
        <f t="shared" si="36"/>
        <v>7650</v>
      </c>
      <c r="AZ159" s="12">
        <f t="shared" si="37"/>
        <v>10740.72380952381</v>
      </c>
      <c r="BA159" s="12">
        <f>AX159+SUM($AY$6:AY159)+SUM($AZ$6:AZ159)</f>
        <v>3872934.4597094161</v>
      </c>
      <c r="BB159" s="12">
        <f t="shared" si="42"/>
        <v>956200</v>
      </c>
      <c r="BC159" s="12">
        <f t="shared" si="43"/>
        <v>210</v>
      </c>
      <c r="BD159" s="12">
        <f t="shared" si="44"/>
        <v>0</v>
      </c>
      <c r="BE159" s="12">
        <f t="shared" si="45"/>
        <v>211</v>
      </c>
      <c r="BF159" s="12">
        <f t="shared" si="38"/>
        <v>2916734.4597094161</v>
      </c>
    </row>
    <row r="160" spans="6:58" x14ac:dyDescent="0.35">
      <c r="F160" s="12">
        <v>155</v>
      </c>
      <c r="G160" s="8">
        <f>INDEX(验算胜率!$E$6:$I$1005,F160,MATCH($D$16,验算胜率!$E$5:$I$5,0))</f>
        <v>0.5</v>
      </c>
      <c r="H160" s="12">
        <f t="shared" si="31"/>
        <v>2200</v>
      </c>
      <c r="I160" s="12">
        <f t="shared" si="32"/>
        <v>4400</v>
      </c>
      <c r="J160" s="12">
        <v>4</v>
      </c>
      <c r="K160" s="12">
        <v>0</v>
      </c>
      <c r="M160" s="12">
        <f>IF($D$16=验算胜率!$F$5,验算胜率!K160,0)*H160*关卡道具消耗!$D$8/关卡道具消耗!$D$26</f>
        <v>0</v>
      </c>
      <c r="N160" s="12">
        <f>INDEX(关卡奖励!$AH$6:$AH$8,MATCH($D$14,关卡奖励!$W$6:$W$8,0))*H160*IF(G160&lt;0.3,1,2)</f>
        <v>5134.8</v>
      </c>
      <c r="O160" s="12">
        <f>INDEX(关卡奖励!$AI$9:$AI$11,MATCH($D$14,关卡奖励!$W$9:$W$11,0))*((1/G160)-1)*H160</f>
        <v>433.95000000000005</v>
      </c>
      <c r="P160" s="12">
        <f>I160-N160-O160</f>
        <v>-1168.7500000000002</v>
      </c>
      <c r="Q160" s="12">
        <f>1/G160</f>
        <v>2</v>
      </c>
      <c r="R160" s="12">
        <f>IFERROR(INDEX(base_v,MATCH($F160,base_k,1)),0)*离线奖励!$C$12</f>
        <v>7200</v>
      </c>
      <c r="S160" s="12">
        <f>IFERROR(INDEX(关卡进度奖励!$I$7:$I$15,MATCH(F160,关卡进度奖励!$D$7:$D$15,0)),0)</f>
        <v>0</v>
      </c>
      <c r="T160" s="12">
        <f>AVERAGE(签到!$E$7:$E$13)*$H160</f>
        <v>9088.3047619047611</v>
      </c>
      <c r="U160" s="12">
        <f>转盘!$C$26*H160*V160/$D$13</f>
        <v>0</v>
      </c>
      <c r="V160" s="12">
        <f t="shared" si="35"/>
        <v>0</v>
      </c>
      <c r="W160" s="12">
        <f>IFERROR(MATCH(INDEX(转盘!$C$17:$F$17,1,MATCH($D$13,转盘!$C$16:$F$16,0))*MAX(F160-转盘!$C$6,0),转盘!$L$9:$L$51,1),0)</f>
        <v>7</v>
      </c>
      <c r="X160" s="12">
        <f>IFERROR(MATCH($F160,gift_k_level,0)^0,0)*进度礼包!$C$17*$H160/$D$13</f>
        <v>0</v>
      </c>
      <c r="Y160" s="12">
        <f>IFERROR(MATCH($F160,turn_k_1,0)^0,0)*转盘!$C$42*$H160/$D$13</f>
        <v>0</v>
      </c>
      <c r="Z160" s="12">
        <f>IFERROR(MATCH($F160,gift_k_level,0)^0,0)*进度礼包!$C$34*$H160/$D$13</f>
        <v>0</v>
      </c>
      <c r="AA160" s="12">
        <f>IFERROR(MATCH($F160,gift_k_time,0)^0,0)*限时礼包!$C$15*$H160/$D$13</f>
        <v>0</v>
      </c>
      <c r="AB160" s="12">
        <f>SUM(H$6:H160)</f>
        <v>290100</v>
      </c>
      <c r="AC160" s="12">
        <f>SUM(N$6:N160)+SUM($M$6:M160)</f>
        <v>553508.1</v>
      </c>
      <c r="AD160" s="12">
        <f>SUM(O$6:O160)</f>
        <v>78446.522249999878</v>
      </c>
      <c r="AE160" s="12">
        <f>SUM($P$6:P160)</f>
        <v>55845.37775</v>
      </c>
      <c r="AF160" s="12">
        <f>SUM(U$6:U160)</f>
        <v>50013.207547169804</v>
      </c>
      <c r="AG160" s="12">
        <f>SUM(S$6:S160)</f>
        <v>9500</v>
      </c>
      <c r="AH160" s="12">
        <f>SUM(Y$6:Y160)</f>
        <v>433121</v>
      </c>
      <c r="AI160" s="12">
        <f>SUM(X$6:X160)</f>
        <v>37606.758342606161</v>
      </c>
      <c r="AJ160" s="12">
        <f>SUM(Z$6:Z160)</f>
        <v>121945.52586135216</v>
      </c>
      <c r="AK160" s="12">
        <f>SUM(AA$6:AA160)</f>
        <v>402149.61728160363</v>
      </c>
      <c r="AL160" s="12">
        <f>F160</f>
        <v>155</v>
      </c>
      <c r="AM160" s="12">
        <f t="shared" si="33"/>
        <v>739074.58813977579</v>
      </c>
      <c r="AN160" s="12">
        <f>SUM(I$6:I160)</f>
        <v>687800</v>
      </c>
      <c r="AO160" s="8">
        <f>SUM(Q$6:Q160)</f>
        <v>357</v>
      </c>
      <c r="AP160" s="12">
        <f t="shared" si="34"/>
        <v>51274.588139775791</v>
      </c>
      <c r="AS160" s="12">
        <v>154</v>
      </c>
      <c r="AT160" s="12">
        <v>20</v>
      </c>
      <c r="AU160" s="12">
        <f t="shared" si="39"/>
        <v>3090</v>
      </c>
      <c r="AV160" s="12">
        <f t="shared" si="40"/>
        <v>0</v>
      </c>
      <c r="AW160" s="12">
        <f>INDEX($AO$6:$AO$215,MATCH(BC160,$F$6:$F$215,0))</f>
        <v>467</v>
      </c>
      <c r="AX160" s="12">
        <f t="shared" si="41"/>
        <v>1135512.1739951316</v>
      </c>
      <c r="AY160" s="12">
        <f t="shared" si="36"/>
        <v>7650</v>
      </c>
      <c r="AZ160" s="12">
        <f t="shared" si="37"/>
        <v>10740.72380952381</v>
      </c>
      <c r="BA160" s="12">
        <f>AX160+SUM($AY$6:AY160)+SUM($AZ$6:AZ160)</f>
        <v>3891325.1835189397</v>
      </c>
      <c r="BB160" s="12">
        <f t="shared" si="42"/>
        <v>956200</v>
      </c>
      <c r="BC160" s="12">
        <f t="shared" si="43"/>
        <v>210</v>
      </c>
      <c r="BD160" s="12">
        <f t="shared" si="44"/>
        <v>0</v>
      </c>
      <c r="BE160" s="12">
        <f t="shared" si="45"/>
        <v>211</v>
      </c>
      <c r="BF160" s="12">
        <f t="shared" si="38"/>
        <v>2935125.1835189397</v>
      </c>
    </row>
    <row r="161" spans="6:58" x14ac:dyDescent="0.35">
      <c r="F161" s="12">
        <v>156</v>
      </c>
      <c r="G161" s="8">
        <f>INDEX(验算胜率!$E$6:$I$1005,F161,MATCH($D$16,验算胜率!$E$5:$I$5,0))</f>
        <v>0.5</v>
      </c>
      <c r="H161" s="12">
        <f t="shared" si="31"/>
        <v>2200</v>
      </c>
      <c r="I161" s="12">
        <f t="shared" si="32"/>
        <v>4400</v>
      </c>
      <c r="J161" s="12">
        <v>4</v>
      </c>
      <c r="K161" s="12">
        <v>0</v>
      </c>
      <c r="M161" s="12">
        <f>IF($D$16=验算胜率!$F$5,验算胜率!K161,0)*H161*关卡道具消耗!$D$8/关卡道具消耗!$D$26</f>
        <v>0</v>
      </c>
      <c r="N161" s="12">
        <f>INDEX(关卡奖励!$AH$6:$AH$8,MATCH($D$14,关卡奖励!$W$6:$W$8,0))*H161*IF(G161&lt;0.3,1,2)</f>
        <v>5134.8</v>
      </c>
      <c r="O161" s="12">
        <f>INDEX(关卡奖励!$AI$9:$AI$11,MATCH($D$14,关卡奖励!$W$9:$W$11,0))*((1/G161)-1)*H161</f>
        <v>433.95000000000005</v>
      </c>
      <c r="P161" s="12">
        <f>I161-N161-O161</f>
        <v>-1168.7500000000002</v>
      </c>
      <c r="Q161" s="12">
        <f>1/G161</f>
        <v>2</v>
      </c>
      <c r="R161" s="12">
        <f>IFERROR(INDEX(base_v,MATCH($F161,base_k,1)),0)*离线奖励!$C$12</f>
        <v>7200</v>
      </c>
      <c r="S161" s="12">
        <f>IFERROR(INDEX(关卡进度奖励!$I$7:$I$15,MATCH(F161,关卡进度奖励!$D$7:$D$15,0)),0)</f>
        <v>0</v>
      </c>
      <c r="T161" s="12">
        <f>AVERAGE(签到!$E$7:$E$13)*$H161</f>
        <v>9088.3047619047611</v>
      </c>
      <c r="U161" s="12">
        <f>转盘!$C$26*H161*V161/$D$13</f>
        <v>0</v>
      </c>
      <c r="V161" s="12">
        <f t="shared" si="35"/>
        <v>0</v>
      </c>
      <c r="W161" s="12">
        <f>IFERROR(MATCH(INDEX(转盘!$C$17:$F$17,1,MATCH($D$13,转盘!$C$16:$F$16,0))*MAX(F161-转盘!$C$6,0),转盘!$L$9:$L$51,1),0)</f>
        <v>7</v>
      </c>
      <c r="X161" s="12">
        <f>IFERROR(MATCH($F161,gift_k_level,0)^0,0)*进度礼包!$C$17*$H161/$D$13</f>
        <v>0</v>
      </c>
      <c r="Y161" s="12">
        <f>IFERROR(MATCH($F161,turn_k_1,0)^0,0)*转盘!$C$42*$H161/$D$13</f>
        <v>73297.399999999994</v>
      </c>
      <c r="Z161" s="12">
        <f>IFERROR(MATCH($F161,gift_k_level,0)^0,0)*进度礼包!$C$34*$H161/$D$13</f>
        <v>0</v>
      </c>
      <c r="AA161" s="12">
        <f>IFERROR(MATCH($F161,gift_k_time,0)^0,0)*限时礼包!$C$15*$H161/$D$13</f>
        <v>0</v>
      </c>
      <c r="AB161" s="12">
        <f>SUM(H$6:H161)</f>
        <v>292300</v>
      </c>
      <c r="AC161" s="12">
        <f>SUM(N$6:N161)+SUM($M$6:M161)</f>
        <v>558642.9</v>
      </c>
      <c r="AD161" s="12">
        <f>SUM(O$6:O161)</f>
        <v>78880.472249999875</v>
      </c>
      <c r="AE161" s="12">
        <f>SUM($P$6:P161)</f>
        <v>54676.62775</v>
      </c>
      <c r="AF161" s="12">
        <f>SUM(U$6:U161)</f>
        <v>50013.207547169804</v>
      </c>
      <c r="AG161" s="12">
        <f>SUM(S$6:S161)</f>
        <v>9500</v>
      </c>
      <c r="AH161" s="12">
        <f>SUM(Y$6:Y161)</f>
        <v>506418.4</v>
      </c>
      <c r="AI161" s="12">
        <f>SUM(X$6:X161)</f>
        <v>37606.758342606161</v>
      </c>
      <c r="AJ161" s="12">
        <f>SUM(Z$6:Z161)</f>
        <v>121945.52586135216</v>
      </c>
      <c r="AK161" s="12">
        <f>SUM(AA$6:AA161)</f>
        <v>402149.61728160363</v>
      </c>
      <c r="AL161" s="12">
        <f>F161</f>
        <v>156</v>
      </c>
      <c r="AM161" s="12">
        <f t="shared" si="33"/>
        <v>744643.33813977579</v>
      </c>
      <c r="AN161" s="12">
        <f>SUM(I$6:I161)</f>
        <v>692200</v>
      </c>
      <c r="AO161" s="8">
        <f>SUM(Q$6:Q161)</f>
        <v>359</v>
      </c>
      <c r="AP161" s="12">
        <f t="shared" si="34"/>
        <v>52443.338139775791</v>
      </c>
      <c r="AS161" s="12">
        <v>155</v>
      </c>
      <c r="AT161" s="12">
        <v>20</v>
      </c>
      <c r="AU161" s="12">
        <f t="shared" si="39"/>
        <v>3110</v>
      </c>
      <c r="AV161" s="12">
        <f t="shared" si="40"/>
        <v>0</v>
      </c>
      <c r="AW161" s="12">
        <f>INDEX($AO$6:$AO$215,MATCH(BC161,$F$6:$F$215,0))</f>
        <v>467</v>
      </c>
      <c r="AX161" s="12">
        <f t="shared" si="41"/>
        <v>1135512.1739951316</v>
      </c>
      <c r="AY161" s="12">
        <f t="shared" si="36"/>
        <v>7650</v>
      </c>
      <c r="AZ161" s="12">
        <f t="shared" si="37"/>
        <v>10740.72380952381</v>
      </c>
      <c r="BA161" s="12">
        <f>AX161+SUM($AY$6:AY161)+SUM($AZ$6:AZ161)</f>
        <v>3909715.9073284632</v>
      </c>
      <c r="BB161" s="12">
        <f t="shared" si="42"/>
        <v>956200</v>
      </c>
      <c r="BC161" s="12">
        <f t="shared" si="43"/>
        <v>210</v>
      </c>
      <c r="BD161" s="12">
        <f t="shared" si="44"/>
        <v>0</v>
      </c>
      <c r="BE161" s="12">
        <f t="shared" si="45"/>
        <v>211</v>
      </c>
      <c r="BF161" s="12">
        <f t="shared" si="38"/>
        <v>2953515.9073284632</v>
      </c>
    </row>
    <row r="162" spans="6:58" x14ac:dyDescent="0.35">
      <c r="F162" s="12">
        <v>157</v>
      </c>
      <c r="G162" s="8">
        <f>INDEX(验算胜率!$E$6:$I$1005,F162,MATCH($D$16,验算胜率!$E$5:$I$5,0))</f>
        <v>0.5</v>
      </c>
      <c r="H162" s="12">
        <f t="shared" si="31"/>
        <v>2200</v>
      </c>
      <c r="I162" s="12">
        <f t="shared" si="32"/>
        <v>4400</v>
      </c>
      <c r="J162" s="12">
        <v>4</v>
      </c>
      <c r="K162" s="12">
        <v>0</v>
      </c>
      <c r="M162" s="12">
        <f>IF($D$16=验算胜率!$F$5,验算胜率!K162,0)*H162*关卡道具消耗!$D$8/关卡道具消耗!$D$26</f>
        <v>0</v>
      </c>
      <c r="N162" s="12">
        <f>INDEX(关卡奖励!$AH$6:$AH$8,MATCH($D$14,关卡奖励!$W$6:$W$8,0))*H162*IF(G162&lt;0.3,1,2)</f>
        <v>5134.8</v>
      </c>
      <c r="O162" s="12">
        <f>INDEX(关卡奖励!$AI$9:$AI$11,MATCH($D$14,关卡奖励!$W$9:$W$11,0))*((1/G162)-1)*H162</f>
        <v>433.95000000000005</v>
      </c>
      <c r="P162" s="12">
        <f>I162-N162-O162</f>
        <v>-1168.7500000000002</v>
      </c>
      <c r="Q162" s="12">
        <f>1/G162</f>
        <v>2</v>
      </c>
      <c r="R162" s="12">
        <f>IFERROR(INDEX(base_v,MATCH($F162,base_k,1)),0)*离线奖励!$C$12</f>
        <v>7200</v>
      </c>
      <c r="S162" s="12">
        <f>IFERROR(INDEX(关卡进度奖励!$I$7:$I$15,MATCH(F162,关卡进度奖励!$D$7:$D$15,0)),0)</f>
        <v>0</v>
      </c>
      <c r="T162" s="12">
        <f>AVERAGE(签到!$E$7:$E$13)*$H162</f>
        <v>9088.3047619047611</v>
      </c>
      <c r="U162" s="12">
        <f>转盘!$C$26*H162*V162/$D$13</f>
        <v>8463.7735849056589</v>
      </c>
      <c r="V162" s="12">
        <f t="shared" si="35"/>
        <v>1</v>
      </c>
      <c r="W162" s="12">
        <f>IFERROR(MATCH(INDEX(转盘!$C$17:$F$17,1,MATCH($D$13,转盘!$C$16:$F$16,0))*MAX(F162-转盘!$C$6,0),转盘!$L$9:$L$51,1),0)</f>
        <v>8</v>
      </c>
      <c r="X162" s="12">
        <f>IFERROR(MATCH($F162,gift_k_level,0)^0,0)*进度礼包!$C$17*$H162/$D$13</f>
        <v>0</v>
      </c>
      <c r="Y162" s="12">
        <f>IFERROR(MATCH($F162,turn_k_1,0)^0,0)*转盘!$C$42*$H162/$D$13</f>
        <v>0</v>
      </c>
      <c r="Z162" s="12">
        <f>IFERROR(MATCH($F162,gift_k_level,0)^0,0)*进度礼包!$C$34*$H162/$D$13</f>
        <v>0</v>
      </c>
      <c r="AA162" s="12">
        <f>IFERROR(MATCH($F162,gift_k_time,0)^0,0)*限时礼包!$C$15*$H162/$D$13</f>
        <v>65535.493186631706</v>
      </c>
      <c r="AB162" s="12">
        <f>SUM(H$6:H162)</f>
        <v>294500</v>
      </c>
      <c r="AC162" s="12">
        <f>SUM(N$6:N162)+SUM($M$6:M162)</f>
        <v>563777.70000000007</v>
      </c>
      <c r="AD162" s="12">
        <f>SUM(O$6:O162)</f>
        <v>79314.422249999872</v>
      </c>
      <c r="AE162" s="12">
        <f>SUM($P$6:P162)</f>
        <v>53507.87775</v>
      </c>
      <c r="AF162" s="12">
        <f>SUM(U$6:U162)</f>
        <v>58476.981132075467</v>
      </c>
      <c r="AG162" s="12">
        <f>SUM(S$6:S162)</f>
        <v>9500</v>
      </c>
      <c r="AH162" s="12">
        <f>SUM(Y$6:Y162)</f>
        <v>506418.4</v>
      </c>
      <c r="AI162" s="12">
        <f>SUM(X$6:X162)</f>
        <v>37606.758342606161</v>
      </c>
      <c r="AJ162" s="12">
        <f>SUM(Z$6:Z162)</f>
        <v>121945.52586135216</v>
      </c>
      <c r="AK162" s="12">
        <f>SUM(AA$6:AA162)</f>
        <v>467685.11046823533</v>
      </c>
      <c r="AL162" s="12">
        <f>F162</f>
        <v>157</v>
      </c>
      <c r="AM162" s="12">
        <f t="shared" si="33"/>
        <v>758675.86172468145</v>
      </c>
      <c r="AN162" s="12">
        <f>SUM(I$6:I162)</f>
        <v>696600</v>
      </c>
      <c r="AO162" s="8">
        <f>SUM(Q$6:Q162)</f>
        <v>361</v>
      </c>
      <c r="AP162" s="12">
        <f t="shared" si="34"/>
        <v>62075.861724681454</v>
      </c>
      <c r="AS162" s="12">
        <v>156</v>
      </c>
      <c r="AT162" s="12">
        <v>20</v>
      </c>
      <c r="AU162" s="12">
        <f t="shared" si="39"/>
        <v>3130</v>
      </c>
      <c r="AV162" s="12">
        <f t="shared" si="40"/>
        <v>0</v>
      </c>
      <c r="AW162" s="12">
        <f>INDEX($AO$6:$AO$215,MATCH(BC162,$F$6:$F$215,0))</f>
        <v>467</v>
      </c>
      <c r="AX162" s="12">
        <f t="shared" si="41"/>
        <v>1135512.1739951316</v>
      </c>
      <c r="AY162" s="12">
        <f t="shared" si="36"/>
        <v>7650</v>
      </c>
      <c r="AZ162" s="12">
        <f t="shared" si="37"/>
        <v>10740.72380952381</v>
      </c>
      <c r="BA162" s="12">
        <f>AX162+SUM($AY$6:AY162)+SUM($AZ$6:AZ162)</f>
        <v>3928106.6311379871</v>
      </c>
      <c r="BB162" s="12">
        <f t="shared" si="42"/>
        <v>956200</v>
      </c>
      <c r="BC162" s="12">
        <f t="shared" si="43"/>
        <v>210</v>
      </c>
      <c r="BD162" s="12">
        <f t="shared" si="44"/>
        <v>0</v>
      </c>
      <c r="BE162" s="12">
        <f t="shared" si="45"/>
        <v>211</v>
      </c>
      <c r="BF162" s="12">
        <f t="shared" si="38"/>
        <v>2971906.6311379871</v>
      </c>
    </row>
    <row r="163" spans="6:58" x14ac:dyDescent="0.35">
      <c r="F163" s="12">
        <v>158</v>
      </c>
      <c r="G163" s="8">
        <f>INDEX(验算胜率!$E$6:$I$1005,F163,MATCH($D$16,验算胜率!$E$5:$I$5,0))</f>
        <v>0.5</v>
      </c>
      <c r="H163" s="12">
        <f t="shared" si="31"/>
        <v>2200</v>
      </c>
      <c r="I163" s="12">
        <f t="shared" si="32"/>
        <v>4400</v>
      </c>
      <c r="J163" s="12">
        <v>4</v>
      </c>
      <c r="K163" s="12">
        <v>0</v>
      </c>
      <c r="M163" s="12">
        <f>IF($D$16=验算胜率!$F$5,验算胜率!K163,0)*H163*关卡道具消耗!$D$8/关卡道具消耗!$D$26</f>
        <v>0</v>
      </c>
      <c r="N163" s="12">
        <f>INDEX(关卡奖励!$AH$6:$AH$8,MATCH($D$14,关卡奖励!$W$6:$W$8,0))*H163*IF(G163&lt;0.3,1,2)</f>
        <v>5134.8</v>
      </c>
      <c r="O163" s="12">
        <f>INDEX(关卡奖励!$AI$9:$AI$11,MATCH($D$14,关卡奖励!$W$9:$W$11,0))*((1/G163)-1)*H163</f>
        <v>433.95000000000005</v>
      </c>
      <c r="P163" s="12">
        <f>I163-N163-O163</f>
        <v>-1168.7500000000002</v>
      </c>
      <c r="Q163" s="12">
        <f>1/G163</f>
        <v>2</v>
      </c>
      <c r="R163" s="12">
        <f>IFERROR(INDEX(base_v,MATCH($F163,base_k,1)),0)*离线奖励!$C$12</f>
        <v>7200</v>
      </c>
      <c r="S163" s="12">
        <f>IFERROR(INDEX(关卡进度奖励!$I$7:$I$15,MATCH(F163,关卡进度奖励!$D$7:$D$15,0)),0)</f>
        <v>0</v>
      </c>
      <c r="T163" s="12">
        <f>AVERAGE(签到!$E$7:$E$13)*$H163</f>
        <v>9088.3047619047611</v>
      </c>
      <c r="U163" s="12">
        <f>转盘!$C$26*H163*V163/$D$13</f>
        <v>0</v>
      </c>
      <c r="V163" s="12">
        <f t="shared" si="35"/>
        <v>0</v>
      </c>
      <c r="W163" s="12">
        <f>IFERROR(MATCH(INDEX(转盘!$C$17:$F$17,1,MATCH($D$13,转盘!$C$16:$F$16,0))*MAX(F163-转盘!$C$6,0),转盘!$L$9:$L$51,1),0)</f>
        <v>8</v>
      </c>
      <c r="X163" s="12">
        <f>IFERROR(MATCH($F163,gift_k_level,0)^0,0)*进度礼包!$C$17*$H163/$D$13</f>
        <v>0</v>
      </c>
      <c r="Y163" s="12">
        <f>IFERROR(MATCH($F163,turn_k_1,0)^0,0)*转盘!$C$42*$H163/$D$13</f>
        <v>0</v>
      </c>
      <c r="Z163" s="12">
        <f>IFERROR(MATCH($F163,gift_k_level,0)^0,0)*进度礼包!$C$34*$H163/$D$13</f>
        <v>0</v>
      </c>
      <c r="AA163" s="12">
        <f>IFERROR(MATCH($F163,gift_k_time,0)^0,0)*限时礼包!$C$15*$H163/$D$13</f>
        <v>0</v>
      </c>
      <c r="AB163" s="12">
        <f>SUM(H$6:H163)</f>
        <v>296700</v>
      </c>
      <c r="AC163" s="12">
        <f>SUM(N$6:N163)+SUM($M$6:M163)</f>
        <v>568912.50000000012</v>
      </c>
      <c r="AD163" s="12">
        <f>SUM(O$6:O163)</f>
        <v>79748.372249999869</v>
      </c>
      <c r="AE163" s="12">
        <f>SUM($P$6:P163)</f>
        <v>52339.12775</v>
      </c>
      <c r="AF163" s="12">
        <f>SUM(U$6:U163)</f>
        <v>58476.981132075467</v>
      </c>
      <c r="AG163" s="12">
        <f>SUM(S$6:S163)</f>
        <v>9500</v>
      </c>
      <c r="AH163" s="12">
        <f>SUM(Y$6:Y163)</f>
        <v>506418.4</v>
      </c>
      <c r="AI163" s="12">
        <f>SUM(X$6:X163)</f>
        <v>37606.758342606161</v>
      </c>
      <c r="AJ163" s="12">
        <f>SUM(Z$6:Z163)</f>
        <v>121945.52586135216</v>
      </c>
      <c r="AK163" s="12">
        <f>SUM(AA$6:AA163)</f>
        <v>467685.11046823533</v>
      </c>
      <c r="AL163" s="12">
        <f>F163</f>
        <v>158</v>
      </c>
      <c r="AM163" s="12">
        <f t="shared" si="33"/>
        <v>764244.61172468157</v>
      </c>
      <c r="AN163" s="12">
        <f>SUM(I$6:I163)</f>
        <v>701000</v>
      </c>
      <c r="AO163" s="8">
        <f>SUM(Q$6:Q163)</f>
        <v>363</v>
      </c>
      <c r="AP163" s="12">
        <f t="shared" si="34"/>
        <v>63244.61172468157</v>
      </c>
      <c r="AS163" s="12">
        <v>157</v>
      </c>
      <c r="AT163" s="12">
        <v>20</v>
      </c>
      <c r="AU163" s="12">
        <f t="shared" si="39"/>
        <v>3150</v>
      </c>
      <c r="AV163" s="12">
        <f t="shared" si="40"/>
        <v>0</v>
      </c>
      <c r="AW163" s="12">
        <f>INDEX($AO$6:$AO$215,MATCH(BC163,$F$6:$F$215,0))</f>
        <v>467</v>
      </c>
      <c r="AX163" s="12">
        <f t="shared" si="41"/>
        <v>1135512.1739951316</v>
      </c>
      <c r="AY163" s="12">
        <f t="shared" si="36"/>
        <v>7650</v>
      </c>
      <c r="AZ163" s="12">
        <f t="shared" si="37"/>
        <v>10740.72380952381</v>
      </c>
      <c r="BA163" s="12">
        <f>AX163+SUM($AY$6:AY163)+SUM($AZ$6:AZ163)</f>
        <v>3946497.3549475111</v>
      </c>
      <c r="BB163" s="12">
        <f t="shared" si="42"/>
        <v>956200</v>
      </c>
      <c r="BC163" s="12">
        <f t="shared" si="43"/>
        <v>210</v>
      </c>
      <c r="BD163" s="12">
        <f t="shared" si="44"/>
        <v>0</v>
      </c>
      <c r="BE163" s="12">
        <f t="shared" si="45"/>
        <v>211</v>
      </c>
      <c r="BF163" s="12">
        <f t="shared" si="38"/>
        <v>2990297.3549475111</v>
      </c>
    </row>
    <row r="164" spans="6:58" x14ac:dyDescent="0.35">
      <c r="F164" s="12">
        <v>159</v>
      </c>
      <c r="G164" s="8">
        <f>INDEX(验算胜率!$E$6:$I$1005,F164,MATCH($D$16,验算胜率!$E$5:$I$5,0))</f>
        <v>0.5</v>
      </c>
      <c r="H164" s="12">
        <f t="shared" si="31"/>
        <v>2200</v>
      </c>
      <c r="I164" s="12">
        <f t="shared" si="32"/>
        <v>4400</v>
      </c>
      <c r="J164" s="12">
        <v>4</v>
      </c>
      <c r="K164" s="12">
        <v>0</v>
      </c>
      <c r="M164" s="12">
        <f>IF($D$16=验算胜率!$F$5,验算胜率!K164,0)*H164*关卡道具消耗!$D$8/关卡道具消耗!$D$26</f>
        <v>0</v>
      </c>
      <c r="N164" s="12">
        <f>INDEX(关卡奖励!$AH$6:$AH$8,MATCH($D$14,关卡奖励!$W$6:$W$8,0))*H164*IF(G164&lt;0.3,1,2)</f>
        <v>5134.8</v>
      </c>
      <c r="O164" s="12">
        <f>INDEX(关卡奖励!$AI$9:$AI$11,MATCH($D$14,关卡奖励!$W$9:$W$11,0))*((1/G164)-1)*H164</f>
        <v>433.95000000000005</v>
      </c>
      <c r="P164" s="12">
        <f>I164-N164-O164</f>
        <v>-1168.7500000000002</v>
      </c>
      <c r="Q164" s="12">
        <f>1/G164</f>
        <v>2</v>
      </c>
      <c r="R164" s="12">
        <f>IFERROR(INDEX(base_v,MATCH($F164,base_k,1)),0)*离线奖励!$C$12</f>
        <v>7200</v>
      </c>
      <c r="S164" s="12">
        <f>IFERROR(INDEX(关卡进度奖励!$I$7:$I$15,MATCH(F164,关卡进度奖励!$D$7:$D$15,0)),0)</f>
        <v>0</v>
      </c>
      <c r="T164" s="12">
        <f>AVERAGE(签到!$E$7:$E$13)*$H164</f>
        <v>9088.3047619047611</v>
      </c>
      <c r="U164" s="12">
        <f>转盘!$C$26*H164*V164/$D$13</f>
        <v>0</v>
      </c>
      <c r="V164" s="12">
        <f t="shared" si="35"/>
        <v>0</v>
      </c>
      <c r="W164" s="12">
        <f>IFERROR(MATCH(INDEX(转盘!$C$17:$F$17,1,MATCH($D$13,转盘!$C$16:$F$16,0))*MAX(F164-转盘!$C$6,0),转盘!$L$9:$L$51,1),0)</f>
        <v>8</v>
      </c>
      <c r="X164" s="12">
        <f>IFERROR(MATCH($F164,gift_k_level,0)^0,0)*进度礼包!$C$17*$H164/$D$13</f>
        <v>0</v>
      </c>
      <c r="Y164" s="12">
        <f>IFERROR(MATCH($F164,turn_k_1,0)^0,0)*转盘!$C$42*$H164/$D$13</f>
        <v>0</v>
      </c>
      <c r="Z164" s="12">
        <f>IFERROR(MATCH($F164,gift_k_level,0)^0,0)*进度礼包!$C$34*$H164/$D$13</f>
        <v>0</v>
      </c>
      <c r="AA164" s="12">
        <f>IFERROR(MATCH($F164,gift_k_time,0)^0,0)*限时礼包!$C$15*$H164/$D$13</f>
        <v>0</v>
      </c>
      <c r="AB164" s="12">
        <f>SUM(H$6:H164)</f>
        <v>298900</v>
      </c>
      <c r="AC164" s="12">
        <f>SUM(N$6:N164)+SUM($M$6:M164)</f>
        <v>574047.30000000016</v>
      </c>
      <c r="AD164" s="12">
        <f>SUM(O$6:O164)</f>
        <v>80182.322249999866</v>
      </c>
      <c r="AE164" s="12">
        <f>SUM($P$6:P164)</f>
        <v>51170.37775</v>
      </c>
      <c r="AF164" s="12">
        <f>SUM(U$6:U164)</f>
        <v>58476.981132075467</v>
      </c>
      <c r="AG164" s="12">
        <f>SUM(S$6:S164)</f>
        <v>9500</v>
      </c>
      <c r="AH164" s="12">
        <f>SUM(Y$6:Y164)</f>
        <v>506418.4</v>
      </c>
      <c r="AI164" s="12">
        <f>SUM(X$6:X164)</f>
        <v>37606.758342606161</v>
      </c>
      <c r="AJ164" s="12">
        <f>SUM(Z$6:Z164)</f>
        <v>121945.52586135216</v>
      </c>
      <c r="AK164" s="12">
        <f>SUM(AA$6:AA164)</f>
        <v>467685.11046823533</v>
      </c>
      <c r="AL164" s="12">
        <f>F164</f>
        <v>159</v>
      </c>
      <c r="AM164" s="12">
        <f t="shared" si="33"/>
        <v>769813.36172468157</v>
      </c>
      <c r="AN164" s="12">
        <f>SUM(I$6:I164)</f>
        <v>705400</v>
      </c>
      <c r="AO164" s="8">
        <f>SUM(Q$6:Q164)</f>
        <v>365</v>
      </c>
      <c r="AP164" s="12">
        <f t="shared" si="34"/>
        <v>64413.36172468157</v>
      </c>
      <c r="AS164" s="12">
        <v>158</v>
      </c>
      <c r="AT164" s="12">
        <v>20</v>
      </c>
      <c r="AU164" s="12">
        <f t="shared" si="39"/>
        <v>3170</v>
      </c>
      <c r="AV164" s="12">
        <f t="shared" si="40"/>
        <v>0</v>
      </c>
      <c r="AW164" s="12">
        <f>INDEX($AO$6:$AO$215,MATCH(BC164,$F$6:$F$215,0))</f>
        <v>467</v>
      </c>
      <c r="AX164" s="12">
        <f t="shared" si="41"/>
        <v>1135512.1739951316</v>
      </c>
      <c r="AY164" s="12">
        <f t="shared" si="36"/>
        <v>7650</v>
      </c>
      <c r="AZ164" s="12">
        <f t="shared" si="37"/>
        <v>10740.72380952381</v>
      </c>
      <c r="BA164" s="12">
        <f>AX164+SUM($AY$6:AY164)+SUM($AZ$6:AZ164)</f>
        <v>3964888.0787570346</v>
      </c>
      <c r="BB164" s="12">
        <f t="shared" si="42"/>
        <v>956200</v>
      </c>
      <c r="BC164" s="12">
        <f t="shared" si="43"/>
        <v>210</v>
      </c>
      <c r="BD164" s="12">
        <f t="shared" si="44"/>
        <v>0</v>
      </c>
      <c r="BE164" s="12">
        <f t="shared" si="45"/>
        <v>211</v>
      </c>
      <c r="BF164" s="12">
        <f t="shared" si="38"/>
        <v>3008688.0787570346</v>
      </c>
    </row>
    <row r="165" spans="6:58" x14ac:dyDescent="0.35">
      <c r="F165" s="12">
        <v>160</v>
      </c>
      <c r="G165" s="8">
        <f>INDEX(验算胜率!$E$6:$I$1005,F165,MATCH($D$16,验算胜率!$E$5:$I$5,0))</f>
        <v>0.5</v>
      </c>
      <c r="H165" s="12">
        <f t="shared" si="31"/>
        <v>2200</v>
      </c>
      <c r="I165" s="12">
        <f t="shared" si="32"/>
        <v>4400</v>
      </c>
      <c r="J165" s="12">
        <v>4</v>
      </c>
      <c r="K165" s="12">
        <v>0</v>
      </c>
      <c r="M165" s="12">
        <f>IF($D$16=验算胜率!$F$5,验算胜率!K165,0)*H165*关卡道具消耗!$D$8/关卡道具消耗!$D$26</f>
        <v>0</v>
      </c>
      <c r="N165" s="12">
        <f>INDEX(关卡奖励!$AH$6:$AH$8,MATCH($D$14,关卡奖励!$W$6:$W$8,0))*H165*IF(G165&lt;0.3,1,2)</f>
        <v>5134.8</v>
      </c>
      <c r="O165" s="12">
        <f>INDEX(关卡奖励!$AI$9:$AI$11,MATCH($D$14,关卡奖励!$W$9:$W$11,0))*((1/G165)-1)*H165</f>
        <v>433.95000000000005</v>
      </c>
      <c r="P165" s="12">
        <f>I165-N165-O165</f>
        <v>-1168.7500000000002</v>
      </c>
      <c r="Q165" s="12">
        <f>1/G165</f>
        <v>2</v>
      </c>
      <c r="R165" s="12">
        <f>IFERROR(INDEX(base_v,MATCH($F165,base_k,1)),0)*离线奖励!$C$12</f>
        <v>7200</v>
      </c>
      <c r="S165" s="12">
        <f>IFERROR(INDEX(关卡进度奖励!$I$7:$I$15,MATCH(F165,关卡进度奖励!$D$7:$D$15,0)),0)</f>
        <v>0</v>
      </c>
      <c r="T165" s="12">
        <f>AVERAGE(签到!$E$7:$E$13)*$H165</f>
        <v>9088.3047619047611</v>
      </c>
      <c r="U165" s="12">
        <f>转盘!$C$26*H165*V165/$D$13</f>
        <v>0</v>
      </c>
      <c r="V165" s="12">
        <f t="shared" si="35"/>
        <v>0</v>
      </c>
      <c r="W165" s="12">
        <f>IFERROR(MATCH(INDEX(转盘!$C$17:$F$17,1,MATCH($D$13,转盘!$C$16:$F$16,0))*MAX(F165-转盘!$C$6,0),转盘!$L$9:$L$51,1),0)</f>
        <v>8</v>
      </c>
      <c r="X165" s="12">
        <f>IFERROR(MATCH($F165,gift_k_level,0)^0,0)*进度礼包!$C$17*$H165/$D$13</f>
        <v>0</v>
      </c>
      <c r="Y165" s="12">
        <f>IFERROR(MATCH($F165,turn_k_1,0)^0,0)*转盘!$C$42*$H165/$D$13</f>
        <v>0</v>
      </c>
      <c r="Z165" s="12">
        <f>IFERROR(MATCH($F165,gift_k_level,0)^0,0)*进度礼包!$C$34*$H165/$D$13</f>
        <v>0</v>
      </c>
      <c r="AA165" s="12">
        <f>IFERROR(MATCH($F165,gift_k_time,0)^0,0)*限时礼包!$C$15*$H165/$D$13</f>
        <v>0</v>
      </c>
      <c r="AB165" s="12">
        <f>SUM(H$6:H165)</f>
        <v>301100</v>
      </c>
      <c r="AC165" s="12">
        <f>SUM(N$6:N165)+SUM($M$6:M165)</f>
        <v>579182.10000000021</v>
      </c>
      <c r="AD165" s="12">
        <f>SUM(O$6:O165)</f>
        <v>80616.272249999864</v>
      </c>
      <c r="AE165" s="12">
        <f>SUM($P$6:P165)</f>
        <v>50001.62775</v>
      </c>
      <c r="AF165" s="12">
        <f>SUM(U$6:U165)</f>
        <v>58476.981132075467</v>
      </c>
      <c r="AG165" s="12">
        <f>SUM(S$6:S165)</f>
        <v>9500</v>
      </c>
      <c r="AH165" s="12">
        <f>SUM(Y$6:Y165)</f>
        <v>506418.4</v>
      </c>
      <c r="AI165" s="12">
        <f>SUM(X$6:X165)</f>
        <v>37606.758342606161</v>
      </c>
      <c r="AJ165" s="12">
        <f>SUM(Z$6:Z165)</f>
        <v>121945.52586135216</v>
      </c>
      <c r="AK165" s="12">
        <f>SUM(AA$6:AA165)</f>
        <v>467685.11046823533</v>
      </c>
      <c r="AL165" s="12">
        <f>F165</f>
        <v>160</v>
      </c>
      <c r="AM165" s="12">
        <f t="shared" si="33"/>
        <v>775382.11172468157</v>
      </c>
      <c r="AN165" s="12">
        <f>SUM(I$6:I165)</f>
        <v>709800</v>
      </c>
      <c r="AO165" s="8">
        <f>SUM(Q$6:Q165)</f>
        <v>367</v>
      </c>
      <c r="AP165" s="12">
        <f t="shared" si="34"/>
        <v>65582.11172468157</v>
      </c>
      <c r="AS165" s="12">
        <v>159</v>
      </c>
      <c r="AT165" s="12">
        <v>20</v>
      </c>
      <c r="AU165" s="12">
        <f t="shared" si="39"/>
        <v>3190</v>
      </c>
      <c r="AV165" s="12">
        <f t="shared" si="40"/>
        <v>0</v>
      </c>
      <c r="AW165" s="12">
        <f>INDEX($AO$6:$AO$215,MATCH(BC165,$F$6:$F$215,0))</f>
        <v>467</v>
      </c>
      <c r="AX165" s="12">
        <f t="shared" si="41"/>
        <v>1135512.1739951316</v>
      </c>
      <c r="AY165" s="12">
        <f t="shared" si="36"/>
        <v>7650</v>
      </c>
      <c r="AZ165" s="12">
        <f t="shared" si="37"/>
        <v>10740.72380952381</v>
      </c>
      <c r="BA165" s="12">
        <f>AX165+SUM($AY$6:AY165)+SUM($AZ$6:AZ165)</f>
        <v>3983278.8025665581</v>
      </c>
      <c r="BB165" s="12">
        <f t="shared" si="42"/>
        <v>956200</v>
      </c>
      <c r="BC165" s="12">
        <f t="shared" si="43"/>
        <v>210</v>
      </c>
      <c r="BD165" s="12">
        <f t="shared" si="44"/>
        <v>0</v>
      </c>
      <c r="BE165" s="12">
        <f t="shared" si="45"/>
        <v>211</v>
      </c>
      <c r="BF165" s="12">
        <f t="shared" si="38"/>
        <v>3027078.8025665581</v>
      </c>
    </row>
    <row r="166" spans="6:58" x14ac:dyDescent="0.35">
      <c r="F166" s="12">
        <v>161</v>
      </c>
      <c r="G166" s="8">
        <f>INDEX(验算胜率!$E$6:$I$1005,F166,MATCH($D$16,验算胜率!$E$5:$I$5,0))</f>
        <v>0.5</v>
      </c>
      <c r="H166" s="12">
        <f t="shared" si="31"/>
        <v>2200</v>
      </c>
      <c r="I166" s="12">
        <f t="shared" si="32"/>
        <v>4400</v>
      </c>
      <c r="J166" s="12">
        <v>4</v>
      </c>
      <c r="K166" s="12">
        <v>0</v>
      </c>
      <c r="M166" s="12">
        <f>IF($D$16=验算胜率!$F$5,验算胜率!K166,0)*H166*关卡道具消耗!$D$8/关卡道具消耗!$D$26</f>
        <v>0</v>
      </c>
      <c r="N166" s="12">
        <f>INDEX(关卡奖励!$AH$6:$AH$8,MATCH($D$14,关卡奖励!$W$6:$W$8,0))*H166*IF(G166&lt;0.3,1,2)</f>
        <v>5134.8</v>
      </c>
      <c r="O166" s="12">
        <f>INDEX(关卡奖励!$AI$9:$AI$11,MATCH($D$14,关卡奖励!$W$9:$W$11,0))*((1/G166)-1)*H166</f>
        <v>433.95000000000005</v>
      </c>
      <c r="P166" s="12">
        <f>I166-N166-O166</f>
        <v>-1168.7500000000002</v>
      </c>
      <c r="Q166" s="12">
        <f>1/G166</f>
        <v>2</v>
      </c>
      <c r="R166" s="12">
        <f>IFERROR(INDEX(base_v,MATCH($F166,base_k,1)),0)*离线奖励!$C$12</f>
        <v>7200</v>
      </c>
      <c r="S166" s="12">
        <f>IFERROR(INDEX(关卡进度奖励!$I$7:$I$15,MATCH(F166,关卡进度奖励!$D$7:$D$15,0)),0)</f>
        <v>0</v>
      </c>
      <c r="T166" s="12">
        <f>AVERAGE(签到!$E$7:$E$13)*$H166</f>
        <v>9088.3047619047611</v>
      </c>
      <c r="U166" s="12">
        <f>转盘!$C$26*H166*V166/$D$13</f>
        <v>0</v>
      </c>
      <c r="V166" s="12">
        <f t="shared" si="35"/>
        <v>0</v>
      </c>
      <c r="W166" s="12">
        <f>IFERROR(MATCH(INDEX(转盘!$C$17:$F$17,1,MATCH($D$13,转盘!$C$16:$F$16,0))*MAX(F166-转盘!$C$6,0),转盘!$L$9:$L$51,1),0)</f>
        <v>8</v>
      </c>
      <c r="X166" s="12">
        <f>IFERROR(MATCH($F166,gift_k_level,0)^0,0)*进度礼包!$C$17*$H166/$D$13</f>
        <v>0</v>
      </c>
      <c r="Y166" s="12">
        <f>IFERROR(MATCH($F166,turn_k_1,0)^0,0)*转盘!$C$42*$H166/$D$13</f>
        <v>0</v>
      </c>
      <c r="Z166" s="12">
        <f>IFERROR(MATCH($F166,gift_k_level,0)^0,0)*进度礼包!$C$34*$H166/$D$13</f>
        <v>0</v>
      </c>
      <c r="AA166" s="12">
        <f>IFERROR(MATCH($F166,gift_k_time,0)^0,0)*限时礼包!$C$15*$H166/$D$13</f>
        <v>0</v>
      </c>
      <c r="AB166" s="12">
        <f>SUM(H$6:H166)</f>
        <v>303300</v>
      </c>
      <c r="AC166" s="12">
        <f>SUM(N$6:N166)+SUM($M$6:M166)</f>
        <v>584316.90000000026</v>
      </c>
      <c r="AD166" s="12">
        <f>SUM(O$6:O166)</f>
        <v>81050.222249999861</v>
      </c>
      <c r="AE166" s="12">
        <f>SUM($P$6:P166)</f>
        <v>48832.87775</v>
      </c>
      <c r="AF166" s="12">
        <f>SUM(U$6:U166)</f>
        <v>58476.981132075467</v>
      </c>
      <c r="AG166" s="12">
        <f>SUM(S$6:S166)</f>
        <v>9500</v>
      </c>
      <c r="AH166" s="12">
        <f>SUM(Y$6:Y166)</f>
        <v>506418.4</v>
      </c>
      <c r="AI166" s="12">
        <f>SUM(X$6:X166)</f>
        <v>37606.758342606161</v>
      </c>
      <c r="AJ166" s="12">
        <f>SUM(Z$6:Z166)</f>
        <v>121945.52586135216</v>
      </c>
      <c r="AK166" s="12">
        <f>SUM(AA$6:AA166)</f>
        <v>467685.11046823533</v>
      </c>
      <c r="AL166" s="12">
        <f>F166</f>
        <v>161</v>
      </c>
      <c r="AM166" s="12">
        <f t="shared" si="33"/>
        <v>780950.86172468169</v>
      </c>
      <c r="AN166" s="12">
        <f>SUM(I$6:I166)</f>
        <v>714200</v>
      </c>
      <c r="AO166" s="8">
        <f>SUM(Q$6:Q166)</f>
        <v>369</v>
      </c>
      <c r="AP166" s="12">
        <f t="shared" si="34"/>
        <v>66750.861724681687</v>
      </c>
      <c r="AS166" s="12">
        <v>160</v>
      </c>
      <c r="AT166" s="12">
        <v>20</v>
      </c>
      <c r="AU166" s="12">
        <f t="shared" si="39"/>
        <v>3210</v>
      </c>
      <c r="AV166" s="12">
        <f t="shared" si="40"/>
        <v>0</v>
      </c>
      <c r="AW166" s="12">
        <f>INDEX($AO$6:$AO$215,MATCH(BC166,$F$6:$F$215,0))</f>
        <v>467</v>
      </c>
      <c r="AX166" s="12">
        <f t="shared" si="41"/>
        <v>1135512.1739951316</v>
      </c>
      <c r="AY166" s="12">
        <f t="shared" si="36"/>
        <v>7650</v>
      </c>
      <c r="AZ166" s="12">
        <f t="shared" si="37"/>
        <v>10740.72380952381</v>
      </c>
      <c r="BA166" s="12">
        <f>AX166+SUM($AY$6:AY166)+SUM($AZ$6:AZ166)</f>
        <v>4001669.5263760821</v>
      </c>
      <c r="BB166" s="12">
        <f t="shared" si="42"/>
        <v>956200</v>
      </c>
      <c r="BC166" s="12">
        <f t="shared" si="43"/>
        <v>210</v>
      </c>
      <c r="BD166" s="12">
        <f t="shared" si="44"/>
        <v>0</v>
      </c>
      <c r="BE166" s="12">
        <f t="shared" si="45"/>
        <v>211</v>
      </c>
      <c r="BF166" s="12">
        <f t="shared" si="38"/>
        <v>3045469.5263760821</v>
      </c>
    </row>
    <row r="167" spans="6:58" x14ac:dyDescent="0.35">
      <c r="F167" s="12">
        <v>162</v>
      </c>
      <c r="G167" s="8">
        <f>INDEX(验算胜率!$E$6:$I$1005,F167,MATCH($D$16,验算胜率!$E$5:$I$5,0))</f>
        <v>0.5</v>
      </c>
      <c r="H167" s="12">
        <f t="shared" si="31"/>
        <v>2200</v>
      </c>
      <c r="I167" s="12">
        <f t="shared" si="32"/>
        <v>4400</v>
      </c>
      <c r="J167" s="12">
        <v>4</v>
      </c>
      <c r="K167" s="12">
        <v>0</v>
      </c>
      <c r="M167" s="12">
        <f>IF($D$16=验算胜率!$F$5,验算胜率!K167,0)*H167*关卡道具消耗!$D$8/关卡道具消耗!$D$26</f>
        <v>0</v>
      </c>
      <c r="N167" s="12">
        <f>INDEX(关卡奖励!$AH$6:$AH$8,MATCH($D$14,关卡奖励!$W$6:$W$8,0))*H167*IF(G167&lt;0.3,1,2)</f>
        <v>5134.8</v>
      </c>
      <c r="O167" s="12">
        <f>INDEX(关卡奖励!$AI$9:$AI$11,MATCH($D$14,关卡奖励!$W$9:$W$11,0))*((1/G167)-1)*H167</f>
        <v>433.95000000000005</v>
      </c>
      <c r="P167" s="12">
        <f>I167-N167-O167</f>
        <v>-1168.7500000000002</v>
      </c>
      <c r="Q167" s="12">
        <f>1/G167</f>
        <v>2</v>
      </c>
      <c r="R167" s="12">
        <f>IFERROR(INDEX(base_v,MATCH($F167,base_k,1)),0)*离线奖励!$C$12</f>
        <v>7200</v>
      </c>
      <c r="S167" s="12">
        <f>IFERROR(INDEX(关卡进度奖励!$I$7:$I$15,MATCH(F167,关卡进度奖励!$D$7:$D$15,0)),0)</f>
        <v>0</v>
      </c>
      <c r="T167" s="12">
        <f>AVERAGE(签到!$E$7:$E$13)*$H167</f>
        <v>9088.3047619047611</v>
      </c>
      <c r="U167" s="12">
        <f>转盘!$C$26*H167*V167/$D$13</f>
        <v>0</v>
      </c>
      <c r="V167" s="12">
        <f t="shared" si="35"/>
        <v>0</v>
      </c>
      <c r="W167" s="12">
        <f>IFERROR(MATCH(INDEX(转盘!$C$17:$F$17,1,MATCH($D$13,转盘!$C$16:$F$16,0))*MAX(F167-转盘!$C$6,0),转盘!$L$9:$L$51,1),0)</f>
        <v>8</v>
      </c>
      <c r="X167" s="12">
        <f>IFERROR(MATCH($F167,gift_k_level,0)^0,0)*进度礼包!$C$17*$H167/$D$13</f>
        <v>0</v>
      </c>
      <c r="Y167" s="12">
        <f>IFERROR(MATCH($F167,turn_k_1,0)^0,0)*转盘!$C$42*$H167/$D$13</f>
        <v>0</v>
      </c>
      <c r="Z167" s="12">
        <f>IFERROR(MATCH($F167,gift_k_level,0)^0,0)*进度礼包!$C$34*$H167/$D$13</f>
        <v>0</v>
      </c>
      <c r="AA167" s="12">
        <f>IFERROR(MATCH($F167,gift_k_time,0)^0,0)*限时礼包!$C$15*$H167/$D$13</f>
        <v>0</v>
      </c>
      <c r="AB167" s="12">
        <f>SUM(H$6:H167)</f>
        <v>305500</v>
      </c>
      <c r="AC167" s="12">
        <f>SUM(N$6:N167)+SUM($M$6:M167)</f>
        <v>589451.7000000003</v>
      </c>
      <c r="AD167" s="12">
        <f>SUM(O$6:O167)</f>
        <v>81484.172249999858</v>
      </c>
      <c r="AE167" s="12">
        <f>SUM($P$6:P167)</f>
        <v>47664.12775</v>
      </c>
      <c r="AF167" s="12">
        <f>SUM(U$6:U167)</f>
        <v>58476.981132075467</v>
      </c>
      <c r="AG167" s="12">
        <f>SUM(S$6:S167)</f>
        <v>9500</v>
      </c>
      <c r="AH167" s="12">
        <f>SUM(Y$6:Y167)</f>
        <v>506418.4</v>
      </c>
      <c r="AI167" s="12">
        <f>SUM(X$6:X167)</f>
        <v>37606.758342606161</v>
      </c>
      <c r="AJ167" s="12">
        <f>SUM(Z$6:Z167)</f>
        <v>121945.52586135216</v>
      </c>
      <c r="AK167" s="12">
        <f>SUM(AA$6:AA167)</f>
        <v>467685.11046823533</v>
      </c>
      <c r="AL167" s="12">
        <f>F167</f>
        <v>162</v>
      </c>
      <c r="AM167" s="12">
        <f t="shared" si="33"/>
        <v>786519.61172468169</v>
      </c>
      <c r="AN167" s="12">
        <f>SUM(I$6:I167)</f>
        <v>718600</v>
      </c>
      <c r="AO167" s="8">
        <f>SUM(Q$6:Q167)</f>
        <v>371</v>
      </c>
      <c r="AP167" s="12">
        <f t="shared" si="34"/>
        <v>67919.611724681687</v>
      </c>
      <c r="AS167" s="12">
        <v>161</v>
      </c>
      <c r="AT167" s="12">
        <v>20</v>
      </c>
      <c r="AU167" s="12">
        <f t="shared" si="39"/>
        <v>3230</v>
      </c>
      <c r="AV167" s="12">
        <f t="shared" si="40"/>
        <v>0</v>
      </c>
      <c r="AW167" s="12">
        <f>INDEX($AO$6:$AO$215,MATCH(BC167,$F$6:$F$215,0))</f>
        <v>467</v>
      </c>
      <c r="AX167" s="12">
        <f t="shared" si="41"/>
        <v>1135512.1739951316</v>
      </c>
      <c r="AY167" s="12">
        <f t="shared" si="36"/>
        <v>7650</v>
      </c>
      <c r="AZ167" s="12">
        <f t="shared" si="37"/>
        <v>10740.72380952381</v>
      </c>
      <c r="BA167" s="12">
        <f>AX167+SUM($AY$6:AY167)+SUM($AZ$6:AZ167)</f>
        <v>4020060.2501856061</v>
      </c>
      <c r="BB167" s="12">
        <f t="shared" si="42"/>
        <v>956200</v>
      </c>
      <c r="BC167" s="12">
        <f t="shared" si="43"/>
        <v>210</v>
      </c>
      <c r="BD167" s="12">
        <f t="shared" si="44"/>
        <v>0</v>
      </c>
      <c r="BE167" s="12">
        <f t="shared" si="45"/>
        <v>211</v>
      </c>
      <c r="BF167" s="12">
        <f t="shared" si="38"/>
        <v>3063860.2501856061</v>
      </c>
    </row>
    <row r="168" spans="6:58" x14ac:dyDescent="0.35">
      <c r="F168" s="12">
        <v>163</v>
      </c>
      <c r="G168" s="8">
        <f>INDEX(验算胜率!$E$6:$I$1005,F168,MATCH($D$16,验算胜率!$E$5:$I$5,0))</f>
        <v>0.5</v>
      </c>
      <c r="H168" s="12">
        <f t="shared" si="31"/>
        <v>2200</v>
      </c>
      <c r="I168" s="12">
        <f t="shared" si="32"/>
        <v>4400</v>
      </c>
      <c r="J168" s="12">
        <v>4</v>
      </c>
      <c r="K168" s="12">
        <v>0</v>
      </c>
      <c r="M168" s="12">
        <f>IF($D$16=验算胜率!$F$5,验算胜率!K168,0)*H168*关卡道具消耗!$D$8/关卡道具消耗!$D$26</f>
        <v>0</v>
      </c>
      <c r="N168" s="12">
        <f>INDEX(关卡奖励!$AH$6:$AH$8,MATCH($D$14,关卡奖励!$W$6:$W$8,0))*H168*IF(G168&lt;0.3,1,2)</f>
        <v>5134.8</v>
      </c>
      <c r="O168" s="12">
        <f>INDEX(关卡奖励!$AI$9:$AI$11,MATCH($D$14,关卡奖励!$W$9:$W$11,0))*((1/G168)-1)*H168</f>
        <v>433.95000000000005</v>
      </c>
      <c r="P168" s="12">
        <f>I168-N168-O168</f>
        <v>-1168.7500000000002</v>
      </c>
      <c r="Q168" s="12">
        <f>1/G168</f>
        <v>2</v>
      </c>
      <c r="R168" s="12">
        <f>IFERROR(INDEX(base_v,MATCH($F168,base_k,1)),0)*离线奖励!$C$12</f>
        <v>7200</v>
      </c>
      <c r="S168" s="12">
        <f>IFERROR(INDEX(关卡进度奖励!$I$7:$I$15,MATCH(F168,关卡进度奖励!$D$7:$D$15,0)),0)</f>
        <v>0</v>
      </c>
      <c r="T168" s="12">
        <f>AVERAGE(签到!$E$7:$E$13)*$H168</f>
        <v>9088.3047619047611</v>
      </c>
      <c r="U168" s="12">
        <f>转盘!$C$26*H168*V168/$D$13</f>
        <v>0</v>
      </c>
      <c r="V168" s="12">
        <f t="shared" si="35"/>
        <v>0</v>
      </c>
      <c r="W168" s="12">
        <f>IFERROR(MATCH(INDEX(转盘!$C$17:$F$17,1,MATCH($D$13,转盘!$C$16:$F$16,0))*MAX(F168-转盘!$C$6,0),转盘!$L$9:$L$51,1),0)</f>
        <v>8</v>
      </c>
      <c r="X168" s="12">
        <f>IFERROR(MATCH($F168,gift_k_level,0)^0,0)*进度礼包!$C$17*$H168/$D$13</f>
        <v>0</v>
      </c>
      <c r="Y168" s="12">
        <f>IFERROR(MATCH($F168,turn_k_1,0)^0,0)*转盘!$C$42*$H168/$D$13</f>
        <v>0</v>
      </c>
      <c r="Z168" s="12">
        <f>IFERROR(MATCH($F168,gift_k_level,0)^0,0)*进度礼包!$C$34*$H168/$D$13</f>
        <v>0</v>
      </c>
      <c r="AA168" s="12">
        <f>IFERROR(MATCH($F168,gift_k_time,0)^0,0)*限时礼包!$C$15*$H168/$D$13</f>
        <v>0</v>
      </c>
      <c r="AB168" s="12">
        <f>SUM(H$6:H168)</f>
        <v>307700</v>
      </c>
      <c r="AC168" s="12">
        <f>SUM(N$6:N168)+SUM($M$6:M168)</f>
        <v>594586.50000000035</v>
      </c>
      <c r="AD168" s="12">
        <f>SUM(O$6:O168)</f>
        <v>81918.122249999855</v>
      </c>
      <c r="AE168" s="12">
        <f>SUM($P$6:P168)</f>
        <v>46495.37775</v>
      </c>
      <c r="AF168" s="12">
        <f>SUM(U$6:U168)</f>
        <v>58476.981132075467</v>
      </c>
      <c r="AG168" s="12">
        <f>SUM(S$6:S168)</f>
        <v>9500</v>
      </c>
      <c r="AH168" s="12">
        <f>SUM(Y$6:Y168)</f>
        <v>506418.4</v>
      </c>
      <c r="AI168" s="12">
        <f>SUM(X$6:X168)</f>
        <v>37606.758342606161</v>
      </c>
      <c r="AJ168" s="12">
        <f>SUM(Z$6:Z168)</f>
        <v>121945.52586135216</v>
      </c>
      <c r="AK168" s="12">
        <f>SUM(AA$6:AA168)</f>
        <v>467685.11046823533</v>
      </c>
      <c r="AL168" s="12">
        <f>F168</f>
        <v>163</v>
      </c>
      <c r="AM168" s="12">
        <f t="shared" si="33"/>
        <v>792088.3617246818</v>
      </c>
      <c r="AN168" s="12">
        <f>SUM(I$6:I168)</f>
        <v>723000</v>
      </c>
      <c r="AO168" s="8">
        <f>SUM(Q$6:Q168)</f>
        <v>373</v>
      </c>
      <c r="AP168" s="12">
        <f t="shared" si="34"/>
        <v>69088.361724681803</v>
      </c>
      <c r="AS168" s="12">
        <v>162</v>
      </c>
      <c r="AT168" s="12">
        <v>20</v>
      </c>
      <c r="AU168" s="12">
        <f t="shared" si="39"/>
        <v>3250</v>
      </c>
      <c r="AV168" s="12">
        <f t="shared" si="40"/>
        <v>0</v>
      </c>
      <c r="AW168" s="12">
        <f>INDEX($AO$6:$AO$215,MATCH(BC168,$F$6:$F$215,0))</f>
        <v>467</v>
      </c>
      <c r="AX168" s="12">
        <f t="shared" si="41"/>
        <v>1135512.1739951316</v>
      </c>
      <c r="AY168" s="12">
        <f t="shared" si="36"/>
        <v>7650</v>
      </c>
      <c r="AZ168" s="12">
        <f t="shared" si="37"/>
        <v>10740.72380952381</v>
      </c>
      <c r="BA168" s="12">
        <f>AX168+SUM($AY$6:AY168)+SUM($AZ$6:AZ168)</f>
        <v>4038450.9739951296</v>
      </c>
      <c r="BB168" s="12">
        <f t="shared" si="42"/>
        <v>956200</v>
      </c>
      <c r="BC168" s="12">
        <f t="shared" si="43"/>
        <v>210</v>
      </c>
      <c r="BD168" s="12">
        <f t="shared" si="44"/>
        <v>0</v>
      </c>
      <c r="BE168" s="12">
        <f t="shared" si="45"/>
        <v>211</v>
      </c>
      <c r="BF168" s="12">
        <f t="shared" si="38"/>
        <v>3082250.9739951296</v>
      </c>
    </row>
    <row r="169" spans="6:58" x14ac:dyDescent="0.35">
      <c r="F169" s="12">
        <v>164</v>
      </c>
      <c r="G169" s="8">
        <f>INDEX(验算胜率!$E$6:$I$1005,F169,MATCH($D$16,验算胜率!$E$5:$I$5,0))</f>
        <v>0.5</v>
      </c>
      <c r="H169" s="12">
        <f t="shared" si="31"/>
        <v>2200</v>
      </c>
      <c r="I169" s="12">
        <f t="shared" si="32"/>
        <v>4400</v>
      </c>
      <c r="J169" s="12">
        <v>4</v>
      </c>
      <c r="K169" s="12">
        <v>0</v>
      </c>
      <c r="M169" s="12">
        <f>IF($D$16=验算胜率!$F$5,验算胜率!K169,0)*H169*关卡道具消耗!$D$8/关卡道具消耗!$D$26</f>
        <v>0</v>
      </c>
      <c r="N169" s="12">
        <f>INDEX(关卡奖励!$AH$6:$AH$8,MATCH($D$14,关卡奖励!$W$6:$W$8,0))*H169*IF(G169&lt;0.3,1,2)</f>
        <v>5134.8</v>
      </c>
      <c r="O169" s="12">
        <f>INDEX(关卡奖励!$AI$9:$AI$11,MATCH($D$14,关卡奖励!$W$9:$W$11,0))*((1/G169)-1)*H169</f>
        <v>433.95000000000005</v>
      </c>
      <c r="P169" s="12">
        <f>I169-N169-O169</f>
        <v>-1168.7500000000002</v>
      </c>
      <c r="Q169" s="12">
        <f>1/G169</f>
        <v>2</v>
      </c>
      <c r="R169" s="12">
        <f>IFERROR(INDEX(base_v,MATCH($F169,base_k,1)),0)*离线奖励!$C$12</f>
        <v>7200</v>
      </c>
      <c r="S169" s="12">
        <f>IFERROR(INDEX(关卡进度奖励!$I$7:$I$15,MATCH(F169,关卡进度奖励!$D$7:$D$15,0)),0)</f>
        <v>0</v>
      </c>
      <c r="T169" s="12">
        <f>AVERAGE(签到!$E$7:$E$13)*$H169</f>
        <v>9088.3047619047611</v>
      </c>
      <c r="U169" s="12">
        <f>转盘!$C$26*H169*V169/$D$13</f>
        <v>0</v>
      </c>
      <c r="V169" s="12">
        <f t="shared" si="35"/>
        <v>0</v>
      </c>
      <c r="W169" s="12">
        <f>IFERROR(MATCH(INDEX(转盘!$C$17:$F$17,1,MATCH($D$13,转盘!$C$16:$F$16,0))*MAX(F169-转盘!$C$6,0),转盘!$L$9:$L$51,1),0)</f>
        <v>8</v>
      </c>
      <c r="X169" s="12">
        <f>IFERROR(MATCH($F169,gift_k_level,0)^0,0)*进度礼包!$C$17*$H169/$D$13</f>
        <v>0</v>
      </c>
      <c r="Y169" s="12">
        <f>IFERROR(MATCH($F169,turn_k_1,0)^0,0)*转盘!$C$42*$H169/$D$13</f>
        <v>0</v>
      </c>
      <c r="Z169" s="12">
        <f>IFERROR(MATCH($F169,gift_k_level,0)^0,0)*进度礼包!$C$34*$H169/$D$13</f>
        <v>0</v>
      </c>
      <c r="AA169" s="12">
        <f>IFERROR(MATCH($F169,gift_k_time,0)^0,0)*限时礼包!$C$15*$H169/$D$13</f>
        <v>0</v>
      </c>
      <c r="AB169" s="12">
        <f>SUM(H$6:H169)</f>
        <v>309900</v>
      </c>
      <c r="AC169" s="12">
        <f>SUM(N$6:N169)+SUM($M$6:M169)</f>
        <v>599721.3000000004</v>
      </c>
      <c r="AD169" s="12">
        <f>SUM(O$6:O169)</f>
        <v>82352.072249999852</v>
      </c>
      <c r="AE169" s="12">
        <f>SUM($P$6:P169)</f>
        <v>45326.62775</v>
      </c>
      <c r="AF169" s="12">
        <f>SUM(U$6:U169)</f>
        <v>58476.981132075467</v>
      </c>
      <c r="AG169" s="12">
        <f>SUM(S$6:S169)</f>
        <v>9500</v>
      </c>
      <c r="AH169" s="12">
        <f>SUM(Y$6:Y169)</f>
        <v>506418.4</v>
      </c>
      <c r="AI169" s="12">
        <f>SUM(X$6:X169)</f>
        <v>37606.758342606161</v>
      </c>
      <c r="AJ169" s="12">
        <f>SUM(Z$6:Z169)</f>
        <v>121945.52586135216</v>
      </c>
      <c r="AK169" s="12">
        <f>SUM(AA$6:AA169)</f>
        <v>467685.11046823533</v>
      </c>
      <c r="AL169" s="12">
        <f>F169</f>
        <v>164</v>
      </c>
      <c r="AM169" s="12">
        <f t="shared" si="33"/>
        <v>797657.1117246818</v>
      </c>
      <c r="AN169" s="12">
        <f>SUM(I$6:I169)</f>
        <v>727400</v>
      </c>
      <c r="AO169" s="8">
        <f>SUM(Q$6:Q169)</f>
        <v>375</v>
      </c>
      <c r="AP169" s="12">
        <f t="shared" si="34"/>
        <v>70257.111724681803</v>
      </c>
      <c r="AS169" s="12">
        <v>163</v>
      </c>
      <c r="AT169" s="12">
        <v>20</v>
      </c>
      <c r="AU169" s="12">
        <f t="shared" si="39"/>
        <v>3270</v>
      </c>
      <c r="AV169" s="12">
        <f t="shared" si="40"/>
        <v>0</v>
      </c>
      <c r="AW169" s="12">
        <f>INDEX($AO$6:$AO$215,MATCH(BC169,$F$6:$F$215,0))</f>
        <v>467</v>
      </c>
      <c r="AX169" s="12">
        <f t="shared" si="41"/>
        <v>1135512.1739951316</v>
      </c>
      <c r="AY169" s="12">
        <f t="shared" si="36"/>
        <v>7650</v>
      </c>
      <c r="AZ169" s="12">
        <f t="shared" si="37"/>
        <v>10740.72380952381</v>
      </c>
      <c r="BA169" s="12">
        <f>AX169+SUM($AY$6:AY169)+SUM($AZ$6:AZ169)</f>
        <v>4056841.6978046531</v>
      </c>
      <c r="BB169" s="12">
        <f t="shared" si="42"/>
        <v>956200</v>
      </c>
      <c r="BC169" s="12">
        <f t="shared" si="43"/>
        <v>210</v>
      </c>
      <c r="BD169" s="12">
        <f t="shared" si="44"/>
        <v>0</v>
      </c>
      <c r="BE169" s="12">
        <f t="shared" si="45"/>
        <v>211</v>
      </c>
      <c r="BF169" s="12">
        <f t="shared" si="38"/>
        <v>3100641.6978046531</v>
      </c>
    </row>
    <row r="170" spans="6:58" x14ac:dyDescent="0.35">
      <c r="F170" s="12">
        <v>165</v>
      </c>
      <c r="G170" s="8">
        <f>INDEX(验算胜率!$E$6:$I$1005,F170,MATCH($D$16,验算胜率!$E$5:$I$5,0))</f>
        <v>0.5</v>
      </c>
      <c r="H170" s="12">
        <f t="shared" si="31"/>
        <v>2200</v>
      </c>
      <c r="I170" s="12">
        <f t="shared" si="32"/>
        <v>4400</v>
      </c>
      <c r="J170" s="12">
        <v>4</v>
      </c>
      <c r="K170" s="12">
        <v>0</v>
      </c>
      <c r="M170" s="12">
        <f>IF($D$16=验算胜率!$F$5,验算胜率!K170,0)*H170*关卡道具消耗!$D$8/关卡道具消耗!$D$26</f>
        <v>0</v>
      </c>
      <c r="N170" s="12">
        <f>INDEX(关卡奖励!$AH$6:$AH$8,MATCH($D$14,关卡奖励!$W$6:$W$8,0))*H170*IF(G170&lt;0.3,1,2)</f>
        <v>5134.8</v>
      </c>
      <c r="O170" s="12">
        <f>INDEX(关卡奖励!$AI$9:$AI$11,MATCH($D$14,关卡奖励!$W$9:$W$11,0))*((1/G170)-1)*H170</f>
        <v>433.95000000000005</v>
      </c>
      <c r="P170" s="12">
        <f>I170-N170-O170</f>
        <v>-1168.7500000000002</v>
      </c>
      <c r="Q170" s="12">
        <f>1/G170</f>
        <v>2</v>
      </c>
      <c r="R170" s="12">
        <f>IFERROR(INDEX(base_v,MATCH($F170,base_k,1)),0)*离线奖励!$C$12</f>
        <v>7200</v>
      </c>
      <c r="S170" s="12">
        <f>IFERROR(INDEX(关卡进度奖励!$I$7:$I$15,MATCH(F170,关卡进度奖励!$D$7:$D$15,0)),0)</f>
        <v>0</v>
      </c>
      <c r="T170" s="12">
        <f>AVERAGE(签到!$E$7:$E$13)*$H170</f>
        <v>9088.3047619047611</v>
      </c>
      <c r="U170" s="12">
        <f>转盘!$C$26*H170*V170/$D$13</f>
        <v>0</v>
      </c>
      <c r="V170" s="12">
        <f t="shared" si="35"/>
        <v>0</v>
      </c>
      <c r="W170" s="12">
        <f>IFERROR(MATCH(INDEX(转盘!$C$17:$F$17,1,MATCH($D$13,转盘!$C$16:$F$16,0))*MAX(F170-转盘!$C$6,0),转盘!$L$9:$L$51,1),0)</f>
        <v>8</v>
      </c>
      <c r="X170" s="12">
        <f>IFERROR(MATCH($F170,gift_k_level,0)^0,0)*进度礼包!$C$17*$H170/$D$13</f>
        <v>0</v>
      </c>
      <c r="Y170" s="12">
        <f>IFERROR(MATCH($F170,turn_k_1,0)^0,0)*转盘!$C$42*$H170/$D$13</f>
        <v>0</v>
      </c>
      <c r="Z170" s="12">
        <f>IFERROR(MATCH($F170,gift_k_level,0)^0,0)*进度礼包!$C$34*$H170/$D$13</f>
        <v>0</v>
      </c>
      <c r="AA170" s="12">
        <f>IFERROR(MATCH($F170,gift_k_time,0)^0,0)*限时礼包!$C$15*$H170/$D$13</f>
        <v>0</v>
      </c>
      <c r="AB170" s="12">
        <f>SUM(H$6:H170)</f>
        <v>312100</v>
      </c>
      <c r="AC170" s="12">
        <f>SUM(N$6:N170)+SUM($M$6:M170)</f>
        <v>604856.10000000044</v>
      </c>
      <c r="AD170" s="12">
        <f>SUM(O$6:O170)</f>
        <v>82786.022249999849</v>
      </c>
      <c r="AE170" s="12">
        <f>SUM($P$6:P170)</f>
        <v>44157.87775</v>
      </c>
      <c r="AF170" s="12">
        <f>SUM(U$6:U170)</f>
        <v>58476.981132075467</v>
      </c>
      <c r="AG170" s="12">
        <f>SUM(S$6:S170)</f>
        <v>9500</v>
      </c>
      <c r="AH170" s="12">
        <f>SUM(Y$6:Y170)</f>
        <v>506418.4</v>
      </c>
      <c r="AI170" s="12">
        <f>SUM(X$6:X170)</f>
        <v>37606.758342606161</v>
      </c>
      <c r="AJ170" s="12">
        <f>SUM(Z$6:Z170)</f>
        <v>121945.52586135216</v>
      </c>
      <c r="AK170" s="12">
        <f>SUM(AA$6:AA170)</f>
        <v>467685.11046823533</v>
      </c>
      <c r="AL170" s="12">
        <f>F170</f>
        <v>165</v>
      </c>
      <c r="AM170" s="12">
        <f t="shared" si="33"/>
        <v>803225.8617246818</v>
      </c>
      <c r="AN170" s="12">
        <f>SUM(I$6:I170)</f>
        <v>731800</v>
      </c>
      <c r="AO170" s="8">
        <f>SUM(Q$6:Q170)</f>
        <v>377</v>
      </c>
      <c r="AP170" s="12">
        <f t="shared" si="34"/>
        <v>71425.861724681803</v>
      </c>
      <c r="AS170" s="12">
        <v>164</v>
      </c>
      <c r="AT170" s="12">
        <v>20</v>
      </c>
      <c r="AU170" s="12">
        <f t="shared" si="39"/>
        <v>3290</v>
      </c>
      <c r="AV170" s="12">
        <f t="shared" si="40"/>
        <v>0</v>
      </c>
      <c r="AW170" s="12">
        <f>INDEX($AO$6:$AO$215,MATCH(BC170,$F$6:$F$215,0))</f>
        <v>467</v>
      </c>
      <c r="AX170" s="12">
        <f t="shared" si="41"/>
        <v>1135512.1739951316</v>
      </c>
      <c r="AY170" s="12">
        <f t="shared" si="36"/>
        <v>7650</v>
      </c>
      <c r="AZ170" s="12">
        <f t="shared" si="37"/>
        <v>10740.72380952381</v>
      </c>
      <c r="BA170" s="12">
        <f>AX170+SUM($AY$6:AY170)+SUM($AZ$6:AZ170)</f>
        <v>4075232.4216141771</v>
      </c>
      <c r="BB170" s="12">
        <f t="shared" si="42"/>
        <v>956200</v>
      </c>
      <c r="BC170" s="12">
        <f t="shared" si="43"/>
        <v>210</v>
      </c>
      <c r="BD170" s="12">
        <f t="shared" si="44"/>
        <v>0</v>
      </c>
      <c r="BE170" s="12">
        <f t="shared" si="45"/>
        <v>211</v>
      </c>
      <c r="BF170" s="12">
        <f t="shared" si="38"/>
        <v>3119032.4216141771</v>
      </c>
    </row>
    <row r="171" spans="6:58" x14ac:dyDescent="0.35">
      <c r="F171" s="12">
        <v>166</v>
      </c>
      <c r="G171" s="8">
        <f>INDEX(验算胜率!$E$6:$I$1005,F171,MATCH($D$16,验算胜率!$E$5:$I$5,0))</f>
        <v>0.5</v>
      </c>
      <c r="H171" s="12">
        <f t="shared" si="31"/>
        <v>2200</v>
      </c>
      <c r="I171" s="12">
        <f t="shared" si="32"/>
        <v>4400</v>
      </c>
      <c r="J171" s="12">
        <v>4</v>
      </c>
      <c r="K171" s="12">
        <v>0</v>
      </c>
      <c r="M171" s="12">
        <f>IF($D$16=验算胜率!$F$5,验算胜率!K171,0)*H171*关卡道具消耗!$D$8/关卡道具消耗!$D$26</f>
        <v>0</v>
      </c>
      <c r="N171" s="12">
        <f>INDEX(关卡奖励!$AH$6:$AH$8,MATCH($D$14,关卡奖励!$W$6:$W$8,0))*H171*IF(G171&lt;0.3,1,2)</f>
        <v>5134.8</v>
      </c>
      <c r="O171" s="12">
        <f>INDEX(关卡奖励!$AI$9:$AI$11,MATCH($D$14,关卡奖励!$W$9:$W$11,0))*((1/G171)-1)*H171</f>
        <v>433.95000000000005</v>
      </c>
      <c r="P171" s="12">
        <f>I171-N171-O171</f>
        <v>-1168.7500000000002</v>
      </c>
      <c r="Q171" s="12">
        <f>1/G171</f>
        <v>2</v>
      </c>
      <c r="R171" s="12">
        <f>IFERROR(INDEX(base_v,MATCH($F171,base_k,1)),0)*离线奖励!$C$12</f>
        <v>7200</v>
      </c>
      <c r="S171" s="12">
        <f>IFERROR(INDEX(关卡进度奖励!$I$7:$I$15,MATCH(F171,关卡进度奖励!$D$7:$D$15,0)),0)</f>
        <v>0</v>
      </c>
      <c r="T171" s="12">
        <f>AVERAGE(签到!$E$7:$E$13)*$H171</f>
        <v>9088.3047619047611</v>
      </c>
      <c r="U171" s="12">
        <f>转盘!$C$26*H171*V171/$D$13</f>
        <v>0</v>
      </c>
      <c r="V171" s="12">
        <f t="shared" si="35"/>
        <v>0</v>
      </c>
      <c r="W171" s="12">
        <f>IFERROR(MATCH(INDEX(转盘!$C$17:$F$17,1,MATCH($D$13,转盘!$C$16:$F$16,0))*MAX(F171-转盘!$C$6,0),转盘!$L$9:$L$51,1),0)</f>
        <v>8</v>
      </c>
      <c r="X171" s="12">
        <f>IFERROR(MATCH($F171,gift_k_level,0)^0,0)*进度礼包!$C$17*$H171/$D$13</f>
        <v>0</v>
      </c>
      <c r="Y171" s="12">
        <f>IFERROR(MATCH($F171,turn_k_1,0)^0,0)*转盘!$C$42*$H171/$D$13</f>
        <v>0</v>
      </c>
      <c r="Z171" s="12">
        <f>IFERROR(MATCH($F171,gift_k_level,0)^0,0)*进度礼包!$C$34*$H171/$D$13</f>
        <v>0</v>
      </c>
      <c r="AA171" s="12">
        <f>IFERROR(MATCH($F171,gift_k_time,0)^0,0)*限时礼包!$C$15*$H171/$D$13</f>
        <v>0</v>
      </c>
      <c r="AB171" s="12">
        <f>SUM(H$6:H171)</f>
        <v>314300</v>
      </c>
      <c r="AC171" s="12">
        <f>SUM(N$6:N171)+SUM($M$6:M171)</f>
        <v>609990.90000000049</v>
      </c>
      <c r="AD171" s="12">
        <f>SUM(O$6:O171)</f>
        <v>83219.972249999846</v>
      </c>
      <c r="AE171" s="12">
        <f>SUM($P$6:P171)</f>
        <v>42989.12775</v>
      </c>
      <c r="AF171" s="12">
        <f>SUM(U$6:U171)</f>
        <v>58476.981132075467</v>
      </c>
      <c r="AG171" s="12">
        <f>SUM(S$6:S171)</f>
        <v>9500</v>
      </c>
      <c r="AH171" s="12">
        <f>SUM(Y$6:Y171)</f>
        <v>506418.4</v>
      </c>
      <c r="AI171" s="12">
        <f>SUM(X$6:X171)</f>
        <v>37606.758342606161</v>
      </c>
      <c r="AJ171" s="12">
        <f>SUM(Z$6:Z171)</f>
        <v>121945.52586135216</v>
      </c>
      <c r="AK171" s="12">
        <f>SUM(AA$6:AA171)</f>
        <v>467685.11046823533</v>
      </c>
      <c r="AL171" s="12">
        <f>F171</f>
        <v>166</v>
      </c>
      <c r="AM171" s="12">
        <f t="shared" si="33"/>
        <v>808794.61172468192</v>
      </c>
      <c r="AN171" s="12">
        <f>SUM(I$6:I171)</f>
        <v>736200</v>
      </c>
      <c r="AO171" s="8">
        <f>SUM(Q$6:Q171)</f>
        <v>379</v>
      </c>
      <c r="AP171" s="12">
        <f t="shared" si="34"/>
        <v>72594.611724681919</v>
      </c>
      <c r="AS171" s="12">
        <v>165</v>
      </c>
      <c r="AT171" s="12">
        <v>20</v>
      </c>
      <c r="AU171" s="12">
        <f t="shared" si="39"/>
        <v>3310</v>
      </c>
      <c r="AV171" s="12">
        <f t="shared" si="40"/>
        <v>0</v>
      </c>
      <c r="AW171" s="12">
        <f>INDEX($AO$6:$AO$215,MATCH(BC171,$F$6:$F$215,0))</f>
        <v>467</v>
      </c>
      <c r="AX171" s="12">
        <f t="shared" si="41"/>
        <v>1135512.1739951316</v>
      </c>
      <c r="AY171" s="12">
        <f t="shared" si="36"/>
        <v>7650</v>
      </c>
      <c r="AZ171" s="12">
        <f t="shared" si="37"/>
        <v>10740.72380952381</v>
      </c>
      <c r="BA171" s="12">
        <f>AX171+SUM($AY$6:AY171)+SUM($AZ$6:AZ171)</f>
        <v>4093623.145423701</v>
      </c>
      <c r="BB171" s="12">
        <f t="shared" si="42"/>
        <v>956200</v>
      </c>
      <c r="BC171" s="12">
        <f t="shared" si="43"/>
        <v>210</v>
      </c>
      <c r="BD171" s="12">
        <f t="shared" si="44"/>
        <v>0</v>
      </c>
      <c r="BE171" s="12">
        <f t="shared" si="45"/>
        <v>211</v>
      </c>
      <c r="BF171" s="12">
        <f t="shared" si="38"/>
        <v>3137423.145423701</v>
      </c>
    </row>
    <row r="172" spans="6:58" x14ac:dyDescent="0.35">
      <c r="F172" s="12">
        <v>167</v>
      </c>
      <c r="G172" s="8">
        <f>INDEX(验算胜率!$E$6:$I$1005,F172,MATCH($D$16,验算胜率!$E$5:$I$5,0))</f>
        <v>0.5</v>
      </c>
      <c r="H172" s="12">
        <f t="shared" si="31"/>
        <v>2200</v>
      </c>
      <c r="I172" s="12">
        <f t="shared" si="32"/>
        <v>4400</v>
      </c>
      <c r="J172" s="12">
        <v>4</v>
      </c>
      <c r="K172" s="12">
        <v>0</v>
      </c>
      <c r="M172" s="12">
        <f>IF($D$16=验算胜率!$F$5,验算胜率!K172,0)*H172*关卡道具消耗!$D$8/关卡道具消耗!$D$26</f>
        <v>0</v>
      </c>
      <c r="N172" s="12">
        <f>INDEX(关卡奖励!$AH$6:$AH$8,MATCH($D$14,关卡奖励!$W$6:$W$8,0))*H172*IF(G172&lt;0.3,1,2)</f>
        <v>5134.8</v>
      </c>
      <c r="O172" s="12">
        <f>INDEX(关卡奖励!$AI$9:$AI$11,MATCH($D$14,关卡奖励!$W$9:$W$11,0))*((1/G172)-1)*H172</f>
        <v>433.95000000000005</v>
      </c>
      <c r="P172" s="12">
        <f>I172-N172-O172</f>
        <v>-1168.7500000000002</v>
      </c>
      <c r="Q172" s="12">
        <f>1/G172</f>
        <v>2</v>
      </c>
      <c r="R172" s="12">
        <f>IFERROR(INDEX(base_v,MATCH($F172,base_k,1)),0)*离线奖励!$C$12</f>
        <v>7350</v>
      </c>
      <c r="S172" s="12">
        <f>IFERROR(INDEX(关卡进度奖励!$I$7:$I$15,MATCH(F172,关卡进度奖励!$D$7:$D$15,0)),0)</f>
        <v>0</v>
      </c>
      <c r="T172" s="12">
        <f>AVERAGE(签到!$E$7:$E$13)*$H172</f>
        <v>9088.3047619047611</v>
      </c>
      <c r="U172" s="12">
        <f>转盘!$C$26*H172*V172/$D$13</f>
        <v>0</v>
      </c>
      <c r="V172" s="12">
        <f t="shared" si="35"/>
        <v>0</v>
      </c>
      <c r="W172" s="12">
        <f>IFERROR(MATCH(INDEX(转盘!$C$17:$F$17,1,MATCH($D$13,转盘!$C$16:$F$16,0))*MAX(F172-转盘!$C$6,0),转盘!$L$9:$L$51,1),0)</f>
        <v>8</v>
      </c>
      <c r="X172" s="12">
        <f>IFERROR(MATCH($F172,gift_k_level,0)^0,0)*进度礼包!$C$17*$H172/$D$13</f>
        <v>7805.1762597861843</v>
      </c>
      <c r="Y172" s="12">
        <f>IFERROR(MATCH($F172,turn_k_1,0)^0,0)*转盘!$C$42*$H172/$D$13</f>
        <v>0</v>
      </c>
      <c r="Z172" s="12">
        <f>IFERROR(MATCH($F172,gift_k_level,0)^0,0)*进度礼包!$C$34*$H172/$D$13</f>
        <v>25309.448763676861</v>
      </c>
      <c r="AA172" s="12">
        <f>IFERROR(MATCH($F172,gift_k_time,0)^0,0)*限时礼包!$C$15*$H172/$D$13</f>
        <v>0</v>
      </c>
      <c r="AB172" s="12">
        <f>SUM(H$6:H172)</f>
        <v>316500</v>
      </c>
      <c r="AC172" s="12">
        <f>SUM(N$6:N172)+SUM($M$6:M172)</f>
        <v>615125.70000000054</v>
      </c>
      <c r="AD172" s="12">
        <f>SUM(O$6:O172)</f>
        <v>83653.922249999843</v>
      </c>
      <c r="AE172" s="12">
        <f>SUM($P$6:P172)</f>
        <v>41820.37775</v>
      </c>
      <c r="AF172" s="12">
        <f>SUM(U$6:U172)</f>
        <v>58476.981132075467</v>
      </c>
      <c r="AG172" s="12">
        <f>SUM(S$6:S172)</f>
        <v>9500</v>
      </c>
      <c r="AH172" s="12">
        <f>SUM(Y$6:Y172)</f>
        <v>506418.4</v>
      </c>
      <c r="AI172" s="12">
        <f>SUM(X$6:X172)</f>
        <v>45411.934602392343</v>
      </c>
      <c r="AJ172" s="12">
        <f>SUM(Z$6:Z172)</f>
        <v>147254.97462502902</v>
      </c>
      <c r="AK172" s="12">
        <f>SUM(AA$6:AA172)</f>
        <v>467685.11046823533</v>
      </c>
      <c r="AL172" s="12">
        <f>F172</f>
        <v>167</v>
      </c>
      <c r="AM172" s="12">
        <f t="shared" si="33"/>
        <v>822168.53798446816</v>
      </c>
      <c r="AN172" s="12">
        <f>SUM(I$6:I172)</f>
        <v>740600</v>
      </c>
      <c r="AO172" s="8">
        <f>SUM(Q$6:Q172)</f>
        <v>381</v>
      </c>
      <c r="AP172" s="12">
        <f t="shared" si="34"/>
        <v>81568.537984468159</v>
      </c>
      <c r="AS172" s="12">
        <v>166</v>
      </c>
      <c r="AT172" s="12">
        <v>20</v>
      </c>
      <c r="AU172" s="12">
        <f t="shared" si="39"/>
        <v>3330</v>
      </c>
      <c r="AV172" s="12">
        <f t="shared" si="40"/>
        <v>0</v>
      </c>
      <c r="AW172" s="12">
        <f>INDEX($AO$6:$AO$215,MATCH(BC172,$F$6:$F$215,0))</f>
        <v>467</v>
      </c>
      <c r="AX172" s="12">
        <f t="shared" si="41"/>
        <v>1135512.1739951316</v>
      </c>
      <c r="AY172" s="12">
        <f t="shared" si="36"/>
        <v>7650</v>
      </c>
      <c r="AZ172" s="12">
        <f t="shared" si="37"/>
        <v>10740.72380952381</v>
      </c>
      <c r="BA172" s="12">
        <f>AX172+SUM($AY$6:AY172)+SUM($AZ$6:AZ172)</f>
        <v>4112013.8692332245</v>
      </c>
      <c r="BB172" s="12">
        <f t="shared" si="42"/>
        <v>956200</v>
      </c>
      <c r="BC172" s="12">
        <f t="shared" si="43"/>
        <v>210</v>
      </c>
      <c r="BD172" s="12">
        <f t="shared" si="44"/>
        <v>0</v>
      </c>
      <c r="BE172" s="12">
        <f t="shared" si="45"/>
        <v>211</v>
      </c>
      <c r="BF172" s="12">
        <f t="shared" si="38"/>
        <v>3155813.8692332245</v>
      </c>
    </row>
    <row r="173" spans="6:58" x14ac:dyDescent="0.35">
      <c r="F173" s="12">
        <v>168</v>
      </c>
      <c r="G173" s="8">
        <f>INDEX(验算胜率!$E$6:$I$1005,F173,MATCH($D$16,验算胜率!$E$5:$I$5,0))</f>
        <v>0.5</v>
      </c>
      <c r="H173" s="12">
        <f t="shared" si="31"/>
        <v>2500</v>
      </c>
      <c r="I173" s="12">
        <f t="shared" si="32"/>
        <v>5000</v>
      </c>
      <c r="J173" s="12">
        <v>4</v>
      </c>
      <c r="K173" s="12">
        <v>0</v>
      </c>
      <c r="M173" s="12">
        <f>IF($D$16=验算胜率!$F$5,验算胜率!K173,0)*H173*关卡道具消耗!$D$8/关卡道具消耗!$D$26</f>
        <v>0</v>
      </c>
      <c r="N173" s="12">
        <f>INDEX(关卡奖励!$AH$6:$AH$8,MATCH($D$14,关卡奖励!$W$6:$W$8,0))*H173*IF(G173&lt;0.3,1,2)</f>
        <v>5835</v>
      </c>
      <c r="O173" s="12">
        <f>INDEX(关卡奖励!$AI$9:$AI$11,MATCH($D$14,关卡奖励!$W$9:$W$11,0))*((1/G173)-1)*H173</f>
        <v>493.125</v>
      </c>
      <c r="P173" s="12">
        <f>I173-N173-O173</f>
        <v>-1328.125</v>
      </c>
      <c r="Q173" s="12">
        <f>1/G173</f>
        <v>2</v>
      </c>
      <c r="R173" s="12">
        <f>IFERROR(INDEX(base_v,MATCH($F173,base_k,1)),0)*离线奖励!$C$12</f>
        <v>7350</v>
      </c>
      <c r="S173" s="12">
        <f>IFERROR(INDEX(关卡进度奖励!$I$7:$I$15,MATCH(F173,关卡进度奖励!$D$7:$D$15,0)),0)</f>
        <v>0</v>
      </c>
      <c r="T173" s="12">
        <f>AVERAGE(签到!$E$7:$E$13)*$H173</f>
        <v>10327.619047619048</v>
      </c>
      <c r="U173" s="12">
        <f>转盘!$C$26*H173*V173/$D$13</f>
        <v>0</v>
      </c>
      <c r="V173" s="12">
        <f t="shared" si="35"/>
        <v>0</v>
      </c>
      <c r="W173" s="12">
        <f>IFERROR(MATCH(INDEX(转盘!$C$17:$F$17,1,MATCH($D$13,转盘!$C$16:$F$16,0))*MAX(F173-转盘!$C$6,0),转盘!$L$9:$L$51,1),0)</f>
        <v>8</v>
      </c>
      <c r="X173" s="12">
        <f>IFERROR(MATCH($F173,gift_k_level,0)^0,0)*进度礼包!$C$17*$H173/$D$13</f>
        <v>0</v>
      </c>
      <c r="Y173" s="12">
        <f>IFERROR(MATCH($F173,turn_k_1,0)^0,0)*转盘!$C$42*$H173/$D$13</f>
        <v>0</v>
      </c>
      <c r="Z173" s="12">
        <f>IFERROR(MATCH($F173,gift_k_level,0)^0,0)*进度礼包!$C$34*$H173/$D$13</f>
        <v>0</v>
      </c>
      <c r="AA173" s="12">
        <f>IFERROR(MATCH($F173,gift_k_time,0)^0,0)*限时礼包!$C$15*$H173/$D$13</f>
        <v>0</v>
      </c>
      <c r="AB173" s="12">
        <f>SUM(H$6:H173)</f>
        <v>319000</v>
      </c>
      <c r="AC173" s="12">
        <f>SUM(N$6:N173)+SUM($M$6:M173)</f>
        <v>620960.70000000054</v>
      </c>
      <c r="AD173" s="12">
        <f>SUM(O$6:O173)</f>
        <v>84147.047249999843</v>
      </c>
      <c r="AE173" s="12">
        <f>SUM($P$6:P173)</f>
        <v>40492.25275</v>
      </c>
      <c r="AF173" s="12">
        <f>SUM(U$6:U173)</f>
        <v>58476.981132075467</v>
      </c>
      <c r="AG173" s="12">
        <f>SUM(S$6:S173)</f>
        <v>9500</v>
      </c>
      <c r="AH173" s="12">
        <f>SUM(Y$6:Y173)</f>
        <v>506418.4</v>
      </c>
      <c r="AI173" s="12">
        <f>SUM(X$6:X173)</f>
        <v>45411.934602392343</v>
      </c>
      <c r="AJ173" s="12">
        <f>SUM(Z$6:Z173)</f>
        <v>147254.97462502902</v>
      </c>
      <c r="AK173" s="12">
        <f>SUM(AA$6:AA173)</f>
        <v>467685.11046823533</v>
      </c>
      <c r="AL173" s="12">
        <f>F173</f>
        <v>168</v>
      </c>
      <c r="AM173" s="12">
        <f t="shared" si="33"/>
        <v>828496.66298446816</v>
      </c>
      <c r="AN173" s="12">
        <f>SUM(I$6:I173)</f>
        <v>745600</v>
      </c>
      <c r="AO173" s="8">
        <f>SUM(Q$6:Q173)</f>
        <v>383</v>
      </c>
      <c r="AP173" s="12">
        <f t="shared" si="34"/>
        <v>82896.662984468159</v>
      </c>
      <c r="AS173" s="12">
        <v>167</v>
      </c>
      <c r="AT173" s="12">
        <v>20</v>
      </c>
      <c r="AU173" s="12">
        <f t="shared" si="39"/>
        <v>3350</v>
      </c>
      <c r="AV173" s="12">
        <f t="shared" si="40"/>
        <v>0</v>
      </c>
      <c r="AW173" s="12">
        <f>INDEX($AO$6:$AO$215,MATCH(BC173,$F$6:$F$215,0))</f>
        <v>467</v>
      </c>
      <c r="AX173" s="12">
        <f t="shared" si="41"/>
        <v>1135512.1739951316</v>
      </c>
      <c r="AY173" s="12">
        <f t="shared" si="36"/>
        <v>7650</v>
      </c>
      <c r="AZ173" s="12">
        <f t="shared" si="37"/>
        <v>10740.72380952381</v>
      </c>
      <c r="BA173" s="12">
        <f>AX173+SUM($AY$6:AY173)+SUM($AZ$6:AZ173)</f>
        <v>4130404.593042748</v>
      </c>
      <c r="BB173" s="12">
        <f t="shared" si="42"/>
        <v>956200</v>
      </c>
      <c r="BC173" s="12">
        <f t="shared" si="43"/>
        <v>210</v>
      </c>
      <c r="BD173" s="12">
        <f t="shared" si="44"/>
        <v>0</v>
      </c>
      <c r="BE173" s="12">
        <f t="shared" si="45"/>
        <v>211</v>
      </c>
      <c r="BF173" s="12">
        <f t="shared" si="38"/>
        <v>3174204.593042748</v>
      </c>
    </row>
    <row r="174" spans="6:58" x14ac:dyDescent="0.35">
      <c r="F174" s="12">
        <v>169</v>
      </c>
      <c r="G174" s="8">
        <f>INDEX(验算胜率!$E$6:$I$1005,F174,MATCH($D$16,验算胜率!$E$5:$I$5,0))</f>
        <v>0.5</v>
      </c>
      <c r="H174" s="12">
        <f t="shared" si="31"/>
        <v>2500</v>
      </c>
      <c r="I174" s="12">
        <f t="shared" si="32"/>
        <v>5000</v>
      </c>
      <c r="J174" s="12">
        <v>4</v>
      </c>
      <c r="K174" s="12">
        <v>0</v>
      </c>
      <c r="M174" s="12">
        <f>IF($D$16=验算胜率!$F$5,验算胜率!K174,0)*H174*关卡道具消耗!$D$8/关卡道具消耗!$D$26</f>
        <v>0</v>
      </c>
      <c r="N174" s="12">
        <f>INDEX(关卡奖励!$AH$6:$AH$8,MATCH($D$14,关卡奖励!$W$6:$W$8,0))*H174*IF(G174&lt;0.3,1,2)</f>
        <v>5835</v>
      </c>
      <c r="O174" s="12">
        <f>INDEX(关卡奖励!$AI$9:$AI$11,MATCH($D$14,关卡奖励!$W$9:$W$11,0))*((1/G174)-1)*H174</f>
        <v>493.125</v>
      </c>
      <c r="P174" s="12">
        <f>I174-N174-O174</f>
        <v>-1328.125</v>
      </c>
      <c r="Q174" s="12">
        <f>1/G174</f>
        <v>2</v>
      </c>
      <c r="R174" s="12">
        <f>IFERROR(INDEX(base_v,MATCH($F174,base_k,1)),0)*离线奖励!$C$12</f>
        <v>7350</v>
      </c>
      <c r="S174" s="12">
        <f>IFERROR(INDEX(关卡进度奖励!$I$7:$I$15,MATCH(F174,关卡进度奖励!$D$7:$D$15,0)),0)</f>
        <v>0</v>
      </c>
      <c r="T174" s="12">
        <f>AVERAGE(签到!$E$7:$E$13)*$H174</f>
        <v>10327.619047619048</v>
      </c>
      <c r="U174" s="12">
        <f>转盘!$C$26*H174*V174/$D$13</f>
        <v>0</v>
      </c>
      <c r="V174" s="12">
        <f t="shared" si="35"/>
        <v>0</v>
      </c>
      <c r="W174" s="12">
        <f>IFERROR(MATCH(INDEX(转盘!$C$17:$F$17,1,MATCH($D$13,转盘!$C$16:$F$16,0))*MAX(F174-转盘!$C$6,0),转盘!$L$9:$L$51,1),0)</f>
        <v>8</v>
      </c>
      <c r="X174" s="12">
        <f>IFERROR(MATCH($F174,gift_k_level,0)^0,0)*进度礼包!$C$17*$H174/$D$13</f>
        <v>0</v>
      </c>
      <c r="Y174" s="12">
        <f>IFERROR(MATCH($F174,turn_k_1,0)^0,0)*转盘!$C$42*$H174/$D$13</f>
        <v>0</v>
      </c>
      <c r="Z174" s="12">
        <f>IFERROR(MATCH($F174,gift_k_level,0)^0,0)*进度礼包!$C$34*$H174/$D$13</f>
        <v>0</v>
      </c>
      <c r="AA174" s="12">
        <f>IFERROR(MATCH($F174,gift_k_time,0)^0,0)*限时礼包!$C$15*$H174/$D$13</f>
        <v>0</v>
      </c>
      <c r="AB174" s="12">
        <f>SUM(H$6:H174)</f>
        <v>321500</v>
      </c>
      <c r="AC174" s="12">
        <f>SUM(N$6:N174)+SUM($M$6:M174)</f>
        <v>626795.70000000054</v>
      </c>
      <c r="AD174" s="12">
        <f>SUM(O$6:O174)</f>
        <v>84640.172249999843</v>
      </c>
      <c r="AE174" s="12">
        <f>SUM($P$6:P174)</f>
        <v>39164.12775</v>
      </c>
      <c r="AF174" s="12">
        <f>SUM(U$6:U174)</f>
        <v>58476.981132075467</v>
      </c>
      <c r="AG174" s="12">
        <f>SUM(S$6:S174)</f>
        <v>9500</v>
      </c>
      <c r="AH174" s="12">
        <f>SUM(Y$6:Y174)</f>
        <v>506418.4</v>
      </c>
      <c r="AI174" s="12">
        <f>SUM(X$6:X174)</f>
        <v>45411.934602392343</v>
      </c>
      <c r="AJ174" s="12">
        <f>SUM(Z$6:Z174)</f>
        <v>147254.97462502902</v>
      </c>
      <c r="AK174" s="12">
        <f>SUM(AA$6:AA174)</f>
        <v>467685.11046823533</v>
      </c>
      <c r="AL174" s="12">
        <f>F174</f>
        <v>169</v>
      </c>
      <c r="AM174" s="12">
        <f t="shared" si="33"/>
        <v>834824.78798446816</v>
      </c>
      <c r="AN174" s="12">
        <f>SUM(I$6:I174)</f>
        <v>750600</v>
      </c>
      <c r="AO174" s="8">
        <f>SUM(Q$6:Q174)</f>
        <v>385</v>
      </c>
      <c r="AP174" s="12">
        <f t="shared" si="34"/>
        <v>84224.787984468159</v>
      </c>
      <c r="AS174" s="12">
        <v>168</v>
      </c>
      <c r="AT174" s="12">
        <v>20</v>
      </c>
      <c r="AU174" s="12">
        <f t="shared" si="39"/>
        <v>3370</v>
      </c>
      <c r="AV174" s="12">
        <f t="shared" si="40"/>
        <v>0</v>
      </c>
      <c r="AW174" s="12">
        <f>INDEX($AO$6:$AO$215,MATCH(BC174,$F$6:$F$215,0))</f>
        <v>467</v>
      </c>
      <c r="AX174" s="12">
        <f t="shared" si="41"/>
        <v>1135512.1739951316</v>
      </c>
      <c r="AY174" s="12">
        <f t="shared" si="36"/>
        <v>7650</v>
      </c>
      <c r="AZ174" s="12">
        <f t="shared" si="37"/>
        <v>10740.72380952381</v>
      </c>
      <c r="BA174" s="12">
        <f>AX174+SUM($AY$6:AY174)+SUM($AZ$6:AZ174)</f>
        <v>4148795.316852272</v>
      </c>
      <c r="BB174" s="12">
        <f t="shared" si="42"/>
        <v>956200</v>
      </c>
      <c r="BC174" s="12">
        <f t="shared" si="43"/>
        <v>210</v>
      </c>
      <c r="BD174" s="12">
        <f t="shared" si="44"/>
        <v>0</v>
      </c>
      <c r="BE174" s="12">
        <f t="shared" si="45"/>
        <v>211</v>
      </c>
      <c r="BF174" s="12">
        <f t="shared" si="38"/>
        <v>3192595.316852272</v>
      </c>
    </row>
    <row r="175" spans="6:58" x14ac:dyDescent="0.35">
      <c r="F175" s="12">
        <v>170</v>
      </c>
      <c r="G175" s="8">
        <f>INDEX(验算胜率!$E$6:$I$1005,F175,MATCH($D$16,验算胜率!$E$5:$I$5,0))</f>
        <v>0.5</v>
      </c>
      <c r="H175" s="12">
        <f t="shared" si="31"/>
        <v>2500</v>
      </c>
      <c r="I175" s="12">
        <f t="shared" si="32"/>
        <v>5000</v>
      </c>
      <c r="J175" s="12">
        <v>4</v>
      </c>
      <c r="K175" s="12">
        <v>0</v>
      </c>
      <c r="M175" s="12">
        <f>IF($D$16=验算胜率!$F$5,验算胜率!K175,0)*H175*关卡道具消耗!$D$8/关卡道具消耗!$D$26</f>
        <v>0</v>
      </c>
      <c r="N175" s="12">
        <f>INDEX(关卡奖励!$AH$6:$AH$8,MATCH($D$14,关卡奖励!$W$6:$W$8,0))*H175*IF(G175&lt;0.3,1,2)</f>
        <v>5835</v>
      </c>
      <c r="O175" s="12">
        <f>INDEX(关卡奖励!$AI$9:$AI$11,MATCH($D$14,关卡奖励!$W$9:$W$11,0))*((1/G175)-1)*H175</f>
        <v>493.125</v>
      </c>
      <c r="P175" s="12">
        <f>I175-N175-O175</f>
        <v>-1328.125</v>
      </c>
      <c r="Q175" s="12">
        <f>1/G175</f>
        <v>2</v>
      </c>
      <c r="R175" s="12">
        <f>IFERROR(INDEX(base_v,MATCH($F175,base_k,1)),0)*离线奖励!$C$12</f>
        <v>7350</v>
      </c>
      <c r="S175" s="12">
        <f>IFERROR(INDEX(关卡进度奖励!$I$7:$I$15,MATCH(F175,关卡进度奖励!$D$7:$D$15,0)),0)</f>
        <v>0</v>
      </c>
      <c r="T175" s="12">
        <f>AVERAGE(签到!$E$7:$E$13)*$H175</f>
        <v>10327.619047619048</v>
      </c>
      <c r="U175" s="12">
        <f>转盘!$C$26*H175*V175/$D$13</f>
        <v>0</v>
      </c>
      <c r="V175" s="12">
        <f t="shared" si="35"/>
        <v>0</v>
      </c>
      <c r="W175" s="12">
        <f>IFERROR(MATCH(INDEX(转盘!$C$17:$F$17,1,MATCH($D$13,转盘!$C$16:$F$16,0))*MAX(F175-转盘!$C$6,0),转盘!$L$9:$L$51,1),0)</f>
        <v>8</v>
      </c>
      <c r="X175" s="12">
        <f>IFERROR(MATCH($F175,gift_k_level,0)^0,0)*进度礼包!$C$17*$H175/$D$13</f>
        <v>0</v>
      </c>
      <c r="Y175" s="12">
        <f>IFERROR(MATCH($F175,turn_k_1,0)^0,0)*转盘!$C$42*$H175/$D$13</f>
        <v>0</v>
      </c>
      <c r="Z175" s="12">
        <f>IFERROR(MATCH($F175,gift_k_level,0)^0,0)*进度礼包!$C$34*$H175/$D$13</f>
        <v>0</v>
      </c>
      <c r="AA175" s="12">
        <f>IFERROR(MATCH($F175,gift_k_time,0)^0,0)*限时礼包!$C$15*$H175/$D$13</f>
        <v>0</v>
      </c>
      <c r="AB175" s="12">
        <f>SUM(H$6:H175)</f>
        <v>324000</v>
      </c>
      <c r="AC175" s="12">
        <f>SUM(N$6:N175)+SUM($M$6:M175)</f>
        <v>632630.70000000054</v>
      </c>
      <c r="AD175" s="12">
        <f>SUM(O$6:O175)</f>
        <v>85133.297249999843</v>
      </c>
      <c r="AE175" s="12">
        <f>SUM($P$6:P175)</f>
        <v>37836.00275</v>
      </c>
      <c r="AF175" s="12">
        <f>SUM(U$6:U175)</f>
        <v>58476.981132075467</v>
      </c>
      <c r="AG175" s="12">
        <f>SUM(S$6:S175)</f>
        <v>9500</v>
      </c>
      <c r="AH175" s="12">
        <f>SUM(Y$6:Y175)</f>
        <v>506418.4</v>
      </c>
      <c r="AI175" s="12">
        <f>SUM(X$6:X175)</f>
        <v>45411.934602392343</v>
      </c>
      <c r="AJ175" s="12">
        <f>SUM(Z$6:Z175)</f>
        <v>147254.97462502902</v>
      </c>
      <c r="AK175" s="12">
        <f>SUM(AA$6:AA175)</f>
        <v>467685.11046823533</v>
      </c>
      <c r="AL175" s="12">
        <f>F175</f>
        <v>170</v>
      </c>
      <c r="AM175" s="12">
        <f t="shared" si="33"/>
        <v>841152.91298446816</v>
      </c>
      <c r="AN175" s="12">
        <f>SUM(I$6:I175)</f>
        <v>755600</v>
      </c>
      <c r="AO175" s="8">
        <f>SUM(Q$6:Q175)</f>
        <v>387</v>
      </c>
      <c r="AP175" s="12">
        <f t="shared" si="34"/>
        <v>85552.912984468159</v>
      </c>
      <c r="AS175" s="12">
        <v>169</v>
      </c>
      <c r="AT175" s="12">
        <v>20</v>
      </c>
      <c r="AU175" s="12">
        <f t="shared" si="39"/>
        <v>3390</v>
      </c>
      <c r="AV175" s="12">
        <f t="shared" si="40"/>
        <v>0</v>
      </c>
      <c r="AW175" s="12">
        <f>INDEX($AO$6:$AO$215,MATCH(BC175,$F$6:$F$215,0))</f>
        <v>467</v>
      </c>
      <c r="AX175" s="12">
        <f t="shared" si="41"/>
        <v>1135512.1739951316</v>
      </c>
      <c r="AY175" s="12">
        <f t="shared" si="36"/>
        <v>7650</v>
      </c>
      <c r="AZ175" s="12">
        <f t="shared" si="37"/>
        <v>10740.72380952381</v>
      </c>
      <c r="BA175" s="12">
        <f>AX175+SUM($AY$6:AY175)+SUM($AZ$6:AZ175)</f>
        <v>4167186.040661796</v>
      </c>
      <c r="BB175" s="12">
        <f t="shared" si="42"/>
        <v>956200</v>
      </c>
      <c r="BC175" s="12">
        <f t="shared" si="43"/>
        <v>210</v>
      </c>
      <c r="BD175" s="12">
        <f t="shared" si="44"/>
        <v>0</v>
      </c>
      <c r="BE175" s="12">
        <f t="shared" si="45"/>
        <v>211</v>
      </c>
      <c r="BF175" s="12">
        <f t="shared" si="38"/>
        <v>3210986.040661796</v>
      </c>
    </row>
    <row r="176" spans="6:58" x14ac:dyDescent="0.35">
      <c r="F176" s="12">
        <v>171</v>
      </c>
      <c r="G176" s="8">
        <f>INDEX(验算胜率!$E$6:$I$1005,F176,MATCH($D$16,验算胜率!$E$5:$I$5,0))</f>
        <v>0.5</v>
      </c>
      <c r="H176" s="12">
        <f t="shared" si="31"/>
        <v>2500</v>
      </c>
      <c r="I176" s="12">
        <f t="shared" si="32"/>
        <v>5000</v>
      </c>
      <c r="J176" s="12">
        <v>4</v>
      </c>
      <c r="K176" s="12">
        <v>0</v>
      </c>
      <c r="M176" s="12">
        <f>IF($D$16=验算胜率!$F$5,验算胜率!K176,0)*H176*关卡道具消耗!$D$8/关卡道具消耗!$D$26</f>
        <v>0</v>
      </c>
      <c r="N176" s="12">
        <f>INDEX(关卡奖励!$AH$6:$AH$8,MATCH($D$14,关卡奖励!$W$6:$W$8,0))*H176*IF(G176&lt;0.3,1,2)</f>
        <v>5835</v>
      </c>
      <c r="O176" s="12">
        <f>INDEX(关卡奖励!$AI$9:$AI$11,MATCH($D$14,关卡奖励!$W$9:$W$11,0))*((1/G176)-1)*H176</f>
        <v>493.125</v>
      </c>
      <c r="P176" s="12">
        <f>I176-N176-O176</f>
        <v>-1328.125</v>
      </c>
      <c r="Q176" s="12">
        <f>1/G176</f>
        <v>2</v>
      </c>
      <c r="R176" s="12">
        <f>IFERROR(INDEX(base_v,MATCH($F176,base_k,1)),0)*离线奖励!$C$12</f>
        <v>7350</v>
      </c>
      <c r="S176" s="12">
        <f>IFERROR(INDEX(关卡进度奖励!$I$7:$I$15,MATCH(F176,关卡进度奖励!$D$7:$D$15,0)),0)</f>
        <v>0</v>
      </c>
      <c r="T176" s="12">
        <f>AVERAGE(签到!$E$7:$E$13)*$H176</f>
        <v>10327.619047619048</v>
      </c>
      <c r="U176" s="12">
        <f>转盘!$C$26*H176*V176/$D$13</f>
        <v>0</v>
      </c>
      <c r="V176" s="12">
        <f t="shared" si="35"/>
        <v>0</v>
      </c>
      <c r="W176" s="12">
        <f>IFERROR(MATCH(INDEX(转盘!$C$17:$F$17,1,MATCH($D$13,转盘!$C$16:$F$16,0))*MAX(F176-转盘!$C$6,0),转盘!$L$9:$L$51,1),0)</f>
        <v>8</v>
      </c>
      <c r="X176" s="12">
        <f>IFERROR(MATCH($F176,gift_k_level,0)^0,0)*进度礼包!$C$17*$H176/$D$13</f>
        <v>0</v>
      </c>
      <c r="Y176" s="12">
        <f>IFERROR(MATCH($F176,turn_k_1,0)^0,0)*转盘!$C$42*$H176/$D$13</f>
        <v>0</v>
      </c>
      <c r="Z176" s="12">
        <f>IFERROR(MATCH($F176,gift_k_level,0)^0,0)*进度礼包!$C$34*$H176/$D$13</f>
        <v>0</v>
      </c>
      <c r="AA176" s="12">
        <f>IFERROR(MATCH($F176,gift_k_time,0)^0,0)*限时礼包!$C$15*$H176/$D$13</f>
        <v>0</v>
      </c>
      <c r="AB176" s="12">
        <f>SUM(H$6:H176)</f>
        <v>326500</v>
      </c>
      <c r="AC176" s="12">
        <f>SUM(N$6:N176)+SUM($M$6:M176)</f>
        <v>638465.70000000054</v>
      </c>
      <c r="AD176" s="12">
        <f>SUM(O$6:O176)</f>
        <v>85626.422249999843</v>
      </c>
      <c r="AE176" s="12">
        <f>SUM($P$6:P176)</f>
        <v>36507.87775</v>
      </c>
      <c r="AF176" s="12">
        <f>SUM(U$6:U176)</f>
        <v>58476.981132075467</v>
      </c>
      <c r="AG176" s="12">
        <f>SUM(S$6:S176)</f>
        <v>9500</v>
      </c>
      <c r="AH176" s="12">
        <f>SUM(Y$6:Y176)</f>
        <v>506418.4</v>
      </c>
      <c r="AI176" s="12">
        <f>SUM(X$6:X176)</f>
        <v>45411.934602392343</v>
      </c>
      <c r="AJ176" s="12">
        <f>SUM(Z$6:Z176)</f>
        <v>147254.97462502902</v>
      </c>
      <c r="AK176" s="12">
        <f>SUM(AA$6:AA176)</f>
        <v>467685.11046823533</v>
      </c>
      <c r="AL176" s="12">
        <f>F176</f>
        <v>171</v>
      </c>
      <c r="AM176" s="12">
        <f t="shared" si="33"/>
        <v>847481.03798446816</v>
      </c>
      <c r="AN176" s="12">
        <f>SUM(I$6:I176)</f>
        <v>760600</v>
      </c>
      <c r="AO176" s="8">
        <f>SUM(Q$6:Q176)</f>
        <v>389</v>
      </c>
      <c r="AP176" s="12">
        <f t="shared" si="34"/>
        <v>86881.037984468159</v>
      </c>
      <c r="AS176" s="12">
        <v>170</v>
      </c>
      <c r="AT176" s="12">
        <v>20</v>
      </c>
      <c r="AU176" s="12">
        <f t="shared" si="39"/>
        <v>3410</v>
      </c>
      <c r="AV176" s="12">
        <f t="shared" si="40"/>
        <v>0</v>
      </c>
      <c r="AW176" s="12">
        <f>INDEX($AO$6:$AO$215,MATCH(BC176,$F$6:$F$215,0))</f>
        <v>467</v>
      </c>
      <c r="AX176" s="12">
        <f t="shared" si="41"/>
        <v>1135512.1739951316</v>
      </c>
      <c r="AY176" s="12">
        <f t="shared" si="36"/>
        <v>7650</v>
      </c>
      <c r="AZ176" s="12">
        <f t="shared" si="37"/>
        <v>10740.72380952381</v>
      </c>
      <c r="BA176" s="12">
        <f>AX176+SUM($AY$6:AY176)+SUM($AZ$6:AZ176)</f>
        <v>4185576.7644713195</v>
      </c>
      <c r="BB176" s="12">
        <f t="shared" si="42"/>
        <v>956200</v>
      </c>
      <c r="BC176" s="12">
        <f t="shared" si="43"/>
        <v>210</v>
      </c>
      <c r="BD176" s="12">
        <f t="shared" si="44"/>
        <v>0</v>
      </c>
      <c r="BE176" s="12">
        <f t="shared" si="45"/>
        <v>211</v>
      </c>
      <c r="BF176" s="12">
        <f t="shared" si="38"/>
        <v>3229376.7644713195</v>
      </c>
    </row>
    <row r="177" spans="6:58" x14ac:dyDescent="0.35">
      <c r="F177" s="12">
        <v>172</v>
      </c>
      <c r="G177" s="8">
        <f>INDEX(验算胜率!$E$6:$I$1005,F177,MATCH($D$16,验算胜率!$E$5:$I$5,0))</f>
        <v>0.5</v>
      </c>
      <c r="H177" s="12">
        <f t="shared" si="31"/>
        <v>2500</v>
      </c>
      <c r="I177" s="12">
        <f t="shared" si="32"/>
        <v>5000</v>
      </c>
      <c r="J177" s="12">
        <v>4</v>
      </c>
      <c r="K177" s="12">
        <v>0</v>
      </c>
      <c r="M177" s="12">
        <f>IF($D$16=验算胜率!$F$5,验算胜率!K177,0)*H177*关卡道具消耗!$D$8/关卡道具消耗!$D$26</f>
        <v>0</v>
      </c>
      <c r="N177" s="12">
        <f>INDEX(关卡奖励!$AH$6:$AH$8,MATCH($D$14,关卡奖励!$W$6:$W$8,0))*H177*IF(G177&lt;0.3,1,2)</f>
        <v>5835</v>
      </c>
      <c r="O177" s="12">
        <f>INDEX(关卡奖励!$AI$9:$AI$11,MATCH($D$14,关卡奖励!$W$9:$W$11,0))*((1/G177)-1)*H177</f>
        <v>493.125</v>
      </c>
      <c r="P177" s="12">
        <f>I177-N177-O177</f>
        <v>-1328.125</v>
      </c>
      <c r="Q177" s="12">
        <f>1/G177</f>
        <v>2</v>
      </c>
      <c r="R177" s="12">
        <f>IFERROR(INDEX(base_v,MATCH($F177,base_k,1)),0)*离线奖励!$C$12</f>
        <v>7350</v>
      </c>
      <c r="S177" s="12">
        <f>IFERROR(INDEX(关卡进度奖励!$I$7:$I$15,MATCH(F177,关卡进度奖励!$D$7:$D$15,0)),0)</f>
        <v>0</v>
      </c>
      <c r="T177" s="12">
        <f>AVERAGE(签到!$E$7:$E$13)*$H177</f>
        <v>10327.619047619048</v>
      </c>
      <c r="U177" s="12">
        <f>转盘!$C$26*H177*V177/$D$13</f>
        <v>0</v>
      </c>
      <c r="V177" s="12">
        <f t="shared" si="35"/>
        <v>0</v>
      </c>
      <c r="W177" s="12">
        <f>IFERROR(MATCH(INDEX(转盘!$C$17:$F$17,1,MATCH($D$13,转盘!$C$16:$F$16,0))*MAX(F177-转盘!$C$6,0),转盘!$L$9:$L$51,1),0)</f>
        <v>8</v>
      </c>
      <c r="X177" s="12">
        <f>IFERROR(MATCH($F177,gift_k_level,0)^0,0)*进度礼包!$C$17*$H177/$D$13</f>
        <v>0</v>
      </c>
      <c r="Y177" s="12">
        <f>IFERROR(MATCH($F177,turn_k_1,0)^0,0)*转盘!$C$42*$H177/$D$13</f>
        <v>0</v>
      </c>
      <c r="Z177" s="12">
        <f>IFERROR(MATCH($F177,gift_k_level,0)^0,0)*进度礼包!$C$34*$H177/$D$13</f>
        <v>0</v>
      </c>
      <c r="AA177" s="12">
        <f>IFERROR(MATCH($F177,gift_k_time,0)^0,0)*限时礼包!$C$15*$H177/$D$13</f>
        <v>0</v>
      </c>
      <c r="AB177" s="12">
        <f>SUM(H$6:H177)</f>
        <v>329000</v>
      </c>
      <c r="AC177" s="12">
        <f>SUM(N$6:N177)+SUM($M$6:M177)</f>
        <v>644300.70000000054</v>
      </c>
      <c r="AD177" s="12">
        <f>SUM(O$6:O177)</f>
        <v>86119.547249999843</v>
      </c>
      <c r="AE177" s="12">
        <f>SUM($P$6:P177)</f>
        <v>35179.75275</v>
      </c>
      <c r="AF177" s="12">
        <f>SUM(U$6:U177)</f>
        <v>58476.981132075467</v>
      </c>
      <c r="AG177" s="12">
        <f>SUM(S$6:S177)</f>
        <v>9500</v>
      </c>
      <c r="AH177" s="12">
        <f>SUM(Y$6:Y177)</f>
        <v>506418.4</v>
      </c>
      <c r="AI177" s="12">
        <f>SUM(X$6:X177)</f>
        <v>45411.934602392343</v>
      </c>
      <c r="AJ177" s="12">
        <f>SUM(Z$6:Z177)</f>
        <v>147254.97462502902</v>
      </c>
      <c r="AK177" s="12">
        <f>SUM(AA$6:AA177)</f>
        <v>467685.11046823533</v>
      </c>
      <c r="AL177" s="12">
        <f>F177</f>
        <v>172</v>
      </c>
      <c r="AM177" s="12">
        <f t="shared" si="33"/>
        <v>853809.16298446816</v>
      </c>
      <c r="AN177" s="12">
        <f>SUM(I$6:I177)</f>
        <v>765600</v>
      </c>
      <c r="AO177" s="8">
        <f>SUM(Q$6:Q177)</f>
        <v>391</v>
      </c>
      <c r="AP177" s="12">
        <f t="shared" si="34"/>
        <v>88209.162984468159</v>
      </c>
      <c r="AS177" s="12">
        <v>171</v>
      </c>
      <c r="AT177" s="12">
        <v>20</v>
      </c>
      <c r="AU177" s="12">
        <f t="shared" si="39"/>
        <v>3430</v>
      </c>
      <c r="AV177" s="12">
        <f t="shared" si="40"/>
        <v>0</v>
      </c>
      <c r="AW177" s="12">
        <f>INDEX($AO$6:$AO$215,MATCH(BC177,$F$6:$F$215,0))</f>
        <v>467</v>
      </c>
      <c r="AX177" s="12">
        <f t="shared" si="41"/>
        <v>1135512.1739951316</v>
      </c>
      <c r="AY177" s="12">
        <f t="shared" si="36"/>
        <v>7650</v>
      </c>
      <c r="AZ177" s="12">
        <f t="shared" si="37"/>
        <v>10740.72380952381</v>
      </c>
      <c r="BA177" s="12">
        <f>AX177+SUM($AY$6:AY177)+SUM($AZ$6:AZ177)</f>
        <v>4203967.488280843</v>
      </c>
      <c r="BB177" s="12">
        <f t="shared" si="42"/>
        <v>956200</v>
      </c>
      <c r="BC177" s="12">
        <f t="shared" si="43"/>
        <v>210</v>
      </c>
      <c r="BD177" s="12">
        <f t="shared" si="44"/>
        <v>0</v>
      </c>
      <c r="BE177" s="12">
        <f t="shared" si="45"/>
        <v>211</v>
      </c>
      <c r="BF177" s="12">
        <f t="shared" si="38"/>
        <v>3247767.488280843</v>
      </c>
    </row>
    <row r="178" spans="6:58" x14ac:dyDescent="0.35">
      <c r="F178" s="12">
        <v>173</v>
      </c>
      <c r="G178" s="8">
        <f>INDEX(验算胜率!$E$6:$I$1005,F178,MATCH($D$16,验算胜率!$E$5:$I$5,0))</f>
        <v>0.5</v>
      </c>
      <c r="H178" s="12">
        <f t="shared" si="31"/>
        <v>2500</v>
      </c>
      <c r="I178" s="12">
        <f t="shared" si="32"/>
        <v>5000</v>
      </c>
      <c r="J178" s="12">
        <v>4</v>
      </c>
      <c r="K178" s="12">
        <v>0</v>
      </c>
      <c r="M178" s="12">
        <f>IF($D$16=验算胜率!$F$5,验算胜率!K178,0)*H178*关卡道具消耗!$D$8/关卡道具消耗!$D$26</f>
        <v>0</v>
      </c>
      <c r="N178" s="12">
        <f>INDEX(关卡奖励!$AH$6:$AH$8,MATCH($D$14,关卡奖励!$W$6:$W$8,0))*H178*IF(G178&lt;0.3,1,2)</f>
        <v>5835</v>
      </c>
      <c r="O178" s="12">
        <f>INDEX(关卡奖励!$AI$9:$AI$11,MATCH($D$14,关卡奖励!$W$9:$W$11,0))*((1/G178)-1)*H178</f>
        <v>493.125</v>
      </c>
      <c r="P178" s="12">
        <f>I178-N178-O178</f>
        <v>-1328.125</v>
      </c>
      <c r="Q178" s="12">
        <f>1/G178</f>
        <v>2</v>
      </c>
      <c r="R178" s="12">
        <f>IFERROR(INDEX(base_v,MATCH($F178,base_k,1)),0)*离线奖励!$C$12</f>
        <v>7350</v>
      </c>
      <c r="S178" s="12">
        <f>IFERROR(INDEX(关卡进度奖励!$I$7:$I$15,MATCH(F178,关卡进度奖励!$D$7:$D$15,0)),0)</f>
        <v>0</v>
      </c>
      <c r="T178" s="12">
        <f>AVERAGE(签到!$E$7:$E$13)*$H178</f>
        <v>10327.619047619048</v>
      </c>
      <c r="U178" s="12">
        <f>转盘!$C$26*H178*V178/$D$13</f>
        <v>0</v>
      </c>
      <c r="V178" s="12">
        <f t="shared" si="35"/>
        <v>0</v>
      </c>
      <c r="W178" s="12">
        <f>IFERROR(MATCH(INDEX(转盘!$C$17:$F$17,1,MATCH($D$13,转盘!$C$16:$F$16,0))*MAX(F178-转盘!$C$6,0),转盘!$L$9:$L$51,1),0)</f>
        <v>8</v>
      </c>
      <c r="X178" s="12">
        <f>IFERROR(MATCH($F178,gift_k_level,0)^0,0)*进度礼包!$C$17*$H178/$D$13</f>
        <v>0</v>
      </c>
      <c r="Y178" s="12">
        <f>IFERROR(MATCH($F178,turn_k_1,0)^0,0)*转盘!$C$42*$H178/$D$13</f>
        <v>0</v>
      </c>
      <c r="Z178" s="12">
        <f>IFERROR(MATCH($F178,gift_k_level,0)^0,0)*进度礼包!$C$34*$H178/$D$13</f>
        <v>0</v>
      </c>
      <c r="AA178" s="12">
        <f>IFERROR(MATCH($F178,gift_k_time,0)^0,0)*限时礼包!$C$15*$H178/$D$13</f>
        <v>0</v>
      </c>
      <c r="AB178" s="12">
        <f>SUM(H$6:H178)</f>
        <v>331500</v>
      </c>
      <c r="AC178" s="12">
        <f>SUM(N$6:N178)+SUM($M$6:M178)</f>
        <v>650135.70000000054</v>
      </c>
      <c r="AD178" s="12">
        <f>SUM(O$6:O178)</f>
        <v>86612.672249999843</v>
      </c>
      <c r="AE178" s="12">
        <f>SUM($P$6:P178)</f>
        <v>33851.62775</v>
      </c>
      <c r="AF178" s="12">
        <f>SUM(U$6:U178)</f>
        <v>58476.981132075467</v>
      </c>
      <c r="AG178" s="12">
        <f>SUM(S$6:S178)</f>
        <v>9500</v>
      </c>
      <c r="AH178" s="12">
        <f>SUM(Y$6:Y178)</f>
        <v>506418.4</v>
      </c>
      <c r="AI178" s="12">
        <f>SUM(X$6:X178)</f>
        <v>45411.934602392343</v>
      </c>
      <c r="AJ178" s="12">
        <f>SUM(Z$6:Z178)</f>
        <v>147254.97462502902</v>
      </c>
      <c r="AK178" s="12">
        <f>SUM(AA$6:AA178)</f>
        <v>467685.11046823533</v>
      </c>
      <c r="AL178" s="12">
        <f>F178</f>
        <v>173</v>
      </c>
      <c r="AM178" s="12">
        <f t="shared" si="33"/>
        <v>860137.28798446816</v>
      </c>
      <c r="AN178" s="12">
        <f>SUM(I$6:I178)</f>
        <v>770600</v>
      </c>
      <c r="AO178" s="8">
        <f>SUM(Q$6:Q178)</f>
        <v>393</v>
      </c>
      <c r="AP178" s="12">
        <f t="shared" si="34"/>
        <v>89537.287984468159</v>
      </c>
      <c r="AS178" s="12">
        <v>172</v>
      </c>
      <c r="AT178" s="12">
        <v>20</v>
      </c>
      <c r="AU178" s="12">
        <f t="shared" si="39"/>
        <v>3450</v>
      </c>
      <c r="AV178" s="12">
        <f t="shared" si="40"/>
        <v>0</v>
      </c>
      <c r="AW178" s="12">
        <f>INDEX($AO$6:$AO$215,MATCH(BC178,$F$6:$F$215,0))</f>
        <v>467</v>
      </c>
      <c r="AX178" s="12">
        <f t="shared" si="41"/>
        <v>1135512.1739951316</v>
      </c>
      <c r="AY178" s="12">
        <f t="shared" si="36"/>
        <v>7650</v>
      </c>
      <c r="AZ178" s="12">
        <f t="shared" si="37"/>
        <v>10740.72380952381</v>
      </c>
      <c r="BA178" s="12">
        <f>AX178+SUM($AY$6:AY178)+SUM($AZ$6:AZ178)</f>
        <v>4222358.2120903675</v>
      </c>
      <c r="BB178" s="12">
        <f t="shared" si="42"/>
        <v>956200</v>
      </c>
      <c r="BC178" s="12">
        <f t="shared" si="43"/>
        <v>210</v>
      </c>
      <c r="BD178" s="12">
        <f t="shared" si="44"/>
        <v>0</v>
      </c>
      <c r="BE178" s="12">
        <f t="shared" si="45"/>
        <v>211</v>
      </c>
      <c r="BF178" s="12">
        <f t="shared" si="38"/>
        <v>3266158.2120903675</v>
      </c>
    </row>
    <row r="179" spans="6:58" x14ac:dyDescent="0.35">
      <c r="F179" s="12">
        <v>174</v>
      </c>
      <c r="G179" s="8">
        <f>INDEX(验算胜率!$E$6:$I$1005,F179,MATCH($D$16,验算胜率!$E$5:$I$5,0))</f>
        <v>0.5</v>
      </c>
      <c r="H179" s="12">
        <f t="shared" si="31"/>
        <v>2500</v>
      </c>
      <c r="I179" s="12">
        <f t="shared" si="32"/>
        <v>5000</v>
      </c>
      <c r="J179" s="12">
        <v>4</v>
      </c>
      <c r="K179" s="12">
        <v>0</v>
      </c>
      <c r="M179" s="12">
        <f>IF($D$16=验算胜率!$F$5,验算胜率!K179,0)*H179*关卡道具消耗!$D$8/关卡道具消耗!$D$26</f>
        <v>0</v>
      </c>
      <c r="N179" s="12">
        <f>INDEX(关卡奖励!$AH$6:$AH$8,MATCH($D$14,关卡奖励!$W$6:$W$8,0))*H179*IF(G179&lt;0.3,1,2)</f>
        <v>5835</v>
      </c>
      <c r="O179" s="12">
        <f>INDEX(关卡奖励!$AI$9:$AI$11,MATCH($D$14,关卡奖励!$W$9:$W$11,0))*((1/G179)-1)*H179</f>
        <v>493.125</v>
      </c>
      <c r="P179" s="12">
        <f>I179-N179-O179</f>
        <v>-1328.125</v>
      </c>
      <c r="Q179" s="12">
        <f>1/G179</f>
        <v>2</v>
      </c>
      <c r="R179" s="12">
        <f>IFERROR(INDEX(base_v,MATCH($F179,base_k,1)),0)*离线奖励!$C$12</f>
        <v>7350</v>
      </c>
      <c r="S179" s="12">
        <f>IFERROR(INDEX(关卡进度奖励!$I$7:$I$15,MATCH(F179,关卡进度奖励!$D$7:$D$15,0)),0)</f>
        <v>0</v>
      </c>
      <c r="T179" s="12">
        <f>AVERAGE(签到!$E$7:$E$13)*$H179</f>
        <v>10327.619047619048</v>
      </c>
      <c r="U179" s="12">
        <f>转盘!$C$26*H179*V179/$D$13</f>
        <v>0</v>
      </c>
      <c r="V179" s="12">
        <f t="shared" si="35"/>
        <v>0</v>
      </c>
      <c r="W179" s="12">
        <f>IFERROR(MATCH(INDEX(转盘!$C$17:$F$17,1,MATCH($D$13,转盘!$C$16:$F$16,0))*MAX(F179-转盘!$C$6,0),转盘!$L$9:$L$51,1),0)</f>
        <v>8</v>
      </c>
      <c r="X179" s="12">
        <f>IFERROR(MATCH($F179,gift_k_level,0)^0,0)*进度礼包!$C$17*$H179/$D$13</f>
        <v>0</v>
      </c>
      <c r="Y179" s="12">
        <f>IFERROR(MATCH($F179,turn_k_1,0)^0,0)*转盘!$C$42*$H179/$D$13</f>
        <v>0</v>
      </c>
      <c r="Z179" s="12">
        <f>IFERROR(MATCH($F179,gift_k_level,0)^0,0)*进度礼包!$C$34*$H179/$D$13</f>
        <v>0</v>
      </c>
      <c r="AA179" s="12">
        <f>IFERROR(MATCH($F179,gift_k_time,0)^0,0)*限时礼包!$C$15*$H179/$D$13</f>
        <v>0</v>
      </c>
      <c r="AB179" s="12">
        <f>SUM(H$6:H179)</f>
        <v>334000</v>
      </c>
      <c r="AC179" s="12">
        <f>SUM(N$6:N179)+SUM($M$6:M179)</f>
        <v>655970.70000000054</v>
      </c>
      <c r="AD179" s="12">
        <f>SUM(O$6:O179)</f>
        <v>87105.797249999843</v>
      </c>
      <c r="AE179" s="12">
        <f>SUM($P$6:P179)</f>
        <v>32523.50275</v>
      </c>
      <c r="AF179" s="12">
        <f>SUM(U$6:U179)</f>
        <v>58476.981132075467</v>
      </c>
      <c r="AG179" s="12">
        <f>SUM(S$6:S179)</f>
        <v>9500</v>
      </c>
      <c r="AH179" s="12">
        <f>SUM(Y$6:Y179)</f>
        <v>506418.4</v>
      </c>
      <c r="AI179" s="12">
        <f>SUM(X$6:X179)</f>
        <v>45411.934602392343</v>
      </c>
      <c r="AJ179" s="12">
        <f>SUM(Z$6:Z179)</f>
        <v>147254.97462502902</v>
      </c>
      <c r="AK179" s="12">
        <f>SUM(AA$6:AA179)</f>
        <v>467685.11046823533</v>
      </c>
      <c r="AL179" s="12">
        <f>F179</f>
        <v>174</v>
      </c>
      <c r="AM179" s="12">
        <f t="shared" si="33"/>
        <v>866465.41298446816</v>
      </c>
      <c r="AN179" s="12">
        <f>SUM(I$6:I179)</f>
        <v>775600</v>
      </c>
      <c r="AO179" s="8">
        <f>SUM(Q$6:Q179)</f>
        <v>395</v>
      </c>
      <c r="AP179" s="12">
        <f t="shared" si="34"/>
        <v>90865.412984468159</v>
      </c>
      <c r="AS179" s="12">
        <v>173</v>
      </c>
      <c r="AT179" s="12">
        <v>20</v>
      </c>
      <c r="AU179" s="12">
        <f t="shared" si="39"/>
        <v>3470</v>
      </c>
      <c r="AV179" s="12">
        <f t="shared" si="40"/>
        <v>0</v>
      </c>
      <c r="AW179" s="12">
        <f>INDEX($AO$6:$AO$215,MATCH(BC179,$F$6:$F$215,0))</f>
        <v>467</v>
      </c>
      <c r="AX179" s="12">
        <f t="shared" si="41"/>
        <v>1135512.1739951316</v>
      </c>
      <c r="AY179" s="12">
        <f t="shared" si="36"/>
        <v>7650</v>
      </c>
      <c r="AZ179" s="12">
        <f t="shared" si="37"/>
        <v>10740.72380952381</v>
      </c>
      <c r="BA179" s="12">
        <f>AX179+SUM($AY$6:AY179)+SUM($AZ$6:AZ179)</f>
        <v>4240748.935899891</v>
      </c>
      <c r="BB179" s="12">
        <f t="shared" si="42"/>
        <v>956200</v>
      </c>
      <c r="BC179" s="12">
        <f t="shared" si="43"/>
        <v>210</v>
      </c>
      <c r="BD179" s="12">
        <f t="shared" si="44"/>
        <v>0</v>
      </c>
      <c r="BE179" s="12">
        <f t="shared" si="45"/>
        <v>211</v>
      </c>
      <c r="BF179" s="12">
        <f t="shared" si="38"/>
        <v>3284548.935899891</v>
      </c>
    </row>
    <row r="180" spans="6:58" x14ac:dyDescent="0.35">
      <c r="F180" s="12">
        <v>175</v>
      </c>
      <c r="G180" s="8">
        <f>INDEX(验算胜率!$E$6:$I$1005,F180,MATCH($D$16,验算胜率!$E$5:$I$5,0))</f>
        <v>0.5</v>
      </c>
      <c r="H180" s="12">
        <f t="shared" si="31"/>
        <v>2500</v>
      </c>
      <c r="I180" s="12">
        <f t="shared" si="32"/>
        <v>5000</v>
      </c>
      <c r="J180" s="12">
        <v>4</v>
      </c>
      <c r="K180" s="12">
        <v>0</v>
      </c>
      <c r="M180" s="12">
        <f>IF($D$16=验算胜率!$F$5,验算胜率!K180,0)*H180*关卡道具消耗!$D$8/关卡道具消耗!$D$26</f>
        <v>0</v>
      </c>
      <c r="N180" s="12">
        <f>INDEX(关卡奖励!$AH$6:$AH$8,MATCH($D$14,关卡奖励!$W$6:$W$8,0))*H180*IF(G180&lt;0.3,1,2)</f>
        <v>5835</v>
      </c>
      <c r="O180" s="12">
        <f>INDEX(关卡奖励!$AI$9:$AI$11,MATCH($D$14,关卡奖励!$W$9:$W$11,0))*((1/G180)-1)*H180</f>
        <v>493.125</v>
      </c>
      <c r="P180" s="12">
        <f>I180-N180-O180</f>
        <v>-1328.125</v>
      </c>
      <c r="Q180" s="12">
        <f>1/G180</f>
        <v>2</v>
      </c>
      <c r="R180" s="12">
        <f>IFERROR(INDEX(base_v,MATCH($F180,base_k,1)),0)*离线奖励!$C$12</f>
        <v>7350</v>
      </c>
      <c r="S180" s="12">
        <f>IFERROR(INDEX(关卡进度奖励!$I$7:$I$15,MATCH(F180,关卡进度奖励!$D$7:$D$15,0)),0)</f>
        <v>0</v>
      </c>
      <c r="T180" s="12">
        <f>AVERAGE(签到!$E$7:$E$13)*$H180</f>
        <v>10327.619047619048</v>
      </c>
      <c r="U180" s="12">
        <f>转盘!$C$26*H180*V180/$D$13</f>
        <v>0</v>
      </c>
      <c r="V180" s="12">
        <f t="shared" si="35"/>
        <v>0</v>
      </c>
      <c r="W180" s="12">
        <f>IFERROR(MATCH(INDEX(转盘!$C$17:$F$17,1,MATCH($D$13,转盘!$C$16:$F$16,0))*MAX(F180-转盘!$C$6,0),转盘!$L$9:$L$51,1),0)</f>
        <v>8</v>
      </c>
      <c r="X180" s="12">
        <f>IFERROR(MATCH($F180,gift_k_level,0)^0,0)*进度礼包!$C$17*$H180/$D$13</f>
        <v>0</v>
      </c>
      <c r="Y180" s="12">
        <f>IFERROR(MATCH($F180,turn_k_1,0)^0,0)*转盘!$C$42*$H180/$D$13</f>
        <v>0</v>
      </c>
      <c r="Z180" s="12">
        <f>IFERROR(MATCH($F180,gift_k_level,0)^0,0)*进度礼包!$C$34*$H180/$D$13</f>
        <v>0</v>
      </c>
      <c r="AA180" s="12">
        <f>IFERROR(MATCH($F180,gift_k_time,0)^0,0)*限时礼包!$C$15*$H180/$D$13</f>
        <v>0</v>
      </c>
      <c r="AB180" s="12">
        <f>SUM(H$6:H180)</f>
        <v>336500</v>
      </c>
      <c r="AC180" s="12">
        <f>SUM(N$6:N180)+SUM($M$6:M180)</f>
        <v>661805.70000000054</v>
      </c>
      <c r="AD180" s="12">
        <f>SUM(O$6:O180)</f>
        <v>87598.922249999843</v>
      </c>
      <c r="AE180" s="12">
        <f>SUM($P$6:P180)</f>
        <v>31195.37775</v>
      </c>
      <c r="AF180" s="12">
        <f>SUM(U$6:U180)</f>
        <v>58476.981132075467</v>
      </c>
      <c r="AG180" s="12">
        <f>SUM(S$6:S180)</f>
        <v>9500</v>
      </c>
      <c r="AH180" s="12">
        <f>SUM(Y$6:Y180)</f>
        <v>506418.4</v>
      </c>
      <c r="AI180" s="12">
        <f>SUM(X$6:X180)</f>
        <v>45411.934602392343</v>
      </c>
      <c r="AJ180" s="12">
        <f>SUM(Z$6:Z180)</f>
        <v>147254.97462502902</v>
      </c>
      <c r="AK180" s="12">
        <f>SUM(AA$6:AA180)</f>
        <v>467685.11046823533</v>
      </c>
      <c r="AL180" s="12">
        <f>F180</f>
        <v>175</v>
      </c>
      <c r="AM180" s="12">
        <f t="shared" si="33"/>
        <v>872793.53798446816</v>
      </c>
      <c r="AN180" s="12">
        <f>SUM(I$6:I180)</f>
        <v>780600</v>
      </c>
      <c r="AO180" s="8">
        <f>SUM(Q$6:Q180)</f>
        <v>397</v>
      </c>
      <c r="AP180" s="12">
        <f t="shared" si="34"/>
        <v>92193.537984468159</v>
      </c>
      <c r="AS180" s="12">
        <v>174</v>
      </c>
      <c r="AT180" s="12">
        <v>20</v>
      </c>
      <c r="AU180" s="12">
        <f t="shared" si="39"/>
        <v>3490</v>
      </c>
      <c r="AV180" s="12">
        <f t="shared" si="40"/>
        <v>0</v>
      </c>
      <c r="AW180" s="12">
        <f>INDEX($AO$6:$AO$215,MATCH(BC180,$F$6:$F$215,0))</f>
        <v>467</v>
      </c>
      <c r="AX180" s="12">
        <f t="shared" si="41"/>
        <v>1135512.1739951316</v>
      </c>
      <c r="AY180" s="12">
        <f t="shared" si="36"/>
        <v>7650</v>
      </c>
      <c r="AZ180" s="12">
        <f t="shared" si="37"/>
        <v>10740.72380952381</v>
      </c>
      <c r="BA180" s="12">
        <f>AX180+SUM($AY$6:AY180)+SUM($AZ$6:AZ180)</f>
        <v>4259139.6597094145</v>
      </c>
      <c r="BB180" s="12">
        <f t="shared" si="42"/>
        <v>956200</v>
      </c>
      <c r="BC180" s="12">
        <f t="shared" si="43"/>
        <v>210</v>
      </c>
      <c r="BD180" s="12">
        <f t="shared" si="44"/>
        <v>0</v>
      </c>
      <c r="BE180" s="12">
        <f t="shared" si="45"/>
        <v>211</v>
      </c>
      <c r="BF180" s="12">
        <f t="shared" si="38"/>
        <v>3302939.6597094145</v>
      </c>
    </row>
    <row r="181" spans="6:58" x14ac:dyDescent="0.35">
      <c r="F181" s="12">
        <v>176</v>
      </c>
      <c r="G181" s="8">
        <f>INDEX(验算胜率!$E$6:$I$1005,F181,MATCH($D$16,验算胜率!$E$5:$I$5,0))</f>
        <v>0.5</v>
      </c>
      <c r="H181" s="12">
        <f t="shared" si="31"/>
        <v>2500</v>
      </c>
      <c r="I181" s="12">
        <f t="shared" si="32"/>
        <v>5000</v>
      </c>
      <c r="J181" s="12">
        <v>4</v>
      </c>
      <c r="K181" s="12">
        <v>0</v>
      </c>
      <c r="M181" s="12">
        <f>IF($D$16=验算胜率!$F$5,验算胜率!K181,0)*H181*关卡道具消耗!$D$8/关卡道具消耗!$D$26</f>
        <v>0</v>
      </c>
      <c r="N181" s="12">
        <f>INDEX(关卡奖励!$AH$6:$AH$8,MATCH($D$14,关卡奖励!$W$6:$W$8,0))*H181*IF(G181&lt;0.3,1,2)</f>
        <v>5835</v>
      </c>
      <c r="O181" s="12">
        <f>INDEX(关卡奖励!$AI$9:$AI$11,MATCH($D$14,关卡奖励!$W$9:$W$11,0))*((1/G181)-1)*H181</f>
        <v>493.125</v>
      </c>
      <c r="P181" s="12">
        <f>I181-N181-O181</f>
        <v>-1328.125</v>
      </c>
      <c r="Q181" s="12">
        <f>1/G181</f>
        <v>2</v>
      </c>
      <c r="R181" s="12">
        <f>IFERROR(INDEX(base_v,MATCH($F181,base_k,1)),0)*离线奖励!$C$12</f>
        <v>7350</v>
      </c>
      <c r="S181" s="12">
        <f>IFERROR(INDEX(关卡进度奖励!$I$7:$I$15,MATCH(F181,关卡进度奖励!$D$7:$D$15,0)),0)</f>
        <v>0</v>
      </c>
      <c r="T181" s="12">
        <f>AVERAGE(签到!$E$7:$E$13)*$H181</f>
        <v>10327.619047619048</v>
      </c>
      <c r="U181" s="12">
        <f>转盘!$C$26*H181*V181/$D$13</f>
        <v>0</v>
      </c>
      <c r="V181" s="12">
        <f t="shared" si="35"/>
        <v>0</v>
      </c>
      <c r="W181" s="12">
        <f>IFERROR(MATCH(INDEX(转盘!$C$17:$F$17,1,MATCH($D$13,转盘!$C$16:$F$16,0))*MAX(F181-转盘!$C$6,0),转盘!$L$9:$L$51,1),0)</f>
        <v>8</v>
      </c>
      <c r="X181" s="12">
        <f>IFERROR(MATCH($F181,gift_k_level,0)^0,0)*进度礼包!$C$17*$H181/$D$13</f>
        <v>0</v>
      </c>
      <c r="Y181" s="12">
        <f>IFERROR(MATCH($F181,turn_k_1,0)^0,0)*转盘!$C$42*$H181/$D$13</f>
        <v>83292.5</v>
      </c>
      <c r="Z181" s="12">
        <f>IFERROR(MATCH($F181,gift_k_level,0)^0,0)*进度礼包!$C$34*$H181/$D$13</f>
        <v>0</v>
      </c>
      <c r="AA181" s="12">
        <f>IFERROR(MATCH($F181,gift_k_time,0)^0,0)*限时礼包!$C$15*$H181/$D$13</f>
        <v>0</v>
      </c>
      <c r="AB181" s="12">
        <f>SUM(H$6:H181)</f>
        <v>339000</v>
      </c>
      <c r="AC181" s="12">
        <f>SUM(N$6:N181)+SUM($M$6:M181)</f>
        <v>667640.70000000054</v>
      </c>
      <c r="AD181" s="12">
        <f>SUM(O$6:O181)</f>
        <v>88092.047249999843</v>
      </c>
      <c r="AE181" s="12">
        <f>SUM($P$6:P181)</f>
        <v>29867.25275</v>
      </c>
      <c r="AF181" s="12">
        <f>SUM(U$6:U181)</f>
        <v>58476.981132075467</v>
      </c>
      <c r="AG181" s="12">
        <f>SUM(S$6:S181)</f>
        <v>9500</v>
      </c>
      <c r="AH181" s="12">
        <f>SUM(Y$6:Y181)</f>
        <v>589710.9</v>
      </c>
      <c r="AI181" s="12">
        <f>SUM(X$6:X181)</f>
        <v>45411.934602392343</v>
      </c>
      <c r="AJ181" s="12">
        <f>SUM(Z$6:Z181)</f>
        <v>147254.97462502902</v>
      </c>
      <c r="AK181" s="12">
        <f>SUM(AA$6:AA181)</f>
        <v>467685.11046823533</v>
      </c>
      <c r="AL181" s="12">
        <f>F181</f>
        <v>176</v>
      </c>
      <c r="AM181" s="12">
        <f t="shared" si="33"/>
        <v>879121.66298446816</v>
      </c>
      <c r="AN181" s="12">
        <f>SUM(I$6:I181)</f>
        <v>785600</v>
      </c>
      <c r="AO181" s="8">
        <f>SUM(Q$6:Q181)</f>
        <v>399</v>
      </c>
      <c r="AP181" s="12">
        <f t="shared" si="34"/>
        <v>93521.662984468159</v>
      </c>
      <c r="AS181" s="12">
        <v>175</v>
      </c>
      <c r="AT181" s="12">
        <v>20</v>
      </c>
      <c r="AU181" s="12">
        <f t="shared" si="39"/>
        <v>3510</v>
      </c>
      <c r="AV181" s="12">
        <f t="shared" si="40"/>
        <v>0</v>
      </c>
      <c r="AW181" s="12">
        <f>INDEX($AO$6:$AO$215,MATCH(BC181,$F$6:$F$215,0))</f>
        <v>467</v>
      </c>
      <c r="AX181" s="12">
        <f t="shared" si="41"/>
        <v>1135512.1739951316</v>
      </c>
      <c r="AY181" s="12">
        <f t="shared" si="36"/>
        <v>7650</v>
      </c>
      <c r="AZ181" s="12">
        <f t="shared" si="37"/>
        <v>10740.72380952381</v>
      </c>
      <c r="BA181" s="12">
        <f>AX181+SUM($AY$6:AY181)+SUM($AZ$6:AZ181)</f>
        <v>4277530.383518938</v>
      </c>
      <c r="BB181" s="12">
        <f t="shared" si="42"/>
        <v>956200</v>
      </c>
      <c r="BC181" s="12">
        <f t="shared" si="43"/>
        <v>210</v>
      </c>
      <c r="BD181" s="12">
        <f t="shared" si="44"/>
        <v>0</v>
      </c>
      <c r="BE181" s="12">
        <f t="shared" si="45"/>
        <v>211</v>
      </c>
      <c r="BF181" s="12">
        <f t="shared" si="38"/>
        <v>3321330.383518938</v>
      </c>
    </row>
    <row r="182" spans="6:58" x14ac:dyDescent="0.35">
      <c r="F182" s="12">
        <v>177</v>
      </c>
      <c r="G182" s="8">
        <f>INDEX(验算胜率!$E$6:$I$1005,F182,MATCH($D$16,验算胜率!$E$5:$I$5,0))</f>
        <v>0.5</v>
      </c>
      <c r="H182" s="12">
        <f t="shared" si="31"/>
        <v>2500</v>
      </c>
      <c r="I182" s="12">
        <f t="shared" si="32"/>
        <v>5000</v>
      </c>
      <c r="J182" s="12">
        <v>4</v>
      </c>
      <c r="K182" s="12">
        <v>0</v>
      </c>
      <c r="M182" s="12">
        <f>IF($D$16=验算胜率!$F$5,验算胜率!K182,0)*H182*关卡道具消耗!$D$8/关卡道具消耗!$D$26</f>
        <v>0</v>
      </c>
      <c r="N182" s="12">
        <f>INDEX(关卡奖励!$AH$6:$AH$8,MATCH($D$14,关卡奖励!$W$6:$W$8,0))*H182*IF(G182&lt;0.3,1,2)</f>
        <v>5835</v>
      </c>
      <c r="O182" s="12">
        <f>INDEX(关卡奖励!$AI$9:$AI$11,MATCH($D$14,关卡奖励!$W$9:$W$11,0))*((1/G182)-1)*H182</f>
        <v>493.125</v>
      </c>
      <c r="P182" s="12">
        <f>I182-N182-O182</f>
        <v>-1328.125</v>
      </c>
      <c r="Q182" s="12">
        <f>1/G182</f>
        <v>2</v>
      </c>
      <c r="R182" s="12">
        <f>IFERROR(INDEX(base_v,MATCH($F182,base_k,1)),0)*离线奖励!$C$12</f>
        <v>7350</v>
      </c>
      <c r="S182" s="12">
        <f>IFERROR(INDEX(关卡进度奖励!$I$7:$I$15,MATCH(F182,关卡进度奖励!$D$7:$D$15,0)),0)</f>
        <v>0</v>
      </c>
      <c r="T182" s="12">
        <f>AVERAGE(签到!$E$7:$E$13)*$H182</f>
        <v>10327.619047619048</v>
      </c>
      <c r="U182" s="12">
        <f>转盘!$C$26*H182*V182/$D$13</f>
        <v>9617.9245283018863</v>
      </c>
      <c r="V182" s="12">
        <f t="shared" si="35"/>
        <v>1</v>
      </c>
      <c r="W182" s="12">
        <f>IFERROR(MATCH(INDEX(转盘!$C$17:$F$17,1,MATCH($D$13,转盘!$C$16:$F$16,0))*MAX(F182-转盘!$C$6,0),转盘!$L$9:$L$51,1),0)</f>
        <v>9</v>
      </c>
      <c r="X182" s="12">
        <f>IFERROR(MATCH($F182,gift_k_level,0)^0,0)*进度礼包!$C$17*$H182/$D$13</f>
        <v>0</v>
      </c>
      <c r="Y182" s="12">
        <f>IFERROR(MATCH($F182,turn_k_1,0)^0,0)*转盘!$C$42*$H182/$D$13</f>
        <v>0</v>
      </c>
      <c r="Z182" s="12">
        <f>IFERROR(MATCH($F182,gift_k_level,0)^0,0)*进度礼包!$C$34*$H182/$D$13</f>
        <v>0</v>
      </c>
      <c r="AA182" s="12">
        <f>IFERROR(MATCH($F182,gift_k_time,0)^0,0)*限时礼包!$C$15*$H182/$D$13</f>
        <v>74472.151348445128</v>
      </c>
      <c r="AB182" s="12">
        <f>SUM(H$6:H182)</f>
        <v>341500</v>
      </c>
      <c r="AC182" s="12">
        <f>SUM(N$6:N182)+SUM($M$6:M182)</f>
        <v>673475.70000000054</v>
      </c>
      <c r="AD182" s="12">
        <f>SUM(O$6:O182)</f>
        <v>88585.172249999843</v>
      </c>
      <c r="AE182" s="12">
        <f>SUM($P$6:P182)</f>
        <v>28539.12775</v>
      </c>
      <c r="AF182" s="12">
        <f>SUM(U$6:U182)</f>
        <v>68094.90566037735</v>
      </c>
      <c r="AG182" s="12">
        <f>SUM(S$6:S182)</f>
        <v>9500</v>
      </c>
      <c r="AH182" s="12">
        <f>SUM(Y$6:Y182)</f>
        <v>589710.9</v>
      </c>
      <c r="AI182" s="12">
        <f>SUM(X$6:X182)</f>
        <v>45411.934602392343</v>
      </c>
      <c r="AJ182" s="12">
        <f>SUM(Z$6:Z182)</f>
        <v>147254.97462502902</v>
      </c>
      <c r="AK182" s="12">
        <f>SUM(AA$6:AA182)</f>
        <v>542157.26181668043</v>
      </c>
      <c r="AL182" s="12">
        <f>F182</f>
        <v>177</v>
      </c>
      <c r="AM182" s="12">
        <f t="shared" si="33"/>
        <v>895067.71251277009</v>
      </c>
      <c r="AN182" s="12">
        <f>SUM(I$6:I182)</f>
        <v>790600</v>
      </c>
      <c r="AO182" s="8">
        <f>SUM(Q$6:Q182)</f>
        <v>401</v>
      </c>
      <c r="AP182" s="12">
        <f t="shared" si="34"/>
        <v>104467.71251277009</v>
      </c>
      <c r="AS182" s="12">
        <v>176</v>
      </c>
      <c r="AT182" s="12">
        <v>20</v>
      </c>
      <c r="AU182" s="12">
        <f t="shared" si="39"/>
        <v>3530</v>
      </c>
      <c r="AV182" s="12">
        <f t="shared" si="40"/>
        <v>0</v>
      </c>
      <c r="AW182" s="12">
        <f>INDEX($AO$6:$AO$215,MATCH(BC182,$F$6:$F$215,0))</f>
        <v>467</v>
      </c>
      <c r="AX182" s="12">
        <f t="shared" si="41"/>
        <v>1135512.1739951316</v>
      </c>
      <c r="AY182" s="12">
        <f t="shared" si="36"/>
        <v>7650</v>
      </c>
      <c r="AZ182" s="12">
        <f t="shared" si="37"/>
        <v>10740.72380952381</v>
      </c>
      <c r="BA182" s="12">
        <f>AX182+SUM($AY$6:AY182)+SUM($AZ$6:AZ182)</f>
        <v>4295921.1073284615</v>
      </c>
      <c r="BB182" s="12">
        <f t="shared" si="42"/>
        <v>956200</v>
      </c>
      <c r="BC182" s="12">
        <f t="shared" si="43"/>
        <v>210</v>
      </c>
      <c r="BD182" s="12">
        <f t="shared" si="44"/>
        <v>0</v>
      </c>
      <c r="BE182" s="12">
        <f t="shared" si="45"/>
        <v>211</v>
      </c>
      <c r="BF182" s="12">
        <f t="shared" si="38"/>
        <v>3339721.1073284615</v>
      </c>
    </row>
    <row r="183" spans="6:58" x14ac:dyDescent="0.35">
      <c r="F183" s="12">
        <v>178</v>
      </c>
      <c r="G183" s="8">
        <f>INDEX(验算胜率!$E$6:$I$1005,F183,MATCH($D$16,验算胜率!$E$5:$I$5,0))</f>
        <v>0.5</v>
      </c>
      <c r="H183" s="12">
        <f t="shared" si="31"/>
        <v>2500</v>
      </c>
      <c r="I183" s="12">
        <f t="shared" si="32"/>
        <v>5000</v>
      </c>
      <c r="J183" s="12">
        <v>4</v>
      </c>
      <c r="K183" s="12">
        <v>0</v>
      </c>
      <c r="M183" s="12">
        <f>IF($D$16=验算胜率!$F$5,验算胜率!K183,0)*H183*关卡道具消耗!$D$8/关卡道具消耗!$D$26</f>
        <v>0</v>
      </c>
      <c r="N183" s="12">
        <f>INDEX(关卡奖励!$AH$6:$AH$8,MATCH($D$14,关卡奖励!$W$6:$W$8,0))*H183*IF(G183&lt;0.3,1,2)</f>
        <v>5835</v>
      </c>
      <c r="O183" s="12">
        <f>INDEX(关卡奖励!$AI$9:$AI$11,MATCH($D$14,关卡奖励!$W$9:$W$11,0))*((1/G183)-1)*H183</f>
        <v>493.125</v>
      </c>
      <c r="P183" s="12">
        <f>I183-N183-O183</f>
        <v>-1328.125</v>
      </c>
      <c r="Q183" s="12">
        <f>1/G183</f>
        <v>2</v>
      </c>
      <c r="R183" s="12">
        <f>IFERROR(INDEX(base_v,MATCH($F183,base_k,1)),0)*离线奖励!$C$12</f>
        <v>7350</v>
      </c>
      <c r="S183" s="12">
        <f>IFERROR(INDEX(关卡进度奖励!$I$7:$I$15,MATCH(F183,关卡进度奖励!$D$7:$D$15,0)),0)</f>
        <v>0</v>
      </c>
      <c r="T183" s="12">
        <f>AVERAGE(签到!$E$7:$E$13)*$H183</f>
        <v>10327.619047619048</v>
      </c>
      <c r="U183" s="12">
        <f>转盘!$C$26*H183*V183/$D$13</f>
        <v>0</v>
      </c>
      <c r="V183" s="12">
        <f t="shared" si="35"/>
        <v>0</v>
      </c>
      <c r="W183" s="12">
        <f>IFERROR(MATCH(INDEX(转盘!$C$17:$F$17,1,MATCH($D$13,转盘!$C$16:$F$16,0))*MAX(F183-转盘!$C$6,0),转盘!$L$9:$L$51,1),0)</f>
        <v>9</v>
      </c>
      <c r="X183" s="12">
        <f>IFERROR(MATCH($F183,gift_k_level,0)^0,0)*进度礼包!$C$17*$H183/$D$13</f>
        <v>0</v>
      </c>
      <c r="Y183" s="12">
        <f>IFERROR(MATCH($F183,turn_k_1,0)^0,0)*转盘!$C$42*$H183/$D$13</f>
        <v>0</v>
      </c>
      <c r="Z183" s="12">
        <f>IFERROR(MATCH($F183,gift_k_level,0)^0,0)*进度礼包!$C$34*$H183/$D$13</f>
        <v>0</v>
      </c>
      <c r="AA183" s="12">
        <f>IFERROR(MATCH($F183,gift_k_time,0)^0,0)*限时礼包!$C$15*$H183/$D$13</f>
        <v>0</v>
      </c>
      <c r="AB183" s="12">
        <f>SUM(H$6:H183)</f>
        <v>344000</v>
      </c>
      <c r="AC183" s="12">
        <f>SUM(N$6:N183)+SUM($M$6:M183)</f>
        <v>679310.70000000054</v>
      </c>
      <c r="AD183" s="12">
        <f>SUM(O$6:O183)</f>
        <v>89078.297249999843</v>
      </c>
      <c r="AE183" s="12">
        <f>SUM($P$6:P183)</f>
        <v>27211.00275</v>
      </c>
      <c r="AF183" s="12">
        <f>SUM(U$6:U183)</f>
        <v>68094.90566037735</v>
      </c>
      <c r="AG183" s="12">
        <f>SUM(S$6:S183)</f>
        <v>9500</v>
      </c>
      <c r="AH183" s="12">
        <f>SUM(Y$6:Y183)</f>
        <v>589710.9</v>
      </c>
      <c r="AI183" s="12">
        <f>SUM(X$6:X183)</f>
        <v>45411.934602392343</v>
      </c>
      <c r="AJ183" s="12">
        <f>SUM(Z$6:Z183)</f>
        <v>147254.97462502902</v>
      </c>
      <c r="AK183" s="12">
        <f>SUM(AA$6:AA183)</f>
        <v>542157.26181668043</v>
      </c>
      <c r="AL183" s="12">
        <f>F183</f>
        <v>178</v>
      </c>
      <c r="AM183" s="12">
        <f t="shared" si="33"/>
        <v>901395.83751277009</v>
      </c>
      <c r="AN183" s="12">
        <f>SUM(I$6:I183)</f>
        <v>795600</v>
      </c>
      <c r="AO183" s="8">
        <f>SUM(Q$6:Q183)</f>
        <v>403</v>
      </c>
      <c r="AP183" s="12">
        <f t="shared" si="34"/>
        <v>105795.83751277009</v>
      </c>
      <c r="AS183" s="12">
        <v>177</v>
      </c>
      <c r="AT183" s="12">
        <v>20</v>
      </c>
      <c r="AU183" s="12">
        <f t="shared" si="39"/>
        <v>3550</v>
      </c>
      <c r="AV183" s="12">
        <f t="shared" si="40"/>
        <v>0</v>
      </c>
      <c r="AW183" s="12">
        <f>INDEX($AO$6:$AO$215,MATCH(BC183,$F$6:$F$215,0))</f>
        <v>467</v>
      </c>
      <c r="AX183" s="12">
        <f t="shared" si="41"/>
        <v>1135512.1739951316</v>
      </c>
      <c r="AY183" s="12">
        <f t="shared" si="36"/>
        <v>7650</v>
      </c>
      <c r="AZ183" s="12">
        <f t="shared" si="37"/>
        <v>10740.72380952381</v>
      </c>
      <c r="BA183" s="12">
        <f>AX183+SUM($AY$6:AY183)+SUM($AZ$6:AZ183)</f>
        <v>4314311.8311379859</v>
      </c>
      <c r="BB183" s="12">
        <f t="shared" si="42"/>
        <v>956200</v>
      </c>
      <c r="BC183" s="12">
        <f t="shared" si="43"/>
        <v>210</v>
      </c>
      <c r="BD183" s="12">
        <f t="shared" si="44"/>
        <v>0</v>
      </c>
      <c r="BE183" s="12">
        <f t="shared" si="45"/>
        <v>211</v>
      </c>
      <c r="BF183" s="12">
        <f t="shared" si="38"/>
        <v>3358111.8311379859</v>
      </c>
    </row>
    <row r="184" spans="6:58" x14ac:dyDescent="0.35">
      <c r="F184" s="12">
        <v>179</v>
      </c>
      <c r="G184" s="8">
        <f>INDEX(验算胜率!$E$6:$I$1005,F184,MATCH($D$16,验算胜率!$E$5:$I$5,0))</f>
        <v>0.5</v>
      </c>
      <c r="H184" s="12">
        <f t="shared" si="31"/>
        <v>2500</v>
      </c>
      <c r="I184" s="12">
        <f t="shared" si="32"/>
        <v>5000</v>
      </c>
      <c r="J184" s="12">
        <v>4</v>
      </c>
      <c r="K184" s="12">
        <v>0</v>
      </c>
      <c r="M184" s="12">
        <f>IF($D$16=验算胜率!$F$5,验算胜率!K184,0)*H184*关卡道具消耗!$D$8/关卡道具消耗!$D$26</f>
        <v>0</v>
      </c>
      <c r="N184" s="12">
        <f>INDEX(关卡奖励!$AH$6:$AH$8,MATCH($D$14,关卡奖励!$W$6:$W$8,0))*H184*IF(G184&lt;0.3,1,2)</f>
        <v>5835</v>
      </c>
      <c r="O184" s="12">
        <f>INDEX(关卡奖励!$AI$9:$AI$11,MATCH($D$14,关卡奖励!$W$9:$W$11,0))*((1/G184)-1)*H184</f>
        <v>493.125</v>
      </c>
      <c r="P184" s="12">
        <f>I184-N184-O184</f>
        <v>-1328.125</v>
      </c>
      <c r="Q184" s="12">
        <f>1/G184</f>
        <v>2</v>
      </c>
      <c r="R184" s="12">
        <f>IFERROR(INDEX(base_v,MATCH($F184,base_k,1)),0)*离线奖励!$C$12</f>
        <v>7350</v>
      </c>
      <c r="S184" s="12">
        <f>IFERROR(INDEX(关卡进度奖励!$I$7:$I$15,MATCH(F184,关卡进度奖励!$D$7:$D$15,0)),0)</f>
        <v>0</v>
      </c>
      <c r="T184" s="12">
        <f>AVERAGE(签到!$E$7:$E$13)*$H184</f>
        <v>10327.619047619048</v>
      </c>
      <c r="U184" s="12">
        <f>转盘!$C$26*H184*V184/$D$13</f>
        <v>0</v>
      </c>
      <c r="V184" s="12">
        <f t="shared" si="35"/>
        <v>0</v>
      </c>
      <c r="W184" s="12">
        <f>IFERROR(MATCH(INDEX(转盘!$C$17:$F$17,1,MATCH($D$13,转盘!$C$16:$F$16,0))*MAX(F184-转盘!$C$6,0),转盘!$L$9:$L$51,1),0)</f>
        <v>9</v>
      </c>
      <c r="X184" s="12">
        <f>IFERROR(MATCH($F184,gift_k_level,0)^0,0)*进度礼包!$C$17*$H184/$D$13</f>
        <v>0</v>
      </c>
      <c r="Y184" s="12">
        <f>IFERROR(MATCH($F184,turn_k_1,0)^0,0)*转盘!$C$42*$H184/$D$13</f>
        <v>0</v>
      </c>
      <c r="Z184" s="12">
        <f>IFERROR(MATCH($F184,gift_k_level,0)^0,0)*进度礼包!$C$34*$H184/$D$13</f>
        <v>0</v>
      </c>
      <c r="AA184" s="12">
        <f>IFERROR(MATCH($F184,gift_k_time,0)^0,0)*限时礼包!$C$15*$H184/$D$13</f>
        <v>0</v>
      </c>
      <c r="AB184" s="12">
        <f>SUM(H$6:H184)</f>
        <v>346500</v>
      </c>
      <c r="AC184" s="12">
        <f>SUM(N$6:N184)+SUM($M$6:M184)</f>
        <v>685145.70000000054</v>
      </c>
      <c r="AD184" s="12">
        <f>SUM(O$6:O184)</f>
        <v>89571.422249999843</v>
      </c>
      <c r="AE184" s="12">
        <f>SUM($P$6:P184)</f>
        <v>25882.87775</v>
      </c>
      <c r="AF184" s="12">
        <f>SUM(U$6:U184)</f>
        <v>68094.90566037735</v>
      </c>
      <c r="AG184" s="12">
        <f>SUM(S$6:S184)</f>
        <v>9500</v>
      </c>
      <c r="AH184" s="12">
        <f>SUM(Y$6:Y184)</f>
        <v>589710.9</v>
      </c>
      <c r="AI184" s="12">
        <f>SUM(X$6:X184)</f>
        <v>45411.934602392343</v>
      </c>
      <c r="AJ184" s="12">
        <f>SUM(Z$6:Z184)</f>
        <v>147254.97462502902</v>
      </c>
      <c r="AK184" s="12">
        <f>SUM(AA$6:AA184)</f>
        <v>542157.26181668043</v>
      </c>
      <c r="AL184" s="12">
        <f>F184</f>
        <v>179</v>
      </c>
      <c r="AM184" s="12">
        <f t="shared" si="33"/>
        <v>907723.96251277009</v>
      </c>
      <c r="AN184" s="12">
        <f>SUM(I$6:I184)</f>
        <v>800600</v>
      </c>
      <c r="AO184" s="8">
        <f>SUM(Q$6:Q184)</f>
        <v>405</v>
      </c>
      <c r="AP184" s="12">
        <f t="shared" si="34"/>
        <v>107123.96251277009</v>
      </c>
      <c r="AS184" s="12">
        <v>178</v>
      </c>
      <c r="AT184" s="12">
        <v>20</v>
      </c>
      <c r="AU184" s="12">
        <f t="shared" si="39"/>
        <v>3570</v>
      </c>
      <c r="AV184" s="12">
        <f t="shared" si="40"/>
        <v>0</v>
      </c>
      <c r="AW184" s="12">
        <f>INDEX($AO$6:$AO$215,MATCH(BC184,$F$6:$F$215,0))</f>
        <v>467</v>
      </c>
      <c r="AX184" s="12">
        <f t="shared" si="41"/>
        <v>1135512.1739951316</v>
      </c>
      <c r="AY184" s="12">
        <f t="shared" si="36"/>
        <v>7650</v>
      </c>
      <c r="AZ184" s="12">
        <f t="shared" si="37"/>
        <v>10740.72380952381</v>
      </c>
      <c r="BA184" s="12">
        <f>AX184+SUM($AY$6:AY184)+SUM($AZ$6:AZ184)</f>
        <v>4332702.5549475094</v>
      </c>
      <c r="BB184" s="12">
        <f t="shared" si="42"/>
        <v>956200</v>
      </c>
      <c r="BC184" s="12">
        <f t="shared" si="43"/>
        <v>210</v>
      </c>
      <c r="BD184" s="12">
        <f t="shared" si="44"/>
        <v>0</v>
      </c>
      <c r="BE184" s="12">
        <f t="shared" si="45"/>
        <v>211</v>
      </c>
      <c r="BF184" s="12">
        <f t="shared" si="38"/>
        <v>3376502.5549475094</v>
      </c>
    </row>
    <row r="185" spans="6:58" x14ac:dyDescent="0.35">
      <c r="F185" s="12">
        <v>180</v>
      </c>
      <c r="G185" s="8">
        <f>INDEX(验算胜率!$E$6:$I$1005,F185,MATCH($D$16,验算胜率!$E$5:$I$5,0))</f>
        <v>0.5</v>
      </c>
      <c r="H185" s="12">
        <f t="shared" si="31"/>
        <v>2500</v>
      </c>
      <c r="I185" s="12">
        <f t="shared" si="32"/>
        <v>5000</v>
      </c>
      <c r="J185" s="12">
        <v>4</v>
      </c>
      <c r="K185" s="12">
        <v>0</v>
      </c>
      <c r="M185" s="12">
        <f>IF($D$16=验算胜率!$F$5,验算胜率!K185,0)*H185*关卡道具消耗!$D$8/关卡道具消耗!$D$26</f>
        <v>0</v>
      </c>
      <c r="N185" s="12">
        <f>INDEX(关卡奖励!$AH$6:$AH$8,MATCH($D$14,关卡奖励!$W$6:$W$8,0))*H185*IF(G185&lt;0.3,1,2)</f>
        <v>5835</v>
      </c>
      <c r="O185" s="12">
        <f>INDEX(关卡奖励!$AI$9:$AI$11,MATCH($D$14,关卡奖励!$W$9:$W$11,0))*((1/G185)-1)*H185</f>
        <v>493.125</v>
      </c>
      <c r="P185" s="12">
        <f>I185-N185-O185</f>
        <v>-1328.125</v>
      </c>
      <c r="Q185" s="12">
        <f>1/G185</f>
        <v>2</v>
      </c>
      <c r="R185" s="12">
        <f>IFERROR(INDEX(base_v,MATCH($F185,base_k,1)),0)*离线奖励!$C$12</f>
        <v>7350</v>
      </c>
      <c r="S185" s="12">
        <f>IFERROR(INDEX(关卡进度奖励!$I$7:$I$15,MATCH(F185,关卡进度奖励!$D$7:$D$15,0)),0)</f>
        <v>0</v>
      </c>
      <c r="T185" s="12">
        <f>AVERAGE(签到!$E$7:$E$13)*$H185</f>
        <v>10327.619047619048</v>
      </c>
      <c r="U185" s="12">
        <f>转盘!$C$26*H185*V185/$D$13</f>
        <v>0</v>
      </c>
      <c r="V185" s="12">
        <f t="shared" si="35"/>
        <v>0</v>
      </c>
      <c r="W185" s="12">
        <f>IFERROR(MATCH(INDEX(转盘!$C$17:$F$17,1,MATCH($D$13,转盘!$C$16:$F$16,0))*MAX(F185-转盘!$C$6,0),转盘!$L$9:$L$51,1),0)</f>
        <v>9</v>
      </c>
      <c r="X185" s="12">
        <f>IFERROR(MATCH($F185,gift_k_level,0)^0,0)*进度礼包!$C$17*$H185/$D$13</f>
        <v>0</v>
      </c>
      <c r="Y185" s="12">
        <f>IFERROR(MATCH($F185,turn_k_1,0)^0,0)*转盘!$C$42*$H185/$D$13</f>
        <v>0</v>
      </c>
      <c r="Z185" s="12">
        <f>IFERROR(MATCH($F185,gift_k_level,0)^0,0)*进度礼包!$C$34*$H185/$D$13</f>
        <v>0</v>
      </c>
      <c r="AA185" s="12">
        <f>IFERROR(MATCH($F185,gift_k_time,0)^0,0)*限时礼包!$C$15*$H185/$D$13</f>
        <v>0</v>
      </c>
      <c r="AB185" s="12">
        <f>SUM(H$6:H185)</f>
        <v>349000</v>
      </c>
      <c r="AC185" s="12">
        <f>SUM(N$6:N185)+SUM($M$6:M185)</f>
        <v>690980.70000000054</v>
      </c>
      <c r="AD185" s="12">
        <f>SUM(O$6:O185)</f>
        <v>90064.547249999843</v>
      </c>
      <c r="AE185" s="12">
        <f>SUM($P$6:P185)</f>
        <v>24554.75275</v>
      </c>
      <c r="AF185" s="12">
        <f>SUM(U$6:U185)</f>
        <v>68094.90566037735</v>
      </c>
      <c r="AG185" s="12">
        <f>SUM(S$6:S185)</f>
        <v>9500</v>
      </c>
      <c r="AH185" s="12">
        <f>SUM(Y$6:Y185)</f>
        <v>589710.9</v>
      </c>
      <c r="AI185" s="12">
        <f>SUM(X$6:X185)</f>
        <v>45411.934602392343</v>
      </c>
      <c r="AJ185" s="12">
        <f>SUM(Z$6:Z185)</f>
        <v>147254.97462502902</v>
      </c>
      <c r="AK185" s="12">
        <f>SUM(AA$6:AA185)</f>
        <v>542157.26181668043</v>
      </c>
      <c r="AL185" s="12">
        <f>F185</f>
        <v>180</v>
      </c>
      <c r="AM185" s="12">
        <f t="shared" si="33"/>
        <v>914052.08751277009</v>
      </c>
      <c r="AN185" s="12">
        <f>SUM(I$6:I185)</f>
        <v>805600</v>
      </c>
      <c r="AO185" s="8">
        <f>SUM(Q$6:Q185)</f>
        <v>407</v>
      </c>
      <c r="AP185" s="12">
        <f t="shared" si="34"/>
        <v>108452.08751277009</v>
      </c>
      <c r="AS185" s="12">
        <v>179</v>
      </c>
      <c r="AT185" s="12">
        <v>20</v>
      </c>
      <c r="AU185" s="12">
        <f t="shared" si="39"/>
        <v>3590</v>
      </c>
      <c r="AV185" s="12">
        <f t="shared" si="40"/>
        <v>0</v>
      </c>
      <c r="AW185" s="12">
        <f>INDEX($AO$6:$AO$215,MATCH(BC185,$F$6:$F$215,0))</f>
        <v>467</v>
      </c>
      <c r="AX185" s="12">
        <f t="shared" si="41"/>
        <v>1135512.1739951316</v>
      </c>
      <c r="AY185" s="12">
        <f t="shared" si="36"/>
        <v>7650</v>
      </c>
      <c r="AZ185" s="12">
        <f t="shared" si="37"/>
        <v>10740.72380952381</v>
      </c>
      <c r="BA185" s="12">
        <f>AX185+SUM($AY$6:AY185)+SUM($AZ$6:AZ185)</f>
        <v>4351093.2787570329</v>
      </c>
      <c r="BB185" s="12">
        <f t="shared" si="42"/>
        <v>956200</v>
      </c>
      <c r="BC185" s="12">
        <f t="shared" si="43"/>
        <v>210</v>
      </c>
      <c r="BD185" s="12">
        <f t="shared" si="44"/>
        <v>0</v>
      </c>
      <c r="BE185" s="12">
        <f t="shared" si="45"/>
        <v>211</v>
      </c>
      <c r="BF185" s="12">
        <f t="shared" si="38"/>
        <v>3394893.2787570329</v>
      </c>
    </row>
    <row r="186" spans="6:58" x14ac:dyDescent="0.35">
      <c r="F186" s="12">
        <v>181</v>
      </c>
      <c r="G186" s="8">
        <f>INDEX(验算胜率!$E$6:$I$1005,F186,MATCH($D$16,验算胜率!$E$5:$I$5,0))</f>
        <v>0.5</v>
      </c>
      <c r="H186" s="12">
        <f t="shared" si="31"/>
        <v>2500</v>
      </c>
      <c r="I186" s="12">
        <f t="shared" si="32"/>
        <v>5000</v>
      </c>
      <c r="J186" s="12">
        <v>4</v>
      </c>
      <c r="K186" s="12">
        <v>0</v>
      </c>
      <c r="M186" s="12">
        <f>IF($D$16=验算胜率!$F$5,验算胜率!K186,0)*H186*关卡道具消耗!$D$8/关卡道具消耗!$D$26</f>
        <v>0</v>
      </c>
      <c r="N186" s="12">
        <f>INDEX(关卡奖励!$AH$6:$AH$8,MATCH($D$14,关卡奖励!$W$6:$W$8,0))*H186*IF(G186&lt;0.3,1,2)</f>
        <v>5835</v>
      </c>
      <c r="O186" s="12">
        <f>INDEX(关卡奖励!$AI$9:$AI$11,MATCH($D$14,关卡奖励!$W$9:$W$11,0))*((1/G186)-1)*H186</f>
        <v>493.125</v>
      </c>
      <c r="P186" s="12">
        <f>I186-N186-O186</f>
        <v>-1328.125</v>
      </c>
      <c r="Q186" s="12">
        <f>1/G186</f>
        <v>2</v>
      </c>
      <c r="R186" s="12">
        <f>IFERROR(INDEX(base_v,MATCH($F186,base_k,1)),0)*离线奖励!$C$12</f>
        <v>7350</v>
      </c>
      <c r="S186" s="12">
        <f>IFERROR(INDEX(关卡进度奖励!$I$7:$I$15,MATCH(F186,关卡进度奖励!$D$7:$D$15,0)),0)</f>
        <v>0</v>
      </c>
      <c r="T186" s="12">
        <f>AVERAGE(签到!$E$7:$E$13)*$H186</f>
        <v>10327.619047619048</v>
      </c>
      <c r="U186" s="12">
        <f>转盘!$C$26*H186*V186/$D$13</f>
        <v>0</v>
      </c>
      <c r="V186" s="12">
        <f t="shared" si="35"/>
        <v>0</v>
      </c>
      <c r="W186" s="12">
        <f>IFERROR(MATCH(INDEX(转盘!$C$17:$F$17,1,MATCH($D$13,转盘!$C$16:$F$16,0))*MAX(F186-转盘!$C$6,0),转盘!$L$9:$L$51,1),0)</f>
        <v>9</v>
      </c>
      <c r="X186" s="12">
        <f>IFERROR(MATCH($F186,gift_k_level,0)^0,0)*进度礼包!$C$17*$H186/$D$13</f>
        <v>0</v>
      </c>
      <c r="Y186" s="12">
        <f>IFERROR(MATCH($F186,turn_k_1,0)^0,0)*转盘!$C$42*$H186/$D$13</f>
        <v>0</v>
      </c>
      <c r="Z186" s="12">
        <f>IFERROR(MATCH($F186,gift_k_level,0)^0,0)*进度礼包!$C$34*$H186/$D$13</f>
        <v>0</v>
      </c>
      <c r="AA186" s="12">
        <f>IFERROR(MATCH($F186,gift_k_time,0)^0,0)*限时礼包!$C$15*$H186/$D$13</f>
        <v>0</v>
      </c>
      <c r="AB186" s="12">
        <f>SUM(H$6:H186)</f>
        <v>351500</v>
      </c>
      <c r="AC186" s="12">
        <f>SUM(N$6:N186)+SUM($M$6:M186)</f>
        <v>696815.70000000054</v>
      </c>
      <c r="AD186" s="12">
        <f>SUM(O$6:O186)</f>
        <v>90557.672249999843</v>
      </c>
      <c r="AE186" s="12">
        <f>SUM($P$6:P186)</f>
        <v>23226.62775</v>
      </c>
      <c r="AF186" s="12">
        <f>SUM(U$6:U186)</f>
        <v>68094.90566037735</v>
      </c>
      <c r="AG186" s="12">
        <f>SUM(S$6:S186)</f>
        <v>9500</v>
      </c>
      <c r="AH186" s="12">
        <f>SUM(Y$6:Y186)</f>
        <v>589710.9</v>
      </c>
      <c r="AI186" s="12">
        <f>SUM(X$6:X186)</f>
        <v>45411.934602392343</v>
      </c>
      <c r="AJ186" s="12">
        <f>SUM(Z$6:Z186)</f>
        <v>147254.97462502902</v>
      </c>
      <c r="AK186" s="12">
        <f>SUM(AA$6:AA186)</f>
        <v>542157.26181668043</v>
      </c>
      <c r="AL186" s="12">
        <f>F186</f>
        <v>181</v>
      </c>
      <c r="AM186" s="12">
        <f t="shared" si="33"/>
        <v>920380.21251277009</v>
      </c>
      <c r="AN186" s="12">
        <f>SUM(I$6:I186)</f>
        <v>810600</v>
      </c>
      <c r="AO186" s="8">
        <f>SUM(Q$6:Q186)</f>
        <v>409</v>
      </c>
      <c r="AP186" s="12">
        <f t="shared" si="34"/>
        <v>109780.21251277009</v>
      </c>
      <c r="AS186" s="12">
        <v>180</v>
      </c>
      <c r="AT186" s="12">
        <v>20</v>
      </c>
      <c r="AU186" s="12">
        <f t="shared" si="39"/>
        <v>3610</v>
      </c>
      <c r="AV186" s="12">
        <f t="shared" si="40"/>
        <v>0</v>
      </c>
      <c r="AW186" s="12">
        <f>INDEX($AO$6:$AO$215,MATCH(BC186,$F$6:$F$215,0))</f>
        <v>467</v>
      </c>
      <c r="AX186" s="12">
        <f t="shared" si="41"/>
        <v>1135512.1739951316</v>
      </c>
      <c r="AY186" s="12">
        <f t="shared" si="36"/>
        <v>7650</v>
      </c>
      <c r="AZ186" s="12">
        <f t="shared" si="37"/>
        <v>10740.72380952381</v>
      </c>
      <c r="BA186" s="12">
        <f>AX186+SUM($AY$6:AY186)+SUM($AZ$6:AZ186)</f>
        <v>4369484.0025665574</v>
      </c>
      <c r="BB186" s="12">
        <f t="shared" si="42"/>
        <v>956200</v>
      </c>
      <c r="BC186" s="12">
        <f t="shared" si="43"/>
        <v>210</v>
      </c>
      <c r="BD186" s="12">
        <f t="shared" si="44"/>
        <v>0</v>
      </c>
      <c r="BE186" s="12">
        <f t="shared" si="45"/>
        <v>211</v>
      </c>
      <c r="BF186" s="12">
        <f t="shared" si="38"/>
        <v>3413284.0025665574</v>
      </c>
    </row>
    <row r="187" spans="6:58" x14ac:dyDescent="0.35">
      <c r="F187" s="12">
        <v>182</v>
      </c>
      <c r="G187" s="8">
        <f>INDEX(验算胜率!$E$6:$I$1005,F187,MATCH($D$16,验算胜率!$E$5:$I$5,0))</f>
        <v>0.5</v>
      </c>
      <c r="H187" s="12">
        <f t="shared" si="31"/>
        <v>2500</v>
      </c>
      <c r="I187" s="12">
        <f t="shared" si="32"/>
        <v>5000</v>
      </c>
      <c r="J187" s="12">
        <v>4</v>
      </c>
      <c r="K187" s="12">
        <v>0</v>
      </c>
      <c r="M187" s="12">
        <f>IF($D$16=验算胜率!$F$5,验算胜率!K187,0)*H187*关卡道具消耗!$D$8/关卡道具消耗!$D$26</f>
        <v>0</v>
      </c>
      <c r="N187" s="12">
        <f>INDEX(关卡奖励!$AH$6:$AH$8,MATCH($D$14,关卡奖励!$W$6:$W$8,0))*H187*IF(G187&lt;0.3,1,2)</f>
        <v>5835</v>
      </c>
      <c r="O187" s="12">
        <f>INDEX(关卡奖励!$AI$9:$AI$11,MATCH($D$14,关卡奖励!$W$9:$W$11,0))*((1/G187)-1)*H187</f>
        <v>493.125</v>
      </c>
      <c r="P187" s="12">
        <f>I187-N187-O187</f>
        <v>-1328.125</v>
      </c>
      <c r="Q187" s="12">
        <f>1/G187</f>
        <v>2</v>
      </c>
      <c r="R187" s="12">
        <f>IFERROR(INDEX(base_v,MATCH($F187,base_k,1)),0)*离线奖励!$C$12</f>
        <v>7350</v>
      </c>
      <c r="S187" s="12">
        <f>IFERROR(INDEX(关卡进度奖励!$I$7:$I$15,MATCH(F187,关卡进度奖励!$D$7:$D$15,0)),0)</f>
        <v>0</v>
      </c>
      <c r="T187" s="12">
        <f>AVERAGE(签到!$E$7:$E$13)*$H187</f>
        <v>10327.619047619048</v>
      </c>
      <c r="U187" s="12">
        <f>转盘!$C$26*H187*V187/$D$13</f>
        <v>0</v>
      </c>
      <c r="V187" s="12">
        <f t="shared" si="35"/>
        <v>0</v>
      </c>
      <c r="W187" s="12">
        <f>IFERROR(MATCH(INDEX(转盘!$C$17:$F$17,1,MATCH($D$13,转盘!$C$16:$F$16,0))*MAX(F187-转盘!$C$6,0),转盘!$L$9:$L$51,1),0)</f>
        <v>9</v>
      </c>
      <c r="X187" s="12">
        <f>IFERROR(MATCH($F187,gift_k_level,0)^0,0)*进度礼包!$C$17*$H187/$D$13</f>
        <v>0</v>
      </c>
      <c r="Y187" s="12">
        <f>IFERROR(MATCH($F187,turn_k_1,0)^0,0)*转盘!$C$42*$H187/$D$13</f>
        <v>0</v>
      </c>
      <c r="Z187" s="12">
        <f>IFERROR(MATCH($F187,gift_k_level,0)^0,0)*进度礼包!$C$34*$H187/$D$13</f>
        <v>0</v>
      </c>
      <c r="AA187" s="12">
        <f>IFERROR(MATCH($F187,gift_k_time,0)^0,0)*限时礼包!$C$15*$H187/$D$13</f>
        <v>0</v>
      </c>
      <c r="AB187" s="12">
        <f>SUM(H$6:H187)</f>
        <v>354000</v>
      </c>
      <c r="AC187" s="12">
        <f>SUM(N$6:N187)+SUM($M$6:M187)</f>
        <v>702650.70000000054</v>
      </c>
      <c r="AD187" s="12">
        <f>SUM(O$6:O187)</f>
        <v>91050.797249999843</v>
      </c>
      <c r="AE187" s="12">
        <f>SUM($P$6:P187)</f>
        <v>21898.50275</v>
      </c>
      <c r="AF187" s="12">
        <f>SUM(U$6:U187)</f>
        <v>68094.90566037735</v>
      </c>
      <c r="AG187" s="12">
        <f>SUM(S$6:S187)</f>
        <v>9500</v>
      </c>
      <c r="AH187" s="12">
        <f>SUM(Y$6:Y187)</f>
        <v>589710.9</v>
      </c>
      <c r="AI187" s="12">
        <f>SUM(X$6:X187)</f>
        <v>45411.934602392343</v>
      </c>
      <c r="AJ187" s="12">
        <f>SUM(Z$6:Z187)</f>
        <v>147254.97462502902</v>
      </c>
      <c r="AK187" s="12">
        <f>SUM(AA$6:AA187)</f>
        <v>542157.26181668043</v>
      </c>
      <c r="AL187" s="12">
        <f>F187</f>
        <v>182</v>
      </c>
      <c r="AM187" s="12">
        <f t="shared" si="33"/>
        <v>926708.33751277009</v>
      </c>
      <c r="AN187" s="12">
        <f>SUM(I$6:I187)</f>
        <v>815600</v>
      </c>
      <c r="AO187" s="8">
        <f>SUM(Q$6:Q187)</f>
        <v>411</v>
      </c>
      <c r="AP187" s="12">
        <f t="shared" si="34"/>
        <v>111108.33751277009</v>
      </c>
      <c r="AS187" s="12">
        <v>181</v>
      </c>
      <c r="AT187" s="12">
        <v>20</v>
      </c>
      <c r="AU187" s="12">
        <f t="shared" si="39"/>
        <v>3630</v>
      </c>
      <c r="AV187" s="12">
        <f t="shared" si="40"/>
        <v>0</v>
      </c>
      <c r="AW187" s="12">
        <f>INDEX($AO$6:$AO$215,MATCH(BC187,$F$6:$F$215,0))</f>
        <v>467</v>
      </c>
      <c r="AX187" s="12">
        <f t="shared" si="41"/>
        <v>1135512.1739951316</v>
      </c>
      <c r="AY187" s="12">
        <f t="shared" si="36"/>
        <v>7650</v>
      </c>
      <c r="AZ187" s="12">
        <f t="shared" si="37"/>
        <v>10740.72380952381</v>
      </c>
      <c r="BA187" s="12">
        <f>AX187+SUM($AY$6:AY187)+SUM($AZ$6:AZ187)</f>
        <v>4387874.7263760809</v>
      </c>
      <c r="BB187" s="12">
        <f t="shared" si="42"/>
        <v>956200</v>
      </c>
      <c r="BC187" s="12">
        <f t="shared" si="43"/>
        <v>210</v>
      </c>
      <c r="BD187" s="12">
        <f t="shared" si="44"/>
        <v>0</v>
      </c>
      <c r="BE187" s="12">
        <f t="shared" si="45"/>
        <v>211</v>
      </c>
      <c r="BF187" s="12">
        <f t="shared" si="38"/>
        <v>3431674.7263760809</v>
      </c>
    </row>
    <row r="188" spans="6:58" x14ac:dyDescent="0.35">
      <c r="F188" s="12">
        <v>183</v>
      </c>
      <c r="G188" s="8">
        <f>INDEX(验算胜率!$E$6:$I$1005,F188,MATCH($D$16,验算胜率!$E$5:$I$5,0))</f>
        <v>0.5</v>
      </c>
      <c r="H188" s="12">
        <f t="shared" si="31"/>
        <v>2500</v>
      </c>
      <c r="I188" s="12">
        <f t="shared" si="32"/>
        <v>5000</v>
      </c>
      <c r="J188" s="12">
        <v>4</v>
      </c>
      <c r="K188" s="12">
        <v>0</v>
      </c>
      <c r="M188" s="12">
        <f>IF($D$16=验算胜率!$F$5,验算胜率!K188,0)*H188*关卡道具消耗!$D$8/关卡道具消耗!$D$26</f>
        <v>0</v>
      </c>
      <c r="N188" s="12">
        <f>INDEX(关卡奖励!$AH$6:$AH$8,MATCH($D$14,关卡奖励!$W$6:$W$8,0))*H188*IF(G188&lt;0.3,1,2)</f>
        <v>5835</v>
      </c>
      <c r="O188" s="12">
        <f>INDEX(关卡奖励!$AI$9:$AI$11,MATCH($D$14,关卡奖励!$W$9:$W$11,0))*((1/G188)-1)*H188</f>
        <v>493.125</v>
      </c>
      <c r="P188" s="12">
        <f>I188-N188-O188</f>
        <v>-1328.125</v>
      </c>
      <c r="Q188" s="12">
        <f>1/G188</f>
        <v>2</v>
      </c>
      <c r="R188" s="12">
        <f>IFERROR(INDEX(base_v,MATCH($F188,base_k,1)),0)*离线奖励!$C$12</f>
        <v>7350</v>
      </c>
      <c r="S188" s="12">
        <f>IFERROR(INDEX(关卡进度奖励!$I$7:$I$15,MATCH(F188,关卡进度奖励!$D$7:$D$15,0)),0)</f>
        <v>0</v>
      </c>
      <c r="T188" s="12">
        <f>AVERAGE(签到!$E$7:$E$13)*$H188</f>
        <v>10327.619047619048</v>
      </c>
      <c r="U188" s="12">
        <f>转盘!$C$26*H188*V188/$D$13</f>
        <v>0</v>
      </c>
      <c r="V188" s="12">
        <f t="shared" si="35"/>
        <v>0</v>
      </c>
      <c r="W188" s="12">
        <f>IFERROR(MATCH(INDEX(转盘!$C$17:$F$17,1,MATCH($D$13,转盘!$C$16:$F$16,0))*MAX(F188-转盘!$C$6,0),转盘!$L$9:$L$51,1),0)</f>
        <v>9</v>
      </c>
      <c r="X188" s="12">
        <f>IFERROR(MATCH($F188,gift_k_level,0)^0,0)*进度礼包!$C$17*$H188/$D$13</f>
        <v>0</v>
      </c>
      <c r="Y188" s="12">
        <f>IFERROR(MATCH($F188,turn_k_1,0)^0,0)*转盘!$C$42*$H188/$D$13</f>
        <v>0</v>
      </c>
      <c r="Z188" s="12">
        <f>IFERROR(MATCH($F188,gift_k_level,0)^0,0)*进度礼包!$C$34*$H188/$D$13</f>
        <v>0</v>
      </c>
      <c r="AA188" s="12">
        <f>IFERROR(MATCH($F188,gift_k_time,0)^0,0)*限时礼包!$C$15*$H188/$D$13</f>
        <v>0</v>
      </c>
      <c r="AB188" s="12">
        <f>SUM(H$6:H188)</f>
        <v>356500</v>
      </c>
      <c r="AC188" s="12">
        <f>SUM(N$6:N188)+SUM($M$6:M188)</f>
        <v>708485.70000000054</v>
      </c>
      <c r="AD188" s="12">
        <f>SUM(O$6:O188)</f>
        <v>91543.922249999843</v>
      </c>
      <c r="AE188" s="12">
        <f>SUM($P$6:P188)</f>
        <v>20570.37775</v>
      </c>
      <c r="AF188" s="12">
        <f>SUM(U$6:U188)</f>
        <v>68094.90566037735</v>
      </c>
      <c r="AG188" s="12">
        <f>SUM(S$6:S188)</f>
        <v>9500</v>
      </c>
      <c r="AH188" s="12">
        <f>SUM(Y$6:Y188)</f>
        <v>589710.9</v>
      </c>
      <c r="AI188" s="12">
        <f>SUM(X$6:X188)</f>
        <v>45411.934602392343</v>
      </c>
      <c r="AJ188" s="12">
        <f>SUM(Z$6:Z188)</f>
        <v>147254.97462502902</v>
      </c>
      <c r="AK188" s="12">
        <f>SUM(AA$6:AA188)</f>
        <v>542157.26181668043</v>
      </c>
      <c r="AL188" s="12">
        <f>F188</f>
        <v>183</v>
      </c>
      <c r="AM188" s="12">
        <f t="shared" si="33"/>
        <v>933036.46251277009</v>
      </c>
      <c r="AN188" s="12">
        <f>SUM(I$6:I188)</f>
        <v>820600</v>
      </c>
      <c r="AO188" s="8">
        <f>SUM(Q$6:Q188)</f>
        <v>413</v>
      </c>
      <c r="AP188" s="12">
        <f t="shared" si="34"/>
        <v>112436.46251277009</v>
      </c>
      <c r="AS188" s="12">
        <v>182</v>
      </c>
      <c r="AT188" s="12">
        <v>20</v>
      </c>
      <c r="AU188" s="12">
        <f t="shared" si="39"/>
        <v>3650</v>
      </c>
      <c r="AV188" s="12">
        <f t="shared" si="40"/>
        <v>0</v>
      </c>
      <c r="AW188" s="12">
        <f>INDEX($AO$6:$AO$215,MATCH(BC188,$F$6:$F$215,0))</f>
        <v>467</v>
      </c>
      <c r="AX188" s="12">
        <f t="shared" si="41"/>
        <v>1135512.1739951316</v>
      </c>
      <c r="AY188" s="12">
        <f t="shared" si="36"/>
        <v>7650</v>
      </c>
      <c r="AZ188" s="12">
        <f t="shared" si="37"/>
        <v>10740.72380952381</v>
      </c>
      <c r="BA188" s="12">
        <f>AX188+SUM($AY$6:AY188)+SUM($AZ$6:AZ188)</f>
        <v>4406265.4501856044</v>
      </c>
      <c r="BB188" s="12">
        <f t="shared" si="42"/>
        <v>956200</v>
      </c>
      <c r="BC188" s="12">
        <f t="shared" si="43"/>
        <v>210</v>
      </c>
      <c r="BD188" s="12">
        <f t="shared" si="44"/>
        <v>0</v>
      </c>
      <c r="BE188" s="12">
        <f t="shared" si="45"/>
        <v>211</v>
      </c>
      <c r="BF188" s="12">
        <f t="shared" si="38"/>
        <v>3450065.4501856044</v>
      </c>
    </row>
    <row r="189" spans="6:58" x14ac:dyDescent="0.35">
      <c r="F189" s="12">
        <v>184</v>
      </c>
      <c r="G189" s="8">
        <f>INDEX(验算胜率!$E$6:$I$1005,F189,MATCH($D$16,验算胜率!$E$5:$I$5,0))</f>
        <v>0.5</v>
      </c>
      <c r="H189" s="12">
        <f t="shared" si="31"/>
        <v>2500</v>
      </c>
      <c r="I189" s="12">
        <f t="shared" si="32"/>
        <v>5000</v>
      </c>
      <c r="J189" s="12">
        <v>4</v>
      </c>
      <c r="K189" s="12">
        <v>0</v>
      </c>
      <c r="M189" s="12">
        <f>IF($D$16=验算胜率!$F$5,验算胜率!K189,0)*H189*关卡道具消耗!$D$8/关卡道具消耗!$D$26</f>
        <v>0</v>
      </c>
      <c r="N189" s="12">
        <f>INDEX(关卡奖励!$AH$6:$AH$8,MATCH($D$14,关卡奖励!$W$6:$W$8,0))*H189*IF(G189&lt;0.3,1,2)</f>
        <v>5835</v>
      </c>
      <c r="O189" s="12">
        <f>INDEX(关卡奖励!$AI$9:$AI$11,MATCH($D$14,关卡奖励!$W$9:$W$11,0))*((1/G189)-1)*H189</f>
        <v>493.125</v>
      </c>
      <c r="P189" s="12">
        <f>I189-N189-O189</f>
        <v>-1328.125</v>
      </c>
      <c r="Q189" s="12">
        <f>1/G189</f>
        <v>2</v>
      </c>
      <c r="R189" s="12">
        <f>IFERROR(INDEX(base_v,MATCH($F189,base_k,1)),0)*离线奖励!$C$12</f>
        <v>7350</v>
      </c>
      <c r="S189" s="12">
        <f>IFERROR(INDEX(关卡进度奖励!$I$7:$I$15,MATCH(F189,关卡进度奖励!$D$7:$D$15,0)),0)</f>
        <v>0</v>
      </c>
      <c r="T189" s="12">
        <f>AVERAGE(签到!$E$7:$E$13)*$H189</f>
        <v>10327.619047619048</v>
      </c>
      <c r="U189" s="12">
        <f>转盘!$C$26*H189*V189/$D$13</f>
        <v>0</v>
      </c>
      <c r="V189" s="12">
        <f t="shared" si="35"/>
        <v>0</v>
      </c>
      <c r="W189" s="12">
        <f>IFERROR(MATCH(INDEX(转盘!$C$17:$F$17,1,MATCH($D$13,转盘!$C$16:$F$16,0))*MAX(F189-转盘!$C$6,0),转盘!$L$9:$L$51,1),0)</f>
        <v>9</v>
      </c>
      <c r="X189" s="12">
        <f>IFERROR(MATCH($F189,gift_k_level,0)^0,0)*进度礼包!$C$17*$H189/$D$13</f>
        <v>0</v>
      </c>
      <c r="Y189" s="12">
        <f>IFERROR(MATCH($F189,turn_k_1,0)^0,0)*转盘!$C$42*$H189/$D$13</f>
        <v>0</v>
      </c>
      <c r="Z189" s="12">
        <f>IFERROR(MATCH($F189,gift_k_level,0)^0,0)*进度礼包!$C$34*$H189/$D$13</f>
        <v>0</v>
      </c>
      <c r="AA189" s="12">
        <f>IFERROR(MATCH($F189,gift_k_time,0)^0,0)*限时礼包!$C$15*$H189/$D$13</f>
        <v>0</v>
      </c>
      <c r="AB189" s="12">
        <f>SUM(H$6:H189)</f>
        <v>359000</v>
      </c>
      <c r="AC189" s="12">
        <f>SUM(N$6:N189)+SUM($M$6:M189)</f>
        <v>714320.70000000054</v>
      </c>
      <c r="AD189" s="12">
        <f>SUM(O$6:O189)</f>
        <v>92037.047249999843</v>
      </c>
      <c r="AE189" s="12">
        <f>SUM($P$6:P189)</f>
        <v>19242.25275</v>
      </c>
      <c r="AF189" s="12">
        <f>SUM(U$6:U189)</f>
        <v>68094.90566037735</v>
      </c>
      <c r="AG189" s="12">
        <f>SUM(S$6:S189)</f>
        <v>9500</v>
      </c>
      <c r="AH189" s="12">
        <f>SUM(Y$6:Y189)</f>
        <v>589710.9</v>
      </c>
      <c r="AI189" s="12">
        <f>SUM(X$6:X189)</f>
        <v>45411.934602392343</v>
      </c>
      <c r="AJ189" s="12">
        <f>SUM(Z$6:Z189)</f>
        <v>147254.97462502902</v>
      </c>
      <c r="AK189" s="12">
        <f>SUM(AA$6:AA189)</f>
        <v>542157.26181668043</v>
      </c>
      <c r="AL189" s="12">
        <f>F189</f>
        <v>184</v>
      </c>
      <c r="AM189" s="12">
        <f t="shared" si="33"/>
        <v>939364.58751277009</v>
      </c>
      <c r="AN189" s="12">
        <f>SUM(I$6:I189)</f>
        <v>825600</v>
      </c>
      <c r="AO189" s="8">
        <f>SUM(Q$6:Q189)</f>
        <v>415</v>
      </c>
      <c r="AP189" s="12">
        <f t="shared" si="34"/>
        <v>113764.58751277009</v>
      </c>
      <c r="AS189" s="12">
        <v>183</v>
      </c>
      <c r="AT189" s="12">
        <v>20</v>
      </c>
      <c r="AU189" s="12">
        <f t="shared" si="39"/>
        <v>3670</v>
      </c>
      <c r="AV189" s="12">
        <f t="shared" si="40"/>
        <v>0</v>
      </c>
      <c r="AW189" s="12">
        <f>INDEX($AO$6:$AO$215,MATCH(BC189,$F$6:$F$215,0))</f>
        <v>467</v>
      </c>
      <c r="AX189" s="12">
        <f t="shared" si="41"/>
        <v>1135512.1739951316</v>
      </c>
      <c r="AY189" s="12">
        <f t="shared" si="36"/>
        <v>7650</v>
      </c>
      <c r="AZ189" s="12">
        <f t="shared" si="37"/>
        <v>10740.72380952381</v>
      </c>
      <c r="BA189" s="12">
        <f>AX189+SUM($AY$6:AY189)+SUM($AZ$6:AZ189)</f>
        <v>4424656.1739951279</v>
      </c>
      <c r="BB189" s="12">
        <f t="shared" si="42"/>
        <v>956200</v>
      </c>
      <c r="BC189" s="12">
        <f t="shared" si="43"/>
        <v>210</v>
      </c>
      <c r="BD189" s="12">
        <f t="shared" si="44"/>
        <v>0</v>
      </c>
      <c r="BE189" s="12">
        <f t="shared" si="45"/>
        <v>211</v>
      </c>
      <c r="BF189" s="12">
        <f t="shared" si="38"/>
        <v>3468456.1739951279</v>
      </c>
    </row>
    <row r="190" spans="6:58" x14ac:dyDescent="0.35">
      <c r="F190" s="12">
        <v>185</v>
      </c>
      <c r="G190" s="8">
        <f>INDEX(验算胜率!$E$6:$I$1005,F190,MATCH($D$16,验算胜率!$E$5:$I$5,0))</f>
        <v>0.5</v>
      </c>
      <c r="H190" s="12">
        <f t="shared" si="31"/>
        <v>2500</v>
      </c>
      <c r="I190" s="12">
        <f t="shared" si="32"/>
        <v>5000</v>
      </c>
      <c r="J190" s="12">
        <v>4</v>
      </c>
      <c r="K190" s="12">
        <v>0</v>
      </c>
      <c r="M190" s="12">
        <f>IF($D$16=验算胜率!$F$5,验算胜率!K190,0)*H190*关卡道具消耗!$D$8/关卡道具消耗!$D$26</f>
        <v>0</v>
      </c>
      <c r="N190" s="12">
        <f>INDEX(关卡奖励!$AH$6:$AH$8,MATCH($D$14,关卡奖励!$W$6:$W$8,0))*H190*IF(G190&lt;0.3,1,2)</f>
        <v>5835</v>
      </c>
      <c r="O190" s="12">
        <f>INDEX(关卡奖励!$AI$9:$AI$11,MATCH($D$14,关卡奖励!$W$9:$W$11,0))*((1/G190)-1)*H190</f>
        <v>493.125</v>
      </c>
      <c r="P190" s="12">
        <f>I190-N190-O190</f>
        <v>-1328.125</v>
      </c>
      <c r="Q190" s="12">
        <f>1/G190</f>
        <v>2</v>
      </c>
      <c r="R190" s="12">
        <f>IFERROR(INDEX(base_v,MATCH($F190,base_k,1)),0)*离线奖励!$C$12</f>
        <v>7350</v>
      </c>
      <c r="S190" s="12">
        <f>IFERROR(INDEX(关卡进度奖励!$I$7:$I$15,MATCH(F190,关卡进度奖励!$D$7:$D$15,0)),0)</f>
        <v>0</v>
      </c>
      <c r="T190" s="12">
        <f>AVERAGE(签到!$E$7:$E$13)*$H190</f>
        <v>10327.619047619048</v>
      </c>
      <c r="U190" s="12">
        <f>转盘!$C$26*H190*V190/$D$13</f>
        <v>0</v>
      </c>
      <c r="V190" s="12">
        <f t="shared" si="35"/>
        <v>0</v>
      </c>
      <c r="W190" s="12">
        <f>IFERROR(MATCH(INDEX(转盘!$C$17:$F$17,1,MATCH($D$13,转盘!$C$16:$F$16,0))*MAX(F190-转盘!$C$6,0),转盘!$L$9:$L$51,1),0)</f>
        <v>9</v>
      </c>
      <c r="X190" s="12">
        <f>IFERROR(MATCH($F190,gift_k_level,0)^0,0)*进度礼包!$C$17*$H190/$D$13</f>
        <v>0</v>
      </c>
      <c r="Y190" s="12">
        <f>IFERROR(MATCH($F190,turn_k_1,0)^0,0)*转盘!$C$42*$H190/$D$13</f>
        <v>0</v>
      </c>
      <c r="Z190" s="12">
        <f>IFERROR(MATCH($F190,gift_k_level,0)^0,0)*进度礼包!$C$34*$H190/$D$13</f>
        <v>0</v>
      </c>
      <c r="AA190" s="12">
        <f>IFERROR(MATCH($F190,gift_k_time,0)^0,0)*限时礼包!$C$15*$H190/$D$13</f>
        <v>0</v>
      </c>
      <c r="AB190" s="12">
        <f>SUM(H$6:H190)</f>
        <v>361500</v>
      </c>
      <c r="AC190" s="12">
        <f>SUM(N$6:N190)+SUM($M$6:M190)</f>
        <v>720155.70000000054</v>
      </c>
      <c r="AD190" s="12">
        <f>SUM(O$6:O190)</f>
        <v>92530.172249999843</v>
      </c>
      <c r="AE190" s="12">
        <f>SUM($P$6:P190)</f>
        <v>17914.12775</v>
      </c>
      <c r="AF190" s="12">
        <f>SUM(U$6:U190)</f>
        <v>68094.90566037735</v>
      </c>
      <c r="AG190" s="12">
        <f>SUM(S$6:S190)</f>
        <v>9500</v>
      </c>
      <c r="AH190" s="12">
        <f>SUM(Y$6:Y190)</f>
        <v>589710.9</v>
      </c>
      <c r="AI190" s="12">
        <f>SUM(X$6:X190)</f>
        <v>45411.934602392343</v>
      </c>
      <c r="AJ190" s="12">
        <f>SUM(Z$6:Z190)</f>
        <v>147254.97462502902</v>
      </c>
      <c r="AK190" s="12">
        <f>SUM(AA$6:AA190)</f>
        <v>542157.26181668043</v>
      </c>
      <c r="AL190" s="12">
        <f>F190</f>
        <v>185</v>
      </c>
      <c r="AM190" s="12">
        <f t="shared" si="33"/>
        <v>945692.71251277009</v>
      </c>
      <c r="AN190" s="12">
        <f>SUM(I$6:I190)</f>
        <v>830600</v>
      </c>
      <c r="AO190" s="8">
        <f>SUM(Q$6:Q190)</f>
        <v>417</v>
      </c>
      <c r="AP190" s="12">
        <f t="shared" si="34"/>
        <v>115092.71251277009</v>
      </c>
      <c r="AS190" s="12">
        <v>184</v>
      </c>
      <c r="AT190" s="12">
        <v>20</v>
      </c>
      <c r="AU190" s="12">
        <f t="shared" si="39"/>
        <v>3690</v>
      </c>
      <c r="AV190" s="12">
        <f t="shared" si="40"/>
        <v>0</v>
      </c>
      <c r="AW190" s="12">
        <f>INDEX($AO$6:$AO$215,MATCH(BC190,$F$6:$F$215,0))</f>
        <v>467</v>
      </c>
      <c r="AX190" s="12">
        <f t="shared" si="41"/>
        <v>1135512.1739951316</v>
      </c>
      <c r="AY190" s="12">
        <f t="shared" si="36"/>
        <v>7650</v>
      </c>
      <c r="AZ190" s="12">
        <f t="shared" si="37"/>
        <v>10740.72380952381</v>
      </c>
      <c r="BA190" s="12">
        <f>AX190+SUM($AY$6:AY190)+SUM($AZ$6:AZ190)</f>
        <v>4443046.8978046514</v>
      </c>
      <c r="BB190" s="12">
        <f t="shared" si="42"/>
        <v>956200</v>
      </c>
      <c r="BC190" s="12">
        <f t="shared" si="43"/>
        <v>210</v>
      </c>
      <c r="BD190" s="12">
        <f t="shared" si="44"/>
        <v>0</v>
      </c>
      <c r="BE190" s="12">
        <f t="shared" si="45"/>
        <v>211</v>
      </c>
      <c r="BF190" s="12">
        <f t="shared" si="38"/>
        <v>3486846.8978046514</v>
      </c>
    </row>
    <row r="191" spans="6:58" x14ac:dyDescent="0.35">
      <c r="F191" s="12">
        <v>186</v>
      </c>
      <c r="G191" s="8">
        <f>INDEX(验算胜率!$E$6:$I$1005,F191,MATCH($D$16,验算胜率!$E$5:$I$5,0))</f>
        <v>0.5</v>
      </c>
      <c r="H191" s="12">
        <f t="shared" si="31"/>
        <v>2500</v>
      </c>
      <c r="I191" s="12">
        <f t="shared" si="32"/>
        <v>5000</v>
      </c>
      <c r="J191" s="12">
        <v>4</v>
      </c>
      <c r="K191" s="12">
        <v>0</v>
      </c>
      <c r="M191" s="12">
        <f>IF($D$16=验算胜率!$F$5,验算胜率!K191,0)*H191*关卡道具消耗!$D$8/关卡道具消耗!$D$26</f>
        <v>0</v>
      </c>
      <c r="N191" s="12">
        <f>INDEX(关卡奖励!$AH$6:$AH$8,MATCH($D$14,关卡奖励!$W$6:$W$8,0))*H191*IF(G191&lt;0.3,1,2)</f>
        <v>5835</v>
      </c>
      <c r="O191" s="12">
        <f>INDEX(关卡奖励!$AI$9:$AI$11,MATCH($D$14,关卡奖励!$W$9:$W$11,0))*((1/G191)-1)*H191</f>
        <v>493.125</v>
      </c>
      <c r="P191" s="12">
        <f>I191-N191-O191</f>
        <v>-1328.125</v>
      </c>
      <c r="Q191" s="12">
        <f>1/G191</f>
        <v>2</v>
      </c>
      <c r="R191" s="12">
        <f>IFERROR(INDEX(base_v,MATCH($F191,base_k,1)),0)*离线奖励!$C$12</f>
        <v>7350</v>
      </c>
      <c r="S191" s="12">
        <f>IFERROR(INDEX(关卡进度奖励!$I$7:$I$15,MATCH(F191,关卡进度奖励!$D$7:$D$15,0)),0)</f>
        <v>0</v>
      </c>
      <c r="T191" s="12">
        <f>AVERAGE(签到!$E$7:$E$13)*$H191</f>
        <v>10327.619047619048</v>
      </c>
      <c r="U191" s="12">
        <f>转盘!$C$26*H191*V191/$D$13</f>
        <v>0</v>
      </c>
      <c r="V191" s="12">
        <f t="shared" si="35"/>
        <v>0</v>
      </c>
      <c r="W191" s="12">
        <f>IFERROR(MATCH(INDEX(转盘!$C$17:$F$17,1,MATCH($D$13,转盘!$C$16:$F$16,0))*MAX(F191-转盘!$C$6,0),转盘!$L$9:$L$51,1),0)</f>
        <v>9</v>
      </c>
      <c r="X191" s="12">
        <f>IFERROR(MATCH($F191,gift_k_level,0)^0,0)*进度礼包!$C$17*$H191/$D$13</f>
        <v>0</v>
      </c>
      <c r="Y191" s="12">
        <f>IFERROR(MATCH($F191,turn_k_1,0)^0,0)*转盘!$C$42*$H191/$D$13</f>
        <v>0</v>
      </c>
      <c r="Z191" s="12">
        <f>IFERROR(MATCH($F191,gift_k_level,0)^0,0)*进度礼包!$C$34*$H191/$D$13</f>
        <v>0</v>
      </c>
      <c r="AA191" s="12">
        <f>IFERROR(MATCH($F191,gift_k_time,0)^0,0)*限时礼包!$C$15*$H191/$D$13</f>
        <v>0</v>
      </c>
      <c r="AB191" s="12">
        <f>SUM(H$6:H191)</f>
        <v>364000</v>
      </c>
      <c r="AC191" s="12">
        <f>SUM(N$6:N191)+SUM($M$6:M191)</f>
        <v>725990.70000000054</v>
      </c>
      <c r="AD191" s="12">
        <f>SUM(O$6:O191)</f>
        <v>93023.297249999843</v>
      </c>
      <c r="AE191" s="12">
        <f>SUM($P$6:P191)</f>
        <v>16586.00275</v>
      </c>
      <c r="AF191" s="12">
        <f>SUM(U$6:U191)</f>
        <v>68094.90566037735</v>
      </c>
      <c r="AG191" s="12">
        <f>SUM(S$6:S191)</f>
        <v>9500</v>
      </c>
      <c r="AH191" s="12">
        <f>SUM(Y$6:Y191)</f>
        <v>589710.9</v>
      </c>
      <c r="AI191" s="12">
        <f>SUM(X$6:X191)</f>
        <v>45411.934602392343</v>
      </c>
      <c r="AJ191" s="12">
        <f>SUM(Z$6:Z191)</f>
        <v>147254.97462502902</v>
      </c>
      <c r="AK191" s="12">
        <f>SUM(AA$6:AA191)</f>
        <v>542157.26181668043</v>
      </c>
      <c r="AL191" s="12">
        <f>F191</f>
        <v>186</v>
      </c>
      <c r="AM191" s="12">
        <f t="shared" si="33"/>
        <v>952020.83751277009</v>
      </c>
      <c r="AN191" s="12">
        <f>SUM(I$6:I191)</f>
        <v>835600</v>
      </c>
      <c r="AO191" s="8">
        <f>SUM(Q$6:Q191)</f>
        <v>419</v>
      </c>
      <c r="AP191" s="12">
        <f t="shared" si="34"/>
        <v>116420.83751277009</v>
      </c>
      <c r="AS191" s="12">
        <v>185</v>
      </c>
      <c r="AT191" s="12">
        <v>20</v>
      </c>
      <c r="AU191" s="12">
        <f t="shared" si="39"/>
        <v>3710</v>
      </c>
      <c r="AV191" s="12">
        <f t="shared" si="40"/>
        <v>0</v>
      </c>
      <c r="AW191" s="12">
        <f>INDEX($AO$6:$AO$215,MATCH(BC191,$F$6:$F$215,0))</f>
        <v>467</v>
      </c>
      <c r="AX191" s="12">
        <f t="shared" si="41"/>
        <v>1135512.1739951316</v>
      </c>
      <c r="AY191" s="12">
        <f t="shared" si="36"/>
        <v>7650</v>
      </c>
      <c r="AZ191" s="12">
        <f t="shared" si="37"/>
        <v>10740.72380952381</v>
      </c>
      <c r="BA191" s="12">
        <f>AX191+SUM($AY$6:AY191)+SUM($AZ$6:AZ191)</f>
        <v>4461437.6216141758</v>
      </c>
      <c r="BB191" s="12">
        <f t="shared" si="42"/>
        <v>956200</v>
      </c>
      <c r="BC191" s="12">
        <f t="shared" si="43"/>
        <v>210</v>
      </c>
      <c r="BD191" s="12">
        <f t="shared" si="44"/>
        <v>0</v>
      </c>
      <c r="BE191" s="12">
        <f t="shared" si="45"/>
        <v>211</v>
      </c>
      <c r="BF191" s="12">
        <f t="shared" si="38"/>
        <v>3505237.6216141758</v>
      </c>
    </row>
    <row r="192" spans="6:58" x14ac:dyDescent="0.35">
      <c r="F192" s="12">
        <v>187</v>
      </c>
      <c r="G192" s="8">
        <f>INDEX(验算胜率!$E$6:$I$1005,F192,MATCH($D$16,验算胜率!$E$5:$I$5,0))</f>
        <v>0.5</v>
      </c>
      <c r="H192" s="12">
        <f t="shared" si="31"/>
        <v>2500</v>
      </c>
      <c r="I192" s="12">
        <f t="shared" si="32"/>
        <v>5000</v>
      </c>
      <c r="J192" s="12">
        <v>4</v>
      </c>
      <c r="K192" s="12">
        <v>0</v>
      </c>
      <c r="M192" s="12">
        <f>IF($D$16=验算胜率!$F$5,验算胜率!K192,0)*H192*关卡道具消耗!$D$8/关卡道具消耗!$D$26</f>
        <v>0</v>
      </c>
      <c r="N192" s="12">
        <f>INDEX(关卡奖励!$AH$6:$AH$8,MATCH($D$14,关卡奖励!$W$6:$W$8,0))*H192*IF(G192&lt;0.3,1,2)</f>
        <v>5835</v>
      </c>
      <c r="O192" s="12">
        <f>INDEX(关卡奖励!$AI$9:$AI$11,MATCH($D$14,关卡奖励!$W$9:$W$11,0))*((1/G192)-1)*H192</f>
        <v>493.125</v>
      </c>
      <c r="P192" s="12">
        <f>I192-N192-O192</f>
        <v>-1328.125</v>
      </c>
      <c r="Q192" s="12">
        <f>1/G192</f>
        <v>2</v>
      </c>
      <c r="R192" s="12">
        <f>IFERROR(INDEX(base_v,MATCH($F192,base_k,1)),0)*离线奖励!$C$12</f>
        <v>7500</v>
      </c>
      <c r="S192" s="12">
        <f>IFERROR(INDEX(关卡进度奖励!$I$7:$I$15,MATCH(F192,关卡进度奖励!$D$7:$D$15,0)),0)</f>
        <v>0</v>
      </c>
      <c r="T192" s="12">
        <f>AVERAGE(签到!$E$7:$E$13)*$H192</f>
        <v>10327.619047619048</v>
      </c>
      <c r="U192" s="12">
        <f>转盘!$C$26*H192*V192/$D$13</f>
        <v>0</v>
      </c>
      <c r="V192" s="12">
        <f t="shared" si="35"/>
        <v>0</v>
      </c>
      <c r="W192" s="12">
        <f>IFERROR(MATCH(INDEX(转盘!$C$17:$F$17,1,MATCH($D$13,转盘!$C$16:$F$16,0))*MAX(F192-转盘!$C$6,0),转盘!$L$9:$L$51,1),0)</f>
        <v>9</v>
      </c>
      <c r="X192" s="12">
        <f>IFERROR(MATCH($F192,gift_k_level,0)^0,0)*进度礼包!$C$17*$H192/$D$13</f>
        <v>8869.5184770297546</v>
      </c>
      <c r="Y192" s="12">
        <f>IFERROR(MATCH($F192,turn_k_1,0)^0,0)*转盘!$C$42*$H192/$D$13</f>
        <v>0</v>
      </c>
      <c r="Z192" s="12">
        <f>IFERROR(MATCH($F192,gift_k_level,0)^0,0)*进度礼包!$C$34*$H192/$D$13</f>
        <v>28760.737231450978</v>
      </c>
      <c r="AA192" s="12">
        <f>IFERROR(MATCH($F192,gift_k_time,0)^0,0)*限时礼包!$C$15*$H192/$D$13</f>
        <v>0</v>
      </c>
      <c r="AB192" s="12">
        <f>SUM(H$6:H192)</f>
        <v>366500</v>
      </c>
      <c r="AC192" s="12">
        <f>SUM(N$6:N192)+SUM($M$6:M192)</f>
        <v>731825.70000000054</v>
      </c>
      <c r="AD192" s="12">
        <f>SUM(O$6:O192)</f>
        <v>93516.422249999843</v>
      </c>
      <c r="AE192" s="12">
        <f>SUM($P$6:P192)</f>
        <v>15257.87775</v>
      </c>
      <c r="AF192" s="12">
        <f>SUM(U$6:U192)</f>
        <v>68094.90566037735</v>
      </c>
      <c r="AG192" s="12">
        <f>SUM(S$6:S192)</f>
        <v>9500</v>
      </c>
      <c r="AH192" s="12">
        <f>SUM(Y$6:Y192)</f>
        <v>589710.9</v>
      </c>
      <c r="AI192" s="12">
        <f>SUM(X$6:X192)</f>
        <v>54281.453079422099</v>
      </c>
      <c r="AJ192" s="12">
        <f>SUM(Z$6:Z192)</f>
        <v>176015.71185647999</v>
      </c>
      <c r="AK192" s="12">
        <f>SUM(AA$6:AA192)</f>
        <v>542157.26181668043</v>
      </c>
      <c r="AL192" s="12">
        <f>F192</f>
        <v>187</v>
      </c>
      <c r="AM192" s="12">
        <f t="shared" si="33"/>
        <v>967218.48098979983</v>
      </c>
      <c r="AN192" s="12">
        <f>SUM(I$6:I192)</f>
        <v>840600</v>
      </c>
      <c r="AO192" s="8">
        <f>SUM(Q$6:Q192)</f>
        <v>421</v>
      </c>
      <c r="AP192" s="12">
        <f t="shared" si="34"/>
        <v>126618.48098979983</v>
      </c>
      <c r="AS192" s="12">
        <v>186</v>
      </c>
      <c r="AT192" s="12">
        <v>20</v>
      </c>
      <c r="AU192" s="12">
        <f t="shared" si="39"/>
        <v>3730</v>
      </c>
      <c r="AV192" s="12">
        <f t="shared" si="40"/>
        <v>0</v>
      </c>
      <c r="AW192" s="12">
        <f>INDEX($AO$6:$AO$215,MATCH(BC192,$F$6:$F$215,0))</f>
        <v>467</v>
      </c>
      <c r="AX192" s="12">
        <f t="shared" si="41"/>
        <v>1135512.1739951316</v>
      </c>
      <c r="AY192" s="12">
        <f t="shared" si="36"/>
        <v>7650</v>
      </c>
      <c r="AZ192" s="12">
        <f t="shared" si="37"/>
        <v>10740.72380952381</v>
      </c>
      <c r="BA192" s="12">
        <f>AX192+SUM($AY$6:AY192)+SUM($AZ$6:AZ192)</f>
        <v>4479828.3454236994</v>
      </c>
      <c r="BB192" s="12">
        <f t="shared" si="42"/>
        <v>956200</v>
      </c>
      <c r="BC192" s="12">
        <f t="shared" si="43"/>
        <v>210</v>
      </c>
      <c r="BD192" s="12">
        <f t="shared" si="44"/>
        <v>0</v>
      </c>
      <c r="BE192" s="12">
        <f t="shared" si="45"/>
        <v>211</v>
      </c>
      <c r="BF192" s="12">
        <f t="shared" si="38"/>
        <v>3523628.3454236994</v>
      </c>
    </row>
    <row r="193" spans="6:58" x14ac:dyDescent="0.35">
      <c r="F193" s="12">
        <v>188</v>
      </c>
      <c r="G193" s="8">
        <f>INDEX(验算胜率!$E$6:$I$1005,F193,MATCH($D$16,验算胜率!$E$5:$I$5,0))</f>
        <v>0.5</v>
      </c>
      <c r="H193" s="12">
        <f t="shared" si="31"/>
        <v>2500</v>
      </c>
      <c r="I193" s="12">
        <f t="shared" si="32"/>
        <v>5000</v>
      </c>
      <c r="J193" s="12">
        <v>4</v>
      </c>
      <c r="K193" s="12">
        <v>0</v>
      </c>
      <c r="M193" s="12">
        <f>IF($D$16=验算胜率!$F$5,验算胜率!K193,0)*H193*关卡道具消耗!$D$8/关卡道具消耗!$D$26</f>
        <v>0</v>
      </c>
      <c r="N193" s="12">
        <f>INDEX(关卡奖励!$AH$6:$AH$8,MATCH($D$14,关卡奖励!$W$6:$W$8,0))*H193*IF(G193&lt;0.3,1,2)</f>
        <v>5835</v>
      </c>
      <c r="O193" s="12">
        <f>INDEX(关卡奖励!$AI$9:$AI$11,MATCH($D$14,关卡奖励!$W$9:$W$11,0))*((1/G193)-1)*H193</f>
        <v>493.125</v>
      </c>
      <c r="P193" s="12">
        <f>I193-N193-O193</f>
        <v>-1328.125</v>
      </c>
      <c r="Q193" s="12">
        <f>1/G193</f>
        <v>2</v>
      </c>
      <c r="R193" s="12">
        <f>IFERROR(INDEX(base_v,MATCH($F193,base_k,1)),0)*离线奖励!$C$12</f>
        <v>7500</v>
      </c>
      <c r="S193" s="12">
        <f>IFERROR(INDEX(关卡进度奖励!$I$7:$I$15,MATCH(F193,关卡进度奖励!$D$7:$D$15,0)),0)</f>
        <v>0</v>
      </c>
      <c r="T193" s="12">
        <f>AVERAGE(签到!$E$7:$E$13)*$H193</f>
        <v>10327.619047619048</v>
      </c>
      <c r="U193" s="12">
        <f>转盘!$C$26*H193*V193/$D$13</f>
        <v>0</v>
      </c>
      <c r="V193" s="12">
        <f t="shared" si="35"/>
        <v>0</v>
      </c>
      <c r="W193" s="12">
        <f>IFERROR(MATCH(INDEX(转盘!$C$17:$F$17,1,MATCH($D$13,转盘!$C$16:$F$16,0))*MAX(F193-转盘!$C$6,0),转盘!$L$9:$L$51,1),0)</f>
        <v>9</v>
      </c>
      <c r="X193" s="12">
        <f>IFERROR(MATCH($F193,gift_k_level,0)^0,0)*进度礼包!$C$17*$H193/$D$13</f>
        <v>0</v>
      </c>
      <c r="Y193" s="12">
        <f>IFERROR(MATCH($F193,turn_k_1,0)^0,0)*转盘!$C$42*$H193/$D$13</f>
        <v>0</v>
      </c>
      <c r="Z193" s="12">
        <f>IFERROR(MATCH($F193,gift_k_level,0)^0,0)*进度礼包!$C$34*$H193/$D$13</f>
        <v>0</v>
      </c>
      <c r="AA193" s="12">
        <f>IFERROR(MATCH($F193,gift_k_time,0)^0,0)*限时礼包!$C$15*$H193/$D$13</f>
        <v>0</v>
      </c>
      <c r="AB193" s="12">
        <f>SUM(H$6:H193)</f>
        <v>369000</v>
      </c>
      <c r="AC193" s="12">
        <f>SUM(N$6:N193)+SUM($M$6:M193)</f>
        <v>737660.70000000054</v>
      </c>
      <c r="AD193" s="12">
        <f>SUM(O$6:O193)</f>
        <v>94009.547249999843</v>
      </c>
      <c r="AE193" s="12">
        <f>SUM($P$6:P193)</f>
        <v>13929.75275</v>
      </c>
      <c r="AF193" s="12">
        <f>SUM(U$6:U193)</f>
        <v>68094.90566037735</v>
      </c>
      <c r="AG193" s="12">
        <f>SUM(S$6:S193)</f>
        <v>9500</v>
      </c>
      <c r="AH193" s="12">
        <f>SUM(Y$6:Y193)</f>
        <v>589710.9</v>
      </c>
      <c r="AI193" s="12">
        <f>SUM(X$6:X193)</f>
        <v>54281.453079422099</v>
      </c>
      <c r="AJ193" s="12">
        <f>SUM(Z$6:Z193)</f>
        <v>176015.71185647999</v>
      </c>
      <c r="AK193" s="12">
        <f>SUM(AA$6:AA193)</f>
        <v>542157.26181668043</v>
      </c>
      <c r="AL193" s="12">
        <f>F193</f>
        <v>188</v>
      </c>
      <c r="AM193" s="12">
        <f t="shared" si="33"/>
        <v>973546.60598979983</v>
      </c>
      <c r="AN193" s="12">
        <f>SUM(I$6:I193)</f>
        <v>845600</v>
      </c>
      <c r="AO193" s="8">
        <f>SUM(Q$6:Q193)</f>
        <v>423</v>
      </c>
      <c r="AP193" s="12">
        <f t="shared" si="34"/>
        <v>127946.60598979983</v>
      </c>
      <c r="AS193" s="12">
        <v>187</v>
      </c>
      <c r="AT193" s="12">
        <v>20</v>
      </c>
      <c r="AU193" s="12">
        <f t="shared" si="39"/>
        <v>3750</v>
      </c>
      <c r="AV193" s="12">
        <f t="shared" si="40"/>
        <v>0</v>
      </c>
      <c r="AW193" s="12">
        <f>INDEX($AO$6:$AO$215,MATCH(BC193,$F$6:$F$215,0))</f>
        <v>467</v>
      </c>
      <c r="AX193" s="12">
        <f t="shared" si="41"/>
        <v>1135512.1739951316</v>
      </c>
      <c r="AY193" s="12">
        <f t="shared" si="36"/>
        <v>7650</v>
      </c>
      <c r="AZ193" s="12">
        <f t="shared" si="37"/>
        <v>10740.72380952381</v>
      </c>
      <c r="BA193" s="12">
        <f>AX193+SUM($AY$6:AY193)+SUM($AZ$6:AZ193)</f>
        <v>4498219.0692332229</v>
      </c>
      <c r="BB193" s="12">
        <f t="shared" si="42"/>
        <v>956200</v>
      </c>
      <c r="BC193" s="12">
        <f t="shared" si="43"/>
        <v>210</v>
      </c>
      <c r="BD193" s="12">
        <f t="shared" si="44"/>
        <v>0</v>
      </c>
      <c r="BE193" s="12">
        <f t="shared" si="45"/>
        <v>211</v>
      </c>
      <c r="BF193" s="12">
        <f t="shared" si="38"/>
        <v>3542019.0692332229</v>
      </c>
    </row>
    <row r="194" spans="6:58" x14ac:dyDescent="0.35">
      <c r="F194" s="12">
        <v>189</v>
      </c>
      <c r="G194" s="8">
        <f>INDEX(验算胜率!$E$6:$I$1005,F194,MATCH($D$16,验算胜率!$E$5:$I$5,0))</f>
        <v>0.5</v>
      </c>
      <c r="H194" s="12">
        <f t="shared" si="31"/>
        <v>2500</v>
      </c>
      <c r="I194" s="12">
        <f t="shared" si="32"/>
        <v>5000</v>
      </c>
      <c r="J194" s="12">
        <v>4</v>
      </c>
      <c r="K194" s="12">
        <v>0</v>
      </c>
      <c r="M194" s="12">
        <f>IF($D$16=验算胜率!$F$5,验算胜率!K194,0)*H194*关卡道具消耗!$D$8/关卡道具消耗!$D$26</f>
        <v>0</v>
      </c>
      <c r="N194" s="12">
        <f>INDEX(关卡奖励!$AH$6:$AH$8,MATCH($D$14,关卡奖励!$W$6:$W$8,0))*H194*IF(G194&lt;0.3,1,2)</f>
        <v>5835</v>
      </c>
      <c r="O194" s="12">
        <f>INDEX(关卡奖励!$AI$9:$AI$11,MATCH($D$14,关卡奖励!$W$9:$W$11,0))*((1/G194)-1)*H194</f>
        <v>493.125</v>
      </c>
      <c r="P194" s="12">
        <f>I194-N194-O194</f>
        <v>-1328.125</v>
      </c>
      <c r="Q194" s="12">
        <f>1/G194</f>
        <v>2</v>
      </c>
      <c r="R194" s="12">
        <f>IFERROR(INDEX(base_v,MATCH($F194,base_k,1)),0)*离线奖励!$C$12</f>
        <v>7500</v>
      </c>
      <c r="S194" s="12">
        <f>IFERROR(INDEX(关卡进度奖励!$I$7:$I$15,MATCH(F194,关卡进度奖励!$D$7:$D$15,0)),0)</f>
        <v>0</v>
      </c>
      <c r="T194" s="12">
        <f>AVERAGE(签到!$E$7:$E$13)*$H194</f>
        <v>10327.619047619048</v>
      </c>
      <c r="U194" s="12">
        <f>转盘!$C$26*H194*V194/$D$13</f>
        <v>0</v>
      </c>
      <c r="V194" s="12">
        <f t="shared" si="35"/>
        <v>0</v>
      </c>
      <c r="W194" s="12">
        <f>IFERROR(MATCH(INDEX(转盘!$C$17:$F$17,1,MATCH($D$13,转盘!$C$16:$F$16,0))*MAX(F194-转盘!$C$6,0),转盘!$L$9:$L$51,1),0)</f>
        <v>9</v>
      </c>
      <c r="X194" s="12">
        <f>IFERROR(MATCH($F194,gift_k_level,0)^0,0)*进度礼包!$C$17*$H194/$D$13</f>
        <v>0</v>
      </c>
      <c r="Y194" s="12">
        <f>IFERROR(MATCH($F194,turn_k_1,0)^0,0)*转盘!$C$42*$H194/$D$13</f>
        <v>0</v>
      </c>
      <c r="Z194" s="12">
        <f>IFERROR(MATCH($F194,gift_k_level,0)^0,0)*进度礼包!$C$34*$H194/$D$13</f>
        <v>0</v>
      </c>
      <c r="AA194" s="12">
        <f>IFERROR(MATCH($F194,gift_k_time,0)^0,0)*限时礼包!$C$15*$H194/$D$13</f>
        <v>0</v>
      </c>
      <c r="AB194" s="12">
        <f>SUM(H$6:H194)</f>
        <v>371500</v>
      </c>
      <c r="AC194" s="12">
        <f>SUM(N$6:N194)+SUM($M$6:M194)</f>
        <v>743495.70000000054</v>
      </c>
      <c r="AD194" s="12">
        <f>SUM(O$6:O194)</f>
        <v>94502.672249999843</v>
      </c>
      <c r="AE194" s="12">
        <f>SUM($P$6:P194)</f>
        <v>12601.62775</v>
      </c>
      <c r="AF194" s="12">
        <f>SUM(U$6:U194)</f>
        <v>68094.90566037735</v>
      </c>
      <c r="AG194" s="12">
        <f>SUM(S$6:S194)</f>
        <v>9500</v>
      </c>
      <c r="AH194" s="12">
        <f>SUM(Y$6:Y194)</f>
        <v>589710.9</v>
      </c>
      <c r="AI194" s="12">
        <f>SUM(X$6:X194)</f>
        <v>54281.453079422099</v>
      </c>
      <c r="AJ194" s="12">
        <f>SUM(Z$6:Z194)</f>
        <v>176015.71185647999</v>
      </c>
      <c r="AK194" s="12">
        <f>SUM(AA$6:AA194)</f>
        <v>542157.26181668043</v>
      </c>
      <c r="AL194" s="12">
        <f>F194</f>
        <v>189</v>
      </c>
      <c r="AM194" s="12">
        <f t="shared" si="33"/>
        <v>979874.73098979983</v>
      </c>
      <c r="AN194" s="12">
        <f>SUM(I$6:I194)</f>
        <v>850600</v>
      </c>
      <c r="AO194" s="8">
        <f>SUM(Q$6:Q194)</f>
        <v>425</v>
      </c>
      <c r="AP194" s="12">
        <f t="shared" si="34"/>
        <v>129274.73098979983</v>
      </c>
      <c r="AS194" s="12">
        <v>188</v>
      </c>
      <c r="AT194" s="12">
        <v>20</v>
      </c>
      <c r="AU194" s="12">
        <f t="shared" si="39"/>
        <v>3770</v>
      </c>
      <c r="AV194" s="12">
        <f t="shared" si="40"/>
        <v>0</v>
      </c>
      <c r="AW194" s="12">
        <f>INDEX($AO$6:$AO$215,MATCH(BC194,$F$6:$F$215,0))</f>
        <v>467</v>
      </c>
      <c r="AX194" s="12">
        <f t="shared" si="41"/>
        <v>1135512.1739951316</v>
      </c>
      <c r="AY194" s="12">
        <f t="shared" si="36"/>
        <v>7650</v>
      </c>
      <c r="AZ194" s="12">
        <f t="shared" si="37"/>
        <v>10740.72380952381</v>
      </c>
      <c r="BA194" s="12">
        <f>AX194+SUM($AY$6:AY194)+SUM($AZ$6:AZ194)</f>
        <v>4516609.7930427473</v>
      </c>
      <c r="BB194" s="12">
        <f t="shared" si="42"/>
        <v>956200</v>
      </c>
      <c r="BC194" s="12">
        <f t="shared" si="43"/>
        <v>210</v>
      </c>
      <c r="BD194" s="12">
        <f t="shared" si="44"/>
        <v>0</v>
      </c>
      <c r="BE194" s="12">
        <f t="shared" si="45"/>
        <v>211</v>
      </c>
      <c r="BF194" s="12">
        <f t="shared" si="38"/>
        <v>3560409.7930427473</v>
      </c>
    </row>
    <row r="195" spans="6:58" x14ac:dyDescent="0.35">
      <c r="F195" s="12">
        <v>190</v>
      </c>
      <c r="G195" s="8">
        <f>INDEX(验算胜率!$E$6:$I$1005,F195,MATCH($D$16,验算胜率!$E$5:$I$5,0))</f>
        <v>0.5</v>
      </c>
      <c r="H195" s="12">
        <f t="shared" si="31"/>
        <v>2500</v>
      </c>
      <c r="I195" s="12">
        <f t="shared" si="32"/>
        <v>5000</v>
      </c>
      <c r="J195" s="12">
        <v>4</v>
      </c>
      <c r="K195" s="12">
        <v>0</v>
      </c>
      <c r="M195" s="12">
        <f>IF($D$16=验算胜率!$F$5,验算胜率!K195,0)*H195*关卡道具消耗!$D$8/关卡道具消耗!$D$26</f>
        <v>0</v>
      </c>
      <c r="N195" s="12">
        <f>INDEX(关卡奖励!$AH$6:$AH$8,MATCH($D$14,关卡奖励!$W$6:$W$8,0))*H195*IF(G195&lt;0.3,1,2)</f>
        <v>5835</v>
      </c>
      <c r="O195" s="12">
        <f>INDEX(关卡奖励!$AI$9:$AI$11,MATCH($D$14,关卡奖励!$W$9:$W$11,0))*((1/G195)-1)*H195</f>
        <v>493.125</v>
      </c>
      <c r="P195" s="12">
        <f>I195-N195-O195</f>
        <v>-1328.125</v>
      </c>
      <c r="Q195" s="12">
        <f>1/G195</f>
        <v>2</v>
      </c>
      <c r="R195" s="12">
        <f>IFERROR(INDEX(base_v,MATCH($F195,base_k,1)),0)*离线奖励!$C$12</f>
        <v>7500</v>
      </c>
      <c r="S195" s="12">
        <f>IFERROR(INDEX(关卡进度奖励!$I$7:$I$15,MATCH(F195,关卡进度奖励!$D$7:$D$15,0)),0)</f>
        <v>0</v>
      </c>
      <c r="T195" s="12">
        <f>AVERAGE(签到!$E$7:$E$13)*$H195</f>
        <v>10327.619047619048</v>
      </c>
      <c r="U195" s="12">
        <f>转盘!$C$26*H195*V195/$D$13</f>
        <v>0</v>
      </c>
      <c r="V195" s="12">
        <f t="shared" si="35"/>
        <v>0</v>
      </c>
      <c r="W195" s="12">
        <f>IFERROR(MATCH(INDEX(转盘!$C$17:$F$17,1,MATCH($D$13,转盘!$C$16:$F$16,0))*MAX(F195-转盘!$C$6,0),转盘!$L$9:$L$51,1),0)</f>
        <v>9</v>
      </c>
      <c r="X195" s="12">
        <f>IFERROR(MATCH($F195,gift_k_level,0)^0,0)*进度礼包!$C$17*$H195/$D$13</f>
        <v>0</v>
      </c>
      <c r="Y195" s="12">
        <f>IFERROR(MATCH($F195,turn_k_1,0)^0,0)*转盘!$C$42*$H195/$D$13</f>
        <v>0</v>
      </c>
      <c r="Z195" s="12">
        <f>IFERROR(MATCH($F195,gift_k_level,0)^0,0)*进度礼包!$C$34*$H195/$D$13</f>
        <v>0</v>
      </c>
      <c r="AA195" s="12">
        <f>IFERROR(MATCH($F195,gift_k_time,0)^0,0)*限时礼包!$C$15*$H195/$D$13</f>
        <v>0</v>
      </c>
      <c r="AB195" s="12">
        <f>SUM(H$6:H195)</f>
        <v>374000</v>
      </c>
      <c r="AC195" s="12">
        <f>SUM(N$6:N195)+SUM($M$6:M195)</f>
        <v>749330.70000000054</v>
      </c>
      <c r="AD195" s="12">
        <f>SUM(O$6:O195)</f>
        <v>94995.797249999843</v>
      </c>
      <c r="AE195" s="12">
        <f>SUM($P$6:P195)</f>
        <v>11273.50275</v>
      </c>
      <c r="AF195" s="12">
        <f>SUM(U$6:U195)</f>
        <v>68094.90566037735</v>
      </c>
      <c r="AG195" s="12">
        <f>SUM(S$6:S195)</f>
        <v>9500</v>
      </c>
      <c r="AH195" s="12">
        <f>SUM(Y$6:Y195)</f>
        <v>589710.9</v>
      </c>
      <c r="AI195" s="12">
        <f>SUM(X$6:X195)</f>
        <v>54281.453079422099</v>
      </c>
      <c r="AJ195" s="12">
        <f>SUM(Z$6:Z195)</f>
        <v>176015.71185647999</v>
      </c>
      <c r="AK195" s="12">
        <f>SUM(AA$6:AA195)</f>
        <v>542157.26181668043</v>
      </c>
      <c r="AL195" s="12">
        <f>F195</f>
        <v>190</v>
      </c>
      <c r="AM195" s="12">
        <f t="shared" si="33"/>
        <v>986202.85598979983</v>
      </c>
      <c r="AN195" s="12">
        <f>SUM(I$6:I195)</f>
        <v>855600</v>
      </c>
      <c r="AO195" s="8">
        <f>SUM(Q$6:Q195)</f>
        <v>427</v>
      </c>
      <c r="AP195" s="12">
        <f t="shared" si="34"/>
        <v>130602.85598979983</v>
      </c>
      <c r="AS195" s="12">
        <v>189</v>
      </c>
      <c r="AT195" s="12">
        <v>20</v>
      </c>
      <c r="AU195" s="12">
        <f t="shared" si="39"/>
        <v>3790</v>
      </c>
      <c r="AV195" s="12">
        <f t="shared" si="40"/>
        <v>0</v>
      </c>
      <c r="AW195" s="12">
        <f>INDEX($AO$6:$AO$215,MATCH(BC195,$F$6:$F$215,0))</f>
        <v>467</v>
      </c>
      <c r="AX195" s="12">
        <f t="shared" si="41"/>
        <v>1135512.1739951316</v>
      </c>
      <c r="AY195" s="12">
        <f t="shared" si="36"/>
        <v>7650</v>
      </c>
      <c r="AZ195" s="12">
        <f t="shared" si="37"/>
        <v>10740.72380952381</v>
      </c>
      <c r="BA195" s="12">
        <f>AX195+SUM($AY$6:AY195)+SUM($AZ$6:AZ195)</f>
        <v>4535000.5168522708</v>
      </c>
      <c r="BB195" s="12">
        <f t="shared" si="42"/>
        <v>956200</v>
      </c>
      <c r="BC195" s="12">
        <f t="shared" si="43"/>
        <v>210</v>
      </c>
      <c r="BD195" s="12">
        <f t="shared" si="44"/>
        <v>0</v>
      </c>
      <c r="BE195" s="12">
        <f t="shared" si="45"/>
        <v>211</v>
      </c>
      <c r="BF195" s="12">
        <f t="shared" si="38"/>
        <v>3578800.5168522708</v>
      </c>
    </row>
    <row r="196" spans="6:58" x14ac:dyDescent="0.35">
      <c r="F196" s="12">
        <v>191</v>
      </c>
      <c r="G196" s="8">
        <f>INDEX(验算胜率!$E$6:$I$1005,F196,MATCH($D$16,验算胜率!$E$5:$I$5,0))</f>
        <v>0.5</v>
      </c>
      <c r="H196" s="12">
        <f t="shared" si="31"/>
        <v>2500</v>
      </c>
      <c r="I196" s="12">
        <f t="shared" si="32"/>
        <v>5000</v>
      </c>
      <c r="J196" s="12">
        <v>4</v>
      </c>
      <c r="K196" s="12">
        <v>0</v>
      </c>
      <c r="M196" s="12">
        <f>IF($D$16=验算胜率!$F$5,验算胜率!K196,0)*H196*关卡道具消耗!$D$8/关卡道具消耗!$D$26</f>
        <v>0</v>
      </c>
      <c r="N196" s="12">
        <f>INDEX(关卡奖励!$AH$6:$AH$8,MATCH($D$14,关卡奖励!$W$6:$W$8,0))*H196*IF(G196&lt;0.3,1,2)</f>
        <v>5835</v>
      </c>
      <c r="O196" s="12">
        <f>INDEX(关卡奖励!$AI$9:$AI$11,MATCH($D$14,关卡奖励!$W$9:$W$11,0))*((1/G196)-1)*H196</f>
        <v>493.125</v>
      </c>
      <c r="P196" s="12">
        <f>I196-N196-O196</f>
        <v>-1328.125</v>
      </c>
      <c r="Q196" s="12">
        <f>1/G196</f>
        <v>2</v>
      </c>
      <c r="R196" s="12">
        <f>IFERROR(INDEX(base_v,MATCH($F196,base_k,1)),0)*离线奖励!$C$12</f>
        <v>7500</v>
      </c>
      <c r="S196" s="12">
        <f>IFERROR(INDEX(关卡进度奖励!$I$7:$I$15,MATCH(F196,关卡进度奖励!$D$7:$D$15,0)),0)</f>
        <v>0</v>
      </c>
      <c r="T196" s="12">
        <f>AVERAGE(签到!$E$7:$E$13)*$H196</f>
        <v>10327.619047619048</v>
      </c>
      <c r="U196" s="12">
        <f>转盘!$C$26*H196*V196/$D$13</f>
        <v>0</v>
      </c>
      <c r="V196" s="12">
        <f t="shared" si="35"/>
        <v>0</v>
      </c>
      <c r="W196" s="12">
        <f>IFERROR(MATCH(INDEX(转盘!$C$17:$F$17,1,MATCH($D$13,转盘!$C$16:$F$16,0))*MAX(F196-转盘!$C$6,0),转盘!$L$9:$L$51,1),0)</f>
        <v>9</v>
      </c>
      <c r="X196" s="12">
        <f>IFERROR(MATCH($F196,gift_k_level,0)^0,0)*进度礼包!$C$17*$H196/$D$13</f>
        <v>0</v>
      </c>
      <c r="Y196" s="12">
        <f>IFERROR(MATCH($F196,turn_k_1,0)^0,0)*转盘!$C$42*$H196/$D$13</f>
        <v>0</v>
      </c>
      <c r="Z196" s="12">
        <f>IFERROR(MATCH($F196,gift_k_level,0)^0,0)*进度礼包!$C$34*$H196/$D$13</f>
        <v>0</v>
      </c>
      <c r="AA196" s="12">
        <f>IFERROR(MATCH($F196,gift_k_time,0)^0,0)*限时礼包!$C$15*$H196/$D$13</f>
        <v>0</v>
      </c>
      <c r="AB196" s="12">
        <f>SUM(H$6:H196)</f>
        <v>376500</v>
      </c>
      <c r="AC196" s="12">
        <f>SUM(N$6:N196)+SUM($M$6:M196)</f>
        <v>755165.70000000054</v>
      </c>
      <c r="AD196" s="12">
        <f>SUM(O$6:O196)</f>
        <v>95488.922249999843</v>
      </c>
      <c r="AE196" s="12">
        <f>SUM($P$6:P196)</f>
        <v>9945.3777499999997</v>
      </c>
      <c r="AF196" s="12">
        <f>SUM(U$6:U196)</f>
        <v>68094.90566037735</v>
      </c>
      <c r="AG196" s="12">
        <f>SUM(S$6:S196)</f>
        <v>9500</v>
      </c>
      <c r="AH196" s="12">
        <f>SUM(Y$6:Y196)</f>
        <v>589710.9</v>
      </c>
      <c r="AI196" s="12">
        <f>SUM(X$6:X196)</f>
        <v>54281.453079422099</v>
      </c>
      <c r="AJ196" s="12">
        <f>SUM(Z$6:Z196)</f>
        <v>176015.71185647999</v>
      </c>
      <c r="AK196" s="12">
        <f>SUM(AA$6:AA196)</f>
        <v>542157.26181668043</v>
      </c>
      <c r="AL196" s="12">
        <f>F196</f>
        <v>191</v>
      </c>
      <c r="AM196" s="12">
        <f t="shared" si="33"/>
        <v>992530.98098979983</v>
      </c>
      <c r="AN196" s="12">
        <f>SUM(I$6:I196)</f>
        <v>860600</v>
      </c>
      <c r="AO196" s="8">
        <f>SUM(Q$6:Q196)</f>
        <v>429</v>
      </c>
      <c r="AP196" s="12">
        <f t="shared" si="34"/>
        <v>131930.98098979983</v>
      </c>
      <c r="AS196" s="12">
        <v>190</v>
      </c>
      <c r="AT196" s="12">
        <v>20</v>
      </c>
      <c r="AU196" s="12">
        <f t="shared" si="39"/>
        <v>3810</v>
      </c>
      <c r="AV196" s="12">
        <f t="shared" si="40"/>
        <v>0</v>
      </c>
      <c r="AW196" s="12">
        <f>INDEX($AO$6:$AO$215,MATCH(BC196,$F$6:$F$215,0))</f>
        <v>467</v>
      </c>
      <c r="AX196" s="12">
        <f t="shared" si="41"/>
        <v>1135512.1739951316</v>
      </c>
      <c r="AY196" s="12">
        <f t="shared" si="36"/>
        <v>7650</v>
      </c>
      <c r="AZ196" s="12">
        <f t="shared" si="37"/>
        <v>10740.72380952381</v>
      </c>
      <c r="BA196" s="12">
        <f>AX196+SUM($AY$6:AY196)+SUM($AZ$6:AZ196)</f>
        <v>4553391.2406617943</v>
      </c>
      <c r="BB196" s="12">
        <f t="shared" si="42"/>
        <v>956200</v>
      </c>
      <c r="BC196" s="12">
        <f t="shared" si="43"/>
        <v>210</v>
      </c>
      <c r="BD196" s="12">
        <f t="shared" si="44"/>
        <v>0</v>
      </c>
      <c r="BE196" s="12">
        <f t="shared" si="45"/>
        <v>211</v>
      </c>
      <c r="BF196" s="12">
        <f t="shared" si="38"/>
        <v>3597191.2406617943</v>
      </c>
    </row>
    <row r="197" spans="6:58" x14ac:dyDescent="0.35">
      <c r="F197" s="12">
        <v>192</v>
      </c>
      <c r="G197" s="8">
        <f>INDEX(验算胜率!$E$6:$I$1005,F197,MATCH($D$16,验算胜率!$E$5:$I$5,0))</f>
        <v>0.5</v>
      </c>
      <c r="H197" s="12">
        <f t="shared" si="31"/>
        <v>2500</v>
      </c>
      <c r="I197" s="12">
        <f t="shared" si="32"/>
        <v>5000</v>
      </c>
      <c r="J197" s="12">
        <v>4</v>
      </c>
      <c r="K197" s="12">
        <v>0</v>
      </c>
      <c r="M197" s="12">
        <f>IF($D$16=验算胜率!$F$5,验算胜率!K197,0)*H197*关卡道具消耗!$D$8/关卡道具消耗!$D$26</f>
        <v>0</v>
      </c>
      <c r="N197" s="12">
        <f>INDEX(关卡奖励!$AH$6:$AH$8,MATCH($D$14,关卡奖励!$W$6:$W$8,0))*H197*IF(G197&lt;0.3,1,2)</f>
        <v>5835</v>
      </c>
      <c r="O197" s="12">
        <f>INDEX(关卡奖励!$AI$9:$AI$11,MATCH($D$14,关卡奖励!$W$9:$W$11,0))*((1/G197)-1)*H197</f>
        <v>493.125</v>
      </c>
      <c r="P197" s="12">
        <f>I197-N197-O197</f>
        <v>-1328.125</v>
      </c>
      <c r="Q197" s="12">
        <f>1/G197</f>
        <v>2</v>
      </c>
      <c r="R197" s="12">
        <f>IFERROR(INDEX(base_v,MATCH($F197,base_k,1)),0)*离线奖励!$C$12</f>
        <v>7500</v>
      </c>
      <c r="S197" s="12">
        <f>IFERROR(INDEX(关卡进度奖励!$I$7:$I$15,MATCH(F197,关卡进度奖励!$D$7:$D$15,0)),0)</f>
        <v>0</v>
      </c>
      <c r="T197" s="12">
        <f>AVERAGE(签到!$E$7:$E$13)*$H197</f>
        <v>10327.619047619048</v>
      </c>
      <c r="U197" s="12">
        <f>转盘!$C$26*H197*V197/$D$13</f>
        <v>0</v>
      </c>
      <c r="V197" s="12">
        <f t="shared" si="35"/>
        <v>0</v>
      </c>
      <c r="W197" s="12">
        <f>IFERROR(MATCH(INDEX(转盘!$C$17:$F$17,1,MATCH($D$13,转盘!$C$16:$F$16,0))*MAX(F197-转盘!$C$6,0),转盘!$L$9:$L$51,1),0)</f>
        <v>9</v>
      </c>
      <c r="X197" s="12">
        <f>IFERROR(MATCH($F197,gift_k_level,0)^0,0)*进度礼包!$C$17*$H197/$D$13</f>
        <v>0</v>
      </c>
      <c r="Y197" s="12">
        <f>IFERROR(MATCH($F197,turn_k_1,0)^0,0)*转盘!$C$42*$H197/$D$13</f>
        <v>0</v>
      </c>
      <c r="Z197" s="12">
        <f>IFERROR(MATCH($F197,gift_k_level,0)^0,0)*进度礼包!$C$34*$H197/$D$13</f>
        <v>0</v>
      </c>
      <c r="AA197" s="12">
        <f>IFERROR(MATCH($F197,gift_k_time,0)^0,0)*限时礼包!$C$15*$H197/$D$13</f>
        <v>0</v>
      </c>
      <c r="AB197" s="12">
        <f>SUM(H$6:H197)</f>
        <v>379000</v>
      </c>
      <c r="AC197" s="12">
        <f>SUM(N$6:N197)+SUM($M$6:M197)</f>
        <v>761000.70000000054</v>
      </c>
      <c r="AD197" s="12">
        <f>SUM(O$6:O197)</f>
        <v>95982.047249999843</v>
      </c>
      <c r="AE197" s="12">
        <f>SUM($P$6:P197)</f>
        <v>8617.2527499999997</v>
      </c>
      <c r="AF197" s="12">
        <f>SUM(U$6:U197)</f>
        <v>68094.90566037735</v>
      </c>
      <c r="AG197" s="12">
        <f>SUM(S$6:S197)</f>
        <v>9500</v>
      </c>
      <c r="AH197" s="12">
        <f>SUM(Y$6:Y197)</f>
        <v>589710.9</v>
      </c>
      <c r="AI197" s="12">
        <f>SUM(X$6:X197)</f>
        <v>54281.453079422099</v>
      </c>
      <c r="AJ197" s="12">
        <f>SUM(Z$6:Z197)</f>
        <v>176015.71185647999</v>
      </c>
      <c r="AK197" s="12">
        <f>SUM(AA$6:AA197)</f>
        <v>542157.26181668043</v>
      </c>
      <c r="AL197" s="12">
        <f>F197</f>
        <v>192</v>
      </c>
      <c r="AM197" s="12">
        <f t="shared" si="33"/>
        <v>998859.10598979983</v>
      </c>
      <c r="AN197" s="12">
        <f>SUM(I$6:I197)</f>
        <v>865600</v>
      </c>
      <c r="AO197" s="8">
        <f>SUM(Q$6:Q197)</f>
        <v>431</v>
      </c>
      <c r="AP197" s="12">
        <f t="shared" si="34"/>
        <v>133259.10598979983</v>
      </c>
      <c r="AS197" s="12">
        <v>191</v>
      </c>
      <c r="AT197" s="12">
        <v>20</v>
      </c>
      <c r="AU197" s="12">
        <f t="shared" si="39"/>
        <v>3830</v>
      </c>
      <c r="AV197" s="12">
        <f t="shared" si="40"/>
        <v>0</v>
      </c>
      <c r="AW197" s="12">
        <f>INDEX($AO$6:$AO$215,MATCH(BC197,$F$6:$F$215,0))</f>
        <v>467</v>
      </c>
      <c r="AX197" s="12">
        <f t="shared" si="41"/>
        <v>1135512.1739951316</v>
      </c>
      <c r="AY197" s="12">
        <f t="shared" si="36"/>
        <v>7650</v>
      </c>
      <c r="AZ197" s="12">
        <f t="shared" si="37"/>
        <v>10740.72380952381</v>
      </c>
      <c r="BA197" s="12">
        <f>AX197+SUM($AY$6:AY197)+SUM($AZ$6:AZ197)</f>
        <v>4571781.9644713178</v>
      </c>
      <c r="BB197" s="12">
        <f t="shared" si="42"/>
        <v>956200</v>
      </c>
      <c r="BC197" s="12">
        <f t="shared" si="43"/>
        <v>210</v>
      </c>
      <c r="BD197" s="12">
        <f t="shared" si="44"/>
        <v>0</v>
      </c>
      <c r="BE197" s="12">
        <f t="shared" si="45"/>
        <v>211</v>
      </c>
      <c r="BF197" s="12">
        <f t="shared" si="38"/>
        <v>3615581.9644713178</v>
      </c>
    </row>
    <row r="198" spans="6:58" x14ac:dyDescent="0.35">
      <c r="F198" s="12">
        <v>193</v>
      </c>
      <c r="G198" s="8">
        <f>INDEX(验算胜率!$E$6:$I$1005,F198,MATCH($D$16,验算胜率!$E$5:$I$5,0))</f>
        <v>0.5</v>
      </c>
      <c r="H198" s="12">
        <f t="shared" ref="H198:H215" si="46">INDEX(leve_cost_v,MATCH($F198,leve_cost_k,1))*$D$13</f>
        <v>2500</v>
      </c>
      <c r="I198" s="12">
        <f t="shared" si="32"/>
        <v>5000</v>
      </c>
      <c r="J198" s="12">
        <v>4</v>
      </c>
      <c r="K198" s="12">
        <v>0</v>
      </c>
      <c r="M198" s="12">
        <f>IF($D$16=验算胜率!$F$5,验算胜率!K198,0)*H198*关卡道具消耗!$D$8/关卡道具消耗!$D$26</f>
        <v>0</v>
      </c>
      <c r="N198" s="12">
        <f>INDEX(关卡奖励!$AH$6:$AH$8,MATCH($D$14,关卡奖励!$W$6:$W$8,0))*H198*IF(G198&lt;0.3,1,2)</f>
        <v>5835</v>
      </c>
      <c r="O198" s="12">
        <f>INDEX(关卡奖励!$AI$9:$AI$11,MATCH($D$14,关卡奖励!$W$9:$W$11,0))*((1/G198)-1)*H198</f>
        <v>493.125</v>
      </c>
      <c r="P198" s="12">
        <f>I198-N198-O198</f>
        <v>-1328.125</v>
      </c>
      <c r="Q198" s="12">
        <f>1/G198</f>
        <v>2</v>
      </c>
      <c r="R198" s="12">
        <f>IFERROR(INDEX(base_v,MATCH($F198,base_k,1)),0)*离线奖励!$C$12</f>
        <v>7500</v>
      </c>
      <c r="S198" s="12">
        <f>IFERROR(INDEX(关卡进度奖励!$I$7:$I$15,MATCH(F198,关卡进度奖励!$D$7:$D$15,0)),0)</f>
        <v>0</v>
      </c>
      <c r="T198" s="12">
        <f>AVERAGE(签到!$E$7:$E$13)*$H198</f>
        <v>10327.619047619048</v>
      </c>
      <c r="U198" s="12">
        <f>转盘!$C$26*H198*V198/$D$13</f>
        <v>0</v>
      </c>
      <c r="V198" s="12">
        <f t="shared" si="35"/>
        <v>0</v>
      </c>
      <c r="W198" s="12">
        <f>IFERROR(MATCH(INDEX(转盘!$C$17:$F$17,1,MATCH($D$13,转盘!$C$16:$F$16,0))*MAX(F198-转盘!$C$6,0),转盘!$L$9:$L$51,1),0)</f>
        <v>9</v>
      </c>
      <c r="X198" s="12">
        <f>IFERROR(MATCH($F198,gift_k_level,0)^0,0)*进度礼包!$C$17*$H198/$D$13</f>
        <v>0</v>
      </c>
      <c r="Y198" s="12">
        <f>IFERROR(MATCH($F198,turn_k_1,0)^0,0)*转盘!$C$42*$H198/$D$13</f>
        <v>0</v>
      </c>
      <c r="Z198" s="12">
        <f>IFERROR(MATCH($F198,gift_k_level,0)^0,0)*进度礼包!$C$34*$H198/$D$13</f>
        <v>0</v>
      </c>
      <c r="AA198" s="12">
        <f>IFERROR(MATCH($F198,gift_k_time,0)^0,0)*限时礼包!$C$15*$H198/$D$13</f>
        <v>0</v>
      </c>
      <c r="AB198" s="12">
        <f>SUM(H$6:H198)</f>
        <v>381500</v>
      </c>
      <c r="AC198" s="12">
        <f>SUM(N$6:N198)+SUM($M$6:M198)</f>
        <v>766835.70000000054</v>
      </c>
      <c r="AD198" s="12">
        <f>SUM(O$6:O198)</f>
        <v>96475.172249999843</v>
      </c>
      <c r="AE198" s="12">
        <f>SUM($P$6:P198)</f>
        <v>7289.1277499999997</v>
      </c>
      <c r="AF198" s="12">
        <f>SUM(U$6:U198)</f>
        <v>68094.90566037735</v>
      </c>
      <c r="AG198" s="12">
        <f>SUM(S$6:S198)</f>
        <v>9500</v>
      </c>
      <c r="AH198" s="12">
        <f>SUM(Y$6:Y198)</f>
        <v>589710.9</v>
      </c>
      <c r="AI198" s="12">
        <f>SUM(X$6:X198)</f>
        <v>54281.453079422099</v>
      </c>
      <c r="AJ198" s="12">
        <f>SUM(Z$6:Z198)</f>
        <v>176015.71185647999</v>
      </c>
      <c r="AK198" s="12">
        <f>SUM(AA$6:AA198)</f>
        <v>542157.26181668043</v>
      </c>
      <c r="AL198" s="12">
        <f>F198</f>
        <v>193</v>
      </c>
      <c r="AM198" s="12">
        <f t="shared" si="33"/>
        <v>1005187.2309897998</v>
      </c>
      <c r="AN198" s="12">
        <f>SUM(I$6:I198)</f>
        <v>870600</v>
      </c>
      <c r="AO198" s="8">
        <f>SUM(Q$6:Q198)</f>
        <v>433</v>
      </c>
      <c r="AP198" s="12">
        <f t="shared" si="34"/>
        <v>134587.23098979983</v>
      </c>
      <c r="AS198" s="12">
        <v>192</v>
      </c>
      <c r="AT198" s="12">
        <v>20</v>
      </c>
      <c r="AU198" s="12">
        <f t="shared" si="39"/>
        <v>3850</v>
      </c>
      <c r="AV198" s="12">
        <f t="shared" si="40"/>
        <v>0</v>
      </c>
      <c r="AW198" s="12">
        <f>INDEX($AO$6:$AO$215,MATCH(BC198,$F$6:$F$215,0))</f>
        <v>467</v>
      </c>
      <c r="AX198" s="12">
        <f t="shared" si="41"/>
        <v>1135512.1739951316</v>
      </c>
      <c r="AY198" s="12">
        <f t="shared" si="36"/>
        <v>7650</v>
      </c>
      <c r="AZ198" s="12">
        <f t="shared" si="37"/>
        <v>10740.72380952381</v>
      </c>
      <c r="BA198" s="12">
        <f>AX198+SUM($AY$6:AY198)+SUM($AZ$6:AZ198)</f>
        <v>4590172.6882808413</v>
      </c>
      <c r="BB198" s="12">
        <f t="shared" si="42"/>
        <v>956200</v>
      </c>
      <c r="BC198" s="12">
        <f t="shared" si="43"/>
        <v>210</v>
      </c>
      <c r="BD198" s="12">
        <f t="shared" si="44"/>
        <v>0</v>
      </c>
      <c r="BE198" s="12">
        <f t="shared" si="45"/>
        <v>211</v>
      </c>
      <c r="BF198" s="12">
        <f t="shared" si="38"/>
        <v>3633972.6882808413</v>
      </c>
    </row>
    <row r="199" spans="6:58" x14ac:dyDescent="0.35">
      <c r="F199" s="12">
        <v>194</v>
      </c>
      <c r="G199" s="8">
        <f>INDEX(验算胜率!$E$6:$I$1005,F199,MATCH($D$16,验算胜率!$E$5:$I$5,0))</f>
        <v>0.5</v>
      </c>
      <c r="H199" s="12">
        <f t="shared" si="46"/>
        <v>2500</v>
      </c>
      <c r="I199" s="12">
        <f t="shared" ref="I199:I215" si="47">H199/G199</f>
        <v>5000</v>
      </c>
      <c r="J199" s="12">
        <v>4</v>
      </c>
      <c r="K199" s="12">
        <v>0</v>
      </c>
      <c r="M199" s="12">
        <f>IF($D$16=验算胜率!$F$5,验算胜率!K199,0)*H199*关卡道具消耗!$D$8/关卡道具消耗!$D$26</f>
        <v>0</v>
      </c>
      <c r="N199" s="12">
        <f>INDEX(关卡奖励!$AH$6:$AH$8,MATCH($D$14,关卡奖励!$W$6:$W$8,0))*H199*IF(G199&lt;0.3,1,2)</f>
        <v>5835</v>
      </c>
      <c r="O199" s="12">
        <f>INDEX(关卡奖励!$AI$9:$AI$11,MATCH($D$14,关卡奖励!$W$9:$W$11,0))*((1/G199)-1)*H199</f>
        <v>493.125</v>
      </c>
      <c r="P199" s="12">
        <f>I199-N199-O199</f>
        <v>-1328.125</v>
      </c>
      <c r="Q199" s="12">
        <f>1/G199</f>
        <v>2</v>
      </c>
      <c r="R199" s="12">
        <f>IFERROR(INDEX(base_v,MATCH($F199,base_k,1)),0)*离线奖励!$C$12</f>
        <v>7500</v>
      </c>
      <c r="S199" s="12">
        <f>IFERROR(INDEX(关卡进度奖励!$I$7:$I$15,MATCH(F199,关卡进度奖励!$D$7:$D$15,0)),0)</f>
        <v>0</v>
      </c>
      <c r="T199" s="12">
        <f>AVERAGE(签到!$E$7:$E$13)*$H199</f>
        <v>10327.619047619048</v>
      </c>
      <c r="U199" s="12">
        <f>转盘!$C$26*H199*V199/$D$13</f>
        <v>0</v>
      </c>
      <c r="V199" s="12">
        <f t="shared" si="35"/>
        <v>0</v>
      </c>
      <c r="W199" s="12">
        <f>IFERROR(MATCH(INDEX(转盘!$C$17:$F$17,1,MATCH($D$13,转盘!$C$16:$F$16,0))*MAX(F199-转盘!$C$6,0),转盘!$L$9:$L$51,1),0)</f>
        <v>9</v>
      </c>
      <c r="X199" s="12">
        <f>IFERROR(MATCH($F199,gift_k_level,0)^0,0)*进度礼包!$C$17*$H199/$D$13</f>
        <v>0</v>
      </c>
      <c r="Y199" s="12">
        <f>IFERROR(MATCH($F199,turn_k_1,0)^0,0)*转盘!$C$42*$H199/$D$13</f>
        <v>0</v>
      </c>
      <c r="Z199" s="12">
        <f>IFERROR(MATCH($F199,gift_k_level,0)^0,0)*进度礼包!$C$34*$H199/$D$13</f>
        <v>0</v>
      </c>
      <c r="AA199" s="12">
        <f>IFERROR(MATCH($F199,gift_k_time,0)^0,0)*限时礼包!$C$15*$H199/$D$13</f>
        <v>0</v>
      </c>
      <c r="AB199" s="12">
        <f>SUM(H$6:H199)</f>
        <v>384000</v>
      </c>
      <c r="AC199" s="12">
        <f>SUM(N$6:N199)+SUM($M$6:M199)</f>
        <v>772670.70000000054</v>
      </c>
      <c r="AD199" s="12">
        <f>SUM(O$6:O199)</f>
        <v>96968.297249999843</v>
      </c>
      <c r="AE199" s="12">
        <f>SUM($P$6:P199)</f>
        <v>5961.0027499999997</v>
      </c>
      <c r="AF199" s="12">
        <f>SUM(U$6:U199)</f>
        <v>68094.90566037735</v>
      </c>
      <c r="AG199" s="12">
        <f>SUM(S$6:S199)</f>
        <v>9500</v>
      </c>
      <c r="AH199" s="12">
        <f>SUM(Y$6:Y199)</f>
        <v>589710.9</v>
      </c>
      <c r="AI199" s="12">
        <f>SUM(X$6:X199)</f>
        <v>54281.453079422099</v>
      </c>
      <c r="AJ199" s="12">
        <f>SUM(Z$6:Z199)</f>
        <v>176015.71185647999</v>
      </c>
      <c r="AK199" s="12">
        <f>SUM(AA$6:AA199)</f>
        <v>542157.26181668043</v>
      </c>
      <c r="AL199" s="12">
        <f>F199</f>
        <v>194</v>
      </c>
      <c r="AM199" s="12">
        <f t="shared" ref="AM199:AM215" si="48">SUM(AC199,AD199,AF199,AI199,AG199)+$D$5</f>
        <v>1011515.3559897998</v>
      </c>
      <c r="AN199" s="12">
        <f>SUM(I$6:I199)</f>
        <v>875600</v>
      </c>
      <c r="AO199" s="8">
        <f>SUM(Q$6:Q199)</f>
        <v>435</v>
      </c>
      <c r="AP199" s="12">
        <f t="shared" ref="AP199:AP215" si="49">AM199-AN199</f>
        <v>135915.35598979983</v>
      </c>
      <c r="AS199" s="12">
        <v>193</v>
      </c>
      <c r="AT199" s="12">
        <v>20</v>
      </c>
      <c r="AU199" s="12">
        <f t="shared" si="39"/>
        <v>3870</v>
      </c>
      <c r="AV199" s="12">
        <f t="shared" si="40"/>
        <v>0</v>
      </c>
      <c r="AW199" s="12">
        <f>INDEX($AO$6:$AO$215,MATCH(BC199,$F$6:$F$215,0))</f>
        <v>467</v>
      </c>
      <c r="AX199" s="12">
        <f t="shared" si="41"/>
        <v>1135512.1739951316</v>
      </c>
      <c r="AY199" s="12">
        <f t="shared" si="36"/>
        <v>7650</v>
      </c>
      <c r="AZ199" s="12">
        <f t="shared" si="37"/>
        <v>10740.72380952381</v>
      </c>
      <c r="BA199" s="12">
        <f>AX199+SUM($AY$6:AY199)+SUM($AZ$6:AZ199)</f>
        <v>4608563.4120903658</v>
      </c>
      <c r="BB199" s="12">
        <f t="shared" si="42"/>
        <v>956200</v>
      </c>
      <c r="BC199" s="12">
        <f t="shared" si="43"/>
        <v>210</v>
      </c>
      <c r="BD199" s="12">
        <f t="shared" si="44"/>
        <v>0</v>
      </c>
      <c r="BE199" s="12">
        <f t="shared" si="45"/>
        <v>211</v>
      </c>
      <c r="BF199" s="12">
        <f t="shared" si="38"/>
        <v>3652363.4120903658</v>
      </c>
    </row>
    <row r="200" spans="6:58" x14ac:dyDescent="0.35">
      <c r="F200" s="12">
        <v>195</v>
      </c>
      <c r="G200" s="8">
        <f>INDEX(验算胜率!$E$6:$I$1005,F200,MATCH($D$16,验算胜率!$E$5:$I$5,0))</f>
        <v>0.5</v>
      </c>
      <c r="H200" s="12">
        <f t="shared" si="46"/>
        <v>2500</v>
      </c>
      <c r="I200" s="12">
        <f t="shared" si="47"/>
        <v>5000</v>
      </c>
      <c r="J200" s="12">
        <v>4</v>
      </c>
      <c r="K200" s="12">
        <v>0</v>
      </c>
      <c r="M200" s="12">
        <f>IF($D$16=验算胜率!$F$5,验算胜率!K200,0)*H200*关卡道具消耗!$D$8/关卡道具消耗!$D$26</f>
        <v>0</v>
      </c>
      <c r="N200" s="12">
        <f>INDEX(关卡奖励!$AH$6:$AH$8,MATCH($D$14,关卡奖励!$W$6:$W$8,0))*H200*IF(G200&lt;0.3,1,2)</f>
        <v>5835</v>
      </c>
      <c r="O200" s="12">
        <f>INDEX(关卡奖励!$AI$9:$AI$11,MATCH($D$14,关卡奖励!$W$9:$W$11,0))*((1/G200)-1)*H200</f>
        <v>493.125</v>
      </c>
      <c r="P200" s="12">
        <f>I200-N200-O200</f>
        <v>-1328.125</v>
      </c>
      <c r="Q200" s="12">
        <f>1/G200</f>
        <v>2</v>
      </c>
      <c r="R200" s="12">
        <f>IFERROR(INDEX(base_v,MATCH($F200,base_k,1)),0)*离线奖励!$C$12</f>
        <v>7500</v>
      </c>
      <c r="S200" s="12">
        <f>IFERROR(INDEX(关卡进度奖励!$I$7:$I$15,MATCH(F200,关卡进度奖励!$D$7:$D$15,0)),0)</f>
        <v>0</v>
      </c>
      <c r="T200" s="12">
        <f>AVERAGE(签到!$E$7:$E$13)*$H200</f>
        <v>10327.619047619048</v>
      </c>
      <c r="U200" s="12">
        <f>转盘!$C$26*H200*V200/$D$13</f>
        <v>0</v>
      </c>
      <c r="V200" s="12">
        <f t="shared" ref="V200:V215" si="50">IF(W200=W199,0,1)</f>
        <v>0</v>
      </c>
      <c r="W200" s="12">
        <f>IFERROR(MATCH(INDEX(转盘!$C$17:$F$17,1,MATCH($D$13,转盘!$C$16:$F$16,0))*MAX(F200-转盘!$C$6,0),转盘!$L$9:$L$51,1),0)</f>
        <v>9</v>
      </c>
      <c r="X200" s="12">
        <f>IFERROR(MATCH($F200,gift_k_level,0)^0,0)*进度礼包!$C$17*$H200/$D$13</f>
        <v>0</v>
      </c>
      <c r="Y200" s="12">
        <f>IFERROR(MATCH($F200,turn_k_1,0)^0,0)*转盘!$C$42*$H200/$D$13</f>
        <v>0</v>
      </c>
      <c r="Z200" s="12">
        <f>IFERROR(MATCH($F200,gift_k_level,0)^0,0)*进度礼包!$C$34*$H200/$D$13</f>
        <v>0</v>
      </c>
      <c r="AA200" s="12">
        <f>IFERROR(MATCH($F200,gift_k_time,0)^0,0)*限时礼包!$C$15*$H200/$D$13</f>
        <v>0</v>
      </c>
      <c r="AB200" s="12">
        <f>SUM(H$6:H200)</f>
        <v>386500</v>
      </c>
      <c r="AC200" s="12">
        <f>SUM(N$6:N200)+SUM($M$6:M200)</f>
        <v>778505.70000000054</v>
      </c>
      <c r="AD200" s="12">
        <f>SUM(O$6:O200)</f>
        <v>97461.422249999843</v>
      </c>
      <c r="AE200" s="12">
        <f>SUM($P$6:P200)</f>
        <v>4632.8777499999997</v>
      </c>
      <c r="AF200" s="12">
        <f>SUM(U$6:U200)</f>
        <v>68094.90566037735</v>
      </c>
      <c r="AG200" s="12">
        <f>SUM(S$6:S200)</f>
        <v>9500</v>
      </c>
      <c r="AH200" s="12">
        <f>SUM(Y$6:Y200)</f>
        <v>589710.9</v>
      </c>
      <c r="AI200" s="12">
        <f>SUM(X$6:X200)</f>
        <v>54281.453079422099</v>
      </c>
      <c r="AJ200" s="12">
        <f>SUM(Z$6:Z200)</f>
        <v>176015.71185647999</v>
      </c>
      <c r="AK200" s="12">
        <f>SUM(AA$6:AA200)</f>
        <v>542157.26181668043</v>
      </c>
      <c r="AL200" s="12">
        <f>F200</f>
        <v>195</v>
      </c>
      <c r="AM200" s="12">
        <f t="shared" si="48"/>
        <v>1017843.4809897998</v>
      </c>
      <c r="AN200" s="12">
        <f>SUM(I$6:I200)</f>
        <v>880600</v>
      </c>
      <c r="AO200" s="8">
        <f>SUM(Q$6:Q200)</f>
        <v>437</v>
      </c>
      <c r="AP200" s="12">
        <f t="shared" si="49"/>
        <v>137243.48098979983</v>
      </c>
      <c r="AS200" s="12">
        <v>194</v>
      </c>
      <c r="AT200" s="12">
        <v>20</v>
      </c>
      <c r="AU200" s="12">
        <f t="shared" si="39"/>
        <v>3890</v>
      </c>
      <c r="AV200" s="12">
        <f t="shared" si="40"/>
        <v>0</v>
      </c>
      <c r="AW200" s="12">
        <f>INDEX($AO$6:$AO$215,MATCH(BC200,$F$6:$F$215,0))</f>
        <v>467</v>
      </c>
      <c r="AX200" s="12">
        <f t="shared" si="41"/>
        <v>1135512.1739951316</v>
      </c>
      <c r="AY200" s="12">
        <f t="shared" ref="AY200:AY215" si="51">INDEX($R$6:$R$1005,$BC199)</f>
        <v>7650</v>
      </c>
      <c r="AZ200" s="12">
        <f t="shared" ref="AZ200:AZ215" si="52">INDEX($T$6:$T$1005,$BC199)</f>
        <v>10740.72380952381</v>
      </c>
      <c r="BA200" s="12">
        <f>AX200+SUM($AY$6:AY200)+SUM($AZ$6:AZ200)</f>
        <v>4626954.1358998893</v>
      </c>
      <c r="BB200" s="12">
        <f t="shared" si="42"/>
        <v>956200</v>
      </c>
      <c r="BC200" s="12">
        <f t="shared" si="43"/>
        <v>210</v>
      </c>
      <c r="BD200" s="12">
        <f t="shared" si="44"/>
        <v>0</v>
      </c>
      <c r="BE200" s="12">
        <f t="shared" si="45"/>
        <v>211</v>
      </c>
      <c r="BF200" s="12">
        <f t="shared" ref="BF200:BF215" si="53">BA200-BB200</f>
        <v>3670754.1358998893</v>
      </c>
    </row>
    <row r="201" spans="6:58" x14ac:dyDescent="0.35">
      <c r="F201" s="12">
        <v>196</v>
      </c>
      <c r="G201" s="8">
        <f>INDEX(验算胜率!$E$6:$I$1005,F201,MATCH($D$16,验算胜率!$E$5:$I$5,0))</f>
        <v>0.5</v>
      </c>
      <c r="H201" s="12">
        <f t="shared" si="46"/>
        <v>2500</v>
      </c>
      <c r="I201" s="12">
        <f t="shared" si="47"/>
        <v>5000</v>
      </c>
      <c r="J201" s="12">
        <v>4</v>
      </c>
      <c r="K201" s="12">
        <v>0</v>
      </c>
      <c r="M201" s="12">
        <f>IF($D$16=验算胜率!$F$5,验算胜率!K201,0)*H201*关卡道具消耗!$D$8/关卡道具消耗!$D$26</f>
        <v>0</v>
      </c>
      <c r="N201" s="12">
        <f>INDEX(关卡奖励!$AH$6:$AH$8,MATCH($D$14,关卡奖励!$W$6:$W$8,0))*H201*IF(G201&lt;0.3,1,2)</f>
        <v>5835</v>
      </c>
      <c r="O201" s="12">
        <f>INDEX(关卡奖励!$AI$9:$AI$11,MATCH($D$14,关卡奖励!$W$9:$W$11,0))*((1/G201)-1)*H201</f>
        <v>493.125</v>
      </c>
      <c r="P201" s="12">
        <f>I201-N201-O201</f>
        <v>-1328.125</v>
      </c>
      <c r="Q201" s="12">
        <f>1/G201</f>
        <v>2</v>
      </c>
      <c r="R201" s="12">
        <f>IFERROR(INDEX(base_v,MATCH($F201,base_k,1)),0)*离线奖励!$C$12</f>
        <v>7500</v>
      </c>
      <c r="S201" s="12">
        <f>IFERROR(INDEX(关卡进度奖励!$I$7:$I$15,MATCH(F201,关卡进度奖励!$D$7:$D$15,0)),0)</f>
        <v>0</v>
      </c>
      <c r="T201" s="12">
        <f>AVERAGE(签到!$E$7:$E$13)*$H201</f>
        <v>10327.619047619048</v>
      </c>
      <c r="U201" s="12">
        <f>转盘!$C$26*H201*V201/$D$13</f>
        <v>0</v>
      </c>
      <c r="V201" s="12">
        <f t="shared" si="50"/>
        <v>0</v>
      </c>
      <c r="W201" s="12">
        <f>IFERROR(MATCH(INDEX(转盘!$C$17:$F$17,1,MATCH($D$13,转盘!$C$16:$F$16,0))*MAX(F201-转盘!$C$6,0),转盘!$L$9:$L$51,1),0)</f>
        <v>9</v>
      </c>
      <c r="X201" s="12">
        <f>IFERROR(MATCH($F201,gift_k_level,0)^0,0)*进度礼包!$C$17*$H201/$D$13</f>
        <v>0</v>
      </c>
      <c r="Y201" s="12">
        <f>IFERROR(MATCH($F201,turn_k_1,0)^0,0)*转盘!$C$42*$H201/$D$13</f>
        <v>83292.5</v>
      </c>
      <c r="Z201" s="12">
        <f>IFERROR(MATCH($F201,gift_k_level,0)^0,0)*进度礼包!$C$34*$H201/$D$13</f>
        <v>0</v>
      </c>
      <c r="AA201" s="12">
        <f>IFERROR(MATCH($F201,gift_k_time,0)^0,0)*限时礼包!$C$15*$H201/$D$13</f>
        <v>0</v>
      </c>
      <c r="AB201" s="12">
        <f>SUM(H$6:H201)</f>
        <v>389000</v>
      </c>
      <c r="AC201" s="12">
        <f>SUM(N$6:N201)+SUM($M$6:M201)</f>
        <v>784340.70000000054</v>
      </c>
      <c r="AD201" s="12">
        <f>SUM(O$6:O201)</f>
        <v>97954.547249999843</v>
      </c>
      <c r="AE201" s="12">
        <f>SUM($P$6:P201)</f>
        <v>3304.7527499999997</v>
      </c>
      <c r="AF201" s="12">
        <f>SUM(U$6:U201)</f>
        <v>68094.90566037735</v>
      </c>
      <c r="AG201" s="12">
        <f>SUM(S$6:S201)</f>
        <v>9500</v>
      </c>
      <c r="AH201" s="12">
        <f>SUM(Y$6:Y201)</f>
        <v>673003.4</v>
      </c>
      <c r="AI201" s="12">
        <f>SUM(X$6:X201)</f>
        <v>54281.453079422099</v>
      </c>
      <c r="AJ201" s="12">
        <f>SUM(Z$6:Z201)</f>
        <v>176015.71185647999</v>
      </c>
      <c r="AK201" s="12">
        <f>SUM(AA$6:AA201)</f>
        <v>542157.26181668043</v>
      </c>
      <c r="AL201" s="12">
        <f>F201</f>
        <v>196</v>
      </c>
      <c r="AM201" s="12">
        <f t="shared" si="48"/>
        <v>1024171.6059897998</v>
      </c>
      <c r="AN201" s="12">
        <f>SUM(I$6:I201)</f>
        <v>885600</v>
      </c>
      <c r="AO201" s="8">
        <f>SUM(Q$6:Q201)</f>
        <v>439</v>
      </c>
      <c r="AP201" s="12">
        <f t="shared" si="49"/>
        <v>138571.60598979983</v>
      </c>
      <c r="AS201" s="12">
        <v>195</v>
      </c>
      <c r="AT201" s="12">
        <v>20</v>
      </c>
      <c r="AU201" s="12">
        <f t="shared" ref="AU201:AU215" si="54">AT201+AU200</f>
        <v>3910</v>
      </c>
      <c r="AV201" s="12">
        <f t="shared" ref="AV201:AV215" si="55">AW201-AW200</f>
        <v>0</v>
      </c>
      <c r="AW201" s="12">
        <f>INDEX($AO$6:$AO$215,MATCH(BC201,$F$6:$F$215,0))</f>
        <v>467</v>
      </c>
      <c r="AX201" s="12">
        <f t="shared" ref="AX201:AX215" si="56">INDEX($AM$6:$AM$215,MATCH(AU201,$AO$6:$AO$215,1))</f>
        <v>1135512.1739951316</v>
      </c>
      <c r="AY201" s="12">
        <f t="shared" si="51"/>
        <v>7650</v>
      </c>
      <c r="AZ201" s="12">
        <f t="shared" si="52"/>
        <v>10740.72380952381</v>
      </c>
      <c r="BA201" s="12">
        <f>AX201+SUM($AY$6:AY201)+SUM($AZ$6:AZ201)</f>
        <v>4645344.8597094128</v>
      </c>
      <c r="BB201" s="12">
        <f t="shared" ref="BB201:BB215" si="57">INDEX($AN$6:$AN$1005,MATCH(AU201,$AO$6:$AO$1005,1))</f>
        <v>956200</v>
      </c>
      <c r="BC201" s="12">
        <f t="shared" ref="BC201:BC215" si="58">MATCH(AU201,$AO$6:$AO$215,1)</f>
        <v>210</v>
      </c>
      <c r="BD201" s="12">
        <f t="shared" ref="BD201:BD215" si="59">BC201-BC200</f>
        <v>0</v>
      </c>
      <c r="BE201" s="12">
        <f t="shared" ref="BE201:BE215" si="60">BC200+1</f>
        <v>211</v>
      </c>
      <c r="BF201" s="12">
        <f t="shared" si="53"/>
        <v>3689144.8597094128</v>
      </c>
    </row>
    <row r="202" spans="6:58" x14ac:dyDescent="0.35">
      <c r="F202" s="12">
        <v>197</v>
      </c>
      <c r="G202" s="8">
        <f>INDEX(验算胜率!$E$6:$I$1005,F202,MATCH($D$16,验算胜率!$E$5:$I$5,0))</f>
        <v>0.5</v>
      </c>
      <c r="H202" s="12">
        <f t="shared" si="46"/>
        <v>2500</v>
      </c>
      <c r="I202" s="12">
        <f t="shared" si="47"/>
        <v>5000</v>
      </c>
      <c r="J202" s="12">
        <v>4</v>
      </c>
      <c r="K202" s="12">
        <v>0</v>
      </c>
      <c r="M202" s="12">
        <f>IF($D$16=验算胜率!$F$5,验算胜率!K202,0)*H202*关卡道具消耗!$D$8/关卡道具消耗!$D$26</f>
        <v>0</v>
      </c>
      <c r="N202" s="12">
        <f>INDEX(关卡奖励!$AH$6:$AH$8,MATCH($D$14,关卡奖励!$W$6:$W$8,0))*H202*IF(G202&lt;0.3,1,2)</f>
        <v>5835</v>
      </c>
      <c r="O202" s="12">
        <f>INDEX(关卡奖励!$AI$9:$AI$11,MATCH($D$14,关卡奖励!$W$9:$W$11,0))*((1/G202)-1)*H202</f>
        <v>493.125</v>
      </c>
      <c r="P202" s="12">
        <f>I202-N202-O202</f>
        <v>-1328.125</v>
      </c>
      <c r="Q202" s="12">
        <f>1/G202</f>
        <v>2</v>
      </c>
      <c r="R202" s="12">
        <f>IFERROR(INDEX(base_v,MATCH($F202,base_k,1)),0)*离线奖励!$C$12</f>
        <v>7500</v>
      </c>
      <c r="S202" s="12">
        <f>IFERROR(INDEX(关卡进度奖励!$I$7:$I$15,MATCH(F202,关卡进度奖励!$D$7:$D$15,0)),0)</f>
        <v>0</v>
      </c>
      <c r="T202" s="12">
        <f>AVERAGE(签到!$E$7:$E$13)*$H202</f>
        <v>10327.619047619048</v>
      </c>
      <c r="U202" s="12">
        <f>转盘!$C$26*H202*V202/$D$13</f>
        <v>9617.9245283018863</v>
      </c>
      <c r="V202" s="12">
        <f t="shared" si="50"/>
        <v>1</v>
      </c>
      <c r="W202" s="12">
        <f>IFERROR(MATCH(INDEX(转盘!$C$17:$F$17,1,MATCH($D$13,转盘!$C$16:$F$16,0))*MAX(F202-转盘!$C$6,0),转盘!$L$9:$L$51,1),0)</f>
        <v>10</v>
      </c>
      <c r="X202" s="12">
        <f>IFERROR(MATCH($F202,gift_k_level,0)^0,0)*进度礼包!$C$17*$H202/$D$13</f>
        <v>0</v>
      </c>
      <c r="Y202" s="12">
        <f>IFERROR(MATCH($F202,turn_k_1,0)^0,0)*转盘!$C$42*$H202/$D$13</f>
        <v>0</v>
      </c>
      <c r="Z202" s="12">
        <f>IFERROR(MATCH($F202,gift_k_level,0)^0,0)*进度礼包!$C$34*$H202/$D$13</f>
        <v>0</v>
      </c>
      <c r="AA202" s="12">
        <f>IFERROR(MATCH($F202,gift_k_time,0)^0,0)*限时礼包!$C$15*$H202/$D$13</f>
        <v>74472.151348445128</v>
      </c>
      <c r="AB202" s="12">
        <f>SUM(H$6:H202)</f>
        <v>391500</v>
      </c>
      <c r="AC202" s="12">
        <f>SUM(N$6:N202)+SUM($M$6:M202)</f>
        <v>790175.70000000054</v>
      </c>
      <c r="AD202" s="12">
        <f>SUM(O$6:O202)</f>
        <v>98447.672249999843</v>
      </c>
      <c r="AE202" s="12">
        <f>SUM($P$6:P202)</f>
        <v>1976.6277499999997</v>
      </c>
      <c r="AF202" s="12">
        <f>SUM(U$6:U202)</f>
        <v>77712.830188679232</v>
      </c>
      <c r="AG202" s="12">
        <f>SUM(S$6:S202)</f>
        <v>9500</v>
      </c>
      <c r="AH202" s="12">
        <f>SUM(Y$6:Y202)</f>
        <v>673003.4</v>
      </c>
      <c r="AI202" s="12">
        <f>SUM(X$6:X202)</f>
        <v>54281.453079422099</v>
      </c>
      <c r="AJ202" s="12">
        <f>SUM(Z$6:Z202)</f>
        <v>176015.71185647999</v>
      </c>
      <c r="AK202" s="12">
        <f>SUM(AA$6:AA202)</f>
        <v>616629.41316512553</v>
      </c>
      <c r="AL202" s="12">
        <f>F202</f>
        <v>197</v>
      </c>
      <c r="AM202" s="12">
        <f t="shared" si="48"/>
        <v>1040117.6555181018</v>
      </c>
      <c r="AN202" s="12">
        <f>SUM(I$6:I202)</f>
        <v>890600</v>
      </c>
      <c r="AO202" s="8">
        <f>SUM(Q$6:Q202)</f>
        <v>441</v>
      </c>
      <c r="AP202" s="12">
        <f t="shared" si="49"/>
        <v>149517.65551810176</v>
      </c>
      <c r="AS202" s="12">
        <v>196</v>
      </c>
      <c r="AT202" s="12">
        <v>20</v>
      </c>
      <c r="AU202" s="12">
        <f t="shared" si="54"/>
        <v>3930</v>
      </c>
      <c r="AV202" s="12">
        <f t="shared" si="55"/>
        <v>0</v>
      </c>
      <c r="AW202" s="12">
        <f>INDEX($AO$6:$AO$215,MATCH(BC202,$F$6:$F$215,0))</f>
        <v>467</v>
      </c>
      <c r="AX202" s="12">
        <f t="shared" si="56"/>
        <v>1135512.1739951316</v>
      </c>
      <c r="AY202" s="12">
        <f t="shared" si="51"/>
        <v>7650</v>
      </c>
      <c r="AZ202" s="12">
        <f t="shared" si="52"/>
        <v>10740.72380952381</v>
      </c>
      <c r="BA202" s="12">
        <f>AX202+SUM($AY$6:AY202)+SUM($AZ$6:AZ202)</f>
        <v>4663735.5835189372</v>
      </c>
      <c r="BB202" s="12">
        <f t="shared" si="57"/>
        <v>956200</v>
      </c>
      <c r="BC202" s="12">
        <f t="shared" si="58"/>
        <v>210</v>
      </c>
      <c r="BD202" s="12">
        <f t="shared" si="59"/>
        <v>0</v>
      </c>
      <c r="BE202" s="12">
        <f t="shared" si="60"/>
        <v>211</v>
      </c>
      <c r="BF202" s="12">
        <f t="shared" si="53"/>
        <v>3707535.5835189372</v>
      </c>
    </row>
    <row r="203" spans="6:58" x14ac:dyDescent="0.35">
      <c r="F203" s="12">
        <v>198</v>
      </c>
      <c r="G203" s="8">
        <f>INDEX(验算胜率!$E$6:$I$1005,F203,MATCH($D$16,验算胜率!$E$5:$I$5,0))</f>
        <v>0.5</v>
      </c>
      <c r="H203" s="12">
        <f t="shared" si="46"/>
        <v>2500</v>
      </c>
      <c r="I203" s="12">
        <f t="shared" si="47"/>
        <v>5000</v>
      </c>
      <c r="J203" s="12">
        <v>4</v>
      </c>
      <c r="K203" s="12">
        <v>0</v>
      </c>
      <c r="M203" s="12">
        <f>IF($D$16=验算胜率!$F$5,验算胜率!K203,0)*H203*关卡道具消耗!$D$8/关卡道具消耗!$D$26</f>
        <v>0</v>
      </c>
      <c r="N203" s="12">
        <f>INDEX(关卡奖励!$AH$6:$AH$8,MATCH($D$14,关卡奖励!$W$6:$W$8,0))*H203*IF(G203&lt;0.3,1,2)</f>
        <v>5835</v>
      </c>
      <c r="O203" s="12">
        <f>INDEX(关卡奖励!$AI$9:$AI$11,MATCH($D$14,关卡奖励!$W$9:$W$11,0))*((1/G203)-1)*H203</f>
        <v>493.125</v>
      </c>
      <c r="P203" s="12">
        <f>I203-N203-O203</f>
        <v>-1328.125</v>
      </c>
      <c r="Q203" s="12">
        <f>1/G203</f>
        <v>2</v>
      </c>
      <c r="R203" s="12">
        <f>IFERROR(INDEX(base_v,MATCH($F203,base_k,1)),0)*离线奖励!$C$12</f>
        <v>7500</v>
      </c>
      <c r="S203" s="12">
        <f>IFERROR(INDEX(关卡进度奖励!$I$7:$I$15,MATCH(F203,关卡进度奖励!$D$7:$D$15,0)),0)</f>
        <v>0</v>
      </c>
      <c r="T203" s="12">
        <f>AVERAGE(签到!$E$7:$E$13)*$H203</f>
        <v>10327.619047619048</v>
      </c>
      <c r="U203" s="12">
        <f>转盘!$C$26*H203*V203/$D$13</f>
        <v>0</v>
      </c>
      <c r="V203" s="12">
        <f t="shared" si="50"/>
        <v>0</v>
      </c>
      <c r="W203" s="12">
        <f>IFERROR(MATCH(INDEX(转盘!$C$17:$F$17,1,MATCH($D$13,转盘!$C$16:$F$16,0))*MAX(F203-转盘!$C$6,0),转盘!$L$9:$L$51,1),0)</f>
        <v>10</v>
      </c>
      <c r="X203" s="12">
        <f>IFERROR(MATCH($F203,gift_k_level,0)^0,0)*进度礼包!$C$17*$H203/$D$13</f>
        <v>0</v>
      </c>
      <c r="Y203" s="12">
        <f>IFERROR(MATCH($F203,turn_k_1,0)^0,0)*转盘!$C$42*$H203/$D$13</f>
        <v>0</v>
      </c>
      <c r="Z203" s="12">
        <f>IFERROR(MATCH($F203,gift_k_level,0)^0,0)*进度礼包!$C$34*$H203/$D$13</f>
        <v>0</v>
      </c>
      <c r="AA203" s="12">
        <f>IFERROR(MATCH($F203,gift_k_time,0)^0,0)*限时礼包!$C$15*$H203/$D$13</f>
        <v>0</v>
      </c>
      <c r="AB203" s="12">
        <f>SUM(H$6:H203)</f>
        <v>394000</v>
      </c>
      <c r="AC203" s="12">
        <f>SUM(N$6:N203)+SUM($M$6:M203)</f>
        <v>796010.70000000054</v>
      </c>
      <c r="AD203" s="12">
        <f>SUM(O$6:O203)</f>
        <v>98940.797249999843</v>
      </c>
      <c r="AE203" s="12">
        <f>SUM($P$6:P203)</f>
        <v>648.50274999999965</v>
      </c>
      <c r="AF203" s="12">
        <f>SUM(U$6:U203)</f>
        <v>77712.830188679232</v>
      </c>
      <c r="AG203" s="12">
        <f>SUM(S$6:S203)</f>
        <v>9500</v>
      </c>
      <c r="AH203" s="12">
        <f>SUM(Y$6:Y203)</f>
        <v>673003.4</v>
      </c>
      <c r="AI203" s="12">
        <f>SUM(X$6:X203)</f>
        <v>54281.453079422099</v>
      </c>
      <c r="AJ203" s="12">
        <f>SUM(Z$6:Z203)</f>
        <v>176015.71185647999</v>
      </c>
      <c r="AK203" s="12">
        <f>SUM(AA$6:AA203)</f>
        <v>616629.41316512553</v>
      </c>
      <c r="AL203" s="12">
        <f>F203</f>
        <v>198</v>
      </c>
      <c r="AM203" s="12">
        <f t="shared" si="48"/>
        <v>1046445.7805181018</v>
      </c>
      <c r="AN203" s="12">
        <f>SUM(I$6:I203)</f>
        <v>895600</v>
      </c>
      <c r="AO203" s="8">
        <f>SUM(Q$6:Q203)</f>
        <v>443</v>
      </c>
      <c r="AP203" s="12">
        <f t="shared" si="49"/>
        <v>150845.78051810176</v>
      </c>
      <c r="AS203" s="12">
        <v>197</v>
      </c>
      <c r="AT203" s="12">
        <v>20</v>
      </c>
      <c r="AU203" s="12">
        <f t="shared" si="54"/>
        <v>3950</v>
      </c>
      <c r="AV203" s="12">
        <f t="shared" si="55"/>
        <v>0</v>
      </c>
      <c r="AW203" s="12">
        <f>INDEX($AO$6:$AO$215,MATCH(BC203,$F$6:$F$215,0))</f>
        <v>467</v>
      </c>
      <c r="AX203" s="12">
        <f t="shared" si="56"/>
        <v>1135512.1739951316</v>
      </c>
      <c r="AY203" s="12">
        <f t="shared" si="51"/>
        <v>7650</v>
      </c>
      <c r="AZ203" s="12">
        <f t="shared" si="52"/>
        <v>10740.72380952381</v>
      </c>
      <c r="BA203" s="12">
        <f>AX203+SUM($AY$6:AY203)+SUM($AZ$6:AZ203)</f>
        <v>4682126.3073284607</v>
      </c>
      <c r="BB203" s="12">
        <f t="shared" si="57"/>
        <v>956200</v>
      </c>
      <c r="BC203" s="12">
        <f t="shared" si="58"/>
        <v>210</v>
      </c>
      <c r="BD203" s="12">
        <f t="shared" si="59"/>
        <v>0</v>
      </c>
      <c r="BE203" s="12">
        <f t="shared" si="60"/>
        <v>211</v>
      </c>
      <c r="BF203" s="12">
        <f t="shared" si="53"/>
        <v>3725926.3073284607</v>
      </c>
    </row>
    <row r="204" spans="6:58" x14ac:dyDescent="0.35">
      <c r="F204" s="12">
        <v>199</v>
      </c>
      <c r="G204" s="8">
        <f>INDEX(验算胜率!$E$6:$I$1005,F204,MATCH($D$16,验算胜率!$E$5:$I$5,0))</f>
        <v>0.5</v>
      </c>
      <c r="H204" s="12">
        <f t="shared" si="46"/>
        <v>2500</v>
      </c>
      <c r="I204" s="12">
        <f t="shared" si="47"/>
        <v>5000</v>
      </c>
      <c r="J204" s="12">
        <v>4</v>
      </c>
      <c r="K204" s="12">
        <v>0</v>
      </c>
      <c r="M204" s="12">
        <f>IF($D$16=验算胜率!$F$5,验算胜率!K204,0)*H204*关卡道具消耗!$D$8/关卡道具消耗!$D$26</f>
        <v>0</v>
      </c>
      <c r="N204" s="12">
        <f>INDEX(关卡奖励!$AH$6:$AH$8,MATCH($D$14,关卡奖励!$W$6:$W$8,0))*H204*IF(G204&lt;0.3,1,2)</f>
        <v>5835</v>
      </c>
      <c r="O204" s="12">
        <f>INDEX(关卡奖励!$AI$9:$AI$11,MATCH($D$14,关卡奖励!$W$9:$W$11,0))*((1/G204)-1)*H204</f>
        <v>493.125</v>
      </c>
      <c r="P204" s="12">
        <f>I204-N204-O204</f>
        <v>-1328.125</v>
      </c>
      <c r="Q204" s="12">
        <f>1/G204</f>
        <v>2</v>
      </c>
      <c r="R204" s="12">
        <f>IFERROR(INDEX(base_v,MATCH($F204,base_k,1)),0)*离线奖励!$C$12</f>
        <v>7500</v>
      </c>
      <c r="S204" s="12">
        <f>IFERROR(INDEX(关卡进度奖励!$I$7:$I$15,MATCH(F204,关卡进度奖励!$D$7:$D$15,0)),0)</f>
        <v>3500</v>
      </c>
      <c r="T204" s="12">
        <f>AVERAGE(签到!$E$7:$E$13)*$H204</f>
        <v>10327.619047619048</v>
      </c>
      <c r="U204" s="12">
        <f>转盘!$C$26*H204*V204/$D$13</f>
        <v>0</v>
      </c>
      <c r="V204" s="12">
        <f t="shared" si="50"/>
        <v>0</v>
      </c>
      <c r="W204" s="12">
        <f>IFERROR(MATCH(INDEX(转盘!$C$17:$F$17,1,MATCH($D$13,转盘!$C$16:$F$16,0))*MAX(F204-转盘!$C$6,0),转盘!$L$9:$L$51,1),0)</f>
        <v>10</v>
      </c>
      <c r="X204" s="12">
        <f>IFERROR(MATCH($F204,gift_k_level,0)^0,0)*进度礼包!$C$17*$H204/$D$13</f>
        <v>0</v>
      </c>
      <c r="Y204" s="12">
        <f>IFERROR(MATCH($F204,turn_k_1,0)^0,0)*转盘!$C$42*$H204/$D$13</f>
        <v>0</v>
      </c>
      <c r="Z204" s="12">
        <f>IFERROR(MATCH($F204,gift_k_level,0)^0,0)*进度礼包!$C$34*$H204/$D$13</f>
        <v>0</v>
      </c>
      <c r="AA204" s="12">
        <f>IFERROR(MATCH($F204,gift_k_time,0)^0,0)*限时礼包!$C$15*$H204/$D$13</f>
        <v>0</v>
      </c>
      <c r="AB204" s="12">
        <f>SUM(H$6:H204)</f>
        <v>396500</v>
      </c>
      <c r="AC204" s="12">
        <f>SUM(N$6:N204)+SUM($M$6:M204)</f>
        <v>801845.70000000054</v>
      </c>
      <c r="AD204" s="12">
        <f>SUM(O$6:O204)</f>
        <v>99433.922249999843</v>
      </c>
      <c r="AE204" s="12">
        <f>SUM($P$6:P204)</f>
        <v>-679.62225000000035</v>
      </c>
      <c r="AF204" s="12">
        <f>SUM(U$6:U204)</f>
        <v>77712.830188679232</v>
      </c>
      <c r="AG204" s="12">
        <f>SUM(S$6:S204)</f>
        <v>13000</v>
      </c>
      <c r="AH204" s="12">
        <f>SUM(Y$6:Y204)</f>
        <v>673003.4</v>
      </c>
      <c r="AI204" s="12">
        <f>SUM(X$6:X204)</f>
        <v>54281.453079422099</v>
      </c>
      <c r="AJ204" s="12">
        <f>SUM(Z$6:Z204)</f>
        <v>176015.71185647999</v>
      </c>
      <c r="AK204" s="12">
        <f>SUM(AA$6:AA204)</f>
        <v>616629.41316512553</v>
      </c>
      <c r="AL204" s="12">
        <f>F204</f>
        <v>199</v>
      </c>
      <c r="AM204" s="12">
        <f t="shared" si="48"/>
        <v>1056273.9055181018</v>
      </c>
      <c r="AN204" s="12">
        <f>SUM(I$6:I204)</f>
        <v>900600</v>
      </c>
      <c r="AO204" s="8">
        <f>SUM(Q$6:Q204)</f>
        <v>445</v>
      </c>
      <c r="AP204" s="12">
        <f t="shared" si="49"/>
        <v>155673.90551810176</v>
      </c>
      <c r="AS204" s="12">
        <v>198</v>
      </c>
      <c r="AT204" s="12">
        <v>20</v>
      </c>
      <c r="AU204" s="12">
        <f t="shared" si="54"/>
        <v>3970</v>
      </c>
      <c r="AV204" s="12">
        <f t="shared" si="55"/>
        <v>0</v>
      </c>
      <c r="AW204" s="12">
        <f>INDEX($AO$6:$AO$215,MATCH(BC204,$F$6:$F$215,0))</f>
        <v>467</v>
      </c>
      <c r="AX204" s="12">
        <f t="shared" si="56"/>
        <v>1135512.1739951316</v>
      </c>
      <c r="AY204" s="12">
        <f t="shared" si="51"/>
        <v>7650</v>
      </c>
      <c r="AZ204" s="12">
        <f t="shared" si="52"/>
        <v>10740.72380952381</v>
      </c>
      <c r="BA204" s="12">
        <f>AX204+SUM($AY$6:AY204)+SUM($AZ$6:AZ204)</f>
        <v>4700517.0311379842</v>
      </c>
      <c r="BB204" s="12">
        <f t="shared" si="57"/>
        <v>956200</v>
      </c>
      <c r="BC204" s="12">
        <f t="shared" si="58"/>
        <v>210</v>
      </c>
      <c r="BD204" s="12">
        <f t="shared" si="59"/>
        <v>0</v>
      </c>
      <c r="BE204" s="12">
        <f t="shared" si="60"/>
        <v>211</v>
      </c>
      <c r="BF204" s="12">
        <f t="shared" si="53"/>
        <v>3744317.0311379842</v>
      </c>
    </row>
    <row r="205" spans="6:58" x14ac:dyDescent="0.35">
      <c r="F205" s="12">
        <v>200</v>
      </c>
      <c r="G205" s="8">
        <f>INDEX(验算胜率!$E$6:$I$1005,F205,MATCH($D$16,验算胜率!$E$5:$I$5,0))</f>
        <v>0.5</v>
      </c>
      <c r="H205" s="12">
        <f t="shared" si="46"/>
        <v>2500</v>
      </c>
      <c r="I205" s="12">
        <f t="shared" si="47"/>
        <v>5000</v>
      </c>
      <c r="J205" s="12">
        <v>4</v>
      </c>
      <c r="K205" s="12">
        <v>0</v>
      </c>
      <c r="M205" s="12">
        <f>IF($D$16=验算胜率!$F$5,验算胜率!K205,0)*H205*关卡道具消耗!$D$8/关卡道具消耗!$D$26</f>
        <v>0</v>
      </c>
      <c r="N205" s="12">
        <f>INDEX(关卡奖励!$AH$6:$AH$8,MATCH($D$14,关卡奖励!$W$6:$W$8,0))*H205*IF(G205&lt;0.3,1,2)</f>
        <v>5835</v>
      </c>
      <c r="O205" s="12">
        <f>INDEX(关卡奖励!$AI$9:$AI$11,MATCH($D$14,关卡奖励!$W$9:$W$11,0))*((1/G205)-1)*H205</f>
        <v>493.125</v>
      </c>
      <c r="P205" s="12">
        <f>I205-N205-O205</f>
        <v>-1328.125</v>
      </c>
      <c r="Q205" s="12">
        <f>1/G205</f>
        <v>2</v>
      </c>
      <c r="R205" s="12">
        <f>IFERROR(INDEX(base_v,MATCH($F205,base_k,1)),0)*离线奖励!$C$12</f>
        <v>7500</v>
      </c>
      <c r="S205" s="12">
        <f>IFERROR(INDEX(关卡进度奖励!$I$7:$I$15,MATCH(F205,关卡进度奖励!$D$7:$D$15,0)),0)</f>
        <v>0</v>
      </c>
      <c r="T205" s="12">
        <f>AVERAGE(签到!$E$7:$E$13)*$H205</f>
        <v>10327.619047619048</v>
      </c>
      <c r="U205" s="12">
        <f>转盘!$C$26*H205*V205/$D$13</f>
        <v>0</v>
      </c>
      <c r="V205" s="12">
        <f t="shared" si="50"/>
        <v>0</v>
      </c>
      <c r="W205" s="12">
        <f>IFERROR(MATCH(INDEX(转盘!$C$17:$F$17,1,MATCH($D$13,转盘!$C$16:$F$16,0))*MAX(F205-转盘!$C$6,0),转盘!$L$9:$L$51,1),0)</f>
        <v>10</v>
      </c>
      <c r="X205" s="12">
        <f>IFERROR(MATCH($F205,gift_k_level,0)^0,0)*进度礼包!$C$17*$H205/$D$13</f>
        <v>0</v>
      </c>
      <c r="Y205" s="12">
        <f>IFERROR(MATCH($F205,turn_k_1,0)^0,0)*转盘!$C$42*$H205/$D$13</f>
        <v>0</v>
      </c>
      <c r="Z205" s="12">
        <f>IFERROR(MATCH($F205,gift_k_level,0)^0,0)*进度礼包!$C$34*$H205/$D$13</f>
        <v>0</v>
      </c>
      <c r="AA205" s="12">
        <f>IFERROR(MATCH($F205,gift_k_time,0)^0,0)*限时礼包!$C$15*$H205/$D$13</f>
        <v>0</v>
      </c>
      <c r="AB205" s="12">
        <f>SUM(H$6:H205)</f>
        <v>399000</v>
      </c>
      <c r="AC205" s="12">
        <f>SUM(N$6:N205)+SUM($M$6:M205)</f>
        <v>807680.70000000054</v>
      </c>
      <c r="AD205" s="12">
        <f>SUM(O$6:O205)</f>
        <v>99927.047249999843</v>
      </c>
      <c r="AE205" s="12">
        <f>SUM($P$6:P205)</f>
        <v>-2007.7472500000003</v>
      </c>
      <c r="AF205" s="12">
        <f>SUM(U$6:U205)</f>
        <v>77712.830188679232</v>
      </c>
      <c r="AG205" s="12">
        <f>SUM(S$6:S205)</f>
        <v>13000</v>
      </c>
      <c r="AH205" s="12">
        <f>SUM(Y$6:Y205)</f>
        <v>673003.4</v>
      </c>
      <c r="AI205" s="12">
        <f>SUM(X$6:X205)</f>
        <v>54281.453079422099</v>
      </c>
      <c r="AJ205" s="12">
        <f>SUM(Z$6:Z205)</f>
        <v>176015.71185647999</v>
      </c>
      <c r="AK205" s="12">
        <f>SUM(AA$6:AA205)</f>
        <v>616629.41316512553</v>
      </c>
      <c r="AL205" s="12">
        <f>F205</f>
        <v>200</v>
      </c>
      <c r="AM205" s="12">
        <f t="shared" si="48"/>
        <v>1062602.0305181018</v>
      </c>
      <c r="AN205" s="12">
        <f>SUM(I$6:I205)</f>
        <v>905600</v>
      </c>
      <c r="AO205" s="8">
        <f>SUM(Q$6:Q205)</f>
        <v>447</v>
      </c>
      <c r="AP205" s="12">
        <f t="shared" si="49"/>
        <v>157002.03051810176</v>
      </c>
      <c r="AS205" s="12">
        <v>199</v>
      </c>
      <c r="AT205" s="12">
        <v>20</v>
      </c>
      <c r="AU205" s="12">
        <f t="shared" si="54"/>
        <v>3990</v>
      </c>
      <c r="AV205" s="12">
        <f t="shared" si="55"/>
        <v>0</v>
      </c>
      <c r="AW205" s="12">
        <f>INDEX($AO$6:$AO$215,MATCH(BC205,$F$6:$F$215,0))</f>
        <v>467</v>
      </c>
      <c r="AX205" s="12">
        <f t="shared" si="56"/>
        <v>1135512.1739951316</v>
      </c>
      <c r="AY205" s="12">
        <f t="shared" si="51"/>
        <v>7650</v>
      </c>
      <c r="AZ205" s="12">
        <f t="shared" si="52"/>
        <v>10740.72380952381</v>
      </c>
      <c r="BA205" s="12">
        <f>AX205+SUM($AY$6:AY205)+SUM($AZ$6:AZ205)</f>
        <v>4718907.7549475078</v>
      </c>
      <c r="BB205" s="12">
        <f t="shared" si="57"/>
        <v>956200</v>
      </c>
      <c r="BC205" s="12">
        <f t="shared" si="58"/>
        <v>210</v>
      </c>
      <c r="BD205" s="12">
        <f t="shared" si="59"/>
        <v>0</v>
      </c>
      <c r="BE205" s="12">
        <f t="shared" si="60"/>
        <v>211</v>
      </c>
      <c r="BF205" s="12">
        <f t="shared" si="53"/>
        <v>3762707.7549475078</v>
      </c>
    </row>
    <row r="206" spans="6:58" x14ac:dyDescent="0.35">
      <c r="F206" s="12">
        <v>201</v>
      </c>
      <c r="G206" s="8">
        <f>INDEX(验算胜率!$E$6:$I$1005,F206,MATCH($D$16,验算胜率!$E$5:$I$5,0))</f>
        <v>0.5</v>
      </c>
      <c r="H206" s="12">
        <f t="shared" si="46"/>
        <v>2500</v>
      </c>
      <c r="I206" s="12">
        <f t="shared" si="47"/>
        <v>5000</v>
      </c>
      <c r="J206" s="12">
        <v>4</v>
      </c>
      <c r="K206" s="12">
        <v>0</v>
      </c>
      <c r="M206" s="12">
        <f>IF($D$16=验算胜率!$F$5,验算胜率!K206,0)*H206*关卡道具消耗!$D$8/关卡道具消耗!$D$26</f>
        <v>0</v>
      </c>
      <c r="N206" s="12">
        <f>INDEX(关卡奖励!$AH$6:$AH$8,MATCH($D$14,关卡奖励!$W$6:$W$8,0))*H206*IF(G206&lt;0.3,1,2)</f>
        <v>5835</v>
      </c>
      <c r="O206" s="12">
        <f>INDEX(关卡奖励!$AI$9:$AI$11,MATCH($D$14,关卡奖励!$W$9:$W$11,0))*((1/G206)-1)*H206</f>
        <v>493.125</v>
      </c>
      <c r="P206" s="12">
        <f>I206-N206-O206</f>
        <v>-1328.125</v>
      </c>
      <c r="Q206" s="12">
        <f>1/G206</f>
        <v>2</v>
      </c>
      <c r="R206" s="12">
        <f>IFERROR(INDEX(base_v,MATCH($F206,base_k,1)),0)*离线奖励!$C$12</f>
        <v>7500</v>
      </c>
      <c r="S206" s="12">
        <f>IFERROR(INDEX(关卡进度奖励!$I$7:$I$15,MATCH(F206,关卡进度奖励!$D$7:$D$15,0)),0)</f>
        <v>0</v>
      </c>
      <c r="T206" s="12">
        <f>AVERAGE(签到!$E$7:$E$13)*$H206</f>
        <v>10327.619047619048</v>
      </c>
      <c r="U206" s="12">
        <f>转盘!$C$26*H206*V206/$D$13</f>
        <v>0</v>
      </c>
      <c r="V206" s="12">
        <f t="shared" si="50"/>
        <v>0</v>
      </c>
      <c r="W206" s="12">
        <f>IFERROR(MATCH(INDEX(转盘!$C$17:$F$17,1,MATCH($D$13,转盘!$C$16:$F$16,0))*MAX(F206-转盘!$C$6,0),转盘!$L$9:$L$51,1),0)</f>
        <v>10</v>
      </c>
      <c r="X206" s="12">
        <f>IFERROR(MATCH($F206,gift_k_level,0)^0,0)*进度礼包!$C$17*$H206/$D$13</f>
        <v>0</v>
      </c>
      <c r="Y206" s="12">
        <f>IFERROR(MATCH($F206,turn_k_1,0)^0,0)*转盘!$C$42*$H206/$D$13</f>
        <v>0</v>
      </c>
      <c r="Z206" s="12">
        <f>IFERROR(MATCH($F206,gift_k_level,0)^0,0)*进度礼包!$C$34*$H206/$D$13</f>
        <v>0</v>
      </c>
      <c r="AA206" s="12">
        <f>IFERROR(MATCH($F206,gift_k_time,0)^0,0)*限时礼包!$C$15*$H206/$D$13</f>
        <v>0</v>
      </c>
      <c r="AB206" s="12">
        <f>SUM(H$6:H206)</f>
        <v>401500</v>
      </c>
      <c r="AC206" s="12">
        <f>SUM(N$6:N206)+SUM($M$6:M206)</f>
        <v>813515.70000000054</v>
      </c>
      <c r="AD206" s="12">
        <f>SUM(O$6:O206)</f>
        <v>100420.17224999984</v>
      </c>
      <c r="AE206" s="12">
        <f>SUM($P$6:P206)</f>
        <v>-3335.8722500000003</v>
      </c>
      <c r="AF206" s="12">
        <f>SUM(U$6:U206)</f>
        <v>77712.830188679232</v>
      </c>
      <c r="AG206" s="12">
        <f>SUM(S$6:S206)</f>
        <v>13000</v>
      </c>
      <c r="AH206" s="12">
        <f>SUM(Y$6:Y206)</f>
        <v>673003.4</v>
      </c>
      <c r="AI206" s="12">
        <f>SUM(X$6:X206)</f>
        <v>54281.453079422099</v>
      </c>
      <c r="AJ206" s="12">
        <f>SUM(Z$6:Z206)</f>
        <v>176015.71185647999</v>
      </c>
      <c r="AK206" s="12">
        <f>SUM(AA$6:AA206)</f>
        <v>616629.41316512553</v>
      </c>
      <c r="AL206" s="12">
        <f>F206</f>
        <v>201</v>
      </c>
      <c r="AM206" s="12">
        <f t="shared" si="48"/>
        <v>1068930.1555181018</v>
      </c>
      <c r="AN206" s="12">
        <f>SUM(I$6:I206)</f>
        <v>910600</v>
      </c>
      <c r="AO206" s="8">
        <f>SUM(Q$6:Q206)</f>
        <v>449</v>
      </c>
      <c r="AP206" s="12">
        <f t="shared" si="49"/>
        <v>158330.15551810176</v>
      </c>
      <c r="AS206" s="12">
        <v>200</v>
      </c>
      <c r="AT206" s="12">
        <v>20</v>
      </c>
      <c r="AU206" s="12">
        <f t="shared" si="54"/>
        <v>4010</v>
      </c>
      <c r="AV206" s="12">
        <f t="shared" si="55"/>
        <v>0</v>
      </c>
      <c r="AW206" s="12">
        <f>INDEX($AO$6:$AO$215,MATCH(BC206,$F$6:$F$215,0))</f>
        <v>467</v>
      </c>
      <c r="AX206" s="12">
        <f t="shared" si="56"/>
        <v>1135512.1739951316</v>
      </c>
      <c r="AY206" s="12">
        <f t="shared" si="51"/>
        <v>7650</v>
      </c>
      <c r="AZ206" s="12">
        <f t="shared" si="52"/>
        <v>10740.72380952381</v>
      </c>
      <c r="BA206" s="12">
        <f>AX206+SUM($AY$6:AY206)+SUM($AZ$6:AZ206)</f>
        <v>4737298.4787570313</v>
      </c>
      <c r="BB206" s="12">
        <f t="shared" si="57"/>
        <v>956200</v>
      </c>
      <c r="BC206" s="12">
        <f t="shared" si="58"/>
        <v>210</v>
      </c>
      <c r="BD206" s="12">
        <f t="shared" si="59"/>
        <v>0</v>
      </c>
      <c r="BE206" s="12">
        <f t="shared" si="60"/>
        <v>211</v>
      </c>
      <c r="BF206" s="12">
        <f t="shared" si="53"/>
        <v>3781098.4787570313</v>
      </c>
    </row>
    <row r="207" spans="6:58" x14ac:dyDescent="0.35">
      <c r="F207" s="12">
        <v>202</v>
      </c>
      <c r="G207" s="8">
        <f>INDEX(验算胜率!$E$6:$I$1005,F207,MATCH($D$16,验算胜率!$E$5:$I$5,0))</f>
        <v>0.5</v>
      </c>
      <c r="H207" s="12">
        <f t="shared" si="46"/>
        <v>2500</v>
      </c>
      <c r="I207" s="12">
        <f t="shared" si="47"/>
        <v>5000</v>
      </c>
      <c r="J207" s="12">
        <v>4</v>
      </c>
      <c r="K207" s="12">
        <v>0</v>
      </c>
      <c r="M207" s="12">
        <f>IF($D$16=验算胜率!$F$5,验算胜率!K207,0)*H207*关卡道具消耗!$D$8/关卡道具消耗!$D$26</f>
        <v>0</v>
      </c>
      <c r="N207" s="12">
        <f>INDEX(关卡奖励!$AH$6:$AH$8,MATCH($D$14,关卡奖励!$W$6:$W$8,0))*H207*IF(G207&lt;0.3,1,2)</f>
        <v>5835</v>
      </c>
      <c r="O207" s="12">
        <f>INDEX(关卡奖励!$AI$9:$AI$11,MATCH($D$14,关卡奖励!$W$9:$W$11,0))*((1/G207)-1)*H207</f>
        <v>493.125</v>
      </c>
      <c r="P207" s="12">
        <f>I207-N207-O207</f>
        <v>-1328.125</v>
      </c>
      <c r="Q207" s="12">
        <f>1/G207</f>
        <v>2</v>
      </c>
      <c r="R207" s="12">
        <f>IFERROR(INDEX(base_v,MATCH($F207,base_k,1)),0)*离线奖励!$C$12</f>
        <v>7500</v>
      </c>
      <c r="S207" s="12">
        <f>IFERROR(INDEX(关卡进度奖励!$I$7:$I$15,MATCH(F207,关卡进度奖励!$D$7:$D$15,0)),0)</f>
        <v>0</v>
      </c>
      <c r="T207" s="12">
        <f>AVERAGE(签到!$E$7:$E$13)*$H207</f>
        <v>10327.619047619048</v>
      </c>
      <c r="U207" s="12">
        <f>转盘!$C$26*H207*V207/$D$13</f>
        <v>0</v>
      </c>
      <c r="V207" s="12">
        <f t="shared" si="50"/>
        <v>0</v>
      </c>
      <c r="W207" s="12">
        <f>IFERROR(MATCH(INDEX(转盘!$C$17:$F$17,1,MATCH($D$13,转盘!$C$16:$F$16,0))*MAX(F207-转盘!$C$6,0),转盘!$L$9:$L$51,1),0)</f>
        <v>10</v>
      </c>
      <c r="X207" s="12">
        <f>IFERROR(MATCH($F207,gift_k_level,0)^0,0)*进度礼包!$C$17*$H207/$D$13</f>
        <v>0</v>
      </c>
      <c r="Y207" s="12">
        <f>IFERROR(MATCH($F207,turn_k_1,0)^0,0)*转盘!$C$42*$H207/$D$13</f>
        <v>0</v>
      </c>
      <c r="Z207" s="12">
        <f>IFERROR(MATCH($F207,gift_k_level,0)^0,0)*进度礼包!$C$34*$H207/$D$13</f>
        <v>0</v>
      </c>
      <c r="AA207" s="12">
        <f>IFERROR(MATCH($F207,gift_k_time,0)^0,0)*限时礼包!$C$15*$H207/$D$13</f>
        <v>0</v>
      </c>
      <c r="AB207" s="12">
        <f>SUM(H$6:H207)</f>
        <v>404000</v>
      </c>
      <c r="AC207" s="12">
        <f>SUM(N$6:N207)+SUM($M$6:M207)</f>
        <v>819350.70000000054</v>
      </c>
      <c r="AD207" s="12">
        <f>SUM(O$6:O207)</f>
        <v>100913.29724999984</v>
      </c>
      <c r="AE207" s="12">
        <f>SUM($P$6:P207)</f>
        <v>-4663.9972500000003</v>
      </c>
      <c r="AF207" s="12">
        <f>SUM(U$6:U207)</f>
        <v>77712.830188679232</v>
      </c>
      <c r="AG207" s="12">
        <f>SUM(S$6:S207)</f>
        <v>13000</v>
      </c>
      <c r="AH207" s="12">
        <f>SUM(Y$6:Y207)</f>
        <v>673003.4</v>
      </c>
      <c r="AI207" s="12">
        <f>SUM(X$6:X207)</f>
        <v>54281.453079422099</v>
      </c>
      <c r="AJ207" s="12">
        <f>SUM(Z$6:Z207)</f>
        <v>176015.71185647999</v>
      </c>
      <c r="AK207" s="12">
        <f>SUM(AA$6:AA207)</f>
        <v>616629.41316512553</v>
      </c>
      <c r="AL207" s="12">
        <f>F207</f>
        <v>202</v>
      </c>
      <c r="AM207" s="12">
        <f t="shared" si="48"/>
        <v>1075258.2805181018</v>
      </c>
      <c r="AN207" s="12">
        <f>SUM(I$6:I207)</f>
        <v>915600</v>
      </c>
      <c r="AO207" s="8">
        <f>SUM(Q$6:Q207)</f>
        <v>451</v>
      </c>
      <c r="AP207" s="12">
        <f t="shared" si="49"/>
        <v>159658.28051810176</v>
      </c>
      <c r="AS207" s="12">
        <v>201</v>
      </c>
      <c r="AT207" s="12">
        <v>20</v>
      </c>
      <c r="AU207" s="12">
        <f t="shared" si="54"/>
        <v>4030</v>
      </c>
      <c r="AV207" s="12">
        <f t="shared" si="55"/>
        <v>0</v>
      </c>
      <c r="AW207" s="12">
        <f>INDEX($AO$6:$AO$215,MATCH(BC207,$F$6:$F$215,0))</f>
        <v>467</v>
      </c>
      <c r="AX207" s="12">
        <f t="shared" si="56"/>
        <v>1135512.1739951316</v>
      </c>
      <c r="AY207" s="12">
        <f t="shared" si="51"/>
        <v>7650</v>
      </c>
      <c r="AZ207" s="12">
        <f t="shared" si="52"/>
        <v>10740.72380952381</v>
      </c>
      <c r="BA207" s="12">
        <f>AX207+SUM($AY$6:AY207)+SUM($AZ$6:AZ207)</f>
        <v>4755689.2025665557</v>
      </c>
      <c r="BB207" s="12">
        <f t="shared" si="57"/>
        <v>956200</v>
      </c>
      <c r="BC207" s="12">
        <f t="shared" si="58"/>
        <v>210</v>
      </c>
      <c r="BD207" s="12">
        <f t="shared" si="59"/>
        <v>0</v>
      </c>
      <c r="BE207" s="12">
        <f t="shared" si="60"/>
        <v>211</v>
      </c>
      <c r="BF207" s="12">
        <f t="shared" si="53"/>
        <v>3799489.2025665557</v>
      </c>
    </row>
    <row r="208" spans="6:58" x14ac:dyDescent="0.35">
      <c r="F208" s="12">
        <v>203</v>
      </c>
      <c r="G208" s="8">
        <f>INDEX(验算胜率!$E$6:$I$1005,F208,MATCH($D$16,验算胜率!$E$5:$I$5,0))</f>
        <v>0.5</v>
      </c>
      <c r="H208" s="12">
        <f t="shared" si="46"/>
        <v>2500</v>
      </c>
      <c r="I208" s="12">
        <f t="shared" si="47"/>
        <v>5000</v>
      </c>
      <c r="J208" s="12">
        <v>4</v>
      </c>
      <c r="K208" s="12">
        <v>0</v>
      </c>
      <c r="M208" s="12">
        <f>IF($D$16=验算胜率!$F$5,验算胜率!K208,0)*H208*关卡道具消耗!$D$8/关卡道具消耗!$D$26</f>
        <v>0</v>
      </c>
      <c r="N208" s="12">
        <f>INDEX(关卡奖励!$AH$6:$AH$8,MATCH($D$14,关卡奖励!$W$6:$W$8,0))*H208*IF(G208&lt;0.3,1,2)</f>
        <v>5835</v>
      </c>
      <c r="O208" s="12">
        <f>INDEX(关卡奖励!$AI$9:$AI$11,MATCH($D$14,关卡奖励!$W$9:$W$11,0))*((1/G208)-1)*H208</f>
        <v>493.125</v>
      </c>
      <c r="P208" s="12">
        <f>I208-N208-O208</f>
        <v>-1328.125</v>
      </c>
      <c r="Q208" s="12">
        <f>1/G208</f>
        <v>2</v>
      </c>
      <c r="R208" s="12">
        <f>IFERROR(INDEX(base_v,MATCH($F208,base_k,1)),0)*离线奖励!$C$12</f>
        <v>7500</v>
      </c>
      <c r="S208" s="12">
        <f>IFERROR(INDEX(关卡进度奖励!$I$7:$I$15,MATCH(F208,关卡进度奖励!$D$7:$D$15,0)),0)</f>
        <v>0</v>
      </c>
      <c r="T208" s="12">
        <f>AVERAGE(签到!$E$7:$E$13)*$H208</f>
        <v>10327.619047619048</v>
      </c>
      <c r="U208" s="12">
        <f>转盘!$C$26*H208*V208/$D$13</f>
        <v>0</v>
      </c>
      <c r="V208" s="12">
        <f t="shared" si="50"/>
        <v>0</v>
      </c>
      <c r="W208" s="12">
        <f>IFERROR(MATCH(INDEX(转盘!$C$17:$F$17,1,MATCH($D$13,转盘!$C$16:$F$16,0))*MAX(F208-转盘!$C$6,0),转盘!$L$9:$L$51,1),0)</f>
        <v>10</v>
      </c>
      <c r="X208" s="12">
        <f>IFERROR(MATCH($F208,gift_k_level,0)^0,0)*进度礼包!$C$17*$H208/$D$13</f>
        <v>0</v>
      </c>
      <c r="Y208" s="12">
        <f>IFERROR(MATCH($F208,turn_k_1,0)^0,0)*转盘!$C$42*$H208/$D$13</f>
        <v>0</v>
      </c>
      <c r="Z208" s="12">
        <f>IFERROR(MATCH($F208,gift_k_level,0)^0,0)*进度礼包!$C$34*$H208/$D$13</f>
        <v>0</v>
      </c>
      <c r="AA208" s="12">
        <f>IFERROR(MATCH($F208,gift_k_time,0)^0,0)*限时礼包!$C$15*$H208/$D$13</f>
        <v>0</v>
      </c>
      <c r="AB208" s="12">
        <f>SUM(H$6:H208)</f>
        <v>406500</v>
      </c>
      <c r="AC208" s="12">
        <f>SUM(N$6:N208)+SUM($M$6:M208)</f>
        <v>825185.70000000054</v>
      </c>
      <c r="AD208" s="12">
        <f>SUM(O$6:O208)</f>
        <v>101406.42224999984</v>
      </c>
      <c r="AE208" s="12">
        <f>SUM($P$6:P208)</f>
        <v>-5992.1222500000003</v>
      </c>
      <c r="AF208" s="12">
        <f>SUM(U$6:U208)</f>
        <v>77712.830188679232</v>
      </c>
      <c r="AG208" s="12">
        <f>SUM(S$6:S208)</f>
        <v>13000</v>
      </c>
      <c r="AH208" s="12">
        <f>SUM(Y$6:Y208)</f>
        <v>673003.4</v>
      </c>
      <c r="AI208" s="12">
        <f>SUM(X$6:X208)</f>
        <v>54281.453079422099</v>
      </c>
      <c r="AJ208" s="12">
        <f>SUM(Z$6:Z208)</f>
        <v>176015.71185647999</v>
      </c>
      <c r="AK208" s="12">
        <f>SUM(AA$6:AA208)</f>
        <v>616629.41316512553</v>
      </c>
      <c r="AL208" s="12">
        <f>F208</f>
        <v>203</v>
      </c>
      <c r="AM208" s="12">
        <f t="shared" si="48"/>
        <v>1081586.4055181018</v>
      </c>
      <c r="AN208" s="12">
        <f>SUM(I$6:I208)</f>
        <v>920600</v>
      </c>
      <c r="AO208" s="8">
        <f>SUM(Q$6:Q208)</f>
        <v>453</v>
      </c>
      <c r="AP208" s="12">
        <f t="shared" si="49"/>
        <v>160986.40551810176</v>
      </c>
      <c r="AS208" s="12">
        <v>202</v>
      </c>
      <c r="AT208" s="12">
        <v>20</v>
      </c>
      <c r="AU208" s="12">
        <f t="shared" si="54"/>
        <v>4050</v>
      </c>
      <c r="AV208" s="12">
        <f t="shared" si="55"/>
        <v>0</v>
      </c>
      <c r="AW208" s="12">
        <f>INDEX($AO$6:$AO$215,MATCH(BC208,$F$6:$F$215,0))</f>
        <v>467</v>
      </c>
      <c r="AX208" s="12">
        <f t="shared" si="56"/>
        <v>1135512.1739951316</v>
      </c>
      <c r="AY208" s="12">
        <f t="shared" si="51"/>
        <v>7650</v>
      </c>
      <c r="AZ208" s="12">
        <f t="shared" si="52"/>
        <v>10740.72380952381</v>
      </c>
      <c r="BA208" s="12">
        <f>AX208+SUM($AY$6:AY208)+SUM($AZ$6:AZ208)</f>
        <v>4774079.9263760801</v>
      </c>
      <c r="BB208" s="12">
        <f t="shared" si="57"/>
        <v>956200</v>
      </c>
      <c r="BC208" s="12">
        <f t="shared" si="58"/>
        <v>210</v>
      </c>
      <c r="BD208" s="12">
        <f t="shared" si="59"/>
        <v>0</v>
      </c>
      <c r="BE208" s="12">
        <f t="shared" si="60"/>
        <v>211</v>
      </c>
      <c r="BF208" s="12">
        <f t="shared" si="53"/>
        <v>3817879.9263760801</v>
      </c>
    </row>
    <row r="209" spans="6:58" x14ac:dyDescent="0.35">
      <c r="F209" s="12">
        <v>204</v>
      </c>
      <c r="G209" s="8">
        <f>INDEX(验算胜率!$E$6:$I$1005,F209,MATCH($D$16,验算胜率!$E$5:$I$5,0))</f>
        <v>0.5</v>
      </c>
      <c r="H209" s="12">
        <f t="shared" si="46"/>
        <v>2500</v>
      </c>
      <c r="I209" s="12">
        <f t="shared" si="47"/>
        <v>5000</v>
      </c>
      <c r="J209" s="12">
        <v>4</v>
      </c>
      <c r="K209" s="12">
        <v>0</v>
      </c>
      <c r="M209" s="12">
        <f>IF($D$16=验算胜率!$F$5,验算胜率!K209,0)*H209*关卡道具消耗!$D$8/关卡道具消耗!$D$26</f>
        <v>0</v>
      </c>
      <c r="N209" s="12">
        <f>INDEX(关卡奖励!$AH$6:$AH$8,MATCH($D$14,关卡奖励!$W$6:$W$8,0))*H209*IF(G209&lt;0.3,1,2)</f>
        <v>5835</v>
      </c>
      <c r="O209" s="12">
        <f>INDEX(关卡奖励!$AI$9:$AI$11,MATCH($D$14,关卡奖励!$W$9:$W$11,0))*((1/G209)-1)*H209</f>
        <v>493.125</v>
      </c>
      <c r="P209" s="12">
        <f>I209-N209-O209</f>
        <v>-1328.125</v>
      </c>
      <c r="Q209" s="12">
        <f>1/G209</f>
        <v>2</v>
      </c>
      <c r="R209" s="12">
        <f>IFERROR(INDEX(base_v,MATCH($F209,base_k,1)),0)*离线奖励!$C$12</f>
        <v>7500</v>
      </c>
      <c r="S209" s="12">
        <f>IFERROR(INDEX(关卡进度奖励!$I$7:$I$15,MATCH(F209,关卡进度奖励!$D$7:$D$15,0)),0)</f>
        <v>0</v>
      </c>
      <c r="T209" s="12">
        <f>AVERAGE(签到!$E$7:$E$13)*$H209</f>
        <v>10327.619047619048</v>
      </c>
      <c r="U209" s="12">
        <f>转盘!$C$26*H209*V209/$D$13</f>
        <v>0</v>
      </c>
      <c r="V209" s="12">
        <f t="shared" si="50"/>
        <v>0</v>
      </c>
      <c r="W209" s="12">
        <f>IFERROR(MATCH(INDEX(转盘!$C$17:$F$17,1,MATCH($D$13,转盘!$C$16:$F$16,0))*MAX(F209-转盘!$C$6,0),转盘!$L$9:$L$51,1),0)</f>
        <v>10</v>
      </c>
      <c r="X209" s="12">
        <f>IFERROR(MATCH($F209,gift_k_level,0)^0,0)*进度礼包!$C$17*$H209/$D$13</f>
        <v>0</v>
      </c>
      <c r="Y209" s="12">
        <f>IFERROR(MATCH($F209,turn_k_1,0)^0,0)*转盘!$C$42*$H209/$D$13</f>
        <v>0</v>
      </c>
      <c r="Z209" s="12">
        <f>IFERROR(MATCH($F209,gift_k_level,0)^0,0)*进度礼包!$C$34*$H209/$D$13</f>
        <v>0</v>
      </c>
      <c r="AA209" s="12">
        <f>IFERROR(MATCH($F209,gift_k_time,0)^0,0)*限时礼包!$C$15*$H209/$D$13</f>
        <v>0</v>
      </c>
      <c r="AB209" s="12">
        <f>SUM(H$6:H209)</f>
        <v>409000</v>
      </c>
      <c r="AC209" s="12">
        <f>SUM(N$6:N209)+SUM($M$6:M209)</f>
        <v>831020.70000000054</v>
      </c>
      <c r="AD209" s="12">
        <f>SUM(O$6:O209)</f>
        <v>101899.54724999984</v>
      </c>
      <c r="AE209" s="12">
        <f>SUM($P$6:P209)</f>
        <v>-7320.2472500000003</v>
      </c>
      <c r="AF209" s="12">
        <f>SUM(U$6:U209)</f>
        <v>77712.830188679232</v>
      </c>
      <c r="AG209" s="12">
        <f>SUM(S$6:S209)</f>
        <v>13000</v>
      </c>
      <c r="AH209" s="12">
        <f>SUM(Y$6:Y209)</f>
        <v>673003.4</v>
      </c>
      <c r="AI209" s="12">
        <f>SUM(X$6:X209)</f>
        <v>54281.453079422099</v>
      </c>
      <c r="AJ209" s="12">
        <f>SUM(Z$6:Z209)</f>
        <v>176015.71185647999</v>
      </c>
      <c r="AK209" s="12">
        <f>SUM(AA$6:AA209)</f>
        <v>616629.41316512553</v>
      </c>
      <c r="AL209" s="12">
        <f>F209</f>
        <v>204</v>
      </c>
      <c r="AM209" s="12">
        <f t="shared" si="48"/>
        <v>1087914.5305181018</v>
      </c>
      <c r="AN209" s="12">
        <f>SUM(I$6:I209)</f>
        <v>925600</v>
      </c>
      <c r="AO209" s="8">
        <f>SUM(Q$6:Q209)</f>
        <v>455</v>
      </c>
      <c r="AP209" s="12">
        <f t="shared" si="49"/>
        <v>162314.53051810176</v>
      </c>
      <c r="AS209" s="12">
        <v>203</v>
      </c>
      <c r="AT209" s="12">
        <v>20</v>
      </c>
      <c r="AU209" s="12">
        <f t="shared" si="54"/>
        <v>4070</v>
      </c>
      <c r="AV209" s="12">
        <f t="shared" si="55"/>
        <v>0</v>
      </c>
      <c r="AW209" s="12">
        <f>INDEX($AO$6:$AO$215,MATCH(BC209,$F$6:$F$215,0))</f>
        <v>467</v>
      </c>
      <c r="AX209" s="12">
        <f t="shared" si="56"/>
        <v>1135512.1739951316</v>
      </c>
      <c r="AY209" s="12">
        <f t="shared" si="51"/>
        <v>7650</v>
      </c>
      <c r="AZ209" s="12">
        <f t="shared" si="52"/>
        <v>10740.72380952381</v>
      </c>
      <c r="BA209" s="12">
        <f>AX209+SUM($AY$6:AY209)+SUM($AZ$6:AZ209)</f>
        <v>4792470.6501856036</v>
      </c>
      <c r="BB209" s="12">
        <f t="shared" si="57"/>
        <v>956200</v>
      </c>
      <c r="BC209" s="12">
        <f t="shared" si="58"/>
        <v>210</v>
      </c>
      <c r="BD209" s="12">
        <f t="shared" si="59"/>
        <v>0</v>
      </c>
      <c r="BE209" s="12">
        <f t="shared" si="60"/>
        <v>211</v>
      </c>
      <c r="BF209" s="12">
        <f t="shared" si="53"/>
        <v>3836270.6501856036</v>
      </c>
    </row>
    <row r="210" spans="6:58" x14ac:dyDescent="0.35">
      <c r="F210" s="12">
        <v>205</v>
      </c>
      <c r="G210" s="8">
        <f>INDEX(验算胜率!$E$6:$I$1005,F210,MATCH($D$16,验算胜率!$E$5:$I$5,0))</f>
        <v>0.5</v>
      </c>
      <c r="H210" s="12">
        <f t="shared" si="46"/>
        <v>2500</v>
      </c>
      <c r="I210" s="12">
        <f t="shared" si="47"/>
        <v>5000</v>
      </c>
      <c r="J210" s="12">
        <v>4</v>
      </c>
      <c r="K210" s="12">
        <v>0</v>
      </c>
      <c r="M210" s="12">
        <f>IF($D$16=验算胜率!$F$5,验算胜率!K210,0)*H210*关卡道具消耗!$D$8/关卡道具消耗!$D$26</f>
        <v>0</v>
      </c>
      <c r="N210" s="12">
        <f>INDEX(关卡奖励!$AH$6:$AH$8,MATCH($D$14,关卡奖励!$W$6:$W$8,0))*H210*IF(G210&lt;0.3,1,2)</f>
        <v>5835</v>
      </c>
      <c r="O210" s="12">
        <f>INDEX(关卡奖励!$AI$9:$AI$11,MATCH($D$14,关卡奖励!$W$9:$W$11,0))*((1/G210)-1)*H210</f>
        <v>493.125</v>
      </c>
      <c r="P210" s="12">
        <f>I210-N210-O210</f>
        <v>-1328.125</v>
      </c>
      <c r="Q210" s="12">
        <f>1/G210</f>
        <v>2</v>
      </c>
      <c r="R210" s="12">
        <f>IFERROR(INDEX(base_v,MATCH($F210,base_k,1)),0)*离线奖励!$C$12</f>
        <v>7500</v>
      </c>
      <c r="S210" s="12">
        <f>IFERROR(INDEX(关卡进度奖励!$I$7:$I$15,MATCH(F210,关卡进度奖励!$D$7:$D$15,0)),0)</f>
        <v>0</v>
      </c>
      <c r="T210" s="12">
        <f>AVERAGE(签到!$E$7:$E$13)*$H210</f>
        <v>10327.619047619048</v>
      </c>
      <c r="U210" s="12">
        <f>转盘!$C$26*H210*V210/$D$13</f>
        <v>0</v>
      </c>
      <c r="V210" s="12">
        <f t="shared" si="50"/>
        <v>0</v>
      </c>
      <c r="W210" s="12">
        <f>IFERROR(MATCH(INDEX(转盘!$C$17:$F$17,1,MATCH($D$13,转盘!$C$16:$F$16,0))*MAX(F210-转盘!$C$6,0),转盘!$L$9:$L$51,1),0)</f>
        <v>10</v>
      </c>
      <c r="X210" s="12">
        <f>IFERROR(MATCH($F210,gift_k_level,0)^0,0)*进度礼包!$C$17*$H210/$D$13</f>
        <v>0</v>
      </c>
      <c r="Y210" s="12">
        <f>IFERROR(MATCH($F210,turn_k_1,0)^0,0)*转盘!$C$42*$H210/$D$13</f>
        <v>0</v>
      </c>
      <c r="Z210" s="12">
        <f>IFERROR(MATCH($F210,gift_k_level,0)^0,0)*进度礼包!$C$34*$H210/$D$13</f>
        <v>0</v>
      </c>
      <c r="AA210" s="12">
        <f>IFERROR(MATCH($F210,gift_k_time,0)^0,0)*限时礼包!$C$15*$H210/$D$13</f>
        <v>0</v>
      </c>
      <c r="AB210" s="12">
        <f>SUM(H$6:H210)</f>
        <v>411500</v>
      </c>
      <c r="AC210" s="12">
        <f>SUM(N$6:N210)+SUM($M$6:M210)</f>
        <v>836855.70000000054</v>
      </c>
      <c r="AD210" s="12">
        <f>SUM(O$6:O210)</f>
        <v>102392.67224999984</v>
      </c>
      <c r="AE210" s="12">
        <f>SUM($P$6:P210)</f>
        <v>-8648.3722500000003</v>
      </c>
      <c r="AF210" s="12">
        <f>SUM(U$6:U210)</f>
        <v>77712.830188679232</v>
      </c>
      <c r="AG210" s="12">
        <f>SUM(S$6:S210)</f>
        <v>13000</v>
      </c>
      <c r="AH210" s="12">
        <f>SUM(Y$6:Y210)</f>
        <v>673003.4</v>
      </c>
      <c r="AI210" s="12">
        <f>SUM(X$6:X210)</f>
        <v>54281.453079422099</v>
      </c>
      <c r="AJ210" s="12">
        <f>SUM(Z$6:Z210)</f>
        <v>176015.71185647999</v>
      </c>
      <c r="AK210" s="12">
        <f>SUM(AA$6:AA210)</f>
        <v>616629.41316512553</v>
      </c>
      <c r="AL210" s="12">
        <f>F210</f>
        <v>205</v>
      </c>
      <c r="AM210" s="12">
        <f t="shared" si="48"/>
        <v>1094242.6555181018</v>
      </c>
      <c r="AN210" s="12">
        <f>SUM(I$6:I210)</f>
        <v>930600</v>
      </c>
      <c r="AO210" s="8">
        <f>SUM(Q$6:Q210)</f>
        <v>457</v>
      </c>
      <c r="AP210" s="12">
        <f t="shared" si="49"/>
        <v>163642.65551810176</v>
      </c>
      <c r="AS210" s="12">
        <v>204</v>
      </c>
      <c r="AT210" s="12">
        <v>20</v>
      </c>
      <c r="AU210" s="12">
        <f t="shared" si="54"/>
        <v>4090</v>
      </c>
      <c r="AV210" s="12">
        <f t="shared" si="55"/>
        <v>0</v>
      </c>
      <c r="AW210" s="12">
        <f>INDEX($AO$6:$AO$215,MATCH(BC210,$F$6:$F$215,0))</f>
        <v>467</v>
      </c>
      <c r="AX210" s="12">
        <f t="shared" si="56"/>
        <v>1135512.1739951316</v>
      </c>
      <c r="AY210" s="12">
        <f t="shared" si="51"/>
        <v>7650</v>
      </c>
      <c r="AZ210" s="12">
        <f t="shared" si="52"/>
        <v>10740.72380952381</v>
      </c>
      <c r="BA210" s="12">
        <f>AX210+SUM($AY$6:AY210)+SUM($AZ$6:AZ210)</f>
        <v>4810861.3739951272</v>
      </c>
      <c r="BB210" s="12">
        <f t="shared" si="57"/>
        <v>956200</v>
      </c>
      <c r="BC210" s="12">
        <f t="shared" si="58"/>
        <v>210</v>
      </c>
      <c r="BD210" s="12">
        <f t="shared" si="59"/>
        <v>0</v>
      </c>
      <c r="BE210" s="12">
        <f t="shared" si="60"/>
        <v>211</v>
      </c>
      <c r="BF210" s="12">
        <f t="shared" si="53"/>
        <v>3854661.3739951272</v>
      </c>
    </row>
    <row r="211" spans="6:58" x14ac:dyDescent="0.35">
      <c r="F211" s="12">
        <v>206</v>
      </c>
      <c r="G211" s="8">
        <f>INDEX(验算胜率!$E$6:$I$1005,F211,MATCH($D$16,验算胜率!$E$5:$I$5,0))</f>
        <v>0.5</v>
      </c>
      <c r="H211" s="12">
        <f t="shared" si="46"/>
        <v>2500</v>
      </c>
      <c r="I211" s="12">
        <f t="shared" si="47"/>
        <v>5000</v>
      </c>
      <c r="J211" s="12">
        <v>4</v>
      </c>
      <c r="K211" s="12">
        <v>0</v>
      </c>
      <c r="M211" s="12">
        <f>IF($D$16=验算胜率!$F$5,验算胜率!K211,0)*H211*关卡道具消耗!$D$8/关卡道具消耗!$D$26</f>
        <v>0</v>
      </c>
      <c r="N211" s="12">
        <f>INDEX(关卡奖励!$AH$6:$AH$8,MATCH($D$14,关卡奖励!$W$6:$W$8,0))*H211*IF(G211&lt;0.3,1,2)</f>
        <v>5835</v>
      </c>
      <c r="O211" s="12">
        <f>INDEX(关卡奖励!$AI$9:$AI$11,MATCH($D$14,关卡奖励!$W$9:$W$11,0))*((1/G211)-1)*H211</f>
        <v>493.125</v>
      </c>
      <c r="P211" s="12">
        <f>I211-N211-O211</f>
        <v>-1328.125</v>
      </c>
      <c r="Q211" s="12">
        <f>1/G211</f>
        <v>2</v>
      </c>
      <c r="R211" s="12">
        <f>IFERROR(INDEX(base_v,MATCH($F211,base_k,1)),0)*离线奖励!$C$12</f>
        <v>7500</v>
      </c>
      <c r="S211" s="12">
        <f>IFERROR(INDEX(关卡进度奖励!$I$7:$I$15,MATCH(F211,关卡进度奖励!$D$7:$D$15,0)),0)</f>
        <v>0</v>
      </c>
      <c r="T211" s="12">
        <f>AVERAGE(签到!$E$7:$E$13)*$H211</f>
        <v>10327.619047619048</v>
      </c>
      <c r="U211" s="12">
        <f>转盘!$C$26*H211*V211/$D$13</f>
        <v>0</v>
      </c>
      <c r="V211" s="12">
        <f t="shared" si="50"/>
        <v>0</v>
      </c>
      <c r="W211" s="12">
        <f>IFERROR(MATCH(INDEX(转盘!$C$17:$F$17,1,MATCH($D$13,转盘!$C$16:$F$16,0))*MAX(F211-转盘!$C$6,0),转盘!$L$9:$L$51,1),0)</f>
        <v>10</v>
      </c>
      <c r="X211" s="12">
        <f>IFERROR(MATCH($F211,gift_k_level,0)^0,0)*进度礼包!$C$17*$H211/$D$13</f>
        <v>0</v>
      </c>
      <c r="Y211" s="12">
        <f>IFERROR(MATCH($F211,turn_k_1,0)^0,0)*转盘!$C$42*$H211/$D$13</f>
        <v>0</v>
      </c>
      <c r="Z211" s="12">
        <f>IFERROR(MATCH($F211,gift_k_level,0)^0,0)*进度礼包!$C$34*$H211/$D$13</f>
        <v>0</v>
      </c>
      <c r="AA211" s="12">
        <f>IFERROR(MATCH($F211,gift_k_time,0)^0,0)*限时礼包!$C$15*$H211/$D$13</f>
        <v>0</v>
      </c>
      <c r="AB211" s="12">
        <f>SUM(H$6:H211)</f>
        <v>414000</v>
      </c>
      <c r="AC211" s="12">
        <f>SUM(N$6:N211)+SUM($M$6:M211)</f>
        <v>842690.70000000054</v>
      </c>
      <c r="AD211" s="12">
        <f>SUM(O$6:O211)</f>
        <v>102885.79724999984</v>
      </c>
      <c r="AE211" s="12">
        <f>SUM($P$6:P211)</f>
        <v>-9976.4972500000003</v>
      </c>
      <c r="AF211" s="12">
        <f>SUM(U$6:U211)</f>
        <v>77712.830188679232</v>
      </c>
      <c r="AG211" s="12">
        <f>SUM(S$6:S211)</f>
        <v>13000</v>
      </c>
      <c r="AH211" s="12">
        <f>SUM(Y$6:Y211)</f>
        <v>673003.4</v>
      </c>
      <c r="AI211" s="12">
        <f>SUM(X$6:X211)</f>
        <v>54281.453079422099</v>
      </c>
      <c r="AJ211" s="12">
        <f>SUM(Z$6:Z211)</f>
        <v>176015.71185647999</v>
      </c>
      <c r="AK211" s="12">
        <f>SUM(AA$6:AA211)</f>
        <v>616629.41316512553</v>
      </c>
      <c r="AL211" s="12">
        <f>F211</f>
        <v>206</v>
      </c>
      <c r="AM211" s="12">
        <f t="shared" si="48"/>
        <v>1100570.7805181018</v>
      </c>
      <c r="AN211" s="12">
        <f>SUM(I$6:I211)</f>
        <v>935600</v>
      </c>
      <c r="AO211" s="8">
        <f>SUM(Q$6:Q211)</f>
        <v>459</v>
      </c>
      <c r="AP211" s="12">
        <f t="shared" si="49"/>
        <v>164970.78051810176</v>
      </c>
      <c r="AS211" s="12">
        <v>205</v>
      </c>
      <c r="AT211" s="12">
        <v>20</v>
      </c>
      <c r="AU211" s="12">
        <f t="shared" si="54"/>
        <v>4110</v>
      </c>
      <c r="AV211" s="12">
        <f t="shared" si="55"/>
        <v>0</v>
      </c>
      <c r="AW211" s="12">
        <f>INDEX($AO$6:$AO$215,MATCH(BC211,$F$6:$F$215,0))</f>
        <v>467</v>
      </c>
      <c r="AX211" s="12">
        <f t="shared" si="56"/>
        <v>1135512.1739951316</v>
      </c>
      <c r="AY211" s="12">
        <f t="shared" si="51"/>
        <v>7650</v>
      </c>
      <c r="AZ211" s="12">
        <f t="shared" si="52"/>
        <v>10740.72380952381</v>
      </c>
      <c r="BA211" s="12">
        <f>AX211+SUM($AY$6:AY211)+SUM($AZ$6:AZ211)</f>
        <v>4829252.0978046516</v>
      </c>
      <c r="BB211" s="12">
        <f t="shared" si="57"/>
        <v>956200</v>
      </c>
      <c r="BC211" s="12">
        <f t="shared" si="58"/>
        <v>210</v>
      </c>
      <c r="BD211" s="12">
        <f t="shared" si="59"/>
        <v>0</v>
      </c>
      <c r="BE211" s="12">
        <f t="shared" si="60"/>
        <v>211</v>
      </c>
      <c r="BF211" s="12">
        <f t="shared" si="53"/>
        <v>3873052.0978046516</v>
      </c>
    </row>
    <row r="212" spans="6:58" x14ac:dyDescent="0.35">
      <c r="F212" s="12">
        <v>207</v>
      </c>
      <c r="G212" s="8">
        <f>INDEX(验算胜率!$E$6:$I$1005,F212,MATCH($D$16,验算胜率!$E$5:$I$5,0))</f>
        <v>0.5</v>
      </c>
      <c r="H212" s="12">
        <f t="shared" si="46"/>
        <v>2500</v>
      </c>
      <c r="I212" s="12">
        <f t="shared" si="47"/>
        <v>5000</v>
      </c>
      <c r="J212" s="12">
        <v>4</v>
      </c>
      <c r="K212" s="12">
        <v>0</v>
      </c>
      <c r="M212" s="12">
        <f>IF($D$16=验算胜率!$F$5,验算胜率!K212,0)*H212*关卡道具消耗!$D$8/关卡道具消耗!$D$26</f>
        <v>0</v>
      </c>
      <c r="N212" s="12">
        <f>INDEX(关卡奖励!$AH$6:$AH$8,MATCH($D$14,关卡奖励!$W$6:$W$8,0))*H212*IF(G212&lt;0.3,1,2)</f>
        <v>5835</v>
      </c>
      <c r="O212" s="12">
        <f>INDEX(关卡奖励!$AI$9:$AI$11,MATCH($D$14,关卡奖励!$W$9:$W$11,0))*((1/G212)-1)*H212</f>
        <v>493.125</v>
      </c>
      <c r="P212" s="12">
        <f>I212-N212-O212</f>
        <v>-1328.125</v>
      </c>
      <c r="Q212" s="12">
        <f>1/G212</f>
        <v>2</v>
      </c>
      <c r="R212" s="12">
        <f>IFERROR(INDEX(base_v,MATCH($F212,base_k,1)),0)*离线奖励!$C$12</f>
        <v>7650</v>
      </c>
      <c r="S212" s="12">
        <f>IFERROR(INDEX(关卡进度奖励!$I$7:$I$15,MATCH(F212,关卡进度奖励!$D$7:$D$15,0)),0)</f>
        <v>0</v>
      </c>
      <c r="T212" s="12">
        <f>AVERAGE(签到!$E$7:$E$13)*$H212</f>
        <v>10327.619047619048</v>
      </c>
      <c r="U212" s="12">
        <f>转盘!$C$26*H212*V212/$D$13</f>
        <v>0</v>
      </c>
      <c r="V212" s="12">
        <f t="shared" si="50"/>
        <v>0</v>
      </c>
      <c r="W212" s="12">
        <f>IFERROR(MATCH(INDEX(转盘!$C$17:$F$17,1,MATCH($D$13,转盘!$C$16:$F$16,0))*MAX(F212-转盘!$C$6,0),转盘!$L$9:$L$51,1),0)</f>
        <v>10</v>
      </c>
      <c r="X212" s="12">
        <f>IFERROR(MATCH($F212,gift_k_level,0)^0,0)*进度礼包!$C$17*$H212/$D$13</f>
        <v>8869.5184770297546</v>
      </c>
      <c r="Y212" s="12">
        <f>IFERROR(MATCH($F212,turn_k_1,0)^0,0)*转盘!$C$42*$H212/$D$13</f>
        <v>0</v>
      </c>
      <c r="Z212" s="12">
        <f>IFERROR(MATCH($F212,gift_k_level,0)^0,0)*进度礼包!$C$34*$H212/$D$13</f>
        <v>28760.737231450978</v>
      </c>
      <c r="AA212" s="12">
        <f>IFERROR(MATCH($F212,gift_k_time,0)^0,0)*限时礼包!$C$15*$H212/$D$13</f>
        <v>0</v>
      </c>
      <c r="AB212" s="12">
        <f>SUM(H$6:H212)</f>
        <v>416500</v>
      </c>
      <c r="AC212" s="12">
        <f>SUM(N$6:N212)+SUM($M$6:M212)</f>
        <v>848525.70000000054</v>
      </c>
      <c r="AD212" s="12">
        <f>SUM(O$6:O212)</f>
        <v>103378.92224999984</v>
      </c>
      <c r="AE212" s="12">
        <f>SUM($P$6:P212)</f>
        <v>-11304.62225</v>
      </c>
      <c r="AF212" s="12">
        <f>SUM(U$6:U212)</f>
        <v>77712.830188679232</v>
      </c>
      <c r="AG212" s="12">
        <f>SUM(S$6:S212)</f>
        <v>13000</v>
      </c>
      <c r="AH212" s="12">
        <f>SUM(Y$6:Y212)</f>
        <v>673003.4</v>
      </c>
      <c r="AI212" s="12">
        <f>SUM(X$6:X212)</f>
        <v>63150.971556451856</v>
      </c>
      <c r="AJ212" s="12">
        <f>SUM(Z$6:Z212)</f>
        <v>204776.44908793096</v>
      </c>
      <c r="AK212" s="12">
        <f>SUM(AA$6:AA212)</f>
        <v>616629.41316512553</v>
      </c>
      <c r="AL212" s="12">
        <f>F212</f>
        <v>207</v>
      </c>
      <c r="AM212" s="12">
        <f t="shared" si="48"/>
        <v>1115768.4239951314</v>
      </c>
      <c r="AN212" s="12">
        <f>SUM(I$6:I212)</f>
        <v>940600</v>
      </c>
      <c r="AO212" s="8">
        <f>SUM(Q$6:Q212)</f>
        <v>461</v>
      </c>
      <c r="AP212" s="12">
        <f t="shared" si="49"/>
        <v>175168.42399513139</v>
      </c>
      <c r="AS212" s="12">
        <v>206</v>
      </c>
      <c r="AT212" s="12">
        <v>20</v>
      </c>
      <c r="AU212" s="12">
        <f t="shared" si="54"/>
        <v>4130</v>
      </c>
      <c r="AV212" s="12">
        <f t="shared" si="55"/>
        <v>0</v>
      </c>
      <c r="AW212" s="12">
        <f>INDEX($AO$6:$AO$215,MATCH(BC212,$F$6:$F$215,0))</f>
        <v>467</v>
      </c>
      <c r="AX212" s="12">
        <f t="shared" si="56"/>
        <v>1135512.1739951316</v>
      </c>
      <c r="AY212" s="12">
        <f t="shared" si="51"/>
        <v>7650</v>
      </c>
      <c r="AZ212" s="12">
        <f t="shared" si="52"/>
        <v>10740.72380952381</v>
      </c>
      <c r="BA212" s="12">
        <f>AX212+SUM($AY$6:AY212)+SUM($AZ$6:AZ212)</f>
        <v>4847642.821614176</v>
      </c>
      <c r="BB212" s="12">
        <f t="shared" si="57"/>
        <v>956200</v>
      </c>
      <c r="BC212" s="12">
        <f t="shared" si="58"/>
        <v>210</v>
      </c>
      <c r="BD212" s="12">
        <f t="shared" si="59"/>
        <v>0</v>
      </c>
      <c r="BE212" s="12">
        <f t="shared" si="60"/>
        <v>211</v>
      </c>
      <c r="BF212" s="12">
        <f t="shared" si="53"/>
        <v>3891442.821614176</v>
      </c>
    </row>
    <row r="213" spans="6:58" x14ac:dyDescent="0.35">
      <c r="F213" s="12">
        <v>208</v>
      </c>
      <c r="G213" s="8">
        <f>INDEX(验算胜率!$E$6:$I$1005,F213,MATCH($D$16,验算胜率!$E$5:$I$5,0))</f>
        <v>0.5</v>
      </c>
      <c r="H213" s="12">
        <f t="shared" si="46"/>
        <v>2600</v>
      </c>
      <c r="I213" s="12">
        <f t="shared" si="47"/>
        <v>5200</v>
      </c>
      <c r="J213" s="12">
        <v>4</v>
      </c>
      <c r="K213" s="12">
        <v>0</v>
      </c>
      <c r="M213" s="12">
        <f>IF($D$16=验算胜率!$F$5,验算胜率!K213,0)*H213*关卡道具消耗!$D$8/关卡道具消耗!$D$26</f>
        <v>0</v>
      </c>
      <c r="N213" s="12">
        <f>INDEX(关卡奖励!$AH$6:$AH$8,MATCH($D$14,关卡奖励!$W$6:$W$8,0))*H213*IF(G213&lt;0.3,1,2)</f>
        <v>6068.4000000000005</v>
      </c>
      <c r="O213" s="12">
        <f>INDEX(关卡奖励!$AI$9:$AI$11,MATCH($D$14,关卡奖励!$W$9:$W$11,0))*((1/G213)-1)*H213</f>
        <v>512.85</v>
      </c>
      <c r="P213" s="12">
        <f>I213-N213-O213</f>
        <v>-1381.2500000000005</v>
      </c>
      <c r="Q213" s="12">
        <f>1/G213</f>
        <v>2</v>
      </c>
      <c r="R213" s="12">
        <f>IFERROR(INDEX(base_v,MATCH($F213,base_k,1)),0)*离线奖励!$C$12</f>
        <v>7650</v>
      </c>
      <c r="S213" s="12">
        <f>IFERROR(INDEX(关卡进度奖励!$I$7:$I$15,MATCH(F213,关卡进度奖励!$D$7:$D$15,0)),0)</f>
        <v>0</v>
      </c>
      <c r="T213" s="12">
        <f>AVERAGE(签到!$E$7:$E$13)*$H213</f>
        <v>10740.72380952381</v>
      </c>
      <c r="U213" s="12">
        <f>转盘!$C$26*H213*V213/$D$13</f>
        <v>0</v>
      </c>
      <c r="V213" s="12">
        <f t="shared" si="50"/>
        <v>0</v>
      </c>
      <c r="W213" s="12">
        <f>IFERROR(MATCH(INDEX(转盘!$C$17:$F$17,1,MATCH($D$13,转盘!$C$16:$F$16,0))*MAX(F213-转盘!$C$6,0),转盘!$L$9:$L$51,1),0)</f>
        <v>10</v>
      </c>
      <c r="X213" s="12">
        <f>IFERROR(MATCH($F213,gift_k_level,0)^0,0)*进度礼包!$C$17*$H213/$D$13</f>
        <v>0</v>
      </c>
      <c r="Y213" s="12">
        <f>IFERROR(MATCH($F213,turn_k_1,0)^0,0)*转盘!$C$42*$H213/$D$13</f>
        <v>0</v>
      </c>
      <c r="Z213" s="12">
        <f>IFERROR(MATCH($F213,gift_k_level,0)^0,0)*进度礼包!$C$34*$H213/$D$13</f>
        <v>0</v>
      </c>
      <c r="AA213" s="12">
        <f>IFERROR(MATCH($F213,gift_k_time,0)^0,0)*限时礼包!$C$15*$H213/$D$13</f>
        <v>0</v>
      </c>
      <c r="AB213" s="12">
        <f>SUM(H$6:H213)</f>
        <v>419100</v>
      </c>
      <c r="AC213" s="12">
        <f>SUM(N$6:N213)+SUM($M$6:M213)</f>
        <v>854594.10000000056</v>
      </c>
      <c r="AD213" s="12">
        <f>SUM(O$6:O213)</f>
        <v>103891.77224999985</v>
      </c>
      <c r="AE213" s="12">
        <f>SUM($P$6:P213)</f>
        <v>-12685.87225</v>
      </c>
      <c r="AF213" s="12">
        <f>SUM(U$6:U213)</f>
        <v>77712.830188679232</v>
      </c>
      <c r="AG213" s="12">
        <f>SUM(S$6:S213)</f>
        <v>13000</v>
      </c>
      <c r="AH213" s="12">
        <f>SUM(Y$6:Y213)</f>
        <v>673003.4</v>
      </c>
      <c r="AI213" s="12">
        <f>SUM(X$6:X213)</f>
        <v>63150.971556451856</v>
      </c>
      <c r="AJ213" s="12">
        <f>SUM(Z$6:Z213)</f>
        <v>204776.44908793096</v>
      </c>
      <c r="AK213" s="12">
        <f>SUM(AA$6:AA213)</f>
        <v>616629.41316512553</v>
      </c>
      <c r="AL213" s="12">
        <f>F213</f>
        <v>208</v>
      </c>
      <c r="AM213" s="12">
        <f t="shared" si="48"/>
        <v>1122349.6739951314</v>
      </c>
      <c r="AN213" s="12">
        <f>SUM(I$6:I213)</f>
        <v>945800</v>
      </c>
      <c r="AO213" s="8">
        <f>SUM(Q$6:Q213)</f>
        <v>463</v>
      </c>
      <c r="AP213" s="12">
        <f t="shared" si="49"/>
        <v>176549.67399513139</v>
      </c>
      <c r="AS213" s="12">
        <v>207</v>
      </c>
      <c r="AT213" s="12">
        <v>20</v>
      </c>
      <c r="AU213" s="12">
        <f t="shared" si="54"/>
        <v>4150</v>
      </c>
      <c r="AV213" s="12">
        <f t="shared" si="55"/>
        <v>0</v>
      </c>
      <c r="AW213" s="12">
        <f>INDEX($AO$6:$AO$215,MATCH(BC213,$F$6:$F$215,0))</f>
        <v>467</v>
      </c>
      <c r="AX213" s="12">
        <f t="shared" si="56"/>
        <v>1135512.1739951316</v>
      </c>
      <c r="AY213" s="12">
        <f t="shared" si="51"/>
        <v>7650</v>
      </c>
      <c r="AZ213" s="12">
        <f t="shared" si="52"/>
        <v>10740.72380952381</v>
      </c>
      <c r="BA213" s="12">
        <f>AX213+SUM($AY$6:AY213)+SUM($AZ$6:AZ213)</f>
        <v>4866033.5454236995</v>
      </c>
      <c r="BB213" s="12">
        <f t="shared" si="57"/>
        <v>956200</v>
      </c>
      <c r="BC213" s="12">
        <f t="shared" si="58"/>
        <v>210</v>
      </c>
      <c r="BD213" s="12">
        <f t="shared" si="59"/>
        <v>0</v>
      </c>
      <c r="BE213" s="12">
        <f t="shared" si="60"/>
        <v>211</v>
      </c>
      <c r="BF213" s="12">
        <f t="shared" si="53"/>
        <v>3909833.5454236995</v>
      </c>
    </row>
    <row r="214" spans="6:58" x14ac:dyDescent="0.35">
      <c r="F214" s="12">
        <v>209</v>
      </c>
      <c r="G214" s="8">
        <f>INDEX(验算胜率!$E$6:$I$1005,F214,MATCH($D$16,验算胜率!$E$5:$I$5,0))</f>
        <v>0.5</v>
      </c>
      <c r="H214" s="12">
        <f t="shared" si="46"/>
        <v>2600</v>
      </c>
      <c r="I214" s="12">
        <f t="shared" si="47"/>
        <v>5200</v>
      </c>
      <c r="J214" s="12">
        <v>4</v>
      </c>
      <c r="K214" s="12">
        <v>0</v>
      </c>
      <c r="M214" s="12">
        <f>IF($D$16=验算胜率!$F$5,验算胜率!K214,0)*H214*关卡道具消耗!$D$8/关卡道具消耗!$D$26</f>
        <v>0</v>
      </c>
      <c r="N214" s="12">
        <f>INDEX(关卡奖励!$AH$6:$AH$8,MATCH($D$14,关卡奖励!$W$6:$W$8,0))*H214*IF(G214&lt;0.3,1,2)</f>
        <v>6068.4000000000005</v>
      </c>
      <c r="O214" s="12">
        <f>INDEX(关卡奖励!$AI$9:$AI$11,MATCH($D$14,关卡奖励!$W$9:$W$11,0))*((1/G214)-1)*H214</f>
        <v>512.85</v>
      </c>
      <c r="P214" s="12">
        <f>I214-N214-O214</f>
        <v>-1381.2500000000005</v>
      </c>
      <c r="Q214" s="12">
        <f>1/G214</f>
        <v>2</v>
      </c>
      <c r="R214" s="12">
        <f>IFERROR(INDEX(base_v,MATCH($F214,base_k,1)),0)*离线奖励!$C$12</f>
        <v>7650</v>
      </c>
      <c r="S214" s="12">
        <f>IFERROR(INDEX(关卡进度奖励!$I$7:$I$15,MATCH(F214,关卡进度奖励!$D$7:$D$15,0)),0)</f>
        <v>0</v>
      </c>
      <c r="T214" s="12">
        <f>AVERAGE(签到!$E$7:$E$13)*$H214</f>
        <v>10740.72380952381</v>
      </c>
      <c r="U214" s="12">
        <f>转盘!$C$26*H214*V214/$D$13</f>
        <v>0</v>
      </c>
      <c r="V214" s="12">
        <f t="shared" si="50"/>
        <v>0</v>
      </c>
      <c r="W214" s="12">
        <f>IFERROR(MATCH(INDEX(转盘!$C$17:$F$17,1,MATCH($D$13,转盘!$C$16:$F$16,0))*MAX(F214-转盘!$C$6,0),转盘!$L$9:$L$51,1),0)</f>
        <v>10</v>
      </c>
      <c r="X214" s="12">
        <f>IFERROR(MATCH($F214,gift_k_level,0)^0,0)*进度礼包!$C$17*$H214/$D$13</f>
        <v>0</v>
      </c>
      <c r="Y214" s="12">
        <f>IFERROR(MATCH($F214,turn_k_1,0)^0,0)*转盘!$C$42*$H214/$D$13</f>
        <v>0</v>
      </c>
      <c r="Z214" s="12">
        <f>IFERROR(MATCH($F214,gift_k_level,0)^0,0)*进度礼包!$C$34*$H214/$D$13</f>
        <v>0</v>
      </c>
      <c r="AA214" s="12">
        <f>IFERROR(MATCH($F214,gift_k_time,0)^0,0)*限时礼包!$C$15*$H214/$D$13</f>
        <v>0</v>
      </c>
      <c r="AB214" s="12">
        <f>SUM(H$6:H214)</f>
        <v>421700</v>
      </c>
      <c r="AC214" s="12">
        <f>SUM(N$6:N214)+SUM($M$6:M214)</f>
        <v>860662.50000000058</v>
      </c>
      <c r="AD214" s="12">
        <f>SUM(O$6:O214)</f>
        <v>104404.62224999985</v>
      </c>
      <c r="AE214" s="12">
        <f>SUM($P$6:P214)</f>
        <v>-14067.12225</v>
      </c>
      <c r="AF214" s="12">
        <f>SUM(U$6:U214)</f>
        <v>77712.830188679232</v>
      </c>
      <c r="AG214" s="12">
        <f>SUM(S$6:S214)</f>
        <v>13000</v>
      </c>
      <c r="AH214" s="12">
        <f>SUM(Y$6:Y214)</f>
        <v>673003.4</v>
      </c>
      <c r="AI214" s="12">
        <f>SUM(X$6:X214)</f>
        <v>63150.971556451856</v>
      </c>
      <c r="AJ214" s="12">
        <f>SUM(Z$6:Z214)</f>
        <v>204776.44908793096</v>
      </c>
      <c r="AK214" s="12">
        <f>SUM(AA$6:AA214)</f>
        <v>616629.41316512553</v>
      </c>
      <c r="AL214" s="12">
        <f>F214</f>
        <v>209</v>
      </c>
      <c r="AM214" s="12">
        <f t="shared" si="48"/>
        <v>1128930.9239951316</v>
      </c>
      <c r="AN214" s="12">
        <f>SUM(I$6:I214)</f>
        <v>951000</v>
      </c>
      <c r="AO214" s="8">
        <f>SUM(Q$6:Q214)</f>
        <v>465</v>
      </c>
      <c r="AP214" s="12">
        <f t="shared" si="49"/>
        <v>177930.92399513163</v>
      </c>
      <c r="AS214" s="12">
        <v>208</v>
      </c>
      <c r="AT214" s="12">
        <v>20</v>
      </c>
      <c r="AU214" s="12">
        <f t="shared" si="54"/>
        <v>4170</v>
      </c>
      <c r="AV214" s="12">
        <f t="shared" si="55"/>
        <v>0</v>
      </c>
      <c r="AW214" s="12">
        <f>INDEX($AO$6:$AO$215,MATCH(BC214,$F$6:$F$215,0))</f>
        <v>467</v>
      </c>
      <c r="AX214" s="12">
        <f t="shared" si="56"/>
        <v>1135512.1739951316</v>
      </c>
      <c r="AY214" s="12">
        <f t="shared" si="51"/>
        <v>7650</v>
      </c>
      <c r="AZ214" s="12">
        <f t="shared" si="52"/>
        <v>10740.72380952381</v>
      </c>
      <c r="BA214" s="12">
        <f>AX214+SUM($AY$6:AY214)+SUM($AZ$6:AZ214)</f>
        <v>4884424.2692332231</v>
      </c>
      <c r="BB214" s="12">
        <f t="shared" si="57"/>
        <v>956200</v>
      </c>
      <c r="BC214" s="12">
        <f t="shared" si="58"/>
        <v>210</v>
      </c>
      <c r="BD214" s="12">
        <f t="shared" si="59"/>
        <v>0</v>
      </c>
      <c r="BE214" s="12">
        <f t="shared" si="60"/>
        <v>211</v>
      </c>
      <c r="BF214" s="12">
        <f t="shared" si="53"/>
        <v>3928224.2692332231</v>
      </c>
    </row>
    <row r="215" spans="6:58" x14ac:dyDescent="0.35">
      <c r="F215" s="12">
        <v>210</v>
      </c>
      <c r="G215" s="8">
        <f>INDEX(验算胜率!$E$6:$I$1005,F215,MATCH($D$16,验算胜率!$E$5:$I$5,0))</f>
        <v>0.5</v>
      </c>
      <c r="H215" s="12">
        <f t="shared" si="46"/>
        <v>2600</v>
      </c>
      <c r="I215" s="12">
        <f t="shared" si="47"/>
        <v>5200</v>
      </c>
      <c r="J215" s="12">
        <v>4</v>
      </c>
      <c r="K215" s="12">
        <v>0</v>
      </c>
      <c r="M215" s="12">
        <f>IF($D$16=验算胜率!$F$5,验算胜率!K215,0)*H215*关卡道具消耗!$D$8/关卡道具消耗!$D$26</f>
        <v>0</v>
      </c>
      <c r="N215" s="12">
        <f>INDEX(关卡奖励!$AH$6:$AH$8,MATCH($D$14,关卡奖励!$W$6:$W$8,0))*H215*IF(G215&lt;0.3,1,2)</f>
        <v>6068.4000000000005</v>
      </c>
      <c r="O215" s="12">
        <f>INDEX(关卡奖励!$AI$9:$AI$11,MATCH($D$14,关卡奖励!$W$9:$W$11,0))*((1/G215)-1)*H215</f>
        <v>512.85</v>
      </c>
      <c r="P215" s="12">
        <f>I215-N215-O215</f>
        <v>-1381.2500000000005</v>
      </c>
      <c r="Q215" s="12">
        <f>1/G215</f>
        <v>2</v>
      </c>
      <c r="R215" s="12">
        <f>IFERROR(INDEX(base_v,MATCH($F215,base_k,1)),0)*离线奖励!$C$12</f>
        <v>7650</v>
      </c>
      <c r="S215" s="12">
        <f>IFERROR(INDEX(关卡进度奖励!$I$7:$I$15,MATCH(F215,关卡进度奖励!$D$7:$D$15,0)),0)</f>
        <v>0</v>
      </c>
      <c r="T215" s="12">
        <f>AVERAGE(签到!$E$7:$E$13)*$H215</f>
        <v>10740.72380952381</v>
      </c>
      <c r="U215" s="12">
        <f>转盘!$C$26*H215*V215/$D$13</f>
        <v>0</v>
      </c>
      <c r="V215" s="12">
        <f t="shared" si="50"/>
        <v>0</v>
      </c>
      <c r="W215" s="12">
        <f>IFERROR(MATCH(INDEX(转盘!$C$17:$F$17,1,MATCH($D$13,转盘!$C$16:$F$16,0))*MAX(F215-转盘!$C$6,0),转盘!$L$9:$L$51,1),0)</f>
        <v>10</v>
      </c>
      <c r="X215" s="12">
        <f>IFERROR(MATCH($F215,gift_k_level,0)^0,0)*进度礼包!$C$17*$H215/$D$13</f>
        <v>0</v>
      </c>
      <c r="Y215" s="12">
        <f>IFERROR(MATCH($F215,turn_k_1,0)^0,0)*转盘!$C$42*$H215/$D$13</f>
        <v>0</v>
      </c>
      <c r="Z215" s="12">
        <f>IFERROR(MATCH($F215,gift_k_level,0)^0,0)*进度礼包!$C$34*$H215/$D$13</f>
        <v>0</v>
      </c>
      <c r="AA215" s="12">
        <f>IFERROR(MATCH($F215,gift_k_time,0)^0,0)*限时礼包!$C$15*$H215/$D$13</f>
        <v>0</v>
      </c>
      <c r="AB215" s="12">
        <f>SUM(H$6:H215)</f>
        <v>424300</v>
      </c>
      <c r="AC215" s="12">
        <f>SUM(N$6:N215)+SUM($M$6:M215)</f>
        <v>866730.90000000061</v>
      </c>
      <c r="AD215" s="12">
        <f>SUM(O$6:O215)</f>
        <v>104917.47224999986</v>
      </c>
      <c r="AE215" s="12">
        <f>SUM($P$6:P215)</f>
        <v>-15448.37225</v>
      </c>
      <c r="AF215" s="12">
        <f>SUM(U$6:U215)</f>
        <v>77712.830188679232</v>
      </c>
      <c r="AG215" s="12">
        <f>SUM(S$6:S215)</f>
        <v>13000</v>
      </c>
      <c r="AH215" s="12">
        <f>SUM(Y$6:Y215)</f>
        <v>673003.4</v>
      </c>
      <c r="AI215" s="12">
        <f>SUM(X$6:X215)</f>
        <v>63150.971556451856</v>
      </c>
      <c r="AJ215" s="12">
        <f>SUM(Z$6:Z215)</f>
        <v>204776.44908793096</v>
      </c>
      <c r="AK215" s="12">
        <f>SUM(AA$6:AA215)</f>
        <v>616629.41316512553</v>
      </c>
      <c r="AL215" s="12">
        <f>F215</f>
        <v>210</v>
      </c>
      <c r="AM215" s="12">
        <f t="shared" si="48"/>
        <v>1135512.1739951316</v>
      </c>
      <c r="AN215" s="12">
        <f>SUM(I$6:I215)</f>
        <v>956200</v>
      </c>
      <c r="AO215" s="8">
        <f>SUM(Q$6:Q215)</f>
        <v>467</v>
      </c>
      <c r="AP215" s="12">
        <f t="shared" si="49"/>
        <v>179312.17399513163</v>
      </c>
      <c r="AS215" s="12">
        <v>209</v>
      </c>
      <c r="AT215" s="12">
        <v>20</v>
      </c>
      <c r="AU215" s="12">
        <f t="shared" si="54"/>
        <v>4190</v>
      </c>
      <c r="AV215" s="12">
        <f t="shared" si="55"/>
        <v>0</v>
      </c>
      <c r="AW215" s="12">
        <f>INDEX($AO$6:$AO$215,MATCH(BC215,$F$6:$F$215,0))</f>
        <v>467</v>
      </c>
      <c r="AX215" s="12">
        <f t="shared" si="56"/>
        <v>1135512.1739951316</v>
      </c>
      <c r="AY215" s="12">
        <f t="shared" si="51"/>
        <v>7650</v>
      </c>
      <c r="AZ215" s="12">
        <f t="shared" si="52"/>
        <v>10740.72380952381</v>
      </c>
      <c r="BA215" s="12">
        <f>AX215+SUM($AY$6:AY215)+SUM($AZ$6:AZ215)</f>
        <v>4902814.9930427475</v>
      </c>
      <c r="BB215" s="12">
        <f t="shared" si="57"/>
        <v>956200</v>
      </c>
      <c r="BC215" s="12">
        <f t="shared" si="58"/>
        <v>210</v>
      </c>
      <c r="BD215" s="12">
        <f t="shared" si="59"/>
        <v>0</v>
      </c>
      <c r="BE215" s="12">
        <f t="shared" si="60"/>
        <v>211</v>
      </c>
      <c r="BF215" s="12">
        <f t="shared" si="53"/>
        <v>3946614.9930427475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7B327E-46F7-4F96-A90B-E6BAFA81A978}">
          <x14:formula1>
            <xm:f>关卡奖励!$W$6:$W$8</xm:f>
          </x14:formula1>
          <xm:sqref>D14:D15</xm:sqref>
        </x14:dataValidation>
        <x14:dataValidation type="list" allowBlank="1" showInputMessage="1" showErrorMessage="1" xr:uid="{27C1609B-9B77-4D42-9C6E-6D91EA960C40}">
          <x14:formula1>
            <xm:f>验算胜率!$E$5:$I$5</xm:f>
          </x14:formula1>
          <xm:sqref>D16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14</vt:i4>
      </vt:variant>
    </vt:vector>
  </HeadingPairs>
  <TitlesOfParts>
    <vt:vector size="33" baseType="lpstr">
      <vt:lpstr>离线奖励</vt:lpstr>
      <vt:lpstr>关卡消耗</vt:lpstr>
      <vt:lpstr>关卡道具消耗</vt:lpstr>
      <vt:lpstr>关卡奖励</vt:lpstr>
      <vt:lpstr>道具定价</vt:lpstr>
      <vt:lpstr>道具资源</vt:lpstr>
      <vt:lpstr>道具图标</vt:lpstr>
      <vt:lpstr>初始资源</vt:lpstr>
      <vt:lpstr>功能开启</vt:lpstr>
      <vt:lpstr>功能开启Test</vt:lpstr>
      <vt:lpstr>关卡进度奖励</vt:lpstr>
      <vt:lpstr>签到</vt:lpstr>
      <vt:lpstr>商城</vt:lpstr>
      <vt:lpstr>转盘</vt:lpstr>
      <vt:lpstr>进度礼包</vt:lpstr>
      <vt:lpstr>限时礼包</vt:lpstr>
      <vt:lpstr>内购</vt:lpstr>
      <vt:lpstr>验算胜率</vt:lpstr>
      <vt:lpstr>产销</vt:lpstr>
      <vt:lpstr>base_k</vt:lpstr>
      <vt:lpstr>base_v</vt:lpstr>
      <vt:lpstr>gift_k_level</vt:lpstr>
      <vt:lpstr>gift_k_time</vt:lpstr>
      <vt:lpstr>gift_v_level</vt:lpstr>
      <vt:lpstr>item_cost_mf</vt:lpstr>
      <vt:lpstr>item_id</vt:lpstr>
      <vt:lpstr>item_name</vt:lpstr>
      <vt:lpstr>leve_cost_k</vt:lpstr>
      <vt:lpstr>leve_cost_v</vt:lpstr>
      <vt:lpstr>turn_k_1</vt:lpstr>
      <vt:lpstr>turn_k_2</vt:lpstr>
      <vt:lpstr>turn_k_4</vt:lpstr>
      <vt:lpstr>turn_v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Fisker</dc:creator>
  <cp:lastModifiedBy>Fisker</cp:lastModifiedBy>
  <dcterms:created xsi:type="dcterms:W3CDTF">2023-02-24T02:32:24Z</dcterms:created>
  <dcterms:modified xsi:type="dcterms:W3CDTF">2023-04-12T06:10:15Z</dcterms:modified>
</cp:coreProperties>
</file>