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02CB7A-2FB1-4506-850F-50255D37411A}" xr6:coauthVersionLast="47" xr6:coauthVersionMax="47" xr10:uidLastSave="{00000000-0000-0000-0000-000000000000}"/>
  <bookViews>
    <workbookView xWindow="-108" yWindow="-108" windowWidth="23256" windowHeight="13896" xr2:uid="{86F628C3-CDAC-4037-9091-56B8CC15814A}"/>
  </bookViews>
  <sheets>
    <sheet name="成本分析表" sheetId="13" r:id="rId1"/>
    <sheet name="報價單" sheetId="14" r:id="rId2"/>
    <sheet name="工程預算書" sheetId="16" r:id="rId3"/>
  </sheets>
  <externalReferences>
    <externalReference r:id="rId4"/>
  </externalReferences>
  <definedNames>
    <definedName name="_1_2" localSheetId="2">#REF!</definedName>
    <definedName name="_1_2" localSheetId="0">#REF!</definedName>
    <definedName name="_1_2" localSheetId="1">#REF!</definedName>
    <definedName name="_1_2">#REF!</definedName>
    <definedName name="_1000V_XLPE" localSheetId="2">#REF!</definedName>
    <definedName name="_1000V_XLPE" localSheetId="1">#REF!</definedName>
    <definedName name="_1000V_XLPE">#REF!</definedName>
    <definedName name="_25kV_XLPE" localSheetId="1">#REF!</definedName>
    <definedName name="_25kV_XLPE">#REF!</definedName>
    <definedName name="_600_XLPE">#REF!</definedName>
    <definedName name="_600V_XLPE">#REF!</definedName>
    <definedName name="C型鋼">[1]!C型鋼規格表[[#All],[規格]]</definedName>
    <definedName name="EMT管">#REF!</definedName>
    <definedName name="_xlnm.Print_Area" localSheetId="2">工程預算書!$A$1:$G$134</definedName>
    <definedName name="_xlnm.Print_Area" localSheetId="0">成本分析表!$A$1:$N$44</definedName>
    <definedName name="_xlnm.Print_Area" localSheetId="1">報價單!$A$1:$G$59</definedName>
    <definedName name="_xlnm.Print_Titles" localSheetId="2">工程預算書!$1:$6</definedName>
    <definedName name="PV_Cable" localSheetId="2">#REF!</definedName>
    <definedName name="PV_Cable" localSheetId="0">#REF!</definedName>
    <definedName name="PV_Cable" localSheetId="1">#REF!</definedName>
    <definedName name="PV_Cable">#REF!</definedName>
    <definedName name="PVC_Cable" localSheetId="2">#REF!</definedName>
    <definedName name="PVC_Cable" localSheetId="1">#REF!</definedName>
    <definedName name="PVC_Cable">#REF!</definedName>
    <definedName name="PVC管" localSheetId="2">#REF!</definedName>
    <definedName name="PVC管" localSheetId="1">#REF!</definedName>
    <definedName name="PVC管">#REF!</definedName>
    <definedName name="RH型鋼">[1]!RH型鋼規格表[[#All],[欄2]]</definedName>
    <definedName name="RSG管">#REF!</definedName>
    <definedName name="不等邊方型鋼">[1]!不等邊方型鋼規格表[[#All],[規格]]</definedName>
    <definedName name="不鏽鋼管">#REF!</definedName>
    <definedName name="加工類">[1]!物料分類表[加工類]</definedName>
    <definedName name="交通類">[1]!物料分類表[交通類]</definedName>
    <definedName name="我">#REF!</definedName>
    <definedName name="尚未分類">[1]!物料分類表[尚未分類]</definedName>
    <definedName name="板材">[1]!板材規格表[[#All],[規格]]</definedName>
    <definedName name="表面處理">[1]!表面處理規格表[[#All],[規格]]</definedName>
    <definedName name="金屬材料類">[1]!物料分類表[金屬材料類]</definedName>
    <definedName name="堆高機">#REF!</definedName>
    <definedName name="密閉式線槽">#REF!</definedName>
    <definedName name="清洗管路">#REF!</definedName>
    <definedName name="球塞閥">#REF!</definedName>
    <definedName name="等邊方型鋼">[1]!等邊方型鋼規格表[[#All],[規格]]</definedName>
    <definedName name="等邊角鐵">[1]!等邊角鐵規格表[規格]</definedName>
    <definedName name="開放式線架">#REF!</definedName>
    <definedName name="電工材料類">[1]!物料分類表[電工材料類]</definedName>
    <definedName name="緊固件類">[1]!物料分類表[緊固件類]</definedName>
    <definedName name="鋼構鋼材類">[1]!物料分類表[鋼構鋼材類]</definedName>
    <definedName name="雜配件類">[1]!物料分類表[雜配件類]</definedName>
    <definedName name="變流器">#REF!</definedName>
    <definedName name="變流器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4" l="1"/>
  <c r="K9" i="14"/>
  <c r="K10" i="14"/>
  <c r="K11" i="14"/>
  <c r="K12" i="14"/>
  <c r="K14" i="14"/>
  <c r="K16" i="14"/>
  <c r="K17" i="14"/>
  <c r="K18" i="14"/>
  <c r="K21" i="14"/>
  <c r="K22" i="14"/>
  <c r="K23" i="14"/>
  <c r="K24" i="14"/>
  <c r="K33" i="14"/>
  <c r="K34" i="14"/>
  <c r="K36" i="14"/>
  <c r="K37" i="14"/>
  <c r="K38" i="14"/>
  <c r="K39" i="14"/>
  <c r="K41" i="14"/>
  <c r="K42" i="14"/>
  <c r="K43" i="14"/>
  <c r="K46" i="14"/>
  <c r="K47" i="14"/>
  <c r="F77" i="16"/>
  <c r="F65" i="16"/>
  <c r="F101" i="16" l="1"/>
  <c r="G4" i="16"/>
  <c r="B5" i="16"/>
  <c r="B3" i="16"/>
  <c r="B4" i="16"/>
  <c r="B2" i="16"/>
  <c r="F8" i="13"/>
  <c r="F6" i="13"/>
  <c r="C119" i="16"/>
  <c r="D109" i="16"/>
  <c r="F109" i="16" s="1"/>
  <c r="F103" i="16"/>
  <c r="F99" i="16"/>
  <c r="F98" i="16"/>
  <c r="F93" i="16"/>
  <c r="F91" i="16"/>
  <c r="F90" i="16"/>
  <c r="F82" i="16"/>
  <c r="F81" i="16"/>
  <c r="F80" i="16"/>
  <c r="F78" i="16"/>
  <c r="E55" i="16"/>
  <c r="F55" i="16" s="1"/>
  <c r="F49" i="16"/>
  <c r="F48" i="16"/>
  <c r="F43" i="16"/>
  <c r="F42" i="16"/>
  <c r="F40" i="16"/>
  <c r="F34" i="16"/>
  <c r="F32" i="16"/>
  <c r="D31" i="16"/>
  <c r="F31" i="16" s="1"/>
  <c r="F23" i="16"/>
  <c r="F22" i="16"/>
  <c r="D21" i="16"/>
  <c r="F21" i="16" s="1"/>
  <c r="F20" i="16"/>
  <c r="F19" i="16"/>
  <c r="D17" i="16"/>
  <c r="F17" i="16" s="1"/>
  <c r="C16" i="16"/>
  <c r="D15" i="16"/>
  <c r="D16" i="16" s="1"/>
  <c r="F16" i="16" s="1"/>
  <c r="F14" i="16"/>
  <c r="D11" i="16"/>
  <c r="F11" i="16" s="1"/>
  <c r="D10" i="16"/>
  <c r="F9" i="16"/>
  <c r="D45" i="14"/>
  <c r="D48" i="14" s="1"/>
  <c r="F5" i="13" s="1"/>
  <c r="D41" i="14"/>
  <c r="F41" i="14" s="1"/>
  <c r="D36" i="14"/>
  <c r="F36" i="14" s="1"/>
  <c r="D32" i="14"/>
  <c r="F32" i="14" s="1"/>
  <c r="D29" i="14"/>
  <c r="F29" i="14" s="1"/>
  <c r="D26" i="14"/>
  <c r="F26" i="14" s="1"/>
  <c r="D21" i="14"/>
  <c r="F21" i="14" s="1"/>
  <c r="D16" i="14"/>
  <c r="F16" i="14" s="1"/>
  <c r="C16" i="14"/>
  <c r="C21" i="14" s="1"/>
  <c r="C32" i="14" s="1"/>
  <c r="C36" i="14" s="1"/>
  <c r="C41" i="14" s="1"/>
  <c r="D8" i="14"/>
  <c r="F8" i="14" s="1"/>
  <c r="B24" i="13"/>
  <c r="B19" i="13"/>
  <c r="B6" i="13"/>
  <c r="B5" i="13"/>
  <c r="B4" i="13"/>
  <c r="F51" i="16" l="1"/>
  <c r="F10" i="16"/>
  <c r="D12" i="16"/>
  <c r="D62" i="16"/>
  <c r="F62" i="16" s="1"/>
  <c r="D68" i="16"/>
  <c r="F68" i="16" s="1"/>
  <c r="F84" i="16" s="1"/>
  <c r="G84" i="16" s="1"/>
  <c r="I31" i="14" s="1"/>
  <c r="K31" i="14" s="1"/>
  <c r="G51" i="16"/>
  <c r="I25" i="14" s="1"/>
  <c r="K25" i="14" s="1"/>
  <c r="F46" i="16"/>
  <c r="L16" i="13" s="1"/>
  <c r="M16" i="13" s="1"/>
  <c r="D39" i="16"/>
  <c r="F39" i="16" s="1"/>
  <c r="L14" i="13" s="1"/>
  <c r="M14" i="13" s="1"/>
  <c r="D54" i="16"/>
  <c r="D24" i="16"/>
  <c r="F24" i="16" s="1"/>
  <c r="D89" i="16"/>
  <c r="F89" i="16" s="1"/>
  <c r="D108" i="16"/>
  <c r="F108" i="16" s="1"/>
  <c r="F111" i="16" s="1"/>
  <c r="G111" i="16" s="1"/>
  <c r="D25" i="16"/>
  <c r="F25" i="16" s="1"/>
  <c r="B20" i="13"/>
  <c r="B25" i="13"/>
  <c r="B26" i="13"/>
  <c r="F15" i="16"/>
  <c r="D87" i="16"/>
  <c r="F87" i="16" s="1"/>
  <c r="D92" i="16"/>
  <c r="F92" i="16" s="1"/>
  <c r="Q20" i="13" s="1"/>
  <c r="D100" i="16"/>
  <c r="F100" i="16" s="1"/>
  <c r="D26" i="16"/>
  <c r="F26" i="16" s="1"/>
  <c r="D33" i="16"/>
  <c r="F33" i="16" s="1"/>
  <c r="F36" i="16" s="1"/>
  <c r="L13" i="13" s="1"/>
  <c r="D56" i="16"/>
  <c r="F56" i="16" s="1"/>
  <c r="F58" i="16" s="1"/>
  <c r="D41" i="16"/>
  <c r="F41" i="16" s="1"/>
  <c r="L15" i="13" s="1"/>
  <c r="M15" i="13" s="1"/>
  <c r="D88" i="16"/>
  <c r="F88" i="16" s="1"/>
  <c r="D102" i="16"/>
  <c r="F102" i="16" s="1"/>
  <c r="E18" i="13"/>
  <c r="M13" i="13"/>
  <c r="F45" i="14"/>
  <c r="F48" i="14" s="1"/>
  <c r="Q19" i="13" l="1"/>
  <c r="L20" i="13"/>
  <c r="M20" i="13" s="1"/>
  <c r="L19" i="13"/>
  <c r="M19" i="13" s="1"/>
  <c r="F59" i="16"/>
  <c r="L18" i="13" s="1"/>
  <c r="M18" i="13" s="1"/>
  <c r="F106" i="16"/>
  <c r="L22" i="13" s="1"/>
  <c r="M22" i="13" s="1"/>
  <c r="F45" i="16"/>
  <c r="G45" i="16" s="1"/>
  <c r="I20" i="14" s="1"/>
  <c r="K20" i="14" s="1"/>
  <c r="F95" i="16"/>
  <c r="G95" i="16" s="1"/>
  <c r="I35" i="14" s="1"/>
  <c r="K35" i="14" s="1"/>
  <c r="F105" i="16"/>
  <c r="F96" i="16" s="1"/>
  <c r="L21" i="13" s="1"/>
  <c r="G58" i="16"/>
  <c r="I28" i="14" s="1"/>
  <c r="K28" i="14" s="1"/>
  <c r="F52" i="16"/>
  <c r="L17" i="13" s="1"/>
  <c r="M17" i="13" s="1"/>
  <c r="G36" i="16"/>
  <c r="I15" i="14" s="1"/>
  <c r="K15" i="14" s="1"/>
  <c r="F29" i="16"/>
  <c r="D13" i="16"/>
  <c r="F12" i="16"/>
  <c r="F49" i="14"/>
  <c r="F50" i="14" s="1"/>
  <c r="E48" i="14"/>
  <c r="E10" i="13"/>
  <c r="L31" i="13"/>
  <c r="E17" i="13" l="1"/>
  <c r="F17" i="13" s="1"/>
  <c r="M21" i="13"/>
  <c r="G105" i="16"/>
  <c r="I40" i="14" s="1"/>
  <c r="K40" i="14" s="1"/>
  <c r="F13" i="16"/>
  <c r="L11" i="13" s="1"/>
  <c r="D18" i="16"/>
  <c r="F18" i="16" s="1"/>
  <c r="L12" i="13" s="1"/>
  <c r="B7" i="13"/>
  <c r="E13" i="13"/>
  <c r="F10" i="13"/>
  <c r="M10" i="13" s="1"/>
  <c r="M31" i="13"/>
  <c r="F28" i="16" l="1"/>
  <c r="F112" i="16" s="1"/>
  <c r="M11" i="13"/>
  <c r="E15" i="13"/>
  <c r="E16" i="13"/>
  <c r="F16" i="13" s="1"/>
  <c r="M12" i="13"/>
  <c r="F13" i="13"/>
  <c r="E27" i="13"/>
  <c r="G13" i="13"/>
  <c r="L10" i="13"/>
  <c r="E32" i="13"/>
  <c r="G15" i="13"/>
  <c r="G17" i="13"/>
  <c r="G18" i="13"/>
  <c r="G28" i="16" l="1"/>
  <c r="I7" i="14" s="1"/>
  <c r="G16" i="13"/>
  <c r="F15" i="13"/>
  <c r="E118" i="16"/>
  <c r="F118" i="16" s="1"/>
  <c r="E116" i="16"/>
  <c r="F116" i="16" s="1"/>
  <c r="L27" i="13" s="1"/>
  <c r="E117" i="16"/>
  <c r="F117" i="16" s="1"/>
  <c r="L28" i="13" s="1"/>
  <c r="N28" i="13" s="1"/>
  <c r="E115" i="16"/>
  <c r="F115" i="16" s="1"/>
  <c r="E119" i="16"/>
  <c r="F119" i="16" s="1"/>
  <c r="L23" i="13" s="1"/>
  <c r="L29" i="13"/>
  <c r="F27" i="13"/>
  <c r="N16" i="13"/>
  <c r="N13" i="13"/>
  <c r="N11" i="13"/>
  <c r="N12" i="13"/>
  <c r="N18" i="13"/>
  <c r="N22" i="13"/>
  <c r="N15" i="13"/>
  <c r="N14" i="13"/>
  <c r="N21" i="13"/>
  <c r="N20" i="13"/>
  <c r="N17" i="13"/>
  <c r="N19" i="13"/>
  <c r="N31" i="13"/>
  <c r="L32" i="13"/>
  <c r="G32" i="13"/>
  <c r="K7" i="14" l="1"/>
  <c r="E19" i="13"/>
  <c r="M23" i="13"/>
  <c r="E25" i="13"/>
  <c r="M27" i="13"/>
  <c r="N27" i="13"/>
  <c r="G115" i="16"/>
  <c r="L26" i="13"/>
  <c r="L30" i="13" s="1"/>
  <c r="N23" i="13"/>
  <c r="E26" i="13"/>
  <c r="M28" i="13"/>
  <c r="G118" i="16"/>
  <c r="I44" i="14" s="1"/>
  <c r="K44" i="14" s="1"/>
  <c r="L24" i="13"/>
  <c r="F121" i="16"/>
  <c r="M32" i="13"/>
  <c r="N32" i="13"/>
  <c r="N29" i="13"/>
  <c r="M29" i="13"/>
  <c r="I48" i="14" l="1"/>
  <c r="K48" i="14"/>
  <c r="M26" i="13"/>
  <c r="E20" i="13"/>
  <c r="N26" i="13"/>
  <c r="M30" i="13"/>
  <c r="N30" i="13"/>
  <c r="M24" i="13"/>
  <c r="E24" i="13"/>
  <c r="N24" i="13"/>
  <c r="N25" i="13" s="1"/>
  <c r="F25" i="13"/>
  <c r="G25" i="13"/>
  <c r="L25" i="13"/>
  <c r="F26" i="13"/>
  <c r="G26" i="13"/>
  <c r="M25" i="13"/>
  <c r="F19" i="13"/>
  <c r="G19" i="13"/>
  <c r="G121" i="16"/>
  <c r="F123" i="16"/>
  <c r="F24" i="13" l="1"/>
  <c r="G24" i="13"/>
  <c r="E30" i="13"/>
  <c r="F20" i="13"/>
  <c r="G20" i="13"/>
  <c r="E22" i="13"/>
  <c r="F125" i="16"/>
  <c r="F124" i="16"/>
  <c r="F22" i="13" l="1"/>
  <c r="E23" i="13"/>
  <c r="G22" i="13"/>
  <c r="E31" i="13"/>
  <c r="G30" i="13"/>
  <c r="F30" i="13"/>
  <c r="G31" i="13" l="1"/>
  <c r="F31" i="13"/>
  <c r="E33" i="13"/>
  <c r="F23" i="13"/>
  <c r="G23" i="13"/>
  <c r="G33" i="13" l="1"/>
  <c r="L33" i="13"/>
  <c r="L34" i="13" l="1"/>
  <c r="L35" i="13" s="1"/>
  <c r="N33" i="13"/>
  <c r="N34" i="13" s="1"/>
  <c r="N35" i="13" s="1"/>
  <c r="M33" i="13"/>
  <c r="M34" i="13" s="1"/>
  <c r="M35" i="13" s="1"/>
</calcChain>
</file>

<file path=xl/sharedStrings.xml><?xml version="1.0" encoding="utf-8"?>
<sst xmlns="http://schemas.openxmlformats.org/spreadsheetml/2006/main" count="450" uniqueCount="306">
  <si>
    <t>REV：</t>
    <phoneticPr fontId="6" type="noConversion"/>
  </si>
  <si>
    <t>V1.0</t>
    <phoneticPr fontId="6" type="noConversion"/>
  </si>
  <si>
    <t>製表日期：</t>
    <phoneticPr fontId="6" type="noConversion"/>
  </si>
  <si>
    <t>項次</t>
  </si>
  <si>
    <t xml:space="preserve">內   容   及   說   明 </t>
  </si>
  <si>
    <t>單位</t>
  </si>
  <si>
    <t>數 量</t>
  </si>
  <si>
    <t>單  價</t>
  </si>
  <si>
    <t>總   價</t>
  </si>
  <si>
    <t>備    註</t>
  </si>
  <si>
    <t>壹</t>
    <phoneticPr fontId="6" type="noConversion"/>
  </si>
  <si>
    <t>RH型鋼材料費用</t>
    <phoneticPr fontId="6" type="noConversion"/>
  </si>
  <si>
    <t>kg</t>
    <phoneticPr fontId="7" type="noConversion"/>
  </si>
  <si>
    <t>接合及連接板</t>
    <phoneticPr fontId="6" type="noConversion"/>
  </si>
  <si>
    <t>RH型鋼二次加工費</t>
    <phoneticPr fontId="6" type="noConversion"/>
  </si>
  <si>
    <t>RH型鋼鍍鋅費用</t>
    <phoneticPr fontId="6" type="noConversion"/>
  </si>
  <si>
    <t>組</t>
    <phoneticPr fontId="7" type="noConversion"/>
  </si>
  <si>
    <t>鋼構運輸費用</t>
    <phoneticPr fontId="6" type="noConversion"/>
  </si>
  <si>
    <t>鋼柱無收縮水泥</t>
    <phoneticPr fontId="6" type="noConversion"/>
  </si>
  <si>
    <t>座</t>
    <phoneticPr fontId="7" type="noConversion"/>
  </si>
  <si>
    <t>鋼構組立</t>
    <phoneticPr fontId="6" type="noConversion"/>
  </si>
  <si>
    <t>kWp</t>
  </si>
  <si>
    <t>機具費</t>
  </si>
  <si>
    <t>小計</t>
    <phoneticPr fontId="6" type="noConversion"/>
  </si>
  <si>
    <t>kWp</t>
    <phoneticPr fontId="6" type="noConversion"/>
  </si>
  <si>
    <t>參</t>
    <phoneticPr fontId="6" type="noConversion"/>
  </si>
  <si>
    <t>小計</t>
    <phoneticPr fontId="7" type="noConversion"/>
  </si>
  <si>
    <t>肆</t>
    <phoneticPr fontId="6" type="noConversion"/>
  </si>
  <si>
    <t>式</t>
    <phoneticPr fontId="7" type="noConversion"/>
  </si>
  <si>
    <t>伍</t>
    <phoneticPr fontId="6" type="noConversion"/>
  </si>
  <si>
    <t>陸</t>
    <phoneticPr fontId="6" type="noConversion"/>
  </si>
  <si>
    <t>清運費</t>
    <phoneticPr fontId="6" type="noConversion"/>
  </si>
  <si>
    <t>工程保險0.8%</t>
    <phoneticPr fontId="6" type="noConversion"/>
  </si>
  <si>
    <t>工程保固1%</t>
    <phoneticPr fontId="6" type="noConversion"/>
  </si>
  <si>
    <t>總計(未稅)</t>
  </si>
  <si>
    <t>總價/kWp</t>
    <phoneticPr fontId="6" type="noConversion"/>
  </si>
  <si>
    <t>總計(含稅)</t>
  </si>
  <si>
    <t>製表：</t>
    <phoneticPr fontId="6" type="noConversion"/>
  </si>
  <si>
    <t>會簽財務單位
(售前免簽)：</t>
    <phoneticPr fontId="6" type="noConversion"/>
  </si>
  <si>
    <t>柒</t>
    <phoneticPr fontId="6" type="noConversion"/>
  </si>
  <si>
    <t>基礎螺絲</t>
    <phoneticPr fontId="6" type="noConversion"/>
  </si>
  <si>
    <t>植筋膠</t>
    <phoneticPr fontId="6" type="noConversion"/>
  </si>
  <si>
    <t>kg</t>
  </si>
  <si>
    <t>場鑄獨立基礎-含工帶料</t>
    <phoneticPr fontId="6" type="noConversion"/>
  </si>
  <si>
    <t>座</t>
    <phoneticPr fontId="6" type="noConversion"/>
  </si>
  <si>
    <t>小計</t>
  </si>
  <si>
    <t>e-mail</t>
  </si>
  <si>
    <t>sales.nextgenenergy@gmail.com</t>
    <phoneticPr fontId="7" type="noConversion"/>
  </si>
  <si>
    <t>預算</t>
    <phoneticPr fontId="7" type="noConversion"/>
  </si>
  <si>
    <t>報價</t>
    <phoneticPr fontId="7" type="noConversion"/>
  </si>
  <si>
    <t>C型鋼</t>
    <phoneticPr fontId="6" type="noConversion"/>
  </si>
  <si>
    <t>鋼構運輸</t>
    <phoneticPr fontId="6" type="noConversion"/>
  </si>
  <si>
    <t>含無收縮水泥、基礎螺絲、植筋膠</t>
    <phoneticPr fontId="7" type="noConversion"/>
  </si>
  <si>
    <t>總      計(未稅)</t>
    <phoneticPr fontId="7" type="noConversion"/>
  </si>
  <si>
    <t>稅      額( 5% )</t>
    <phoneticPr fontId="7" type="noConversion"/>
  </si>
  <si>
    <t>備註</t>
    <phoneticPr fontId="7" type="noConversion"/>
  </si>
  <si>
    <t>本工程連工帶料，依業主設計規範施工。</t>
  </si>
  <si>
    <t>日期 :</t>
  </si>
  <si>
    <t>專案成本分析表</t>
    <phoneticPr fontId="6" type="noConversion"/>
  </si>
  <si>
    <t>專案名稱：</t>
    <phoneticPr fontId="6" type="noConversion"/>
  </si>
  <si>
    <t>工程區域：</t>
    <phoneticPr fontId="6" type="noConversion"/>
  </si>
  <si>
    <t>客戶名稱：</t>
    <phoneticPr fontId="6" type="noConversion"/>
  </si>
  <si>
    <t>合約總價：</t>
    <phoneticPr fontId="6" type="noConversion"/>
  </si>
  <si>
    <t>未稅</t>
    <phoneticPr fontId="6" type="noConversion"/>
  </si>
  <si>
    <t>日期：</t>
    <phoneticPr fontId="6" type="noConversion"/>
  </si>
  <si>
    <t>分項</t>
    <phoneticPr fontId="6" type="noConversion"/>
  </si>
  <si>
    <t>項目</t>
    <phoneticPr fontId="6" type="noConversion"/>
  </si>
  <si>
    <t>費用</t>
    <phoneticPr fontId="6" type="noConversion"/>
  </si>
  <si>
    <t>收入--(A)
(預估報價)</t>
    <phoneticPr fontId="6" type="noConversion"/>
  </si>
  <si>
    <t>(A)收入總計</t>
    <phoneticPr fontId="6" type="noConversion"/>
  </si>
  <si>
    <t>營業淨利</t>
    <phoneticPr fontId="6" type="noConversion"/>
  </si>
  <si>
    <t>(H)營業淨利=(F)-(G)</t>
    <phoneticPr fontId="6" type="noConversion"/>
  </si>
  <si>
    <t>營所稅(I)</t>
    <phoneticPr fontId="6" type="noConversion"/>
  </si>
  <si>
    <t>稅後淨利率</t>
    <phoneticPr fontId="6" type="noConversion"/>
  </si>
  <si>
    <t>(J)稅後淨利=(H)-(I)</t>
    <phoneticPr fontId="6" type="noConversion"/>
  </si>
  <si>
    <t>註1：依實際收入及成本項目填入</t>
    <phoneticPr fontId="6" type="noConversion"/>
  </si>
  <si>
    <t>註2：各專案工、費金額以前一年度工費%為估列基礎</t>
    <phoneticPr fontId="6" type="noConversion"/>
  </si>
  <si>
    <t>業務主管：</t>
    <phoneticPr fontId="6" type="noConversion"/>
  </si>
  <si>
    <t>總經理：</t>
    <phoneticPr fontId="6" type="noConversion"/>
  </si>
  <si>
    <t>財務單位：</t>
    <phoneticPr fontId="6" type="noConversion"/>
  </si>
  <si>
    <t>分攤費用基礎:</t>
    <phoneticPr fontId="6" type="noConversion"/>
  </si>
  <si>
    <t>1.共同費用：保險費(含人員及車輛)、車輛折舊及保養維修及加油、租金(含廠房、車輛及影印機等)、退休金</t>
    <phoneticPr fontId="6" type="noConversion"/>
  </si>
  <si>
    <t>2.專案費用：旅費、運費、技師勞務費等</t>
    <phoneticPr fontId="6" type="noConversion"/>
  </si>
  <si>
    <t>鋼構組立工資</t>
    <phoneticPr fontId="7" type="noConversion"/>
  </si>
  <si>
    <t>含機具</t>
    <phoneticPr fontId="6" type="noConversion"/>
  </si>
  <si>
    <t>鋼構螺絲</t>
    <phoneticPr fontId="7" type="noConversion"/>
  </si>
  <si>
    <t>工程保險</t>
    <phoneticPr fontId="6" type="noConversion"/>
  </si>
  <si>
    <t>高張力螺絲(M16*60L)</t>
    <phoneticPr fontId="6" type="noConversion"/>
  </si>
  <si>
    <t>C型鋼魚尾螺絲(M12*25L)</t>
    <phoneticPr fontId="6" type="noConversion"/>
  </si>
  <si>
    <t>C型鋼鍍鋅費用</t>
    <phoneticPr fontId="6" type="noConversion"/>
  </si>
  <si>
    <t>坪</t>
    <phoneticPr fontId="6" type="noConversion"/>
  </si>
  <si>
    <t>呎</t>
    <phoneticPr fontId="6" type="noConversion"/>
  </si>
  <si>
    <t>貳</t>
    <phoneticPr fontId="6" type="noConversion"/>
  </si>
  <si>
    <t>只</t>
    <phoneticPr fontId="7" type="noConversion"/>
  </si>
  <si>
    <t>鋁支架材料費(含中壓.側壓.小五金)</t>
    <phoneticPr fontId="6" type="noConversion"/>
  </si>
  <si>
    <t>式</t>
    <phoneticPr fontId="6" type="noConversion"/>
  </si>
  <si>
    <t>安全母索立柱(角鐵)+繩</t>
    <phoneticPr fontId="6" type="noConversion"/>
  </si>
  <si>
    <t>維修步道(角鐵鋼材料+菱形擴張網+母索)</t>
    <phoneticPr fontId="6" type="noConversion"/>
  </si>
  <si>
    <t>爬梯</t>
    <phoneticPr fontId="6" type="noConversion"/>
  </si>
  <si>
    <t>爬梯安裝吊車</t>
    <phoneticPr fontId="6" type="noConversion"/>
  </si>
  <si>
    <t>含工帶料</t>
    <phoneticPr fontId="6" type="noConversion"/>
  </si>
  <si>
    <t>安全設施</t>
    <phoneticPr fontId="6" type="noConversion"/>
  </si>
  <si>
    <t>含機具、吊掛</t>
    <phoneticPr fontId="6" type="noConversion"/>
  </si>
  <si>
    <t>工程管理</t>
    <phoneticPr fontId="6" type="noConversion"/>
  </si>
  <si>
    <t>支</t>
    <phoneticPr fontId="6" type="noConversion"/>
  </si>
  <si>
    <t>H型鋼</t>
    <phoneticPr fontId="6" type="noConversion"/>
  </si>
  <si>
    <t>單晶矽太陽能模組</t>
    <phoneticPr fontId="6" type="noConversion"/>
  </si>
  <si>
    <t>片</t>
    <phoneticPr fontId="6" type="noConversion"/>
  </si>
  <si>
    <t>逆變器</t>
    <phoneticPr fontId="6" type="noConversion"/>
  </si>
  <si>
    <t>運輸費用</t>
    <phoneticPr fontId="6" type="noConversion"/>
  </si>
  <si>
    <t>吊運費</t>
    <phoneticPr fontId="7" type="noConversion"/>
  </si>
  <si>
    <t>開挖埋管</t>
    <phoneticPr fontId="6" type="noConversion"/>
  </si>
  <si>
    <t>米</t>
    <phoneticPr fontId="7" type="noConversion"/>
  </si>
  <si>
    <t>電線電纜</t>
    <phoneticPr fontId="7" type="noConversion"/>
  </si>
  <si>
    <t>管材+鋁線槽</t>
    <phoneticPr fontId="7" type="noConversion"/>
  </si>
  <si>
    <t>角鋼、金屬軟管、接地線、大小五金另料</t>
    <phoneticPr fontId="7" type="noConversion"/>
  </si>
  <si>
    <t>機電技師簽證費</t>
    <phoneticPr fontId="6" type="noConversion"/>
  </si>
  <si>
    <t>台電公部門跑照費</t>
    <phoneticPr fontId="6" type="noConversion"/>
  </si>
  <si>
    <t>VSUN590N-144BMH-DG</t>
    <phoneticPr fontId="6" type="noConversion"/>
  </si>
  <si>
    <t>空汙費</t>
    <phoneticPr fontId="7" type="noConversion"/>
  </si>
  <si>
    <t>高壓盤體</t>
    <phoneticPr fontId="6" type="noConversion"/>
  </si>
  <si>
    <t>低壓盤體</t>
    <phoneticPr fontId="6" type="noConversion"/>
  </si>
  <si>
    <t>機電安裝工資</t>
    <phoneticPr fontId="6" type="noConversion"/>
  </si>
  <si>
    <t>容許送件</t>
    <phoneticPr fontId="6" type="noConversion"/>
  </si>
  <si>
    <t>高壓審查費</t>
    <phoneticPr fontId="6" type="noConversion"/>
  </si>
  <si>
    <t>捌</t>
    <phoneticPr fontId="6" type="noConversion"/>
  </si>
  <si>
    <t>RH型鋼加工費(含一次加工,料損)</t>
    <phoneticPr fontId="6" type="noConversion"/>
  </si>
  <si>
    <t>支架安裝+模組鋪設</t>
    <phoneticPr fontId="6" type="noConversion"/>
  </si>
  <si>
    <r>
      <rPr>
        <sz val="9"/>
        <rFont val="微軟正黑體"/>
        <family val="2"/>
        <charset val="136"/>
      </rPr>
      <t>座</t>
    </r>
    <phoneticPr fontId="6" type="noConversion"/>
  </si>
  <si>
    <t>AC盤</t>
    <phoneticPr fontId="6" type="noConversion"/>
  </si>
  <si>
    <t>逆變器雨遮及支架</t>
    <phoneticPr fontId="6" type="noConversion"/>
  </si>
  <si>
    <t>設置容量：</t>
    <phoneticPr fontId="6" type="noConversion"/>
  </si>
  <si>
    <t>工程名稱：</t>
    <phoneticPr fontId="6" type="noConversion"/>
  </si>
  <si>
    <t>工程地點：</t>
    <phoneticPr fontId="7" type="noConversion"/>
  </si>
  <si>
    <t>業主：</t>
    <phoneticPr fontId="6" type="noConversion"/>
  </si>
  <si>
    <t>五金另料</t>
    <phoneticPr fontId="6" type="noConversion"/>
  </si>
  <si>
    <t>C型鋼材料費(A36/2.3T)</t>
    <phoneticPr fontId="6" type="noConversion"/>
  </si>
  <si>
    <t>業務：</t>
    <phoneticPr fontId="6" type="noConversion"/>
  </si>
  <si>
    <t>設計：</t>
    <phoneticPr fontId="6" type="noConversion"/>
  </si>
  <si>
    <t>採購：</t>
    <phoneticPr fontId="6" type="noConversion"/>
  </si>
  <si>
    <t>專管：</t>
    <phoneticPr fontId="6" type="noConversion"/>
  </si>
  <si>
    <t>業務主管：</t>
    <phoneticPr fontId="7" type="noConversion"/>
  </si>
  <si>
    <t>總經理：</t>
    <phoneticPr fontId="7" type="noConversion"/>
  </si>
  <si>
    <t>DC盤</t>
    <phoneticPr fontId="7" type="noConversion"/>
  </si>
  <si>
    <t>工務：</t>
    <phoneticPr fontId="6" type="noConversion"/>
  </si>
  <si>
    <t>高壓段工資</t>
    <phoneticPr fontId="7" type="noConversion"/>
  </si>
  <si>
    <t>接地系統</t>
    <phoneticPr fontId="6" type="noConversion"/>
  </si>
  <si>
    <t>玖</t>
    <phoneticPr fontId="6" type="noConversion"/>
  </si>
  <si>
    <t>甲種圍籬</t>
    <phoneticPr fontId="6" type="noConversion"/>
  </si>
  <si>
    <t>內部管銷5%</t>
    <phoneticPr fontId="7" type="noConversion"/>
  </si>
  <si>
    <t>結構技師簽證費</t>
    <phoneticPr fontId="7" type="noConversion"/>
  </si>
  <si>
    <t>kWH箱</t>
    <phoneticPr fontId="6" type="noConversion"/>
  </si>
  <si>
    <t>雜項費用2%</t>
    <phoneticPr fontId="6" type="noConversion"/>
  </si>
  <si>
    <t>浪板工程</t>
    <phoneticPr fontId="6" type="noConversion"/>
  </si>
  <si>
    <t>風險評估費</t>
    <phoneticPr fontId="6" type="noConversion"/>
  </si>
  <si>
    <t>營所稅</t>
    <phoneticPr fontId="6" type="noConversion"/>
  </si>
  <si>
    <t>報價總價</t>
    <phoneticPr fontId="6" type="noConversion"/>
  </si>
  <si>
    <t>工程設計技術整合費1%</t>
    <phoneticPr fontId="6" type="noConversion"/>
  </si>
  <si>
    <t>簽證及各類文件申請跑件</t>
    <phoneticPr fontId="7" type="noConversion"/>
  </si>
  <si>
    <t>工程設計技術整合費</t>
    <phoneticPr fontId="6" type="noConversion"/>
  </si>
  <si>
    <r>
      <t>註4：此表請於</t>
    </r>
    <r>
      <rPr>
        <b/>
        <u/>
        <sz val="12"/>
        <color theme="1"/>
        <rFont val="微軟正黑體"/>
        <family val="2"/>
        <charset val="136"/>
      </rPr>
      <t>3日內</t>
    </r>
    <r>
      <rPr>
        <sz val="12"/>
        <color theme="1"/>
        <rFont val="微軟正黑體"/>
        <family val="2"/>
        <charset val="136"/>
      </rPr>
      <t>簽核完畢</t>
    </r>
    <phoneticPr fontId="6" type="noConversion"/>
  </si>
  <si>
    <t>稅後淨利</t>
    <phoneticPr fontId="6" type="noConversion"/>
  </si>
  <si>
    <t>黑鐵+熱浸鍍鋅</t>
    <phoneticPr fontId="7" type="noConversion"/>
  </si>
  <si>
    <t>熱浸鍍鋅/A325</t>
    <phoneticPr fontId="6" type="noConversion"/>
  </si>
  <si>
    <t>不鏽鋼爬梯</t>
    <phoneticPr fontId="6" type="noConversion"/>
  </si>
  <si>
    <t>清浪板(0.5mm)</t>
    <phoneticPr fontId="6" type="noConversion"/>
  </si>
  <si>
    <t>白鐵水槽+PVC排水管</t>
    <phoneticPr fontId="6" type="noConversion"/>
  </si>
  <si>
    <t>浪板吊運費</t>
    <phoneticPr fontId="6" type="noConversion"/>
  </si>
  <si>
    <t>鋁支架吊運費</t>
    <phoneticPr fontId="6" type="noConversion"/>
  </si>
  <si>
    <t>水泥切割+開挖處復原</t>
    <phoneticPr fontId="6" type="noConversion"/>
  </si>
  <si>
    <t>金額</t>
    <phoneticPr fontId="6" type="noConversion"/>
  </si>
  <si>
    <t>%</t>
    <phoneticPr fontId="6" type="noConversion"/>
  </si>
  <si>
    <t>客戶來源：</t>
    <phoneticPr fontId="6" type="noConversion"/>
  </si>
  <si>
    <t>單價</t>
  </si>
  <si>
    <t>鋁支架運輸費</t>
    <phoneticPr fontId="6" type="noConversion"/>
  </si>
  <si>
    <t>浪板</t>
    <phoneticPr fontId="6" type="noConversion"/>
  </si>
  <si>
    <t>工資</t>
    <phoneticPr fontId="6" type="noConversion"/>
  </si>
  <si>
    <t>鋁支架與安全設施材料</t>
    <phoneticPr fontId="6" type="noConversion"/>
  </si>
  <si>
    <t>鋁支架與模組鋪設工資</t>
    <phoneticPr fontId="6" type="noConversion"/>
  </si>
  <si>
    <t>材料</t>
    <phoneticPr fontId="6" type="noConversion"/>
  </si>
  <si>
    <t>配管線材料</t>
    <phoneticPr fontId="6" type="noConversion"/>
  </si>
  <si>
    <t>機電工資</t>
    <phoneticPr fontId="6" type="noConversion"/>
  </si>
  <si>
    <t>耐斯傑開發費</t>
    <phoneticPr fontId="6" type="noConversion"/>
  </si>
  <si>
    <t>風險評估費2%</t>
    <phoneticPr fontId="6" type="noConversion"/>
  </si>
  <si>
    <t>鋼構工程</t>
    <phoneticPr fontId="7" type="noConversion"/>
  </si>
  <si>
    <t>鋼構工程材料費</t>
    <phoneticPr fontId="6" type="noConversion"/>
  </si>
  <si>
    <t>鋼構組立工資</t>
    <phoneticPr fontId="6" type="noConversion"/>
  </si>
  <si>
    <t>土建工程</t>
    <phoneticPr fontId="6" type="noConversion"/>
  </si>
  <si>
    <t>項目</t>
  </si>
  <si>
    <t>數量</t>
  </si>
  <si>
    <t>夸克能源股份有限公司</t>
    <phoneticPr fontId="6" type="noConversion"/>
  </si>
  <si>
    <t>宜蘭縣冬山鄉順安路185巷1號</t>
    <phoneticPr fontId="6" type="noConversion"/>
  </si>
  <si>
    <t>宜蘭順安美麗莊園-光電工程-70.55kWp</t>
    <phoneticPr fontId="6" type="noConversion"/>
  </si>
  <si>
    <t>kWp</t>
    <phoneticPr fontId="7" type="noConversion"/>
  </si>
  <si>
    <t>黑鐵+熱浸鍍鋅 含二工材料</t>
    <phoneticPr fontId="7" type="noConversion"/>
  </si>
  <si>
    <t>簽證跑照費</t>
    <phoneticPr fontId="6" type="noConversion"/>
  </si>
  <si>
    <t>開發費</t>
    <phoneticPr fontId="6" type="noConversion"/>
  </si>
  <si>
    <t>建置容量：</t>
    <phoneticPr fontId="6" type="noConversion"/>
  </si>
  <si>
    <t>案場類型：</t>
    <phoneticPr fontId="6" type="noConversion"/>
  </si>
  <si>
    <t>營業成本(B)</t>
    <phoneticPr fontId="6" type="noConversion"/>
  </si>
  <si>
    <t>營業費用(G)</t>
    <phoneticPr fontId="6" type="noConversion"/>
  </si>
  <si>
    <t>=(A)*2%</t>
    <phoneticPr fontId="6" type="noConversion"/>
  </si>
  <si>
    <t>註3：營業費用%以前一年度營業費用%為估列基礎</t>
    <phoneticPr fontId="6" type="noConversion"/>
  </si>
  <si>
    <t>總計</t>
    <phoneticPr fontId="6" type="noConversion"/>
  </si>
  <si>
    <t>自行開發</t>
  </si>
  <si>
    <t>M</t>
    <phoneticPr fontId="6" type="noConversion"/>
  </si>
  <si>
    <t>拾</t>
    <phoneticPr fontId="6" type="noConversion"/>
  </si>
  <si>
    <t>公式加總欄位</t>
    <phoneticPr fontId="6" type="noConversion"/>
  </si>
  <si>
    <t>設備類</t>
    <phoneticPr fontId="6" type="noConversion"/>
  </si>
  <si>
    <t>機電盤體工程</t>
    <phoneticPr fontId="6" type="noConversion"/>
  </si>
  <si>
    <t>簽證及各類文件申請跑件</t>
  </si>
  <si>
    <t>營業成本總計</t>
    <phoneticPr fontId="6" type="noConversion"/>
  </si>
  <si>
    <t>其他及假設工程</t>
  </si>
  <si>
    <t>營業毛利(F)</t>
    <phoneticPr fontId="6" type="noConversion"/>
  </si>
  <si>
    <t>(F)毛利=(A)-(B)</t>
    <phoneticPr fontId="6" type="noConversion"/>
  </si>
  <si>
    <t>工程設計技術整合費1%</t>
  </si>
  <si>
    <t>營業費用總計</t>
    <phoneticPr fontId="6" type="noConversion"/>
  </si>
  <si>
    <t>工 程 報 價 單</t>
  </si>
  <si>
    <t>↓填入kWp</t>
    <phoneticPr fontId="6" type="noConversion"/>
  </si>
  <si>
    <t>客戶名稱</t>
  </si>
  <si>
    <t>報價日期</t>
  </si>
  <si>
    <t>設置地點</t>
  </si>
  <si>
    <t>負責業務</t>
  </si>
  <si>
    <t>TEST</t>
    <phoneticPr fontId="6" type="noConversion"/>
  </si>
  <si>
    <t>工程名稱</t>
  </si>
  <si>
    <t>工程項目</t>
  </si>
  <si>
    <t>複價</t>
  </si>
  <si>
    <t>備註</t>
  </si>
  <si>
    <t>鋼構工程</t>
    <phoneticPr fontId="6" type="noConversion"/>
  </si>
  <si>
    <t>基礎座</t>
    <phoneticPr fontId="7" type="noConversion"/>
  </si>
  <si>
    <t>K27 0.5t清板 含二工材料</t>
    <phoneticPr fontId="6" type="noConversion"/>
  </si>
  <si>
    <t>中脊與包邊</t>
    <phoneticPr fontId="6" type="noConversion"/>
  </si>
  <si>
    <t>白鐵水槽+PVC排水管</t>
  </si>
  <si>
    <t>鋁擠支架及模組鋪設工程</t>
    <phoneticPr fontId="6" type="noConversion"/>
  </si>
  <si>
    <t>鋁支架材料費</t>
    <phoneticPr fontId="6" type="noConversion"/>
  </si>
  <si>
    <t>含中壓、側壓、五金零件</t>
    <phoneticPr fontId="6" type="noConversion"/>
  </si>
  <si>
    <t>維修步道、圍籬</t>
    <phoneticPr fontId="6" type="noConversion"/>
  </si>
  <si>
    <t>鋁支架安裝+模組鋪設</t>
    <phoneticPr fontId="6" type="noConversion"/>
  </si>
  <si>
    <t>場鑄獨立基礎(含工)</t>
    <phoneticPr fontId="6" type="noConversion"/>
  </si>
  <si>
    <t>切割及開挖處復原</t>
  </si>
  <si>
    <t>陸</t>
  </si>
  <si>
    <t>機電盤體工程</t>
  </si>
  <si>
    <t>柒</t>
  </si>
  <si>
    <t>機電配管線工程</t>
  </si>
  <si>
    <t>電線電纜</t>
    <phoneticPr fontId="6" type="noConversion"/>
  </si>
  <si>
    <t>管材+鋁線槽</t>
    <phoneticPr fontId="6" type="noConversion"/>
  </si>
  <si>
    <t>大小五金另料</t>
    <phoneticPr fontId="6" type="noConversion"/>
  </si>
  <si>
    <t>角鐵、金屬軟管、接地線等</t>
    <phoneticPr fontId="6" type="noConversion"/>
  </si>
  <si>
    <t>機電安裝工資</t>
  </si>
  <si>
    <t>捌</t>
  </si>
  <si>
    <t>機電技師簽證費</t>
  </si>
  <si>
    <t>結構技師簽證費</t>
  </si>
  <si>
    <t>台電公部門跑照費</t>
  </si>
  <si>
    <t>玖</t>
  </si>
  <si>
    <t>總      計(含稅)</t>
  </si>
  <si>
    <t>保固</t>
  </si>
  <si>
    <t>本報價單7日工作天內有效。</t>
  </si>
  <si>
    <t>承攬單位：元融科技有限公司</t>
    <phoneticPr fontId="7" type="noConversion"/>
  </si>
  <si>
    <t>負 責 人：鄭渝璉</t>
    <phoneticPr fontId="7" type="noConversion"/>
  </si>
  <si>
    <t>付款辦法：依合約為主。</t>
    <phoneticPr fontId="7" type="noConversion"/>
  </si>
  <si>
    <t>地    址：台南市新市區自由街9-3號</t>
    <phoneticPr fontId="7" type="noConversion"/>
  </si>
  <si>
    <t>施工期限：依合約為主。</t>
    <phoneticPr fontId="7" type="noConversion"/>
  </si>
  <si>
    <t>統    編：24903014</t>
    <phoneticPr fontId="7" type="noConversion"/>
  </si>
  <si>
    <t>客戶簽章 :</t>
  </si>
  <si>
    <r>
      <t xml:space="preserve">               </t>
    </r>
    <r>
      <rPr>
        <b/>
        <sz val="28"/>
        <rFont val="微軟正黑體"/>
        <family val="2"/>
        <charset val="136"/>
      </rPr>
      <t>工　程　預　算　書</t>
    </r>
    <phoneticPr fontId="6" type="noConversion"/>
  </si>
  <si>
    <t>製表人：</t>
    <phoneticPr fontId="7" type="noConversion"/>
  </si>
  <si>
    <t>浪板工程</t>
    <phoneticPr fontId="7" type="noConversion"/>
  </si>
  <si>
    <t>中脊與包邊</t>
  </si>
  <si>
    <t>鋁擠支架及模組鋪設工程</t>
    <phoneticPr fontId="7" type="noConversion"/>
  </si>
  <si>
    <t>土建工程</t>
    <phoneticPr fontId="7" type="noConversion"/>
  </si>
  <si>
    <t>設備類</t>
    <phoneticPr fontId="7" type="noConversion"/>
  </si>
  <si>
    <t>機電盤體工程</t>
    <phoneticPr fontId="7" type="noConversion"/>
  </si>
  <si>
    <t>監控箱
(含日照溫度SENSER.錶頭.AUO資料搜集器)</t>
    <phoneticPr fontId="6" type="noConversion"/>
  </si>
  <si>
    <t>機電配管線工程</t>
    <phoneticPr fontId="7" type="noConversion"/>
  </si>
  <si>
    <t>其他及假設工程</t>
    <phoneticPr fontId="7" type="noConversion"/>
  </si>
  <si>
    <t>壹-玖</t>
    <phoneticPr fontId="6" type="noConversion"/>
  </si>
  <si>
    <t>總計</t>
    <phoneticPr fontId="7" type="noConversion"/>
  </si>
  <si>
    <t>管理費</t>
    <phoneticPr fontId="7" type="noConversion"/>
  </si>
  <si>
    <t>樓高：3樓</t>
    <phoneticPr fontId="7" type="noConversion"/>
  </si>
  <si>
    <t>本報價不含線補費。</t>
    <phoneticPr fontId="7" type="noConversion"/>
  </si>
  <si>
    <t>不含</t>
    <phoneticPr fontId="6" type="noConversion"/>
  </si>
  <si>
    <t>DS   PANEL</t>
  </si>
  <si>
    <t>MOF   PANEL</t>
  </si>
  <si>
    <t>GPT   PANEL</t>
  </si>
  <si>
    <t>VCB   PANEL</t>
  </si>
  <si>
    <t>TR</t>
  </si>
  <si>
    <t>MAC</t>
  </si>
  <si>
    <t>接地箱</t>
  </si>
  <si>
    <t>基礎台</t>
    <phoneticPr fontId="7" type="noConversion"/>
  </si>
  <si>
    <t>方</t>
    <phoneticPr fontId="7" type="noConversion"/>
  </si>
  <si>
    <t>台</t>
    <phoneticPr fontId="6" type="noConversion"/>
  </si>
  <si>
    <t>18.23.24.26</t>
    <phoneticPr fontId="6" type="noConversion"/>
  </si>
  <si>
    <t>9.10.11.12.13.14.15.16.17.19.20.21.22.25</t>
    <phoneticPr fontId="6" type="noConversion"/>
  </si>
  <si>
    <t>39.42.43</t>
    <phoneticPr fontId="6" type="noConversion"/>
  </si>
  <si>
    <t>87-91</t>
    <phoneticPr fontId="6" type="noConversion"/>
  </si>
  <si>
    <t>米數：4米</t>
    <phoneticPr fontId="7" type="noConversion"/>
  </si>
  <si>
    <t xml:space="preserve">台電DREAMS+監控平台 </t>
    <phoneticPr fontId="6" type="noConversion"/>
  </si>
  <si>
    <t>工程保險0.8%</t>
  </si>
  <si>
    <t>工程保固1%</t>
  </si>
  <si>
    <t>內部管銷5%</t>
  </si>
  <si>
    <t xml:space="preserve"> </t>
    <phoneticPr fontId="6" type="noConversion"/>
  </si>
  <si>
    <t>覆核：</t>
    <phoneticPr fontId="6" type="noConversion"/>
  </si>
  <si>
    <t>工程完工日起：全系統5年</t>
    <phoneticPr fontId="7" type="noConversion"/>
  </si>
  <si>
    <t>製表：</t>
    <phoneticPr fontId="7" type="noConversion"/>
  </si>
  <si>
    <t>吊運費</t>
  </si>
  <si>
    <t>含AC、KWH、監控箱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</si>
</sst>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.00_);[Red]\(#,##0.00\)"/>
    <numFmt numFmtId="177" formatCode="#&quot;W&quot;"/>
    <numFmt numFmtId="178" formatCode="_-&quot;$&quot;* #,##0.00_-;\-&quot;$&quot;* #,##0.00_-;_-&quot;$&quot;* &quot;-&quot;_-;_-@_-"/>
    <numFmt numFmtId="179" formatCode="_-&quot;$&quot;* #,##0_-;\-&quot;$&quot;* #,##0_-;_-&quot;$&quot;* &quot;-&quot;??_-;_-@_-"/>
    <numFmt numFmtId="181" formatCode="yyyy/mm/dd;@"/>
    <numFmt numFmtId="182" formatCode="\$\ #,##0"/>
    <numFmt numFmtId="183" formatCode="_-* #,##0_-;\-* #,##0_-;_-* &quot;-&quot;??_-;_-@_-"/>
    <numFmt numFmtId="184" formatCode="#,##0_ "/>
    <numFmt numFmtId="185" formatCode="0.00_);[Red]\(0.00\)"/>
    <numFmt numFmtId="186" formatCode="&quot;$&quot;#,##0.00_);[Red]\(&quot;$&quot;#,##0.00\)"/>
    <numFmt numFmtId="192" formatCode="0.00&quot; kWp&quot;"/>
    <numFmt numFmtId="193" formatCode="@&quot;報價&quot;"/>
    <numFmt numFmtId="194" formatCode="@&quot;預算&quot;"/>
  </numFmts>
  <fonts count="58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0"/>
      <color theme="1"/>
      <name val="微軟正黑體"/>
      <family val="2"/>
      <charset val="136"/>
    </font>
    <font>
      <sz val="10"/>
      <color rgb="FF000000"/>
      <name val="Times New Roman"/>
      <family val="1"/>
    </font>
    <font>
      <u/>
      <sz val="11"/>
      <color theme="10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name val="標楷體"/>
      <family val="4"/>
      <charset val="136"/>
    </font>
    <font>
      <sz val="16"/>
      <color rgb="FF000000"/>
      <name val="Times New Roman"/>
      <family val="1"/>
    </font>
    <font>
      <sz val="10"/>
      <color rgb="FF000000"/>
      <name val="細明體"/>
      <family val="1"/>
      <charset val="136"/>
    </font>
    <font>
      <sz val="16"/>
      <color rgb="FF000000"/>
      <name val="細明體"/>
      <family val="1"/>
      <charset val="136"/>
    </font>
    <font>
      <sz val="16"/>
      <name val="標楷體"/>
      <family val="4"/>
    </font>
    <font>
      <sz val="16"/>
      <name val="標楷體"/>
      <family val="4"/>
      <charset val="136"/>
    </font>
    <font>
      <sz val="11"/>
      <color rgb="FF000000"/>
      <name val="Times New Roman"/>
      <family val="1"/>
    </font>
    <font>
      <b/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2"/>
      <color theme="8" tint="-0.249977111117893"/>
      <name val="微軟正黑體"/>
      <family val="2"/>
      <charset val="136"/>
    </font>
    <font>
      <sz val="12"/>
      <color theme="8" tint="-0.249977111117893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C00000"/>
      <name val="微軟正黑體"/>
      <family val="2"/>
      <charset val="136"/>
    </font>
    <font>
      <b/>
      <sz val="12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b/>
      <sz val="28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rgb="FF000000"/>
      <name val="細明體"/>
      <family val="1"/>
      <charset val="136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C00000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name val="芫荽 0.94"/>
      <family val="3"/>
      <charset val="136"/>
    </font>
    <font>
      <b/>
      <sz val="12"/>
      <color rgb="FFFF0000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10"/>
      <color rgb="FF000000"/>
      <name val="Noto Sans TC Black"/>
      <family val="2"/>
      <charset val="136"/>
    </font>
    <font>
      <sz val="14"/>
      <color rgb="FF000000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rgb="FF000000"/>
      <name val="細明體"/>
      <family val="3"/>
      <charset val="136"/>
    </font>
    <font>
      <b/>
      <sz val="14"/>
      <color rgb="FF000000"/>
      <name val="微軟正黑體"/>
      <family val="2"/>
      <charset val="136"/>
    </font>
    <font>
      <sz val="12"/>
      <name val="新細明體"/>
      <family val="2"/>
      <charset val="136"/>
      <scheme val="minor"/>
    </font>
    <font>
      <b/>
      <sz val="13"/>
      <name val="微軟正黑體"/>
      <family val="2"/>
      <charset val="136"/>
    </font>
    <font>
      <sz val="13"/>
      <name val="微軟正黑體"/>
      <family val="2"/>
      <charset val="136"/>
    </font>
    <font>
      <b/>
      <sz val="12"/>
      <name val="芫荽 0.94"/>
      <family val="3"/>
      <charset val="136"/>
    </font>
    <font>
      <sz val="14"/>
      <color theme="0"/>
      <name val="微軟正黑體"/>
      <family val="2"/>
      <charset val="136"/>
    </font>
    <font>
      <sz val="14"/>
      <color theme="7" tint="-0.249977111117893"/>
      <name val="微軟正黑體"/>
      <family val="2"/>
      <charset val="136"/>
    </font>
    <font>
      <sz val="14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0" fontId="8" fillId="0" borderId="0"/>
    <xf numFmtId="0" fontId="9" fillId="0" borderId="0"/>
    <xf numFmtId="0" fontId="11" fillId="0" borderId="0"/>
    <xf numFmtId="0" fontId="12" fillId="0" borderId="0" applyNumberFormat="0" applyFill="0" applyBorder="0" applyAlignment="0" applyProtection="0"/>
    <xf numFmtId="0" fontId="13" fillId="0" borderId="0"/>
    <xf numFmtId="9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</cellStyleXfs>
  <cellXfs count="516">
    <xf numFmtId="0" fontId="0" fillId="0" borderId="0" xfId="0">
      <alignment vertical="center"/>
    </xf>
    <xf numFmtId="0" fontId="11" fillId="0" borderId="0" xfId="3" applyAlignment="1">
      <alignment horizontal="left" vertical="top" wrapText="1"/>
    </xf>
    <xf numFmtId="0" fontId="11" fillId="0" borderId="0" xfId="3" applyAlignment="1">
      <alignment horizontal="center" vertical="center"/>
    </xf>
    <xf numFmtId="0" fontId="11" fillId="0" borderId="0" xfId="3" applyAlignment="1">
      <alignment horizontal="left" vertical="top"/>
    </xf>
    <xf numFmtId="0" fontId="15" fillId="0" borderId="0" xfId="3" applyFont="1" applyAlignment="1">
      <alignment horizontal="left" vertical="center" wrapText="1"/>
    </xf>
    <xf numFmtId="0" fontId="15" fillId="0" borderId="0" xfId="3" applyFont="1" applyAlignment="1">
      <alignment horizontal="left" vertical="top"/>
    </xf>
    <xf numFmtId="0" fontId="16" fillId="0" borderId="0" xfId="3" applyFont="1" applyAlignment="1">
      <alignment horizontal="center" vertical="center"/>
    </xf>
    <xf numFmtId="44" fontId="11" fillId="0" borderId="0" xfId="3" applyNumberFormat="1" applyAlignment="1">
      <alignment horizontal="center" vertical="center"/>
    </xf>
    <xf numFmtId="179" fontId="11" fillId="0" borderId="0" xfId="3" applyNumberFormat="1" applyAlignment="1">
      <alignment horizontal="center" vertical="center"/>
    </xf>
    <xf numFmtId="44" fontId="15" fillId="0" borderId="0" xfId="3" applyNumberFormat="1" applyFont="1" applyAlignment="1">
      <alignment horizontal="left" vertical="top"/>
    </xf>
    <xf numFmtId="0" fontId="17" fillId="0" borderId="0" xfId="3" applyFont="1" applyAlignment="1">
      <alignment horizontal="left" vertical="center" wrapText="1"/>
    </xf>
    <xf numFmtId="10" fontId="11" fillId="0" borderId="0" xfId="6" applyNumberFormat="1" applyFont="1" applyAlignment="1">
      <alignment horizontal="center" vertical="center"/>
    </xf>
    <xf numFmtId="179" fontId="11" fillId="0" borderId="0" xfId="7" applyNumberFormat="1" applyFont="1" applyAlignment="1">
      <alignment horizontal="center" vertical="center"/>
    </xf>
    <xf numFmtId="0" fontId="15" fillId="0" borderId="0" xfId="3" applyFont="1" applyAlignment="1">
      <alignment horizontal="left" wrapText="1"/>
    </xf>
    <xf numFmtId="0" fontId="18" fillId="0" borderId="0" xfId="3" applyFont="1" applyAlignment="1">
      <alignment vertical="center" wrapText="1"/>
    </xf>
    <xf numFmtId="0" fontId="19" fillId="0" borderId="0" xfId="3" applyFont="1" applyAlignment="1">
      <alignment vertical="top" wrapText="1"/>
    </xf>
    <xf numFmtId="0" fontId="9" fillId="0" borderId="0" xfId="3" applyFont="1" applyAlignment="1">
      <alignment wrapText="1"/>
    </xf>
    <xf numFmtId="0" fontId="19" fillId="0" borderId="0" xfId="3" applyFont="1" applyAlignment="1">
      <alignment wrapText="1"/>
    </xf>
    <xf numFmtId="0" fontId="20" fillId="0" borderId="0" xfId="3" applyFont="1" applyAlignment="1">
      <alignment horizontal="center" vertical="center"/>
    </xf>
    <xf numFmtId="0" fontId="22" fillId="0" borderId="0" xfId="9" applyFont="1">
      <alignment vertical="center"/>
    </xf>
    <xf numFmtId="0" fontId="26" fillId="0" borderId="0" xfId="9" applyFont="1">
      <alignment vertical="center"/>
    </xf>
    <xf numFmtId="0" fontId="10" fillId="0" borderId="0" xfId="9" applyFont="1" applyAlignment="1">
      <alignment horizontal="right" vertical="center"/>
    </xf>
    <xf numFmtId="176" fontId="33" fillId="2" borderId="1" xfId="1" applyNumberFormat="1" applyFont="1" applyFill="1" applyBorder="1" applyAlignment="1">
      <alignment horizontal="right" vertical="center"/>
    </xf>
    <xf numFmtId="176" fontId="33" fillId="2" borderId="1" xfId="1" applyNumberFormat="1" applyFont="1" applyFill="1" applyBorder="1" applyAlignment="1">
      <alignment vertical="center"/>
    </xf>
    <xf numFmtId="176" fontId="33" fillId="2" borderId="5" xfId="1" applyNumberFormat="1" applyFont="1" applyFill="1" applyBorder="1" applyAlignment="1">
      <alignment horizontal="right" vertical="center"/>
    </xf>
    <xf numFmtId="176" fontId="33" fillId="2" borderId="7" xfId="1" applyNumberFormat="1" applyFont="1" applyFill="1" applyBorder="1" applyAlignment="1">
      <alignment horizontal="right" vertical="center"/>
    </xf>
    <xf numFmtId="0" fontId="33" fillId="2" borderId="1" xfId="1" applyFont="1" applyFill="1" applyBorder="1" applyAlignment="1">
      <alignment horizontal="left" vertical="center"/>
    </xf>
    <xf numFmtId="178" fontId="33" fillId="2" borderId="1" xfId="1" applyNumberFormat="1" applyFont="1" applyFill="1" applyBorder="1" applyAlignment="1">
      <alignment horizontal="right" vertical="center" wrapText="1"/>
    </xf>
    <xf numFmtId="0" fontId="33" fillId="2" borderId="7" xfId="1" applyFont="1" applyFill="1" applyBorder="1" applyAlignment="1">
      <alignment horizontal="left" vertical="center"/>
    </xf>
    <xf numFmtId="43" fontId="33" fillId="2" borderId="35" xfId="1" applyNumberFormat="1" applyFont="1" applyFill="1" applyBorder="1" applyAlignment="1">
      <alignment horizontal="center" vertical="center"/>
    </xf>
    <xf numFmtId="176" fontId="33" fillId="2" borderId="7" xfId="1" applyNumberFormat="1" applyFont="1" applyFill="1" applyBorder="1" applyAlignment="1">
      <alignment vertical="center"/>
    </xf>
    <xf numFmtId="176" fontId="33" fillId="2" borderId="3" xfId="1" applyNumberFormat="1" applyFont="1" applyFill="1" applyBorder="1" applyAlignment="1">
      <alignment vertical="center"/>
    </xf>
    <xf numFmtId="178" fontId="33" fillId="2" borderId="7" xfId="1" applyNumberFormat="1" applyFont="1" applyFill="1" applyBorder="1" applyAlignment="1">
      <alignment horizontal="right" vertical="center" wrapText="1"/>
    </xf>
    <xf numFmtId="42" fontId="33" fillId="0" borderId="1" xfId="1" applyNumberFormat="1" applyFont="1" applyBorder="1" applyAlignment="1">
      <alignment horizontal="right" vertical="center" wrapText="1"/>
    </xf>
    <xf numFmtId="42" fontId="33" fillId="0" borderId="4" xfId="1" applyNumberFormat="1" applyFont="1" applyBorder="1" applyAlignment="1">
      <alignment horizontal="right" vertical="center" wrapText="1"/>
    </xf>
    <xf numFmtId="42" fontId="33" fillId="0" borderId="7" xfId="1" applyNumberFormat="1" applyFont="1" applyBorder="1" applyAlignment="1">
      <alignment horizontal="right" vertical="center" wrapText="1"/>
    </xf>
    <xf numFmtId="179" fontId="33" fillId="0" borderId="1" xfId="1" applyNumberFormat="1" applyFont="1" applyBorder="1" applyAlignment="1">
      <alignment horizontal="right" vertical="center" wrapText="1"/>
    </xf>
    <xf numFmtId="179" fontId="33" fillId="0" borderId="7" xfId="1" applyNumberFormat="1" applyFont="1" applyBorder="1" applyAlignment="1">
      <alignment horizontal="right" vertical="center" wrapText="1"/>
    </xf>
    <xf numFmtId="49" fontId="33" fillId="2" borderId="39" xfId="1" applyNumberFormat="1" applyFont="1" applyFill="1" applyBorder="1" applyAlignment="1">
      <alignment horizontal="center" vertical="center"/>
    </xf>
    <xf numFmtId="176" fontId="33" fillId="2" borderId="3" xfId="1" applyNumberFormat="1" applyFont="1" applyFill="1" applyBorder="1" applyAlignment="1">
      <alignment horizontal="right" vertical="center"/>
    </xf>
    <xf numFmtId="179" fontId="33" fillId="0" borderId="3" xfId="1" applyNumberFormat="1" applyFont="1" applyBorder="1" applyAlignment="1">
      <alignment horizontal="right" vertical="center" wrapText="1"/>
    </xf>
    <xf numFmtId="0" fontId="35" fillId="0" borderId="0" xfId="3" applyFont="1" applyAlignment="1">
      <alignment horizontal="center" vertical="center"/>
    </xf>
    <xf numFmtId="0" fontId="36" fillId="0" borderId="0" xfId="3" applyFont="1" applyAlignment="1">
      <alignment horizontal="left" vertical="top"/>
    </xf>
    <xf numFmtId="0" fontId="37" fillId="0" borderId="0" xfId="3" applyFont="1" applyAlignment="1">
      <alignment horizontal="left" vertical="top"/>
    </xf>
    <xf numFmtId="0" fontId="38" fillId="0" borderId="0" xfId="3" applyFont="1" applyAlignment="1">
      <alignment horizontal="center" vertical="center"/>
    </xf>
    <xf numFmtId="186" fontId="24" fillId="0" borderId="0" xfId="9" applyNumberFormat="1" applyFont="1">
      <alignment vertical="center"/>
    </xf>
    <xf numFmtId="14" fontId="27" fillId="0" borderId="0" xfId="9" applyNumberFormat="1" applyFont="1" applyAlignment="1">
      <alignment horizontal="center" vertical="center"/>
    </xf>
    <xf numFmtId="14" fontId="26" fillId="0" borderId="0" xfId="9" applyNumberFormat="1" applyFont="1">
      <alignment vertical="center"/>
    </xf>
    <xf numFmtId="0" fontId="26" fillId="5" borderId="19" xfId="9" applyFont="1" applyFill="1" applyBorder="1" applyAlignment="1">
      <alignment horizontal="center" vertical="center"/>
    </xf>
    <xf numFmtId="179" fontId="26" fillId="5" borderId="3" xfId="12" applyNumberFormat="1" applyFont="1" applyFill="1" applyBorder="1">
      <alignment vertical="center"/>
    </xf>
    <xf numFmtId="183" fontId="26" fillId="0" borderId="0" xfId="9" applyNumberFormat="1" applyFont="1">
      <alignment vertical="center"/>
    </xf>
    <xf numFmtId="183" fontId="28" fillId="0" borderId="0" xfId="9" applyNumberFormat="1" applyFont="1">
      <alignment vertical="center"/>
    </xf>
    <xf numFmtId="42" fontId="26" fillId="3" borderId="25" xfId="9" applyNumberFormat="1" applyFont="1" applyFill="1" applyBorder="1">
      <alignment vertical="center"/>
    </xf>
    <xf numFmtId="42" fontId="25" fillId="0" borderId="1" xfId="9" applyNumberFormat="1" applyFont="1" applyBorder="1">
      <alignment vertical="center"/>
    </xf>
    <xf numFmtId="0" fontId="39" fillId="0" borderId="0" xfId="9" applyFont="1" applyAlignment="1">
      <alignment horizontal="center" vertical="center"/>
    </xf>
    <xf numFmtId="10" fontId="39" fillId="0" borderId="0" xfId="9" applyNumberFormat="1" applyFont="1" applyAlignment="1">
      <alignment horizontal="center" vertical="center"/>
    </xf>
    <xf numFmtId="44" fontId="40" fillId="6" borderId="32" xfId="9" applyNumberFormat="1" applyFont="1" applyFill="1" applyBorder="1" applyAlignment="1">
      <alignment horizontal="center" vertical="center"/>
    </xf>
    <xf numFmtId="179" fontId="26" fillId="0" borderId="13" xfId="12" applyNumberFormat="1" applyFont="1" applyBorder="1">
      <alignment vertical="center"/>
    </xf>
    <xf numFmtId="0" fontId="26" fillId="0" borderId="19" xfId="9" applyFont="1" applyBorder="1" applyAlignment="1">
      <alignment horizontal="center" vertical="center"/>
    </xf>
    <xf numFmtId="179" fontId="26" fillId="0" borderId="3" xfId="12" applyNumberFormat="1" applyFont="1" applyBorder="1">
      <alignment vertical="center"/>
    </xf>
    <xf numFmtId="42" fontId="26" fillId="8" borderId="25" xfId="9" applyNumberFormat="1" applyFont="1" applyFill="1" applyBorder="1">
      <alignment vertical="center"/>
    </xf>
    <xf numFmtId="0" fontId="26" fillId="5" borderId="45" xfId="9" applyFont="1" applyFill="1" applyBorder="1" applyAlignment="1">
      <alignment horizontal="center" vertical="center"/>
    </xf>
    <xf numFmtId="179" fontId="26" fillId="5" borderId="46" xfId="10" applyNumberFormat="1" applyFont="1" applyFill="1" applyBorder="1">
      <alignment vertical="center"/>
    </xf>
    <xf numFmtId="176" fontId="33" fillId="2" borderId="4" xfId="1" applyNumberFormat="1" applyFont="1" applyFill="1" applyBorder="1" applyAlignment="1">
      <alignment horizontal="center" vertical="center"/>
    </xf>
    <xf numFmtId="179" fontId="33" fillId="0" borderId="4" xfId="1" applyNumberFormat="1" applyFont="1" applyBorder="1" applyAlignment="1">
      <alignment horizontal="center" vertical="center" wrapText="1"/>
    </xf>
    <xf numFmtId="0" fontId="4" fillId="0" borderId="0" xfId="9" applyFont="1">
      <alignment vertical="center"/>
    </xf>
    <xf numFmtId="0" fontId="4" fillId="0" borderId="0" xfId="9" applyFont="1" applyAlignment="1">
      <alignment horizontal="center" vertical="center"/>
    </xf>
    <xf numFmtId="14" fontId="4" fillId="0" borderId="0" xfId="9" applyNumberFormat="1" applyFont="1">
      <alignment vertical="center"/>
    </xf>
    <xf numFmtId="10" fontId="4" fillId="0" borderId="0" xfId="9" applyNumberFormat="1" applyFont="1" applyAlignment="1">
      <alignment horizontal="center" vertical="center"/>
    </xf>
    <xf numFmtId="0" fontId="4" fillId="0" borderId="0" xfId="9" applyFont="1" applyAlignment="1">
      <alignment horizontal="left" vertical="center"/>
    </xf>
    <xf numFmtId="0" fontId="4" fillId="0" borderId="0" xfId="9" applyFont="1" applyAlignment="1">
      <alignment horizontal="right" vertical="center"/>
    </xf>
    <xf numFmtId="179" fontId="4" fillId="0" borderId="0" xfId="9" applyNumberFormat="1" applyFont="1" applyAlignment="1">
      <alignment horizontal="center" vertical="center"/>
    </xf>
    <xf numFmtId="183" fontId="4" fillId="0" borderId="0" xfId="9" applyNumberFormat="1" applyFont="1" applyAlignment="1">
      <alignment horizontal="center" vertical="center"/>
    </xf>
    <xf numFmtId="0" fontId="4" fillId="0" borderId="0" xfId="10" applyNumberFormat="1" applyFont="1" applyAlignment="1">
      <alignment horizontal="center" vertical="center"/>
    </xf>
    <xf numFmtId="181" fontId="4" fillId="0" borderId="0" xfId="9" applyNumberFormat="1" applyFont="1" applyAlignment="1">
      <alignment horizontal="center" vertical="center"/>
    </xf>
    <xf numFmtId="184" fontId="4" fillId="0" borderId="0" xfId="9" applyNumberFormat="1" applyFont="1" applyAlignment="1">
      <alignment horizontal="left" vertical="center"/>
    </xf>
    <xf numFmtId="14" fontId="4" fillId="0" borderId="0" xfId="9" applyNumberFormat="1" applyFont="1" applyAlignment="1">
      <alignment horizontal="center" vertical="center"/>
    </xf>
    <xf numFmtId="0" fontId="4" fillId="0" borderId="22" xfId="9" applyFont="1" applyBorder="1" applyAlignment="1">
      <alignment horizontal="center" vertical="center"/>
    </xf>
    <xf numFmtId="0" fontId="4" fillId="0" borderId="11" xfId="9" applyFont="1" applyBorder="1" applyAlignment="1">
      <alignment horizontal="center" vertical="center"/>
    </xf>
    <xf numFmtId="14" fontId="4" fillId="0" borderId="11" xfId="9" applyNumberFormat="1" applyFont="1" applyBorder="1" applyAlignment="1">
      <alignment horizontal="center" vertical="center"/>
    </xf>
    <xf numFmtId="14" fontId="4" fillId="0" borderId="23" xfId="9" applyNumberFormat="1" applyFont="1" applyBorder="1" applyAlignment="1">
      <alignment horizontal="center" vertical="center"/>
    </xf>
    <xf numFmtId="0" fontId="4" fillId="0" borderId="23" xfId="9" applyFont="1" applyBorder="1" applyAlignment="1">
      <alignment horizontal="center" vertical="center"/>
    </xf>
    <xf numFmtId="179" fontId="4" fillId="0" borderId="4" xfId="13" applyNumberFormat="1" applyFont="1" applyBorder="1" applyAlignment="1">
      <alignment horizontal="center" vertical="center"/>
    </xf>
    <xf numFmtId="10" fontId="4" fillId="0" borderId="24" xfId="12" applyNumberFormat="1" applyFont="1" applyBorder="1" applyAlignment="1">
      <alignment horizontal="center" vertical="center"/>
    </xf>
    <xf numFmtId="186" fontId="4" fillId="0" borderId="0" xfId="9" applyNumberFormat="1" applyFont="1" applyAlignment="1">
      <alignment horizontal="center" vertical="center"/>
    </xf>
    <xf numFmtId="10" fontId="40" fillId="6" borderId="42" xfId="12" applyNumberFormat="1" applyFont="1" applyFill="1" applyBorder="1" applyAlignment="1">
      <alignment horizontal="center" vertical="center"/>
    </xf>
    <xf numFmtId="44" fontId="4" fillId="0" borderId="4" xfId="13" applyFont="1" applyBorder="1" applyAlignment="1">
      <alignment horizontal="center" vertical="center"/>
    </xf>
    <xf numFmtId="0" fontId="4" fillId="0" borderId="0" xfId="12" applyNumberFormat="1" applyFont="1" applyAlignment="1">
      <alignment horizontal="center" vertical="center"/>
    </xf>
    <xf numFmtId="42" fontId="4" fillId="0" borderId="1" xfId="9" applyNumberFormat="1" applyFont="1" applyBorder="1">
      <alignment vertical="center"/>
    </xf>
    <xf numFmtId="10" fontId="4" fillId="0" borderId="18" xfId="12" applyNumberFormat="1" applyFont="1" applyBorder="1" applyAlignment="1">
      <alignment horizontal="center" vertical="center"/>
    </xf>
    <xf numFmtId="179" fontId="4" fillId="2" borderId="1" xfId="9" applyNumberFormat="1" applyFont="1" applyFill="1" applyBorder="1">
      <alignment vertical="center"/>
    </xf>
    <xf numFmtId="179" fontId="23" fillId="0" borderId="3" xfId="13" applyNumberFormat="1" applyFont="1" applyFill="1" applyBorder="1">
      <alignment vertical="center"/>
    </xf>
    <xf numFmtId="179" fontId="4" fillId="0" borderId="3" xfId="13" applyNumberFormat="1" applyFont="1" applyBorder="1" applyAlignment="1">
      <alignment horizontal="center" vertical="center"/>
    </xf>
    <xf numFmtId="10" fontId="4" fillId="0" borderId="20" xfId="12" applyNumberFormat="1" applyFont="1" applyBorder="1" applyAlignment="1">
      <alignment horizontal="center" vertical="center"/>
    </xf>
    <xf numFmtId="44" fontId="4" fillId="0" borderId="13" xfId="13" applyFont="1" applyBorder="1" applyAlignment="1">
      <alignment horizontal="center" vertical="center"/>
    </xf>
    <xf numFmtId="179" fontId="4" fillId="0" borderId="13" xfId="13" applyNumberFormat="1" applyFont="1" applyBorder="1" applyAlignment="1">
      <alignment horizontal="center" vertical="center"/>
    </xf>
    <xf numFmtId="10" fontId="4" fillId="0" borderId="16" xfId="12" applyNumberFormat="1" applyFont="1" applyBorder="1" applyAlignment="1">
      <alignment horizontal="center" vertical="center" wrapText="1"/>
    </xf>
    <xf numFmtId="179" fontId="4" fillId="0" borderId="1" xfId="13" applyNumberFormat="1" applyFont="1" applyBorder="1" applyAlignment="1">
      <alignment horizontal="center" vertical="center"/>
    </xf>
    <xf numFmtId="10" fontId="4" fillId="0" borderId="18" xfId="12" applyNumberFormat="1" applyFont="1" applyBorder="1" applyAlignment="1">
      <alignment horizontal="center" vertical="center" wrapText="1"/>
    </xf>
    <xf numFmtId="179" fontId="4" fillId="0" borderId="1" xfId="13" applyNumberFormat="1" applyFont="1" applyBorder="1">
      <alignment vertical="center"/>
    </xf>
    <xf numFmtId="186" fontId="4" fillId="0" borderId="0" xfId="9" applyNumberFormat="1" applyFont="1" applyAlignment="1">
      <alignment horizontal="center" vertical="center" wrapText="1"/>
    </xf>
    <xf numFmtId="185" fontId="4" fillId="0" borderId="0" xfId="9" applyNumberFormat="1" applyFont="1" applyAlignment="1">
      <alignment horizontal="center" vertical="center" wrapText="1"/>
    </xf>
    <xf numFmtId="0" fontId="4" fillId="0" borderId="1" xfId="9" applyFont="1" applyBorder="1">
      <alignment vertical="center"/>
    </xf>
    <xf numFmtId="14" fontId="4" fillId="0" borderId="18" xfId="9" applyNumberFormat="1" applyFont="1" applyBorder="1">
      <alignment vertical="center"/>
    </xf>
    <xf numFmtId="185" fontId="4" fillId="0" borderId="0" xfId="9" applyNumberFormat="1" applyFont="1" applyAlignment="1">
      <alignment horizontal="center" vertical="center"/>
    </xf>
    <xf numFmtId="42" fontId="4" fillId="0" borderId="4" xfId="9" applyNumberFormat="1" applyFont="1" applyBorder="1">
      <alignment vertical="center"/>
    </xf>
    <xf numFmtId="179" fontId="27" fillId="0" borderId="7" xfId="13" applyNumberFormat="1" applyFont="1" applyFill="1" applyBorder="1">
      <alignment vertical="center"/>
    </xf>
    <xf numFmtId="179" fontId="4" fillId="0" borderId="7" xfId="13" applyNumberFormat="1" applyFont="1" applyBorder="1" applyAlignment="1">
      <alignment horizontal="center" vertical="center"/>
    </xf>
    <xf numFmtId="10" fontId="4" fillId="0" borderId="21" xfId="12" applyNumberFormat="1" applyFont="1" applyBorder="1" applyAlignment="1">
      <alignment horizontal="center" vertical="center" wrapText="1"/>
    </xf>
    <xf numFmtId="185" fontId="4" fillId="0" borderId="0" xfId="9" applyNumberFormat="1" applyFont="1">
      <alignment vertical="center"/>
    </xf>
    <xf numFmtId="179" fontId="4" fillId="5" borderId="46" xfId="13" applyNumberFormat="1" applyFont="1" applyFill="1" applyBorder="1" applyAlignment="1">
      <alignment horizontal="center" vertical="center"/>
    </xf>
    <xf numFmtId="10" fontId="42" fillId="5" borderId="47" xfId="12" applyNumberFormat="1" applyFont="1" applyFill="1" applyBorder="1" applyAlignment="1">
      <alignment horizontal="center" vertical="center" wrapText="1"/>
    </xf>
    <xf numFmtId="179" fontId="4" fillId="0" borderId="4" xfId="13" applyNumberFormat="1" applyFont="1" applyBorder="1">
      <alignment vertical="center"/>
    </xf>
    <xf numFmtId="10" fontId="4" fillId="0" borderId="24" xfId="12" applyNumberFormat="1" applyFont="1" applyBorder="1" applyAlignment="1">
      <alignment horizontal="center" vertical="center" wrapText="1"/>
    </xf>
    <xf numFmtId="10" fontId="26" fillId="8" borderId="30" xfId="12" applyNumberFormat="1" applyFont="1" applyFill="1" applyBorder="1" applyAlignment="1">
      <alignment horizontal="center" vertical="center"/>
    </xf>
    <xf numFmtId="0" fontId="4" fillId="0" borderId="18" xfId="9" applyFont="1" applyBorder="1">
      <alignment vertical="center"/>
    </xf>
    <xf numFmtId="179" fontId="27" fillId="0" borderId="1" xfId="13" applyNumberFormat="1" applyFont="1" applyFill="1" applyBorder="1">
      <alignment vertical="center"/>
    </xf>
    <xf numFmtId="179" fontId="4" fillId="5" borderId="3" xfId="13" applyNumberFormat="1" applyFont="1" applyFill="1" applyBorder="1" applyAlignment="1">
      <alignment horizontal="center" vertical="center"/>
    </xf>
    <xf numFmtId="10" fontId="4" fillId="5" borderId="20" xfId="12" applyNumberFormat="1" applyFont="1" applyFill="1" applyBorder="1" applyAlignment="1">
      <alignment horizontal="center" vertical="center" wrapText="1"/>
    </xf>
    <xf numFmtId="42" fontId="4" fillId="0" borderId="13" xfId="9" applyNumberFormat="1" applyFont="1" applyBorder="1">
      <alignment vertical="center"/>
    </xf>
    <xf numFmtId="10" fontId="4" fillId="0" borderId="16" xfId="12" applyNumberFormat="1" applyFont="1" applyBorder="1" applyAlignment="1">
      <alignment horizontal="center" vertical="center"/>
    </xf>
    <xf numFmtId="0" fontId="4" fillId="0" borderId="15" xfId="9" applyFont="1" applyBorder="1" applyAlignment="1">
      <alignment horizontal="center" vertical="center"/>
    </xf>
    <xf numFmtId="1" fontId="4" fillId="0" borderId="13" xfId="9" applyNumberFormat="1" applyFont="1" applyBorder="1" applyAlignment="1">
      <alignment horizontal="center" vertical="center"/>
    </xf>
    <xf numFmtId="1" fontId="4" fillId="0" borderId="3" xfId="9" applyNumberFormat="1" applyFont="1" applyBorder="1" applyAlignment="1">
      <alignment horizontal="center" vertical="center"/>
    </xf>
    <xf numFmtId="10" fontId="4" fillId="0" borderId="20" xfId="12" applyNumberFormat="1" applyFont="1" applyBorder="1" applyAlignment="1">
      <alignment horizontal="center" vertical="center" wrapText="1"/>
    </xf>
    <xf numFmtId="10" fontId="4" fillId="0" borderId="0" xfId="9" applyNumberFormat="1" applyFont="1">
      <alignment vertical="center"/>
    </xf>
    <xf numFmtId="10" fontId="26" fillId="3" borderId="30" xfId="12" applyNumberFormat="1" applyFont="1" applyFill="1" applyBorder="1" applyAlignment="1">
      <alignment horizontal="center" vertical="center"/>
    </xf>
    <xf numFmtId="43" fontId="4" fillId="0" borderId="0" xfId="9" applyNumberFormat="1" applyFont="1">
      <alignment vertical="center"/>
    </xf>
    <xf numFmtId="183" fontId="4" fillId="0" borderId="0" xfId="9" applyNumberFormat="1" applyFont="1">
      <alignment vertical="center"/>
    </xf>
    <xf numFmtId="0" fontId="44" fillId="0" borderId="0" xfId="3" applyFont="1" applyAlignment="1">
      <alignment horizontal="center" vertical="center"/>
    </xf>
    <xf numFmtId="0" fontId="32" fillId="0" borderId="15" xfId="3" applyFont="1" applyBorder="1" applyAlignment="1">
      <alignment horizontal="center" vertical="center" wrapText="1"/>
    </xf>
    <xf numFmtId="0" fontId="32" fillId="0" borderId="13" xfId="3" applyFont="1" applyBorder="1" applyAlignment="1">
      <alignment horizontal="center" vertical="center" wrapText="1"/>
    </xf>
    <xf numFmtId="192" fontId="44" fillId="0" borderId="0" xfId="3" applyNumberFormat="1" applyFont="1" applyAlignment="1">
      <alignment horizontal="center" vertical="center"/>
    </xf>
    <xf numFmtId="0" fontId="32" fillId="0" borderId="17" xfId="3" applyFont="1" applyBorder="1" applyAlignment="1">
      <alignment horizontal="center" vertical="center" wrapText="1"/>
    </xf>
    <xf numFmtId="0" fontId="32" fillId="0" borderId="1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3" xfId="3" applyFont="1" applyBorder="1" applyAlignment="1">
      <alignment horizontal="center" vertical="center" wrapText="1"/>
    </xf>
    <xf numFmtId="0" fontId="46" fillId="4" borderId="22" xfId="3" applyFont="1" applyFill="1" applyBorder="1" applyAlignment="1">
      <alignment horizontal="center" vertical="center" wrapText="1"/>
    </xf>
    <xf numFmtId="0" fontId="46" fillId="4" borderId="11" xfId="3" applyFont="1" applyFill="1" applyBorder="1" applyAlignment="1">
      <alignment horizontal="center" vertical="center" wrapText="1"/>
    </xf>
    <xf numFmtId="0" fontId="46" fillId="4" borderId="23" xfId="3" applyFont="1" applyFill="1" applyBorder="1" applyAlignment="1">
      <alignment horizontal="center" vertical="center" wrapText="1"/>
    </xf>
    <xf numFmtId="0" fontId="32" fillId="5" borderId="13" xfId="3" applyFont="1" applyFill="1" applyBorder="1" applyAlignment="1">
      <alignment horizontal="center" vertical="center" wrapText="1"/>
    </xf>
    <xf numFmtId="0" fontId="45" fillId="5" borderId="13" xfId="3" applyFont="1" applyFill="1" applyBorder="1" applyAlignment="1">
      <alignment horizontal="center" vertical="center" wrapText="1"/>
    </xf>
    <xf numFmtId="176" fontId="45" fillId="5" borderId="13" xfId="3" applyNumberFormat="1" applyFont="1" applyFill="1" applyBorder="1" applyAlignment="1">
      <alignment horizontal="center" vertical="center" wrapText="1"/>
    </xf>
    <xf numFmtId="182" fontId="45" fillId="5" borderId="13" xfId="3" applyNumberFormat="1" applyFont="1" applyFill="1" applyBorder="1" applyAlignment="1">
      <alignment horizontal="center" vertical="center" wrapText="1"/>
    </xf>
    <xf numFmtId="0" fontId="47" fillId="5" borderId="16" xfId="3" applyFont="1" applyFill="1" applyBorder="1" applyAlignment="1">
      <alignment horizontal="left" vertical="center" wrapText="1"/>
    </xf>
    <xf numFmtId="1" fontId="45" fillId="0" borderId="17" xfId="3" applyNumberFormat="1" applyFont="1" applyBorder="1" applyAlignment="1">
      <alignment horizontal="center" vertical="center" shrinkToFit="1"/>
    </xf>
    <xf numFmtId="0" fontId="33" fillId="0" borderId="1" xfId="5" applyFont="1" applyBorder="1" applyAlignment="1">
      <alignment horizontal="left" vertical="center" wrapText="1"/>
    </xf>
    <xf numFmtId="0" fontId="48" fillId="0" borderId="18" xfId="3" applyFont="1" applyBorder="1" applyAlignment="1">
      <alignment horizontal="left" vertical="center" wrapText="1"/>
    </xf>
    <xf numFmtId="0" fontId="33" fillId="0" borderId="4" xfId="5" applyFont="1" applyBorder="1" applyAlignment="1">
      <alignment horizontal="left" vertical="center" wrapText="1"/>
    </xf>
    <xf numFmtId="0" fontId="48" fillId="5" borderId="16" xfId="3" applyFont="1" applyFill="1" applyBorder="1" applyAlignment="1">
      <alignment horizontal="left" vertical="center" wrapText="1"/>
    </xf>
    <xf numFmtId="0" fontId="48" fillId="0" borderId="24" xfId="3" applyFont="1" applyBorder="1" applyAlignment="1">
      <alignment horizontal="left" vertical="center" wrapText="1"/>
    </xf>
    <xf numFmtId="1" fontId="45" fillId="0" borderId="26" xfId="3" applyNumberFormat="1" applyFont="1" applyBorder="1" applyAlignment="1">
      <alignment horizontal="center" vertical="center" shrinkToFit="1"/>
    </xf>
    <xf numFmtId="1" fontId="45" fillId="0" borderId="44" xfId="3" applyNumberFormat="1" applyFont="1" applyBorder="1" applyAlignment="1">
      <alignment horizontal="center" vertical="center" shrinkToFit="1"/>
    </xf>
    <xf numFmtId="0" fontId="49" fillId="0" borderId="0" xfId="3" applyFont="1" applyAlignment="1">
      <alignment horizontal="left" vertical="top"/>
    </xf>
    <xf numFmtId="1" fontId="45" fillId="0" borderId="34" xfId="3" applyNumberFormat="1" applyFont="1" applyBorder="1" applyAlignment="1">
      <alignment horizontal="center" vertical="center" shrinkToFit="1"/>
    </xf>
    <xf numFmtId="0" fontId="33" fillId="0" borderId="25" xfId="5" applyFont="1" applyBorder="1" applyAlignment="1">
      <alignment horizontal="left" vertical="center" wrapText="1"/>
    </xf>
    <xf numFmtId="0" fontId="48" fillId="0" borderId="30" xfId="3" applyFont="1" applyBorder="1" applyAlignment="1">
      <alignment horizontal="left" vertical="center" wrapText="1"/>
    </xf>
    <xf numFmtId="44" fontId="49" fillId="0" borderId="0" xfId="3" applyNumberFormat="1" applyFont="1" applyAlignment="1">
      <alignment horizontal="left" vertical="top"/>
    </xf>
    <xf numFmtId="1" fontId="45" fillId="0" borderId="19" xfId="3" applyNumberFormat="1" applyFont="1" applyBorder="1" applyAlignment="1">
      <alignment horizontal="center" vertical="center" shrinkToFit="1"/>
    </xf>
    <xf numFmtId="0" fontId="33" fillId="0" borderId="3" xfId="5" applyFont="1" applyBorder="1" applyAlignment="1">
      <alignment horizontal="left" vertical="center" wrapText="1"/>
    </xf>
    <xf numFmtId="0" fontId="48" fillId="0" borderId="20" xfId="3" applyFont="1" applyBorder="1" applyAlignment="1">
      <alignment horizontal="left" vertical="center" wrapText="1"/>
    </xf>
    <xf numFmtId="0" fontId="32" fillId="4" borderId="26" xfId="3" applyFont="1" applyFill="1" applyBorder="1" applyAlignment="1">
      <alignment vertical="center" wrapText="1"/>
    </xf>
    <xf numFmtId="0" fontId="32" fillId="4" borderId="4" xfId="3" applyFont="1" applyFill="1" applyBorder="1" applyAlignment="1">
      <alignment horizontal="center" vertical="center" wrapText="1"/>
    </xf>
    <xf numFmtId="176" fontId="32" fillId="4" borderId="4" xfId="3" applyNumberFormat="1" applyFont="1" applyFill="1" applyBorder="1" applyAlignment="1">
      <alignment horizontal="center" vertical="center" wrapText="1"/>
    </xf>
    <xf numFmtId="182" fontId="50" fillId="4" borderId="4" xfId="3" applyNumberFormat="1" applyFont="1" applyFill="1" applyBorder="1" applyAlignment="1">
      <alignment horizontal="center" vertical="center" shrinkToFit="1"/>
    </xf>
    <xf numFmtId="0" fontId="48" fillId="4" borderId="24" xfId="3" applyFont="1" applyFill="1" applyBorder="1" applyAlignment="1">
      <alignment horizontal="center" vertical="center" wrapText="1"/>
    </xf>
    <xf numFmtId="0" fontId="32" fillId="4" borderId="17" xfId="3" applyFont="1" applyFill="1" applyBorder="1" applyAlignment="1">
      <alignment vertical="center" wrapText="1"/>
    </xf>
    <xf numFmtId="0" fontId="32" fillId="4" borderId="1" xfId="3" applyFont="1" applyFill="1" applyBorder="1" applyAlignment="1">
      <alignment horizontal="center" vertical="center" wrapText="1"/>
    </xf>
    <xf numFmtId="0" fontId="32" fillId="4" borderId="1" xfId="3" applyFont="1" applyFill="1" applyBorder="1" applyAlignment="1">
      <alignment vertical="center" wrapText="1"/>
    </xf>
    <xf numFmtId="182" fontId="50" fillId="4" borderId="1" xfId="3" applyNumberFormat="1" applyFont="1" applyFill="1" applyBorder="1" applyAlignment="1">
      <alignment horizontal="center" vertical="center" shrinkToFit="1"/>
    </xf>
    <xf numFmtId="0" fontId="48" fillId="4" borderId="18" xfId="3" applyFont="1" applyFill="1" applyBorder="1" applyAlignment="1">
      <alignment horizontal="center" vertical="center" wrapText="1"/>
    </xf>
    <xf numFmtId="0" fontId="32" fillId="4" borderId="28" xfId="3" applyFont="1" applyFill="1" applyBorder="1" applyAlignment="1">
      <alignment vertical="center" wrapText="1"/>
    </xf>
    <xf numFmtId="0" fontId="32" fillId="4" borderId="7" xfId="3" applyFont="1" applyFill="1" applyBorder="1" applyAlignment="1">
      <alignment horizontal="center" vertical="center" wrapText="1"/>
    </xf>
    <xf numFmtId="0" fontId="32" fillId="4" borderId="7" xfId="3" applyFont="1" applyFill="1" applyBorder="1" applyAlignment="1">
      <alignment vertical="center" wrapText="1"/>
    </xf>
    <xf numFmtId="1" fontId="32" fillId="4" borderId="7" xfId="3" applyNumberFormat="1" applyFont="1" applyFill="1" applyBorder="1" applyAlignment="1">
      <alignment vertical="center" wrapText="1"/>
    </xf>
    <xf numFmtId="182" fontId="50" fillId="4" borderId="7" xfId="3" applyNumberFormat="1" applyFont="1" applyFill="1" applyBorder="1" applyAlignment="1">
      <alignment horizontal="center" vertical="center" shrinkToFit="1"/>
    </xf>
    <xf numFmtId="0" fontId="48" fillId="4" borderId="21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1" fontId="48" fillId="0" borderId="17" xfId="3" applyNumberFormat="1" applyFont="1" applyBorder="1" applyAlignment="1">
      <alignment horizontal="center" vertical="center" shrinkToFit="1"/>
    </xf>
    <xf numFmtId="1" fontId="48" fillId="0" borderId="34" xfId="3" applyNumberFormat="1" applyFont="1" applyBorder="1" applyAlignment="1">
      <alignment horizontal="center" vertical="center" shrinkToFit="1"/>
    </xf>
    <xf numFmtId="0" fontId="31" fillId="0" borderId="0" xfId="9" applyFont="1">
      <alignment vertical="center"/>
    </xf>
    <xf numFmtId="178" fontId="31" fillId="0" borderId="0" xfId="9" applyNumberFormat="1" applyFont="1">
      <alignment vertical="center"/>
    </xf>
    <xf numFmtId="0" fontId="31" fillId="0" borderId="0" xfId="9" applyFont="1" applyAlignment="1">
      <alignment horizontal="right" vertical="center"/>
    </xf>
    <xf numFmtId="0" fontId="33" fillId="0" borderId="0" xfId="9" applyFont="1" applyAlignment="1">
      <alignment horizontal="center" vertical="center"/>
    </xf>
    <xf numFmtId="0" fontId="51" fillId="0" borderId="0" xfId="9" applyFont="1">
      <alignment vertical="center"/>
    </xf>
    <xf numFmtId="0" fontId="52" fillId="0" borderId="0" xfId="9" applyFont="1" applyAlignment="1">
      <alignment horizontal="right" vertical="center" wrapText="1"/>
    </xf>
    <xf numFmtId="0" fontId="53" fillId="0" borderId="0" xfId="9" applyFont="1" applyAlignment="1">
      <alignment horizontal="left" vertical="center" wrapText="1"/>
    </xf>
    <xf numFmtId="0" fontId="32" fillId="0" borderId="0" xfId="9" applyFont="1" applyAlignment="1">
      <alignment horizontal="center" vertical="center" wrapText="1"/>
    </xf>
    <xf numFmtId="0" fontId="32" fillId="0" borderId="0" xfId="9" applyFont="1" applyAlignment="1">
      <alignment horizontal="right" vertical="center" wrapText="1"/>
    </xf>
    <xf numFmtId="178" fontId="32" fillId="0" borderId="0" xfId="9" applyNumberFormat="1" applyFont="1" applyAlignment="1">
      <alignment horizontal="center" vertical="center" wrapText="1"/>
    </xf>
    <xf numFmtId="0" fontId="33" fillId="0" borderId="0" xfId="9" applyFont="1" applyAlignment="1">
      <alignment horizontal="right" vertical="center" wrapText="1"/>
    </xf>
    <xf numFmtId="14" fontId="32" fillId="0" borderId="0" xfId="9" applyNumberFormat="1" applyFont="1" applyAlignment="1">
      <alignment horizontal="center" vertical="center" wrapText="1"/>
    </xf>
    <xf numFmtId="0" fontId="25" fillId="0" borderId="0" xfId="9" applyFont="1" applyAlignment="1">
      <alignment vertical="center" wrapText="1"/>
    </xf>
    <xf numFmtId="178" fontId="33" fillId="0" borderId="0" xfId="9" applyNumberFormat="1" applyFont="1" applyAlignment="1">
      <alignment horizontal="left" vertical="center" wrapText="1"/>
    </xf>
    <xf numFmtId="192" fontId="53" fillId="0" borderId="0" xfId="9" applyNumberFormat="1" applyFont="1" applyAlignment="1">
      <alignment horizontal="left" vertical="center" wrapText="1"/>
    </xf>
    <xf numFmtId="0" fontId="33" fillId="0" borderId="0" xfId="9" applyFont="1" applyAlignment="1">
      <alignment vertical="center" wrapText="1"/>
    </xf>
    <xf numFmtId="1" fontId="32" fillId="0" borderId="0" xfId="9" applyNumberFormat="1" applyFont="1" applyAlignment="1">
      <alignment horizontal="center" vertical="center" wrapText="1"/>
    </xf>
    <xf numFmtId="0" fontId="33" fillId="0" borderId="0" xfId="9" applyFont="1" applyAlignment="1">
      <alignment horizontal="center" vertical="center" wrapText="1"/>
    </xf>
    <xf numFmtId="0" fontId="32" fillId="0" borderId="51" xfId="9" applyFont="1" applyBorder="1" applyAlignment="1">
      <alignment horizontal="center" vertical="center" wrapText="1"/>
    </xf>
    <xf numFmtId="0" fontId="32" fillId="0" borderId="52" xfId="9" applyFont="1" applyBorder="1" applyAlignment="1">
      <alignment vertical="center" wrapText="1"/>
    </xf>
    <xf numFmtId="0" fontId="33" fillId="0" borderId="52" xfId="9" applyFont="1" applyBorder="1" applyAlignment="1">
      <alignment horizontal="center" vertical="center" wrapText="1"/>
    </xf>
    <xf numFmtId="176" fontId="33" fillId="0" borderId="52" xfId="9" applyNumberFormat="1" applyFont="1" applyBorder="1" applyAlignment="1">
      <alignment horizontal="right" vertical="center" wrapText="1"/>
    </xf>
    <xf numFmtId="178" fontId="33" fillId="0" borderId="52" xfId="9" applyNumberFormat="1" applyFont="1" applyBorder="1" applyAlignment="1">
      <alignment horizontal="center" vertical="center" wrapText="1"/>
    </xf>
    <xf numFmtId="0" fontId="33" fillId="0" borderId="52" xfId="9" applyFont="1" applyBorder="1" applyAlignment="1">
      <alignment horizontal="right" vertical="center" wrapText="1"/>
    </xf>
    <xf numFmtId="0" fontId="33" fillId="0" borderId="54" xfId="9" applyFont="1" applyBorder="1" applyAlignment="1">
      <alignment vertical="center" wrapText="1"/>
    </xf>
    <xf numFmtId="0" fontId="25" fillId="0" borderId="0" xfId="9" applyFont="1" applyAlignment="1">
      <alignment horizontal="center" vertical="center" wrapText="1"/>
    </xf>
    <xf numFmtId="0" fontId="41" fillId="0" borderId="0" xfId="9" applyFont="1" applyAlignment="1">
      <alignment vertical="center" wrapText="1"/>
    </xf>
    <xf numFmtId="0" fontId="32" fillId="0" borderId="15" xfId="9" applyFont="1" applyBorder="1" applyAlignment="1">
      <alignment horizontal="center" vertical="center" wrapText="1"/>
    </xf>
    <xf numFmtId="0" fontId="32" fillId="0" borderId="13" xfId="9" applyFont="1" applyBorder="1" applyAlignment="1">
      <alignment horizontal="center" vertical="center" wrapText="1"/>
    </xf>
    <xf numFmtId="176" fontId="32" fillId="0" borderId="13" xfId="9" applyNumberFormat="1" applyFont="1" applyBorder="1" applyAlignment="1">
      <alignment horizontal="center" vertical="center" wrapText="1"/>
    </xf>
    <xf numFmtId="178" fontId="32" fillId="0" borderId="13" xfId="9" applyNumberFormat="1" applyFont="1" applyBorder="1" applyAlignment="1">
      <alignment horizontal="center" vertical="center" wrapText="1"/>
    </xf>
    <xf numFmtId="0" fontId="32" fillId="0" borderId="16" xfId="9" applyFont="1" applyBorder="1" applyAlignment="1">
      <alignment horizontal="center" vertical="center" wrapText="1"/>
    </xf>
    <xf numFmtId="0" fontId="54" fillId="0" borderId="0" xfId="9" applyFont="1" applyAlignment="1">
      <alignment horizontal="center" vertical="center" wrapText="1"/>
    </xf>
    <xf numFmtId="0" fontId="33" fillId="0" borderId="26" xfId="9" applyFont="1" applyBorder="1" applyAlignment="1">
      <alignment horizontal="center" vertical="center" wrapText="1"/>
    </xf>
    <xf numFmtId="0" fontId="33" fillId="0" borderId="4" xfId="10" applyNumberFormat="1" applyFont="1" applyFill="1" applyBorder="1" applyAlignment="1">
      <alignment vertical="center" wrapText="1"/>
    </xf>
    <xf numFmtId="43" fontId="33" fillId="0" borderId="4" xfId="10" applyFont="1" applyFill="1" applyBorder="1" applyAlignment="1">
      <alignment horizontal="center" vertical="center"/>
    </xf>
    <xf numFmtId="176" fontId="33" fillId="0" borderId="4" xfId="1" applyNumberFormat="1" applyFont="1" applyBorder="1" applyAlignment="1">
      <alignment horizontal="right" vertical="center"/>
    </xf>
    <xf numFmtId="178" fontId="33" fillId="0" borderId="4" xfId="10" applyNumberFormat="1" applyFont="1" applyFill="1" applyBorder="1" applyAlignment="1">
      <alignment vertical="center" wrapText="1"/>
    </xf>
    <xf numFmtId="0" fontId="33" fillId="0" borderId="24" xfId="10" applyNumberFormat="1" applyFont="1" applyFill="1" applyBorder="1" applyAlignment="1">
      <alignment vertical="center" wrapText="1"/>
    </xf>
    <xf numFmtId="0" fontId="33" fillId="0" borderId="17" xfId="9" applyFont="1" applyBorder="1" applyAlignment="1">
      <alignment horizontal="center" vertical="center" wrapText="1"/>
    </xf>
    <xf numFmtId="0" fontId="33" fillId="0" borderId="1" xfId="10" applyNumberFormat="1" applyFont="1" applyFill="1" applyBorder="1" applyAlignment="1">
      <alignment vertical="center" wrapText="1"/>
    </xf>
    <xf numFmtId="43" fontId="33" fillId="0" borderId="1" xfId="10" applyFont="1" applyFill="1" applyBorder="1" applyAlignment="1">
      <alignment horizontal="center" vertical="center"/>
    </xf>
    <xf numFmtId="176" fontId="33" fillId="0" borderId="1" xfId="1" applyNumberFormat="1" applyFont="1" applyBorder="1" applyAlignment="1">
      <alignment horizontal="right" vertical="center"/>
    </xf>
    <xf numFmtId="178" fontId="33" fillId="0" borderId="1" xfId="10" applyNumberFormat="1" applyFont="1" applyFill="1" applyBorder="1" applyAlignment="1">
      <alignment vertical="center" wrapText="1"/>
    </xf>
    <xf numFmtId="0" fontId="33" fillId="0" borderId="18" xfId="10" applyNumberFormat="1" applyFont="1" applyFill="1" applyBorder="1" applyAlignment="1">
      <alignment vertical="center" wrapText="1"/>
    </xf>
    <xf numFmtId="0" fontId="33" fillId="0" borderId="1" xfId="9" applyFont="1" applyBorder="1" applyAlignment="1">
      <alignment horizontal="center" vertical="center" wrapText="1"/>
    </xf>
    <xf numFmtId="0" fontId="33" fillId="0" borderId="18" xfId="9" applyFont="1" applyBorder="1" applyAlignment="1">
      <alignment horizontal="center" vertical="center" wrapText="1"/>
    </xf>
    <xf numFmtId="0" fontId="33" fillId="0" borderId="18" xfId="9" applyFont="1" applyBorder="1" applyAlignment="1">
      <alignment vertical="center" wrapText="1"/>
    </xf>
    <xf numFmtId="0" fontId="33" fillId="0" borderId="3" xfId="9" applyFont="1" applyBorder="1" applyAlignment="1">
      <alignment horizontal="center" vertical="center" wrapText="1"/>
    </xf>
    <xf numFmtId="178" fontId="33" fillId="0" borderId="1" xfId="10" applyNumberFormat="1" applyFont="1" applyFill="1" applyBorder="1" applyAlignment="1">
      <alignment horizontal="center" vertical="center"/>
    </xf>
    <xf numFmtId="0" fontId="33" fillId="0" borderId="19" xfId="9" applyFont="1" applyBorder="1" applyAlignment="1">
      <alignment horizontal="center" vertical="center" wrapText="1"/>
    </xf>
    <xf numFmtId="177" fontId="33" fillId="0" borderId="1" xfId="9" applyNumberFormat="1" applyFont="1" applyBorder="1" applyAlignment="1">
      <alignment horizontal="left" vertical="center" wrapText="1"/>
    </xf>
    <xf numFmtId="0" fontId="33" fillId="2" borderId="41" xfId="9" applyFont="1" applyFill="1" applyBorder="1" applyAlignment="1">
      <alignment horizontal="center" vertical="center" wrapText="1"/>
    </xf>
    <xf numFmtId="0" fontId="33" fillId="2" borderId="29" xfId="10" applyNumberFormat="1" applyFont="1" applyFill="1" applyBorder="1" applyAlignment="1">
      <alignment vertical="center" wrapText="1"/>
    </xf>
    <xf numFmtId="43" fontId="33" fillId="2" borderId="29" xfId="10" applyFont="1" applyFill="1" applyBorder="1" applyAlignment="1">
      <alignment horizontal="center" vertical="center"/>
    </xf>
    <xf numFmtId="176" fontId="33" fillId="2" borderId="29" xfId="1" applyNumberFormat="1" applyFont="1" applyFill="1" applyBorder="1" applyAlignment="1">
      <alignment horizontal="right" vertical="center"/>
    </xf>
    <xf numFmtId="178" fontId="33" fillId="2" borderId="29" xfId="10" applyNumberFormat="1" applyFont="1" applyFill="1" applyBorder="1" applyAlignment="1">
      <alignment vertical="center" wrapText="1"/>
    </xf>
    <xf numFmtId="42" fontId="33" fillId="2" borderId="29" xfId="1" applyNumberFormat="1" applyFont="1" applyFill="1" applyBorder="1" applyAlignment="1">
      <alignment horizontal="right" vertical="center" wrapText="1"/>
    </xf>
    <xf numFmtId="0" fontId="33" fillId="2" borderId="55" xfId="9" applyFont="1" applyFill="1" applyBorder="1" applyAlignment="1">
      <alignment vertical="center" wrapText="1"/>
    </xf>
    <xf numFmtId="0" fontId="33" fillId="2" borderId="19" xfId="9" applyFont="1" applyFill="1" applyBorder="1" applyAlignment="1">
      <alignment horizontal="center" vertical="center" wrapText="1"/>
    </xf>
    <xf numFmtId="177" fontId="33" fillId="2" borderId="10" xfId="9" applyNumberFormat="1" applyFont="1" applyFill="1" applyBorder="1" applyAlignment="1">
      <alignment horizontal="left" vertical="center" wrapText="1"/>
    </xf>
    <xf numFmtId="0" fontId="33" fillId="2" borderId="50" xfId="9" applyFont="1" applyFill="1" applyBorder="1" applyAlignment="1">
      <alignment horizontal="center" vertical="center"/>
    </xf>
    <xf numFmtId="176" fontId="33" fillId="2" borderId="50" xfId="9" applyNumberFormat="1" applyFont="1" applyFill="1" applyBorder="1" applyAlignment="1">
      <alignment horizontal="right" vertical="center" wrapText="1"/>
    </xf>
    <xf numFmtId="178" fontId="33" fillId="2" borderId="50" xfId="10" applyNumberFormat="1" applyFont="1" applyFill="1" applyBorder="1" applyAlignment="1">
      <alignment horizontal="right" vertical="center" wrapText="1"/>
    </xf>
    <xf numFmtId="0" fontId="33" fillId="2" borderId="17" xfId="9" applyFont="1" applyFill="1" applyBorder="1" applyAlignment="1">
      <alignment horizontal="center" vertical="center" wrapText="1"/>
    </xf>
    <xf numFmtId="177" fontId="33" fillId="2" borderId="1" xfId="9" applyNumberFormat="1" applyFont="1" applyFill="1" applyBorder="1" applyAlignment="1">
      <alignment horizontal="left" vertical="center" wrapText="1"/>
    </xf>
    <xf numFmtId="0" fontId="33" fillId="2" borderId="1" xfId="9" applyFont="1" applyFill="1" applyBorder="1" applyAlignment="1">
      <alignment horizontal="center" vertical="center" wrapText="1"/>
    </xf>
    <xf numFmtId="176" fontId="33" fillId="2" borderId="1" xfId="9" applyNumberFormat="1" applyFont="1" applyFill="1" applyBorder="1" applyAlignment="1">
      <alignment horizontal="right" vertical="center" wrapText="1"/>
    </xf>
    <xf numFmtId="178" fontId="33" fillId="2" borderId="1" xfId="10" applyNumberFormat="1" applyFont="1" applyFill="1" applyBorder="1" applyAlignment="1">
      <alignment horizontal="right" vertical="center" wrapText="1"/>
    </xf>
    <xf numFmtId="179" fontId="33" fillId="2" borderId="1" xfId="10" applyNumberFormat="1" applyFont="1" applyFill="1" applyBorder="1" applyAlignment="1">
      <alignment horizontal="right" vertical="center" wrapText="1"/>
    </xf>
    <xf numFmtId="0" fontId="33" fillId="2" borderId="18" xfId="9" applyFont="1" applyFill="1" applyBorder="1" applyAlignment="1">
      <alignment vertical="center" wrapText="1"/>
    </xf>
    <xf numFmtId="0" fontId="33" fillId="2" borderId="1" xfId="9" applyFont="1" applyFill="1" applyBorder="1" applyAlignment="1">
      <alignment horizontal="left" vertical="center" wrapText="1"/>
    </xf>
    <xf numFmtId="177" fontId="33" fillId="2" borderId="18" xfId="9" applyNumberFormat="1" applyFont="1" applyFill="1" applyBorder="1" applyAlignment="1">
      <alignment horizontal="center" vertical="center" wrapText="1"/>
    </xf>
    <xf numFmtId="43" fontId="33" fillId="2" borderId="1" xfId="10" applyFont="1" applyFill="1" applyBorder="1" applyAlignment="1">
      <alignment horizontal="center" vertical="center"/>
    </xf>
    <xf numFmtId="185" fontId="33" fillId="2" borderId="18" xfId="9" applyNumberFormat="1" applyFont="1" applyFill="1" applyBorder="1" applyAlignment="1">
      <alignment horizontal="center" vertical="center" wrapText="1"/>
    </xf>
    <xf numFmtId="43" fontId="33" fillId="2" borderId="1" xfId="10" applyFont="1" applyFill="1" applyBorder="1" applyAlignment="1">
      <alignment horizontal="center" vertical="center" wrapText="1"/>
    </xf>
    <xf numFmtId="179" fontId="33" fillId="2" borderId="14" xfId="10" applyNumberFormat="1" applyFont="1" applyFill="1" applyBorder="1" applyAlignment="1">
      <alignment horizontal="right" vertical="center" wrapText="1"/>
    </xf>
    <xf numFmtId="179" fontId="33" fillId="2" borderId="20" xfId="9" applyNumberFormat="1" applyFont="1" applyFill="1" applyBorder="1" applyAlignment="1">
      <alignment horizontal="center" vertical="center" wrapText="1"/>
    </xf>
    <xf numFmtId="0" fontId="33" fillId="0" borderId="1" xfId="9" applyFont="1" applyBorder="1" applyAlignment="1">
      <alignment horizontal="left" vertical="center" wrapText="1"/>
    </xf>
    <xf numFmtId="178" fontId="33" fillId="0" borderId="1" xfId="10" applyNumberFormat="1" applyFont="1" applyBorder="1" applyAlignment="1">
      <alignment horizontal="right" vertical="center" wrapText="1"/>
    </xf>
    <xf numFmtId="179" fontId="33" fillId="0" borderId="1" xfId="10" applyNumberFormat="1" applyFont="1" applyFill="1" applyBorder="1" applyAlignment="1">
      <alignment horizontal="right" vertical="center" wrapText="1"/>
    </xf>
    <xf numFmtId="177" fontId="33" fillId="0" borderId="18" xfId="9" applyNumberFormat="1" applyFont="1" applyBorder="1" applyAlignment="1">
      <alignment horizontal="left" vertical="center" wrapText="1"/>
    </xf>
    <xf numFmtId="0" fontId="33" fillId="0" borderId="33" xfId="9" applyFont="1" applyBorder="1" applyAlignment="1">
      <alignment horizontal="center" vertical="center" wrapText="1"/>
    </xf>
    <xf numFmtId="0" fontId="33" fillId="0" borderId="5" xfId="9" applyFont="1" applyBorder="1" applyAlignment="1">
      <alignment horizontal="left" vertical="center" wrapText="1"/>
    </xf>
    <xf numFmtId="0" fontId="33" fillId="0" borderId="5" xfId="9" applyFont="1" applyBorder="1" applyAlignment="1">
      <alignment horizontal="center" vertical="center" wrapText="1"/>
    </xf>
    <xf numFmtId="178" fontId="33" fillId="0" borderId="5" xfId="10" applyNumberFormat="1" applyFont="1" applyBorder="1" applyAlignment="1">
      <alignment horizontal="right" vertical="center" wrapText="1"/>
    </xf>
    <xf numFmtId="179" fontId="33" fillId="0" borderId="5" xfId="10" applyNumberFormat="1" applyFont="1" applyFill="1" applyBorder="1" applyAlignment="1">
      <alignment horizontal="right" vertical="center" wrapText="1"/>
    </xf>
    <xf numFmtId="177" fontId="33" fillId="0" borderId="27" xfId="9" applyNumberFormat="1" applyFont="1" applyBorder="1" applyAlignment="1">
      <alignment horizontal="left" vertical="center" wrapText="1"/>
    </xf>
    <xf numFmtId="177" fontId="33" fillId="0" borderId="3" xfId="9" applyNumberFormat="1" applyFont="1" applyBorder="1" applyAlignment="1">
      <alignment horizontal="left" vertical="center" wrapText="1"/>
    </xf>
    <xf numFmtId="0" fontId="33" fillId="0" borderId="3" xfId="9" applyFont="1" applyBorder="1" applyAlignment="1">
      <alignment horizontal="center" vertical="center"/>
    </xf>
    <xf numFmtId="176" fontId="33" fillId="0" borderId="3" xfId="9" applyNumberFormat="1" applyFont="1" applyBorder="1" applyAlignment="1">
      <alignment horizontal="right" vertical="center" wrapText="1"/>
    </xf>
    <xf numFmtId="178" fontId="33" fillId="0" borderId="3" xfId="10" applyNumberFormat="1" applyFont="1" applyBorder="1" applyAlignment="1">
      <alignment horizontal="right" vertical="center" wrapText="1"/>
    </xf>
    <xf numFmtId="179" fontId="33" fillId="0" borderId="3" xfId="10" applyNumberFormat="1" applyFont="1" applyFill="1" applyBorder="1" applyAlignment="1">
      <alignment horizontal="right" vertical="center" wrapText="1"/>
    </xf>
    <xf numFmtId="179" fontId="33" fillId="0" borderId="20" xfId="9" applyNumberFormat="1" applyFont="1" applyBorder="1" applyAlignment="1">
      <alignment horizontal="center" vertical="center" wrapText="1"/>
    </xf>
    <xf numFmtId="43" fontId="33" fillId="0" borderId="7" xfId="10" applyFont="1" applyFill="1" applyBorder="1" applyAlignment="1">
      <alignment horizontal="center" vertical="center"/>
    </xf>
    <xf numFmtId="178" fontId="33" fillId="0" borderId="7" xfId="10" applyNumberFormat="1" applyFont="1" applyFill="1" applyBorder="1" applyAlignment="1">
      <alignment vertical="center" wrapText="1"/>
    </xf>
    <xf numFmtId="44" fontId="33" fillId="0" borderId="18" xfId="9" applyNumberFormat="1" applyFont="1" applyBorder="1" applyAlignment="1">
      <alignment vertical="center" wrapText="1"/>
    </xf>
    <xf numFmtId="0" fontId="33" fillId="0" borderId="28" xfId="9" applyFont="1" applyBorder="1" applyAlignment="1">
      <alignment horizontal="center" vertical="center" wrapText="1"/>
    </xf>
    <xf numFmtId="177" fontId="33" fillId="0" borderId="7" xfId="9" applyNumberFormat="1" applyFont="1" applyBorder="1" applyAlignment="1">
      <alignment horizontal="left" vertical="center" wrapText="1"/>
    </xf>
    <xf numFmtId="0" fontId="33" fillId="0" borderId="7" xfId="9" applyFont="1" applyBorder="1" applyAlignment="1">
      <alignment horizontal="right" vertical="center" wrapText="1"/>
    </xf>
    <xf numFmtId="176" fontId="33" fillId="0" borderId="7" xfId="9" applyNumberFormat="1" applyFont="1" applyBorder="1" applyAlignment="1">
      <alignment horizontal="right" vertical="center" wrapText="1"/>
    </xf>
    <xf numFmtId="178" fontId="33" fillId="0" borderId="7" xfId="10" applyNumberFormat="1" applyFont="1" applyFill="1" applyBorder="1" applyAlignment="1">
      <alignment horizontal="right" vertical="center" wrapText="1"/>
    </xf>
    <xf numFmtId="42" fontId="33" fillId="0" borderId="7" xfId="10" applyNumberFormat="1" applyFont="1" applyFill="1" applyBorder="1" applyAlignment="1">
      <alignment horizontal="right" vertical="center" wrapText="1"/>
    </xf>
    <xf numFmtId="44" fontId="33" fillId="0" borderId="21" xfId="9" applyNumberFormat="1" applyFont="1" applyBorder="1" applyAlignment="1">
      <alignment horizontal="center" vertical="center" wrapText="1"/>
    </xf>
    <xf numFmtId="176" fontId="33" fillId="0" borderId="3" xfId="9" applyNumberFormat="1" applyFont="1" applyBorder="1" applyAlignment="1">
      <alignment horizontal="center" vertical="center" wrapText="1"/>
    </xf>
    <xf numFmtId="42" fontId="33" fillId="0" borderId="3" xfId="10" applyNumberFormat="1" applyFont="1" applyFill="1" applyBorder="1" applyAlignment="1">
      <alignment horizontal="right" vertical="center" wrapText="1"/>
    </xf>
    <xf numFmtId="44" fontId="33" fillId="0" borderId="20" xfId="9" applyNumberFormat="1" applyFont="1" applyBorder="1" applyAlignment="1">
      <alignment horizontal="center" vertical="center" wrapText="1"/>
    </xf>
    <xf numFmtId="0" fontId="32" fillId="0" borderId="17" xfId="9" applyFont="1" applyBorder="1" applyAlignment="1">
      <alignment horizontal="center" vertical="center" wrapText="1"/>
    </xf>
    <xf numFmtId="0" fontId="32" fillId="0" borderId="1" xfId="9" applyFont="1" applyBorder="1" applyAlignment="1">
      <alignment vertical="center" wrapText="1"/>
    </xf>
    <xf numFmtId="0" fontId="33" fillId="0" borderId="1" xfId="9" applyFont="1" applyBorder="1" applyAlignment="1">
      <alignment vertical="center" wrapText="1"/>
    </xf>
    <xf numFmtId="44" fontId="33" fillId="0" borderId="18" xfId="9" applyNumberFormat="1" applyFont="1" applyBorder="1" applyAlignment="1">
      <alignment horizontal="right" vertical="center" wrapText="1"/>
    </xf>
    <xf numFmtId="0" fontId="33" fillId="0" borderId="7" xfId="9" applyFont="1" applyBorder="1" applyAlignment="1">
      <alignment vertical="center" wrapText="1"/>
    </xf>
    <xf numFmtId="0" fontId="33" fillId="0" borderId="7" xfId="9" applyFont="1" applyBorder="1" applyAlignment="1">
      <alignment horizontal="center" vertical="center" wrapText="1"/>
    </xf>
    <xf numFmtId="178" fontId="33" fillId="0" borderId="7" xfId="10" applyNumberFormat="1" applyFont="1" applyBorder="1" applyAlignment="1">
      <alignment horizontal="right" vertical="center" wrapText="1"/>
    </xf>
    <xf numFmtId="0" fontId="33" fillId="0" borderId="21" xfId="9" applyFont="1" applyBorder="1" applyAlignment="1">
      <alignment vertical="center" wrapText="1"/>
    </xf>
    <xf numFmtId="176" fontId="33" fillId="0" borderId="7" xfId="9" applyNumberFormat="1" applyFont="1" applyBorder="1" applyAlignment="1">
      <alignment horizontal="center" vertical="center" wrapText="1"/>
    </xf>
    <xf numFmtId="179" fontId="33" fillId="0" borderId="7" xfId="10" applyNumberFormat="1" applyFont="1" applyFill="1" applyBorder="1" applyAlignment="1">
      <alignment horizontal="right" vertical="center" wrapText="1"/>
    </xf>
    <xf numFmtId="0" fontId="32" fillId="0" borderId="26" xfId="9" applyFont="1" applyBorder="1" applyAlignment="1">
      <alignment horizontal="center" vertical="center" wrapText="1"/>
    </xf>
    <xf numFmtId="0" fontId="32" fillId="0" borderId="4" xfId="9" applyFont="1" applyBorder="1" applyAlignment="1">
      <alignment vertical="center" wrapText="1"/>
    </xf>
    <xf numFmtId="0" fontId="33" fillId="0" borderId="4" xfId="9" applyFont="1" applyBorder="1" applyAlignment="1">
      <alignment horizontal="center" vertical="center" wrapText="1"/>
    </xf>
    <xf numFmtId="176" fontId="33" fillId="0" borderId="4" xfId="9" applyNumberFormat="1" applyFont="1" applyBorder="1" applyAlignment="1">
      <alignment horizontal="center" vertical="center" wrapText="1"/>
    </xf>
    <xf numFmtId="178" fontId="33" fillId="0" borderId="4" xfId="10" applyNumberFormat="1" applyFont="1" applyBorder="1" applyAlignment="1">
      <alignment horizontal="right" vertical="center" wrapText="1"/>
    </xf>
    <xf numFmtId="44" fontId="33" fillId="0" borderId="4" xfId="10" applyNumberFormat="1" applyFont="1" applyFill="1" applyBorder="1" applyAlignment="1">
      <alignment horizontal="right" vertical="center" wrapText="1"/>
    </xf>
    <xf numFmtId="0" fontId="33" fillId="0" borderId="24" xfId="9" applyFont="1" applyBorder="1" applyAlignment="1">
      <alignment horizontal="center" vertical="center" wrapText="1"/>
    </xf>
    <xf numFmtId="0" fontId="41" fillId="2" borderId="0" xfId="9" applyFont="1" applyFill="1" applyAlignment="1">
      <alignment vertical="center" wrapText="1"/>
    </xf>
    <xf numFmtId="178" fontId="33" fillId="0" borderId="4" xfId="10" applyNumberFormat="1" applyFont="1" applyBorder="1" applyAlignment="1">
      <alignment horizontal="center" vertical="center" wrapText="1"/>
    </xf>
    <xf numFmtId="0" fontId="33" fillId="2" borderId="1" xfId="10" applyNumberFormat="1" applyFont="1" applyFill="1" applyBorder="1" applyAlignment="1">
      <alignment vertical="center" wrapText="1"/>
    </xf>
    <xf numFmtId="178" fontId="33" fillId="2" borderId="1" xfId="10" applyNumberFormat="1" applyFont="1" applyFill="1" applyBorder="1" applyAlignment="1">
      <alignment vertical="center" wrapText="1"/>
    </xf>
    <xf numFmtId="178" fontId="33" fillId="0" borderId="1" xfId="10" applyNumberFormat="1" applyFont="1" applyBorder="1" applyAlignment="1">
      <alignment vertical="center" wrapText="1"/>
    </xf>
    <xf numFmtId="179" fontId="33" fillId="0" borderId="18" xfId="9" applyNumberFormat="1" applyFont="1" applyBorder="1" applyAlignment="1">
      <alignment vertical="center" wrapText="1"/>
    </xf>
    <xf numFmtId="177" fontId="33" fillId="0" borderId="5" xfId="9" applyNumberFormat="1" applyFont="1" applyBorder="1" applyAlignment="1">
      <alignment horizontal="left" vertical="center" wrapText="1"/>
    </xf>
    <xf numFmtId="176" fontId="33" fillId="0" borderId="5" xfId="9" applyNumberFormat="1" applyFont="1" applyBorder="1" applyAlignment="1">
      <alignment horizontal="center" vertical="center" wrapText="1"/>
    </xf>
    <xf numFmtId="44" fontId="33" fillId="0" borderId="27" xfId="9" applyNumberFormat="1" applyFont="1" applyBorder="1" applyAlignment="1">
      <alignment vertical="center" wrapText="1"/>
    </xf>
    <xf numFmtId="0" fontId="33" fillId="0" borderId="1" xfId="10" applyNumberFormat="1" applyFont="1" applyFill="1" applyBorder="1" applyAlignment="1">
      <alignment vertical="center"/>
    </xf>
    <xf numFmtId="0" fontId="33" fillId="0" borderId="3" xfId="10" applyNumberFormat="1" applyFont="1" applyFill="1" applyBorder="1" applyAlignment="1">
      <alignment vertical="center"/>
    </xf>
    <xf numFmtId="43" fontId="33" fillId="0" borderId="3" xfId="10" applyFont="1" applyFill="1" applyBorder="1" applyAlignment="1">
      <alignment horizontal="center" vertical="center"/>
    </xf>
    <xf numFmtId="44" fontId="33" fillId="0" borderId="20" xfId="9" applyNumberFormat="1" applyFont="1" applyBorder="1" applyAlignment="1">
      <alignment vertical="center" wrapText="1"/>
    </xf>
    <xf numFmtId="0" fontId="33" fillId="2" borderId="17" xfId="1" applyFont="1" applyFill="1" applyBorder="1" applyAlignment="1">
      <alignment horizontal="center" vertical="center"/>
    </xf>
    <xf numFmtId="0" fontId="33" fillId="0" borderId="9" xfId="9" applyFont="1" applyBorder="1" applyAlignment="1">
      <alignment horizontal="center" vertical="center" wrapText="1"/>
    </xf>
    <xf numFmtId="0" fontId="33" fillId="0" borderId="3" xfId="9" applyFont="1" applyBorder="1" applyAlignment="1">
      <alignment vertical="center" wrapText="1"/>
    </xf>
    <xf numFmtId="43" fontId="33" fillId="0" borderId="10" xfId="10" applyFont="1" applyFill="1" applyBorder="1" applyAlignment="1">
      <alignment horizontal="center" vertical="center" wrapText="1"/>
    </xf>
    <xf numFmtId="176" fontId="33" fillId="0" borderId="0" xfId="9" applyNumberFormat="1" applyFont="1" applyAlignment="1">
      <alignment horizontal="right" vertical="center" wrapText="1"/>
    </xf>
    <xf numFmtId="178" fontId="33" fillId="0" borderId="0" xfId="9" applyNumberFormat="1" applyFont="1" applyAlignment="1">
      <alignment vertical="center" wrapText="1"/>
    </xf>
    <xf numFmtId="0" fontId="33" fillId="0" borderId="0" xfId="9" applyFont="1" applyAlignment="1">
      <alignment horizontal="right" vertical="center"/>
    </xf>
    <xf numFmtId="0" fontId="33" fillId="0" borderId="0" xfId="9" applyFont="1">
      <alignment vertical="center"/>
    </xf>
    <xf numFmtId="176" fontId="25" fillId="0" borderId="0" xfId="9" applyNumberFormat="1" applyFont="1" applyAlignment="1">
      <alignment horizontal="right" vertical="center" wrapText="1"/>
    </xf>
    <xf numFmtId="178" fontId="33" fillId="0" borderId="0" xfId="9" applyNumberFormat="1" applyFont="1">
      <alignment vertical="center"/>
    </xf>
    <xf numFmtId="0" fontId="33" fillId="0" borderId="0" xfId="9" applyFont="1" applyAlignment="1">
      <alignment horizontal="left" vertical="center"/>
    </xf>
    <xf numFmtId="176" fontId="33" fillId="0" borderId="0" xfId="9" applyNumberFormat="1" applyFont="1" applyAlignment="1">
      <alignment horizontal="left" vertical="center"/>
    </xf>
    <xf numFmtId="178" fontId="25" fillId="0" borderId="0" xfId="9" applyNumberFormat="1" applyFont="1" applyAlignment="1">
      <alignment vertical="center" wrapText="1"/>
    </xf>
    <xf numFmtId="0" fontId="25" fillId="0" borderId="0" xfId="9" applyFont="1" applyAlignment="1">
      <alignment horizontal="right" vertical="center" wrapText="1"/>
    </xf>
    <xf numFmtId="0" fontId="55" fillId="0" borderId="52" xfId="9" applyFont="1" applyBorder="1" applyAlignment="1">
      <alignment horizontal="right" vertical="center" wrapText="1"/>
    </xf>
    <xf numFmtId="42" fontId="33" fillId="0" borderId="1" xfId="10" applyNumberFormat="1" applyFont="1" applyFill="1" applyBorder="1" applyAlignment="1">
      <alignment horizontal="right" vertical="center" wrapText="1"/>
    </xf>
    <xf numFmtId="0" fontId="33" fillId="0" borderId="7" xfId="10" applyNumberFormat="1" applyFont="1" applyFill="1" applyBorder="1" applyAlignment="1">
      <alignment vertical="center" wrapText="1"/>
    </xf>
    <xf numFmtId="176" fontId="33" fillId="0" borderId="7" xfId="1" applyNumberFormat="1" applyFont="1" applyBorder="1" applyAlignment="1">
      <alignment horizontal="right" vertical="center"/>
    </xf>
    <xf numFmtId="0" fontId="33" fillId="0" borderId="3" xfId="10" applyNumberFormat="1" applyFont="1" applyFill="1" applyBorder="1" applyAlignment="1">
      <alignment vertical="center" wrapText="1"/>
    </xf>
    <xf numFmtId="176" fontId="33" fillId="0" borderId="3" xfId="9" applyNumberFormat="1" applyFont="1" applyBorder="1">
      <alignment vertical="center"/>
    </xf>
    <xf numFmtId="178" fontId="33" fillId="0" borderId="3" xfId="9" applyNumberFormat="1" applyFont="1" applyBorder="1">
      <alignment vertical="center"/>
    </xf>
    <xf numFmtId="0" fontId="32" fillId="0" borderId="22" xfId="9" applyFont="1" applyBorder="1" applyAlignment="1">
      <alignment horizontal="center" vertical="center" wrapText="1"/>
    </xf>
    <xf numFmtId="0" fontId="32" fillId="0" borderId="56" xfId="9" applyFont="1" applyBorder="1" applyAlignment="1">
      <alignment vertical="center" wrapText="1"/>
    </xf>
    <xf numFmtId="43" fontId="33" fillId="0" borderId="52" xfId="10" applyFont="1" applyFill="1" applyBorder="1" applyAlignment="1">
      <alignment horizontal="center" vertical="center"/>
    </xf>
    <xf numFmtId="176" fontId="33" fillId="0" borderId="52" xfId="1" applyNumberFormat="1" applyFont="1" applyBorder="1" applyAlignment="1">
      <alignment horizontal="right" vertical="center"/>
    </xf>
    <xf numFmtId="42" fontId="33" fillId="0" borderId="52" xfId="10" applyNumberFormat="1" applyFont="1" applyFill="1" applyBorder="1" applyAlignment="1">
      <alignment vertical="center" wrapText="1"/>
    </xf>
    <xf numFmtId="42" fontId="33" fillId="0" borderId="52" xfId="1" applyNumberFormat="1" applyFont="1" applyBorder="1" applyAlignment="1">
      <alignment horizontal="right" vertical="center" wrapText="1"/>
    </xf>
    <xf numFmtId="0" fontId="33" fillId="0" borderId="1" xfId="1" applyFont="1" applyBorder="1" applyAlignment="1">
      <alignment horizontal="left" vertical="center"/>
    </xf>
    <xf numFmtId="0" fontId="33" fillId="0" borderId="7" xfId="1" applyFont="1" applyBorder="1" applyAlignment="1">
      <alignment horizontal="left" vertical="center"/>
    </xf>
    <xf numFmtId="178" fontId="33" fillId="0" borderId="3" xfId="10" applyNumberFormat="1" applyFont="1" applyFill="1" applyBorder="1" applyAlignment="1">
      <alignment horizontal="right" vertical="center" wrapText="1"/>
    </xf>
    <xf numFmtId="0" fontId="33" fillId="0" borderId="52" xfId="9" applyFont="1" applyBorder="1" applyAlignment="1">
      <alignment vertical="center" wrapText="1"/>
    </xf>
    <xf numFmtId="176" fontId="33" fillId="0" borderId="52" xfId="9" applyNumberFormat="1" applyFont="1" applyBorder="1" applyAlignment="1">
      <alignment vertical="center" wrapText="1"/>
    </xf>
    <xf numFmtId="178" fontId="33" fillId="0" borderId="52" xfId="9" applyNumberFormat="1" applyFont="1" applyBorder="1" applyAlignment="1">
      <alignment vertical="center" wrapText="1"/>
    </xf>
    <xf numFmtId="0" fontId="33" fillId="0" borderId="26" xfId="2" applyFont="1" applyBorder="1" applyAlignment="1">
      <alignment horizontal="center" vertical="center"/>
    </xf>
    <xf numFmtId="0" fontId="32" fillId="0" borderId="4" xfId="2" applyFont="1" applyBorder="1" applyAlignment="1">
      <alignment vertical="center" wrapText="1"/>
    </xf>
    <xf numFmtId="0" fontId="33" fillId="0" borderId="4" xfId="2" applyFont="1" applyBorder="1" applyAlignment="1">
      <alignment vertical="center"/>
    </xf>
    <xf numFmtId="176" fontId="33" fillId="0" borderId="4" xfId="2" applyNumberFormat="1" applyFont="1" applyBorder="1" applyAlignment="1">
      <alignment horizontal="right" vertical="center"/>
    </xf>
    <xf numFmtId="178" fontId="33" fillId="0" borderId="4" xfId="2" applyNumberFormat="1" applyFont="1" applyBorder="1" applyAlignment="1">
      <alignment vertical="center"/>
    </xf>
    <xf numFmtId="179" fontId="33" fillId="0" borderId="4" xfId="2" applyNumberFormat="1" applyFont="1" applyBorder="1" applyAlignment="1">
      <alignment horizontal="right" vertical="center"/>
    </xf>
    <xf numFmtId="0" fontId="33" fillId="0" borderId="24" xfId="9" applyFont="1" applyBorder="1" applyAlignment="1">
      <alignment vertical="center" wrapText="1"/>
    </xf>
    <xf numFmtId="0" fontId="33" fillId="0" borderId="17" xfId="2" applyFont="1" applyBorder="1" applyAlignment="1">
      <alignment horizontal="center" vertical="center"/>
    </xf>
    <xf numFmtId="0" fontId="32" fillId="0" borderId="1" xfId="2" applyFont="1" applyBorder="1" applyAlignment="1">
      <alignment vertical="center" wrapText="1"/>
    </xf>
    <xf numFmtId="0" fontId="33" fillId="0" borderId="1" xfId="2" applyFont="1" applyBorder="1" applyAlignment="1">
      <alignment vertical="center"/>
    </xf>
    <xf numFmtId="176" fontId="33" fillId="0" borderId="1" xfId="2" applyNumberFormat="1" applyFont="1" applyBorder="1" applyAlignment="1">
      <alignment horizontal="right" vertical="center"/>
    </xf>
    <xf numFmtId="178" fontId="33" fillId="0" borderId="1" xfId="2" applyNumberFormat="1" applyFont="1" applyBorder="1" applyAlignment="1">
      <alignment vertical="center"/>
    </xf>
    <xf numFmtId="179" fontId="33" fillId="0" borderId="1" xfId="2" applyNumberFormat="1" applyFont="1" applyBorder="1" applyAlignment="1">
      <alignment horizontal="right" vertical="center"/>
    </xf>
    <xf numFmtId="0" fontId="33" fillId="0" borderId="19" xfId="2" applyFont="1" applyBorder="1" applyAlignment="1">
      <alignment horizontal="center" vertical="center"/>
    </xf>
    <xf numFmtId="0" fontId="32" fillId="0" borderId="3" xfId="2" applyFont="1" applyBorder="1" applyAlignment="1">
      <alignment vertical="center" wrapText="1"/>
    </xf>
    <xf numFmtId="0" fontId="33" fillId="0" borderId="3" xfId="2" applyFont="1" applyBorder="1" applyAlignment="1">
      <alignment vertical="center"/>
    </xf>
    <xf numFmtId="176" fontId="33" fillId="0" borderId="3" xfId="2" applyNumberFormat="1" applyFont="1" applyBorder="1" applyAlignment="1">
      <alignment horizontal="right" vertical="center"/>
    </xf>
    <xf numFmtId="178" fontId="33" fillId="0" borderId="3" xfId="2" applyNumberFormat="1" applyFont="1" applyBorder="1" applyAlignment="1">
      <alignment vertical="center"/>
    </xf>
    <xf numFmtId="179" fontId="33" fillId="0" borderId="3" xfId="2" applyNumberFormat="1" applyFont="1" applyBorder="1" applyAlignment="1">
      <alignment horizontal="right" vertical="center"/>
    </xf>
    <xf numFmtId="0" fontId="33" fillId="0" borderId="20" xfId="9" applyFont="1" applyBorder="1" applyAlignment="1">
      <alignment vertical="center" wrapText="1"/>
    </xf>
    <xf numFmtId="179" fontId="15" fillId="0" borderId="0" xfId="3" applyNumberFormat="1" applyFont="1" applyAlignment="1">
      <alignment horizontal="center" vertical="center"/>
    </xf>
    <xf numFmtId="44" fontId="15" fillId="0" borderId="0" xfId="3" applyNumberFormat="1" applyFont="1" applyAlignment="1">
      <alignment horizontal="center" vertical="center"/>
    </xf>
    <xf numFmtId="0" fontId="33" fillId="0" borderId="4" xfId="9" applyFont="1" applyBorder="1" applyAlignment="1">
      <alignment vertical="center" wrapText="1"/>
    </xf>
    <xf numFmtId="0" fontId="3" fillId="0" borderId="0" xfId="9" applyFont="1" applyAlignment="1">
      <alignment vertical="center" wrapText="1"/>
    </xf>
    <xf numFmtId="42" fontId="4" fillId="0" borderId="0" xfId="9" applyNumberFormat="1" applyFont="1">
      <alignment vertical="center"/>
    </xf>
    <xf numFmtId="0" fontId="3" fillId="0" borderId="0" xfId="9" applyFont="1">
      <alignment vertical="center"/>
    </xf>
    <xf numFmtId="177" fontId="56" fillId="2" borderId="18" xfId="9" applyNumberFormat="1" applyFont="1" applyFill="1" applyBorder="1" applyAlignment="1">
      <alignment horizontal="left" vertical="center" wrapText="1"/>
    </xf>
    <xf numFmtId="44" fontId="56" fillId="0" borderId="18" xfId="9" applyNumberFormat="1" applyFont="1" applyBorder="1" applyAlignment="1">
      <alignment vertical="center" wrapText="1"/>
    </xf>
    <xf numFmtId="179" fontId="40" fillId="6" borderId="13" xfId="9" applyNumberFormat="1" applyFont="1" applyFill="1" applyBorder="1">
      <alignment vertical="center"/>
    </xf>
    <xf numFmtId="0" fontId="2" fillId="0" borderId="0" xfId="9" applyFont="1" applyAlignment="1">
      <alignment horizontal="right" vertical="center"/>
    </xf>
    <xf numFmtId="0" fontId="2" fillId="0" borderId="0" xfId="9" applyFont="1">
      <alignment vertical="center"/>
    </xf>
    <xf numFmtId="0" fontId="2" fillId="0" borderId="0" xfId="9" applyFont="1" applyAlignment="1">
      <alignment horizontal="left" vertical="center"/>
    </xf>
    <xf numFmtId="0" fontId="31" fillId="0" borderId="0" xfId="9" applyFont="1">
      <alignment vertical="center"/>
    </xf>
    <xf numFmtId="43" fontId="33" fillId="0" borderId="7" xfId="10" applyFont="1" applyFill="1" applyBorder="1" applyAlignment="1">
      <alignment horizontal="center" vertical="center"/>
    </xf>
    <xf numFmtId="43" fontId="33" fillId="0" borderId="5" xfId="10" applyFont="1" applyFill="1" applyBorder="1" applyAlignment="1">
      <alignment horizontal="center" vertical="center"/>
    </xf>
    <xf numFmtId="43" fontId="33" fillId="0" borderId="4" xfId="10" applyFont="1" applyFill="1" applyBorder="1" applyAlignment="1">
      <alignment horizontal="center" vertical="center"/>
    </xf>
    <xf numFmtId="176" fontId="33" fillId="2" borderId="7" xfId="1" applyNumberFormat="1" applyFont="1" applyFill="1" applyBorder="1" applyAlignment="1">
      <alignment horizontal="center" vertical="center"/>
    </xf>
    <xf numFmtId="176" fontId="33" fillId="2" borderId="5" xfId="1" applyNumberFormat="1" applyFont="1" applyFill="1" applyBorder="1" applyAlignment="1">
      <alignment horizontal="center" vertical="center"/>
    </xf>
    <xf numFmtId="176" fontId="33" fillId="2" borderId="4" xfId="1" applyNumberFormat="1" applyFont="1" applyFill="1" applyBorder="1" applyAlignment="1">
      <alignment horizontal="center" vertical="center"/>
    </xf>
    <xf numFmtId="178" fontId="33" fillId="0" borderId="7" xfId="10" applyNumberFormat="1" applyFont="1" applyBorder="1" applyAlignment="1">
      <alignment horizontal="center" vertical="center" wrapText="1"/>
    </xf>
    <xf numFmtId="178" fontId="33" fillId="0" borderId="5" xfId="10" applyNumberFormat="1" applyFont="1" applyBorder="1" applyAlignment="1">
      <alignment horizontal="center" vertical="center" wrapText="1"/>
    </xf>
    <xf numFmtId="178" fontId="33" fillId="0" borderId="4" xfId="10" applyNumberFormat="1" applyFont="1" applyBorder="1" applyAlignment="1">
      <alignment horizontal="center" vertical="center" wrapText="1"/>
    </xf>
    <xf numFmtId="179" fontId="33" fillId="0" borderId="7" xfId="1" applyNumberFormat="1" applyFont="1" applyBorder="1" applyAlignment="1">
      <alignment horizontal="center" vertical="center" wrapText="1"/>
    </xf>
    <xf numFmtId="179" fontId="33" fillId="0" borderId="5" xfId="1" applyNumberFormat="1" applyFont="1" applyBorder="1" applyAlignment="1">
      <alignment horizontal="center" vertical="center" wrapText="1"/>
    </xf>
    <xf numFmtId="179" fontId="33" fillId="0" borderId="4" xfId="1" applyNumberFormat="1" applyFont="1" applyBorder="1" applyAlignment="1">
      <alignment horizontal="center" vertical="center" wrapText="1"/>
    </xf>
    <xf numFmtId="0" fontId="53" fillId="0" borderId="0" xfId="9" applyFont="1" applyAlignment="1">
      <alignment horizontal="left" vertical="center" wrapText="1"/>
    </xf>
    <xf numFmtId="44" fontId="56" fillId="0" borderId="21" xfId="9" applyNumberFormat="1" applyFont="1" applyBorder="1" applyAlignment="1">
      <alignment horizontal="center" vertical="center" wrapText="1"/>
    </xf>
    <xf numFmtId="44" fontId="56" fillId="0" borderId="27" xfId="9" applyNumberFormat="1" applyFont="1" applyBorder="1" applyAlignment="1">
      <alignment horizontal="center" vertical="center" wrapText="1"/>
    </xf>
    <xf numFmtId="44" fontId="56" fillId="0" borderId="24" xfId="9" applyNumberFormat="1" applyFont="1" applyBorder="1" applyAlignment="1">
      <alignment horizontal="center" vertical="center" wrapText="1"/>
    </xf>
    <xf numFmtId="0" fontId="33" fillId="0" borderId="0" xfId="9" applyFont="1" applyAlignment="1">
      <alignment horizontal="left" vertical="center" wrapText="1"/>
    </xf>
    <xf numFmtId="0" fontId="33" fillId="0" borderId="0" xfId="9" applyFont="1" applyAlignment="1">
      <alignment horizontal="right" vertical="center" wrapText="1"/>
    </xf>
    <xf numFmtId="0" fontId="33" fillId="0" borderId="4" xfId="9" applyFont="1" applyBorder="1" applyAlignment="1">
      <alignment horizontal="center" vertical="center" wrapText="1"/>
    </xf>
    <xf numFmtId="0" fontId="33" fillId="0" borderId="51" xfId="9" applyFont="1" applyBorder="1" applyAlignment="1">
      <alignment horizontal="left" vertical="center" wrapText="1"/>
    </xf>
    <xf numFmtId="0" fontId="33" fillId="0" borderId="52" xfId="9" applyFont="1" applyBorder="1" applyAlignment="1">
      <alignment horizontal="left" vertical="center" wrapText="1"/>
    </xf>
    <xf numFmtId="0" fontId="33" fillId="0" borderId="7" xfId="9" applyFont="1" applyBorder="1" applyAlignment="1">
      <alignment horizontal="center" vertical="center" wrapText="1"/>
    </xf>
    <xf numFmtId="0" fontId="33" fillId="0" borderId="5" xfId="9" applyFont="1" applyBorder="1" applyAlignment="1">
      <alignment horizontal="center" vertical="center" wrapText="1"/>
    </xf>
    <xf numFmtId="176" fontId="33" fillId="0" borderId="7" xfId="9" applyNumberFormat="1" applyFont="1" applyBorder="1" applyAlignment="1">
      <alignment horizontal="center" vertical="center" wrapText="1"/>
    </xf>
    <xf numFmtId="176" fontId="33" fillId="0" borderId="5" xfId="9" applyNumberFormat="1" applyFont="1" applyBorder="1" applyAlignment="1">
      <alignment horizontal="center" vertical="center" wrapText="1"/>
    </xf>
    <xf numFmtId="176" fontId="33" fillId="0" borderId="4" xfId="9" applyNumberFormat="1" applyFont="1" applyBorder="1" applyAlignment="1">
      <alignment horizontal="center" vertical="center" wrapText="1"/>
    </xf>
    <xf numFmtId="44" fontId="33" fillId="0" borderId="7" xfId="10" applyNumberFormat="1" applyFont="1" applyFill="1" applyBorder="1" applyAlignment="1">
      <alignment horizontal="center" vertical="center" wrapText="1"/>
    </xf>
    <xf numFmtId="44" fontId="33" fillId="0" borderId="5" xfId="10" applyNumberFormat="1" applyFont="1" applyFill="1" applyBorder="1" applyAlignment="1">
      <alignment horizontal="center" vertical="center" wrapText="1"/>
    </xf>
    <xf numFmtId="44" fontId="33" fillId="0" borderId="4" xfId="10" applyNumberFormat="1" applyFont="1" applyFill="1" applyBorder="1" applyAlignment="1">
      <alignment horizontal="center" vertical="center" wrapText="1"/>
    </xf>
    <xf numFmtId="0" fontId="21" fillId="0" borderId="0" xfId="9" applyFont="1" applyAlignment="1">
      <alignment horizontal="center" vertical="center"/>
    </xf>
    <xf numFmtId="0" fontId="4" fillId="0" borderId="0" xfId="9" applyFont="1">
      <alignment vertical="center"/>
    </xf>
    <xf numFmtId="0" fontId="4" fillId="0" borderId="0" xfId="9" applyFont="1" applyAlignment="1">
      <alignment horizontal="center" vertical="center"/>
    </xf>
    <xf numFmtId="0" fontId="4" fillId="0" borderId="11" xfId="9" applyFont="1" applyBorder="1" applyAlignment="1">
      <alignment horizontal="center" vertical="center"/>
    </xf>
    <xf numFmtId="0" fontId="4" fillId="0" borderId="22" xfId="9" applyFont="1" applyBorder="1" applyAlignment="1">
      <alignment horizontal="center" vertical="center"/>
    </xf>
    <xf numFmtId="0" fontId="4" fillId="4" borderId="33" xfId="9" applyFont="1" applyFill="1" applyBorder="1" applyAlignment="1">
      <alignment horizontal="center" vertical="center" wrapText="1"/>
    </xf>
    <xf numFmtId="0" fontId="4" fillId="4" borderId="34" xfId="9" applyFont="1" applyFill="1" applyBorder="1" applyAlignment="1">
      <alignment horizontal="center" vertical="center" wrapText="1"/>
    </xf>
    <xf numFmtId="193" fontId="26" fillId="0" borderId="57" xfId="9" applyNumberFormat="1" applyFont="1" applyBorder="1" applyAlignment="1">
      <alignment horizontal="left" vertical="center"/>
    </xf>
    <xf numFmtId="193" fontId="26" fillId="0" borderId="49" xfId="9" applyNumberFormat="1" applyFont="1" applyBorder="1" applyAlignment="1">
      <alignment horizontal="left" vertical="center"/>
    </xf>
    <xf numFmtId="193" fontId="26" fillId="0" borderId="12" xfId="9" applyNumberFormat="1" applyFont="1" applyBorder="1" applyAlignment="1">
      <alignment horizontal="left" vertical="center"/>
    </xf>
    <xf numFmtId="0" fontId="40" fillId="6" borderId="31" xfId="9" applyFont="1" applyFill="1" applyBorder="1" applyAlignment="1">
      <alignment horizontal="center" vertical="center"/>
    </xf>
    <xf numFmtId="0" fontId="40" fillId="6" borderId="32" xfId="9" applyFont="1" applyFill="1" applyBorder="1" applyAlignment="1">
      <alignment horizontal="center" vertical="center"/>
    </xf>
    <xf numFmtId="0" fontId="4" fillId="0" borderId="6" xfId="9" applyFont="1" applyBorder="1" applyAlignment="1">
      <alignment horizontal="center" vertical="center"/>
    </xf>
    <xf numFmtId="0" fontId="4" fillId="0" borderId="29" xfId="9" applyFont="1" applyBorder="1" applyAlignment="1">
      <alignment horizontal="center" vertical="center"/>
    </xf>
    <xf numFmtId="0" fontId="4" fillId="0" borderId="2" xfId="9" applyFont="1" applyBorder="1" applyAlignment="1">
      <alignment horizontal="center" vertical="center"/>
    </xf>
    <xf numFmtId="0" fontId="25" fillId="0" borderId="17" xfId="9" applyFont="1" applyBorder="1" applyAlignment="1">
      <alignment horizontal="center" vertical="center"/>
    </xf>
    <xf numFmtId="0" fontId="25" fillId="0" borderId="1" xfId="9" applyFont="1" applyBorder="1" applyAlignment="1">
      <alignment horizontal="center" vertical="center"/>
    </xf>
    <xf numFmtId="0" fontId="23" fillId="0" borderId="3" xfId="9" applyFont="1" applyBorder="1" applyAlignment="1">
      <alignment horizontal="center" vertical="center"/>
    </xf>
    <xf numFmtId="183" fontId="25" fillId="0" borderId="41" xfId="9" applyNumberFormat="1" applyFont="1" applyBorder="1" applyAlignment="1">
      <alignment horizontal="center" vertical="center"/>
    </xf>
    <xf numFmtId="183" fontId="25" fillId="0" borderId="29" xfId="9" applyNumberFormat="1" applyFont="1" applyBorder="1" applyAlignment="1">
      <alignment horizontal="center" vertical="center"/>
    </xf>
    <xf numFmtId="183" fontId="25" fillId="0" borderId="2" xfId="9" applyNumberFormat="1" applyFont="1" applyBorder="1" applyAlignment="1">
      <alignment horizontal="center" vertical="center"/>
    </xf>
    <xf numFmtId="183" fontId="4" fillId="0" borderId="17" xfId="9" applyNumberFormat="1" applyFont="1" applyBorder="1" applyAlignment="1">
      <alignment horizontal="center" vertical="center"/>
    </xf>
    <xf numFmtId="183" fontId="4" fillId="0" borderId="1" xfId="9" applyNumberFormat="1" applyFont="1" applyBorder="1" applyAlignment="1">
      <alignment horizontal="center" vertical="center"/>
    </xf>
    <xf numFmtId="0" fontId="4" fillId="3" borderId="15" xfId="9" applyFont="1" applyFill="1" applyBorder="1" applyAlignment="1">
      <alignment horizontal="center" vertical="center"/>
    </xf>
    <xf numFmtId="0" fontId="4" fillId="3" borderId="17" xfId="9" applyFont="1" applyFill="1" applyBorder="1" applyAlignment="1">
      <alignment horizontal="center" vertical="center"/>
    </xf>
    <xf numFmtId="0" fontId="4" fillId="3" borderId="28" xfId="9" applyFont="1" applyFill="1" applyBorder="1" applyAlignment="1">
      <alignment horizontal="center" vertical="center"/>
    </xf>
    <xf numFmtId="194" fontId="26" fillId="0" borderId="57" xfId="9" applyNumberFormat="1" applyFont="1" applyBorder="1" applyAlignment="1">
      <alignment horizontal="left" vertical="center"/>
    </xf>
    <xf numFmtId="194" fontId="26" fillId="0" borderId="49" xfId="9" applyNumberFormat="1" applyFont="1" applyBorder="1" applyAlignment="1">
      <alignment horizontal="left" vertical="center"/>
    </xf>
    <xf numFmtId="194" fontId="26" fillId="0" borderId="12" xfId="9" applyNumberFormat="1" applyFont="1" applyBorder="1" applyAlignment="1">
      <alignment horizontal="left" vertical="center"/>
    </xf>
    <xf numFmtId="183" fontId="25" fillId="0" borderId="17" xfId="9" applyNumberFormat="1" applyFont="1" applyBorder="1" applyAlignment="1">
      <alignment horizontal="center" vertical="center"/>
    </xf>
    <xf numFmtId="183" fontId="25" fillId="0" borderId="1" xfId="9" applyNumberFormat="1" applyFont="1" applyBorder="1" applyAlignment="1">
      <alignment horizontal="center" vertical="center"/>
    </xf>
    <xf numFmtId="183" fontId="4" fillId="0" borderId="6" xfId="9" applyNumberFormat="1" applyFont="1" applyBorder="1" applyAlignment="1">
      <alignment horizontal="left" vertical="center"/>
    </xf>
    <xf numFmtId="0" fontId="4" fillId="0" borderId="29" xfId="9" applyFont="1" applyBorder="1" applyAlignment="1">
      <alignment horizontal="left" vertical="center"/>
    </xf>
    <xf numFmtId="0" fontId="4" fillId="0" borderId="2" xfId="9" applyFont="1" applyBorder="1" applyAlignment="1">
      <alignment horizontal="left" vertical="center"/>
    </xf>
    <xf numFmtId="0" fontId="4" fillId="7" borderId="33" xfId="9" applyFont="1" applyFill="1" applyBorder="1" applyAlignment="1">
      <alignment horizontal="center" vertical="center"/>
    </xf>
    <xf numFmtId="0" fontId="4" fillId="7" borderId="26" xfId="9" applyFont="1" applyFill="1" applyBorder="1" applyAlignment="1">
      <alignment horizontal="center" vertical="center"/>
    </xf>
    <xf numFmtId="183" fontId="4" fillId="0" borderId="8" xfId="9" quotePrefix="1" applyNumberFormat="1" applyFont="1" applyBorder="1" applyAlignment="1">
      <alignment horizontal="left" vertical="center"/>
    </xf>
    <xf numFmtId="183" fontId="4" fillId="0" borderId="43" xfId="9" quotePrefix="1" applyNumberFormat="1" applyFont="1" applyBorder="1" applyAlignment="1">
      <alignment horizontal="left" vertical="center"/>
    </xf>
    <xf numFmtId="183" fontId="4" fillId="0" borderId="44" xfId="9" quotePrefix="1" applyNumberFormat="1" applyFont="1" applyBorder="1" applyAlignment="1">
      <alignment horizontal="left" vertical="center"/>
    </xf>
    <xf numFmtId="183" fontId="4" fillId="0" borderId="6" xfId="9" quotePrefix="1" applyNumberFormat="1" applyFont="1" applyBorder="1" applyAlignment="1">
      <alignment horizontal="left" vertical="center"/>
    </xf>
    <xf numFmtId="183" fontId="4" fillId="0" borderId="29" xfId="9" quotePrefix="1" applyNumberFormat="1" applyFont="1" applyBorder="1" applyAlignment="1">
      <alignment horizontal="left" vertical="center"/>
    </xf>
    <xf numFmtId="183" fontId="4" fillId="0" borderId="2" xfId="9" quotePrefix="1" applyNumberFormat="1" applyFont="1" applyBorder="1" applyAlignment="1">
      <alignment horizontal="left" vertical="center"/>
    </xf>
    <xf numFmtId="183" fontId="26" fillId="8" borderId="34" xfId="9" applyNumberFormat="1" applyFont="1" applyFill="1" applyBorder="1" applyAlignment="1">
      <alignment horizontal="center" vertical="center"/>
    </xf>
    <xf numFmtId="183" fontId="26" fillId="8" borderId="25" xfId="9" applyNumberFormat="1" applyFont="1" applyFill="1" applyBorder="1" applyAlignment="1">
      <alignment horizontal="center" vertical="center"/>
    </xf>
    <xf numFmtId="0" fontId="4" fillId="0" borderId="1" xfId="9" applyFont="1" applyBorder="1" applyAlignment="1">
      <alignment horizontal="center" vertical="center"/>
    </xf>
    <xf numFmtId="183" fontId="4" fillId="0" borderId="41" xfId="9" applyNumberFormat="1" applyFont="1" applyBorder="1" applyAlignment="1">
      <alignment horizontal="center" vertical="center"/>
    </xf>
    <xf numFmtId="183" fontId="4" fillId="0" borderId="29" xfId="9" applyNumberFormat="1" applyFont="1" applyBorder="1" applyAlignment="1">
      <alignment horizontal="center" vertical="center"/>
    </xf>
    <xf numFmtId="183" fontId="4" fillId="0" borderId="2" xfId="9" applyNumberFormat="1" applyFont="1" applyBorder="1" applyAlignment="1">
      <alignment horizontal="center" vertical="center"/>
    </xf>
    <xf numFmtId="0" fontId="27" fillId="0" borderId="7" xfId="9" applyFont="1" applyBorder="1" applyAlignment="1">
      <alignment horizontal="center" vertical="center"/>
    </xf>
    <xf numFmtId="0" fontId="26" fillId="5" borderId="46" xfId="9" applyFont="1" applyFill="1" applyBorder="1" applyAlignment="1">
      <alignment horizontal="center" vertical="center"/>
    </xf>
    <xf numFmtId="183" fontId="4" fillId="0" borderId="26" xfId="9" applyNumberFormat="1" applyFont="1" applyBorder="1" applyAlignment="1">
      <alignment horizontal="center" vertical="center"/>
    </xf>
    <xf numFmtId="183" fontId="4" fillId="0" borderId="4" xfId="9" applyNumberFormat="1" applyFont="1" applyBorder="1" applyAlignment="1">
      <alignment horizontal="center" vertical="center"/>
    </xf>
    <xf numFmtId="183" fontId="4" fillId="0" borderId="48" xfId="9" applyNumberFormat="1" applyFont="1" applyBorder="1" applyAlignment="1">
      <alignment horizontal="center" vertical="center"/>
    </xf>
    <xf numFmtId="183" fontId="4" fillId="0" borderId="49" xfId="9" applyNumberFormat="1" applyFont="1" applyBorder="1" applyAlignment="1">
      <alignment horizontal="center" vertical="center"/>
    </xf>
    <xf numFmtId="183" fontId="4" fillId="0" borderId="12" xfId="9" applyNumberFormat="1" applyFont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183" fontId="26" fillId="8" borderId="40" xfId="9" applyNumberFormat="1" applyFont="1" applyFill="1" applyBorder="1" applyAlignment="1">
      <alignment horizontal="center" vertical="center"/>
    </xf>
    <xf numFmtId="183" fontId="26" fillId="8" borderId="50" xfId="9" applyNumberFormat="1" applyFont="1" applyFill="1" applyBorder="1" applyAlignment="1">
      <alignment horizontal="center" vertical="center"/>
    </xf>
    <xf numFmtId="183" fontId="26" fillId="8" borderId="14" xfId="9" applyNumberFormat="1" applyFont="1" applyFill="1" applyBorder="1" applyAlignment="1">
      <alignment horizontal="center" vertical="center"/>
    </xf>
    <xf numFmtId="0" fontId="26" fillId="5" borderId="3" xfId="9" applyFont="1" applyFill="1" applyBorder="1" applyAlignment="1">
      <alignment horizontal="center" vertical="center"/>
    </xf>
    <xf numFmtId="9" fontId="4" fillId="0" borderId="13" xfId="9" quotePrefix="1" applyNumberFormat="1" applyFont="1" applyBorder="1" applyAlignment="1">
      <alignment horizontal="right" vertical="center"/>
    </xf>
    <xf numFmtId="0" fontId="4" fillId="0" borderId="13" xfId="9" applyFont="1" applyBorder="1" applyAlignment="1">
      <alignment horizontal="right" vertical="center"/>
    </xf>
    <xf numFmtId="183" fontId="26" fillId="0" borderId="0" xfId="9" applyNumberFormat="1" applyFont="1" applyAlignment="1">
      <alignment horizontal="center" vertical="center"/>
    </xf>
    <xf numFmtId="42" fontId="28" fillId="0" borderId="0" xfId="9" applyNumberFormat="1" applyFont="1" applyAlignment="1">
      <alignment horizontal="center" vertical="center"/>
    </xf>
    <xf numFmtId="42" fontId="26" fillId="0" borderId="0" xfId="9" applyNumberFormat="1" applyFont="1" applyAlignment="1">
      <alignment horizontal="center" vertical="center"/>
    </xf>
    <xf numFmtId="9" fontId="26" fillId="0" borderId="3" xfId="9" quotePrefix="1" applyNumberFormat="1" applyFont="1" applyBorder="1" applyAlignment="1">
      <alignment horizontal="center" vertical="center"/>
    </xf>
    <xf numFmtId="183" fontId="26" fillId="3" borderId="51" xfId="9" applyNumberFormat="1" applyFont="1" applyFill="1" applyBorder="1" applyAlignment="1">
      <alignment horizontal="center" vertical="center"/>
    </xf>
    <xf numFmtId="183" fontId="26" fillId="3" borderId="52" xfId="9" applyNumberFormat="1" applyFont="1" applyFill="1" applyBorder="1" applyAlignment="1">
      <alignment horizontal="center" vertical="center"/>
    </xf>
    <xf numFmtId="183" fontId="26" fillId="3" borderId="53" xfId="9" applyNumberFormat="1" applyFont="1" applyFill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43" fillId="0" borderId="0" xfId="3" applyFont="1" applyAlignment="1">
      <alignment horizontal="center" vertical="center" wrapText="1"/>
    </xf>
    <xf numFmtId="0" fontId="33" fillId="0" borderId="13" xfId="3" applyFont="1" applyBorder="1" applyAlignment="1">
      <alignment horizontal="center" vertical="center" wrapText="1"/>
    </xf>
    <xf numFmtId="181" fontId="45" fillId="0" borderId="13" xfId="3" applyNumberFormat="1" applyFont="1" applyBorder="1" applyAlignment="1">
      <alignment horizontal="center" vertical="center" shrinkToFit="1"/>
    </xf>
    <xf numFmtId="181" fontId="45" fillId="0" borderId="16" xfId="3" applyNumberFormat="1" applyFont="1" applyBorder="1" applyAlignment="1">
      <alignment horizontal="center" vertical="center" shrinkToFit="1"/>
    </xf>
    <xf numFmtId="0" fontId="33" fillId="0" borderId="1" xfId="3" applyFont="1" applyBorder="1" applyAlignment="1">
      <alignment horizontal="center" vertical="center" wrapText="1"/>
    </xf>
    <xf numFmtId="1" fontId="45" fillId="0" borderId="1" xfId="3" applyNumberFormat="1" applyFont="1" applyBorder="1" applyAlignment="1">
      <alignment horizontal="center" vertical="center" shrinkToFit="1"/>
    </xf>
    <xf numFmtId="1" fontId="45" fillId="0" borderId="18" xfId="3" applyNumberFormat="1" applyFont="1" applyBorder="1" applyAlignment="1">
      <alignment horizontal="center" vertical="center" shrinkToFit="1"/>
    </xf>
    <xf numFmtId="0" fontId="33" fillId="0" borderId="3" xfId="3" applyFont="1" applyBorder="1" applyAlignment="1">
      <alignment horizontal="center" vertical="center" wrapText="1"/>
    </xf>
    <xf numFmtId="0" fontId="57" fillId="0" borderId="0" xfId="5" applyFont="1" applyAlignment="1">
      <alignment horizontal="center" vertical="center"/>
    </xf>
    <xf numFmtId="0" fontId="33" fillId="0" borderId="7" xfId="3" applyFont="1" applyBorder="1" applyAlignment="1">
      <alignment horizontal="center" vertical="center" wrapText="1"/>
    </xf>
    <xf numFmtId="0" fontId="33" fillId="0" borderId="5" xfId="3" applyFont="1" applyBorder="1" applyAlignment="1">
      <alignment horizontal="center" vertical="center" wrapText="1"/>
    </xf>
    <xf numFmtId="176" fontId="45" fillId="0" borderId="7" xfId="3" applyNumberFormat="1" applyFont="1" applyBorder="1" applyAlignment="1">
      <alignment horizontal="center" vertical="center" shrinkToFit="1"/>
    </xf>
    <xf numFmtId="176" fontId="45" fillId="0" borderId="5" xfId="3" applyNumberFormat="1" applyFont="1" applyBorder="1" applyAlignment="1">
      <alignment horizontal="center" vertical="center" shrinkToFit="1"/>
    </xf>
    <xf numFmtId="182" fontId="45" fillId="0" borderId="7" xfId="3" applyNumberFormat="1" applyFont="1" applyBorder="1" applyAlignment="1">
      <alignment horizontal="center" vertical="center" shrinkToFit="1"/>
    </xf>
    <xf numFmtId="182" fontId="45" fillId="0" borderId="5" xfId="3" applyNumberFormat="1" applyFont="1" applyBorder="1" applyAlignment="1">
      <alignment horizontal="center" vertical="center" shrinkToFit="1"/>
    </xf>
    <xf numFmtId="0" fontId="33" fillId="0" borderId="25" xfId="3" applyFont="1" applyBorder="1" applyAlignment="1">
      <alignment horizontal="center" vertical="center" wrapText="1"/>
    </xf>
    <xf numFmtId="176" fontId="45" fillId="0" borderId="25" xfId="3" applyNumberFormat="1" applyFont="1" applyBorder="1" applyAlignment="1">
      <alignment horizontal="center" vertical="center" shrinkToFit="1"/>
    </xf>
    <xf numFmtId="182" fontId="45" fillId="0" borderId="25" xfId="3" applyNumberFormat="1" applyFont="1" applyBorder="1" applyAlignment="1">
      <alignment horizontal="center" vertical="center" shrinkToFit="1"/>
    </xf>
    <xf numFmtId="0" fontId="48" fillId="0" borderId="13" xfId="3" applyFont="1" applyBorder="1" applyAlignment="1">
      <alignment horizontal="center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left" vertical="center" wrapText="1"/>
    </xf>
    <xf numFmtId="0" fontId="25" fillId="0" borderId="18" xfId="3" applyFont="1" applyBorder="1" applyAlignment="1">
      <alignment horizontal="left" vertical="center" wrapText="1"/>
    </xf>
    <xf numFmtId="0" fontId="25" fillId="0" borderId="0" xfId="3" applyFont="1" applyAlignment="1">
      <alignment horizontal="left" vertical="center" wrapText="1"/>
    </xf>
    <xf numFmtId="0" fontId="25" fillId="0" borderId="0" xfId="3" applyFont="1" applyAlignment="1">
      <alignment horizontal="left" vertical="top" wrapText="1"/>
    </xf>
    <xf numFmtId="0" fontId="25" fillId="0" borderId="6" xfId="3" applyFont="1" applyBorder="1" applyAlignment="1">
      <alignment horizontal="left" vertical="center" wrapText="1"/>
    </xf>
    <xf numFmtId="0" fontId="25" fillId="0" borderId="29" xfId="3" applyFont="1" applyBorder="1" applyAlignment="1">
      <alignment horizontal="left" vertical="center" wrapText="1"/>
    </xf>
    <xf numFmtId="0" fontId="25" fillId="0" borderId="2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left" vertical="center" wrapText="1"/>
    </xf>
    <xf numFmtId="0" fontId="25" fillId="0" borderId="38" xfId="3" applyFont="1" applyBorder="1" applyAlignment="1">
      <alignment horizontal="left" vertical="center" wrapText="1"/>
    </xf>
    <xf numFmtId="0" fontId="25" fillId="0" borderId="25" xfId="3" applyFont="1" applyBorder="1" applyAlignment="1">
      <alignment horizontal="left" vertical="center" wrapText="1"/>
    </xf>
    <xf numFmtId="0" fontId="25" fillId="0" borderId="30" xfId="3" applyFont="1" applyBorder="1" applyAlignment="1">
      <alignment horizontal="left" vertical="center" wrapText="1"/>
    </xf>
  </cellXfs>
  <cellStyles count="14">
    <cellStyle name="一般" xfId="0" builtinId="0"/>
    <cellStyle name="一般 2" xfId="5" xr:uid="{E04DA62B-BFE6-405E-A557-46E87BA31413}"/>
    <cellStyle name="一般 2 2" xfId="1" xr:uid="{82BBE9B2-A737-4623-AB2D-2ADB48C6EB6D}"/>
    <cellStyle name="一般 2 3" xfId="3" xr:uid="{E90FDEDF-C4CE-4AC4-8352-A9B910E83E4F}"/>
    <cellStyle name="一般 2 4" xfId="9" xr:uid="{93E18CAB-89E4-452C-9CBE-73669B3CD56F}"/>
    <cellStyle name="一般 4" xfId="2" xr:uid="{7D20E40F-88CD-44DC-B45D-877DEFAA5E74}"/>
    <cellStyle name="千分位 2" xfId="11" xr:uid="{8CBC9920-73C7-4CFE-8703-1521046A4BBB}"/>
    <cellStyle name="千分位 2 2" xfId="10" xr:uid="{16A98188-7D1A-4D49-8805-006F924171A2}"/>
    <cellStyle name="千分位 3" xfId="8" xr:uid="{E5169672-FDCF-425D-8B56-07049C2030E8}"/>
    <cellStyle name="百分比 2" xfId="6" xr:uid="{E45C2312-FBB6-4AE0-9EEE-3C0CA255CC40}"/>
    <cellStyle name="百分比 2 2" xfId="12" xr:uid="{7D6FB259-4B78-42A7-B639-46B4817E9462}"/>
    <cellStyle name="貨幣 2" xfId="7" xr:uid="{53CB3F9A-EA07-4235-9566-8EC5CAB9753B}"/>
    <cellStyle name="貨幣 3" xfId="13" xr:uid="{673E39EF-222D-4D13-9009-67AD12DF848C}"/>
    <cellStyle name="超連結 2" xfId="4" xr:uid="{85D64FB2-1223-4BD3-825F-23422E16F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1070691</xdr:colOff>
      <xdr:row>0</xdr:row>
      <xdr:rowOff>96932</xdr:rowOff>
    </xdr:from>
    <xdr:ext cx="3488530" cy="689064"/>
    <xdr:pic>
      <xdr:nvPicPr>
        <xdr:cNvPr id="2" name="圖片 1">
          <a:extLst>
            <a:ext uri="{FF2B5EF4-FFF2-40B4-BE49-F238E27FC236}">
              <a16:creationId xmlns:a16="http://schemas.microsoft.com/office/drawing/2014/main" id="{51FBD68F-D33B-411D-BC0C-50C37A64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316" y="96932"/>
          <a:ext cx="3488530" cy="68906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1628773</xdr:colOff>
      <xdr:row>0</xdr:row>
      <xdr:rowOff>38099</xdr:rowOff>
    </xdr:from>
    <xdr:ext cx="6211357" cy="771526"/>
    <xdr:pic>
      <xdr:nvPicPr>
        <xdr:cNvPr id="2" name="圖片 1">
          <a:extLst>
            <a:ext uri="{FF2B5EF4-FFF2-40B4-BE49-F238E27FC236}">
              <a16:creationId xmlns:a16="http://schemas.microsoft.com/office/drawing/2014/main" id="{CF2A120B-6852-439C-A458-C555B41DD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3" y="38099"/>
          <a:ext cx="6211357" cy="771526"/>
        </a:xfrm>
        <a:prstGeom prst="rect">
          <a:avLst/>
        </a:prstGeom>
      </xdr:spPr>
    </xdr:pic>
    <xdr:clientData/>
  </xdr:oneCellAnchor>
  <xdr:twoCellAnchor editAs="oneCell">
    <xdr:from>
      <xdr:col>6</xdr:col>
      <xdr:colOff>190499</xdr:colOff>
      <xdr:row>56</xdr:row>
      <xdr:rowOff>57151</xdr:rowOff>
    </xdr:from>
    <xdr:to>
      <xdr:col>6</xdr:col>
      <xdr:colOff>1592034</xdr:colOff>
      <xdr:row>58</xdr:row>
      <xdr:rowOff>625197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3CDA092-ED6D-4B3A-8FB9-954812D5C6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84915" b="95684" l="68622" r="90508">
                      <a14:foregroundMark x1="70133" y1="89103" x2="70375" y2="90726"/>
                      <a14:foregroundMark x1="69347" y1="90000" x2="69770" y2="91282"/>
                      <a14:foregroundMark x1="87908" y1="88333" x2="88210" y2="91368"/>
                      <a14:foregroundMark x1="89601" y1="88932" x2="89722" y2="90812"/>
                      <a14:foregroundMark x1="77449" y1="85385" x2="82225" y2="85299"/>
                      <a14:foregroundMark x1="82225" y1="85299" x2="82406" y2="85299"/>
                      <a14:foregroundMark x1="76542" y1="95043" x2="81802" y2="95385"/>
                      <a14:foregroundMark x1="81802" y1="95385" x2="81681" y2="95171"/>
                      <a14:foregroundMark x1="74970" y1="95000" x2="80169" y2="95427"/>
                      <a14:foregroundMark x1="80169" y1="95427" x2="87062" y2="93632"/>
                      <a14:foregroundMark x1="87062" y1="93632" x2="89178" y2="91966"/>
                      <a14:foregroundMark x1="89178" y1="91966" x2="89420" y2="91667"/>
                      <a14:foregroundMark x1="68924" y1="90470" x2="70133" y2="92735"/>
                      <a14:foregroundMark x1="70133" y1="92735" x2="75212" y2="95171"/>
                      <a14:foregroundMark x1="75030" y1="95085" x2="71342" y2="94573"/>
                      <a14:foregroundMark x1="71342" y1="94573" x2="69287" y2="92265"/>
                      <a14:foregroundMark x1="69287" y1="92265" x2="69528" y2="91624"/>
                      <a14:foregroundMark x1="74547" y1="85897" x2="78779" y2="85000"/>
                      <a14:foregroundMark x1="78779" y1="85000" x2="82044" y2="84915"/>
                      <a14:foregroundMark x1="82044" y1="84915" x2="82648" y2="85513"/>
                      <a14:foregroundMark x1="77690" y1="85043" x2="73579" y2="85897"/>
                      <a14:foregroundMark x1="73579" y1="85897" x2="70496" y2="87521"/>
                      <a14:foregroundMark x1="70496" y1="87521" x2="68984" y2="89701"/>
                      <a14:foregroundMark x1="68984" y1="89701" x2="69649" y2="92350"/>
                      <a14:foregroundMark x1="69649" y1="92350" x2="69770" y2="92479"/>
                      <a14:foregroundMark x1="68622" y1="90299" x2="68984" y2="92479"/>
                      <a14:foregroundMark x1="68984" y1="92479" x2="69105" y2="92521"/>
                      <a14:foregroundMark x1="75272" y1="95342" x2="78960" y2="95641"/>
                      <a14:foregroundMark x1="78960" y1="95641" x2="80532" y2="95470"/>
                      <a14:foregroundMark x1="81923" y1="95470" x2="85611" y2="95000"/>
                      <a14:foregroundMark x1="85611" y1="95000" x2="89178" y2="92906"/>
                      <a14:foregroundMark x1="89178" y1="92906" x2="90387" y2="90342"/>
                      <a14:foregroundMark x1="90387" y1="90342" x2="89541" y2="88291"/>
                      <a14:foregroundMark x1="89541" y1="88291" x2="88936" y2="87735"/>
                      <a14:foregroundMark x1="82164" y1="85171" x2="86276" y2="85897"/>
                      <a14:foregroundMark x1="86276" y1="85897" x2="89601" y2="88291"/>
                      <a14:foregroundMark x1="82164" y1="85043" x2="85550" y2="85513"/>
                      <a14:foregroundMark x1="85550" y1="85513" x2="88573" y2="87137"/>
                      <a14:foregroundMark x1="88573" y1="87137" x2="90085" y2="88803"/>
                      <a14:foregroundMark x1="86215" y1="85769" x2="88815" y2="87137"/>
                      <a14:foregroundMark x1="88815" y1="87137" x2="90568" y2="89231"/>
                      <a14:foregroundMark x1="90568" y1="89231" x2="90387" y2="90726"/>
                      <a14:foregroundMark x1="74426" y1="95043" x2="75393" y2="95470"/>
                      <a14:foregroundMark x1="80774" y1="95513" x2="81620" y2="956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8365" t="84260" r="8759" b="3773"/>
        <a:stretch/>
      </xdr:blipFill>
      <xdr:spPr bwMode="auto">
        <a:xfrm rot="21337467">
          <a:off x="9296399" y="25146001"/>
          <a:ext cx="1401535" cy="1044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603250</xdr:colOff>
      <xdr:row>0</xdr:row>
      <xdr:rowOff>13607</xdr:rowOff>
    </xdr:from>
    <xdr:to>
      <xdr:col>6</xdr:col>
      <xdr:colOff>1809752</xdr:colOff>
      <xdr:row>1</xdr:row>
      <xdr:rowOff>232064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B37336F-97BC-4C91-A0B8-5C079BADA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5429" y="13607"/>
          <a:ext cx="8200573" cy="10212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25071NSJ_AS_V01.xlsx" TargetMode="External"/><Relationship Id="rId1" Type="http://schemas.openxmlformats.org/officeDocument/2006/relationships/externalLinkPath" Target="file:///\\192.168.10.99\&#26989;&#21209;&#37096;\&#12304;&#32784;&#26031;&#20625;&#26989;&#21209;&#12305;\&#12304;&#23560;&#26696;&#36039;&#26009;&#22846;&#12305;\2.%20&#38283;&#30332;&#20013;&#26696;&#22580;\S-&#37628;&#27083;&#24037;&#31243;\&#23665;&#19978;&#21312;&#20844;&#25152;\4.&#38928;&#31639;&#26360;\25071NSJ_AS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專案分析表"/>
      <sheetName val="報價單"/>
      <sheetName val="工程預算書"/>
      <sheetName val="報價彙整表"/>
      <sheetName val="估料彙整表"/>
      <sheetName val="估料表"/>
      <sheetName val="工作表1"/>
      <sheetName val="估料分類表"/>
      <sheetName val="物料清單表"/>
      <sheetName val="物料分類表"/>
      <sheetName val="25071NSJ_AS_V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les.nextgenenergy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AEB2-F73B-48A8-946E-988D9E58CAA8}">
  <sheetPr>
    <tabColor rgb="FFFFC000"/>
    <pageSetUpPr fitToPage="1"/>
  </sheetPr>
  <dimension ref="A1:S51"/>
  <sheetViews>
    <sheetView tabSelected="1" topLeftCell="A22" zoomScale="85" zoomScaleNormal="85" zoomScaleSheetLayoutView="100" workbookViewId="0">
      <selection activeCell="Q20" sqref="Q20"/>
    </sheetView>
  </sheetViews>
  <sheetFormatPr defaultColWidth="9" defaultRowHeight="15.6"/>
  <cols>
    <col min="1" max="1" width="15.6640625" style="65" customWidth="1"/>
    <col min="2" max="4" width="12.109375" style="65" customWidth="1"/>
    <col min="5" max="5" width="18.21875" style="65" bestFit="1" customWidth="1"/>
    <col min="6" max="6" width="14.6640625" style="65" customWidth="1"/>
    <col min="7" max="7" width="14.21875" style="67" customWidth="1"/>
    <col min="8" max="8" width="6.21875" style="67" customWidth="1"/>
    <col min="9" max="9" width="1.6640625" style="67" customWidth="1"/>
    <col min="10" max="10" width="11.109375" style="65" customWidth="1"/>
    <col min="11" max="11" width="14.88671875" style="65" customWidth="1"/>
    <col min="12" max="12" width="16.33203125" style="65" bestFit="1" customWidth="1"/>
    <col min="13" max="13" width="15.33203125" style="65" customWidth="1"/>
    <col min="14" max="14" width="14.109375" style="65" customWidth="1"/>
    <col min="15" max="15" width="9" style="65"/>
    <col min="16" max="16" width="23" style="65" bestFit="1" customWidth="1"/>
    <col min="17" max="17" width="12.33203125" style="65" bestFit="1" customWidth="1"/>
    <col min="18" max="16384" width="9" style="65"/>
  </cols>
  <sheetData>
    <row r="1" spans="1:19" ht="66.75" customHeight="1">
      <c r="A1" s="413"/>
      <c r="B1" s="413"/>
      <c r="C1" s="413"/>
      <c r="D1" s="413"/>
      <c r="E1" s="413"/>
      <c r="F1" s="413"/>
      <c r="G1" s="414"/>
      <c r="H1" s="65"/>
      <c r="I1" s="65"/>
    </row>
    <row r="2" spans="1:19" s="19" customFormat="1" ht="30" customHeight="1">
      <c r="A2" s="413" t="s">
        <v>58</v>
      </c>
      <c r="B2" s="413"/>
      <c r="C2" s="413"/>
      <c r="D2" s="413"/>
      <c r="E2" s="413"/>
      <c r="F2" s="413"/>
      <c r="G2" s="414"/>
      <c r="H2" s="65"/>
      <c r="I2" s="65"/>
      <c r="J2" s="415"/>
      <c r="K2" s="415"/>
      <c r="L2" s="415"/>
      <c r="M2" s="415"/>
      <c r="N2" s="66"/>
    </row>
    <row r="3" spans="1:19" ht="17.25" customHeight="1">
      <c r="I3" s="66"/>
      <c r="J3" s="66"/>
      <c r="K3" s="68"/>
      <c r="L3" s="54"/>
      <c r="M3" s="55"/>
      <c r="N3" s="55"/>
    </row>
    <row r="4" spans="1:19" ht="20.100000000000001" customHeight="1">
      <c r="A4" s="66" t="s">
        <v>61</v>
      </c>
      <c r="B4" s="69" t="str">
        <f>報價單!B3</f>
        <v>夸克能源股份有限公司</v>
      </c>
      <c r="E4" s="70" t="s">
        <v>198</v>
      </c>
      <c r="F4" s="66"/>
      <c r="I4" s="68"/>
      <c r="J4" s="66"/>
      <c r="K4" s="71"/>
      <c r="L4" s="66"/>
      <c r="M4" s="71"/>
      <c r="N4" s="72"/>
    </row>
    <row r="5" spans="1:19" ht="20.100000000000001" customHeight="1">
      <c r="A5" s="66" t="s">
        <v>60</v>
      </c>
      <c r="B5" s="69" t="str">
        <f>報價單!B4</f>
        <v>宜蘭縣冬山鄉順安路185巷1號</v>
      </c>
      <c r="E5" s="70" t="s">
        <v>197</v>
      </c>
      <c r="F5" s="73">
        <f>報價單!$D$48</f>
        <v>70.55</v>
      </c>
      <c r="G5" s="67" t="s">
        <v>21</v>
      </c>
      <c r="H5" s="65"/>
      <c r="I5" s="72"/>
      <c r="J5" s="66"/>
      <c r="K5" s="71"/>
      <c r="L5" s="66"/>
      <c r="M5" s="71"/>
      <c r="N5" s="72"/>
    </row>
    <row r="6" spans="1:19" ht="20.100000000000001" customHeight="1">
      <c r="A6" s="66" t="s">
        <v>59</v>
      </c>
      <c r="B6" s="69" t="str">
        <f>報價單!B5</f>
        <v>宜蘭順安美麗莊園-光電工程-70.55kWp</v>
      </c>
      <c r="E6" s="70" t="s">
        <v>64</v>
      </c>
      <c r="F6" s="74">
        <f>報價單!$F$3</f>
        <v>46153</v>
      </c>
      <c r="I6" s="72"/>
      <c r="J6" s="66"/>
      <c r="K6" s="71"/>
      <c r="L6" s="66"/>
      <c r="M6" s="71"/>
      <c r="N6" s="72"/>
    </row>
    <row r="7" spans="1:19" ht="20.100000000000001" customHeight="1">
      <c r="A7" s="66" t="s">
        <v>62</v>
      </c>
      <c r="B7" s="75">
        <f>E10</f>
        <v>4014295</v>
      </c>
      <c r="C7" s="65" t="s">
        <v>63</v>
      </c>
      <c r="E7" s="70" t="s">
        <v>0</v>
      </c>
      <c r="F7" s="76" t="s">
        <v>1</v>
      </c>
      <c r="I7" s="72"/>
    </row>
    <row r="8" spans="1:19" ht="20.100000000000001" customHeight="1" thickBot="1">
      <c r="A8" s="66" t="s">
        <v>172</v>
      </c>
      <c r="B8" s="75" t="s">
        <v>204</v>
      </c>
      <c r="E8" s="380" t="s">
        <v>137</v>
      </c>
      <c r="F8" s="76" t="str">
        <f>報價單!$F$4</f>
        <v>TEST</v>
      </c>
      <c r="I8" s="72"/>
    </row>
    <row r="9" spans="1:19" s="66" customFormat="1" ht="33" customHeight="1" thickBot="1">
      <c r="A9" s="77" t="s">
        <v>65</v>
      </c>
      <c r="B9" s="416" t="s">
        <v>66</v>
      </c>
      <c r="C9" s="416"/>
      <c r="D9" s="416"/>
      <c r="E9" s="78" t="s">
        <v>67</v>
      </c>
      <c r="F9" s="79" t="s">
        <v>24</v>
      </c>
      <c r="G9" s="80" t="s">
        <v>171</v>
      </c>
      <c r="H9" s="76"/>
      <c r="I9" s="417" t="s">
        <v>66</v>
      </c>
      <c r="J9" s="416"/>
      <c r="K9" s="416"/>
      <c r="L9" s="78" t="s">
        <v>170</v>
      </c>
      <c r="M9" s="78" t="s">
        <v>24</v>
      </c>
      <c r="N9" s="81" t="s">
        <v>171</v>
      </c>
      <c r="P9" s="65"/>
      <c r="Q9" s="65"/>
      <c r="R9" s="65"/>
      <c r="S9" s="65"/>
    </row>
    <row r="10" spans="1:19" ht="33" customHeight="1">
      <c r="A10" s="418" t="s">
        <v>68</v>
      </c>
      <c r="B10" s="420" t="s">
        <v>300</v>
      </c>
      <c r="C10" s="421"/>
      <c r="D10" s="422"/>
      <c r="E10" s="82">
        <f>報價單!F48</f>
        <v>4014295</v>
      </c>
      <c r="F10" s="82">
        <f>E10/$F$5</f>
        <v>56900</v>
      </c>
      <c r="G10" s="83">
        <v>1</v>
      </c>
      <c r="H10" s="84"/>
      <c r="I10" s="423" t="s">
        <v>156</v>
      </c>
      <c r="J10" s="424"/>
      <c r="K10" s="424"/>
      <c r="L10" s="379">
        <f>$E$13</f>
        <v>4014295</v>
      </c>
      <c r="M10" s="56">
        <f>$F$10</f>
        <v>56900</v>
      </c>
      <c r="N10" s="85">
        <v>1</v>
      </c>
      <c r="P10" s="65" t="s">
        <v>207</v>
      </c>
    </row>
    <row r="11" spans="1:19" ht="33" customHeight="1">
      <c r="A11" s="418"/>
      <c r="B11" s="425"/>
      <c r="C11" s="426"/>
      <c r="D11" s="427"/>
      <c r="E11" s="86"/>
      <c r="F11" s="82"/>
      <c r="G11" s="83"/>
      <c r="H11" s="87"/>
      <c r="I11" s="428" t="s">
        <v>185</v>
      </c>
      <c r="J11" s="429"/>
      <c r="K11" s="429"/>
      <c r="L11" s="375">
        <f>工程預算書!$F$9+工程預算書!$F$10+工程預算書!$F$11+工程預算書!$F$12+工程預算書!$F$13+工程預算書!$F$14+工程預算書!$F$15+工程預算書!$F$16+工程預算書!$F$17+工程預算書!$F$19+工程預算書!$F$20+工程預算書!$F$21+工程預算書!$F$22+工程預算書!$F$25</f>
        <v>536810.9</v>
      </c>
      <c r="M11" s="88">
        <f>L11/$F$5</f>
        <v>7608.9425939050325</v>
      </c>
      <c r="N11" s="89">
        <f>L11/$L$10</f>
        <v>0.13372482590342763</v>
      </c>
      <c r="P11" s="374" t="s">
        <v>292</v>
      </c>
      <c r="Q11" s="375"/>
    </row>
    <row r="12" spans="1:19" ht="33" customHeight="1">
      <c r="A12" s="418"/>
      <c r="B12" s="425"/>
      <c r="C12" s="426"/>
      <c r="D12" s="427"/>
      <c r="E12" s="86"/>
      <c r="F12" s="82"/>
      <c r="G12" s="83"/>
      <c r="H12" s="84"/>
      <c r="I12" s="428" t="s">
        <v>186</v>
      </c>
      <c r="J12" s="429"/>
      <c r="K12" s="429"/>
      <c r="L12" s="90">
        <f>工程預算書!$F$18 +工程預算書!$F$23+工程預算書!$F$24+工程預算書!$F$26</f>
        <v>190605.6</v>
      </c>
      <c r="M12" s="88">
        <f t="shared" ref="M12:M14" si="0">L12/$F$5</f>
        <v>2701.7094259390506</v>
      </c>
      <c r="N12" s="89">
        <f t="shared" ref="N12:N24" si="1">L12/$L$10</f>
        <v>4.7481712230914769E-2</v>
      </c>
      <c r="P12" s="374" t="s">
        <v>291</v>
      </c>
    </row>
    <row r="13" spans="1:19" ht="33" customHeight="1" thickBot="1">
      <c r="A13" s="419"/>
      <c r="B13" s="430" t="s">
        <v>69</v>
      </c>
      <c r="C13" s="430"/>
      <c r="D13" s="430"/>
      <c r="E13" s="91">
        <f>SUM(E10:E12)</f>
        <v>4014295</v>
      </c>
      <c r="F13" s="92">
        <f t="shared" ref="F13:F22" si="2">E13/$F$5</f>
        <v>56900</v>
      </c>
      <c r="G13" s="93">
        <f>E13/E10</f>
        <v>1</v>
      </c>
      <c r="H13" s="84"/>
      <c r="I13" s="431" t="s">
        <v>153</v>
      </c>
      <c r="J13" s="432"/>
      <c r="K13" s="433"/>
      <c r="L13" s="53">
        <f>工程預算書!$F$36</f>
        <v>258745</v>
      </c>
      <c r="M13" s="53">
        <f t="shared" si="0"/>
        <v>3667.5407512402553</v>
      </c>
      <c r="N13" s="89">
        <f t="shared" si="1"/>
        <v>6.4455900724784798E-2</v>
      </c>
    </row>
    <row r="14" spans="1:19" ht="33" customHeight="1">
      <c r="A14" s="436" t="s">
        <v>199</v>
      </c>
      <c r="B14" s="439" t="s">
        <v>300</v>
      </c>
      <c r="C14" s="440"/>
      <c r="D14" s="441"/>
      <c r="E14" s="94"/>
      <c r="F14" s="95"/>
      <c r="G14" s="96"/>
      <c r="H14" s="84"/>
      <c r="I14" s="442" t="s">
        <v>177</v>
      </c>
      <c r="J14" s="443"/>
      <c r="K14" s="443"/>
      <c r="L14" s="53">
        <f>工程預算書!$F$39+工程預算書!$F$42+工程預算書!$F$43</f>
        <v>269600</v>
      </c>
      <c r="M14" s="53">
        <f t="shared" si="0"/>
        <v>3821.4032600992205</v>
      </c>
      <c r="N14" s="89">
        <f t="shared" si="1"/>
        <v>6.7159986996471355E-2</v>
      </c>
      <c r="P14" s="376" t="s">
        <v>293</v>
      </c>
    </row>
    <row r="15" spans="1:19" ht="33" customHeight="1">
      <c r="A15" s="437"/>
      <c r="B15" s="444" t="s">
        <v>179</v>
      </c>
      <c r="C15" s="445"/>
      <c r="D15" s="446"/>
      <c r="E15" s="97">
        <f>L13+L17+L18+L19+L11+L15+L16</f>
        <v>2146005.9</v>
      </c>
      <c r="F15" s="97">
        <f t="shared" si="2"/>
        <v>30418.226789510984</v>
      </c>
      <c r="G15" s="98">
        <f>E15/$E$13</f>
        <v>0.53459098048349707</v>
      </c>
      <c r="H15" s="84"/>
      <c r="I15" s="442" t="s">
        <v>178</v>
      </c>
      <c r="J15" s="443"/>
      <c r="K15" s="443"/>
      <c r="L15" s="53">
        <f>工程預算書!$F$40+工程預算書!$F$41</f>
        <v>156100</v>
      </c>
      <c r="M15" s="53">
        <f>L15/$F$5</f>
        <v>2212.6151665485472</v>
      </c>
      <c r="N15" s="89">
        <f t="shared" si="1"/>
        <v>3.8886031046547399E-2</v>
      </c>
      <c r="P15" s="69">
        <v>40.409999999999997</v>
      </c>
    </row>
    <row r="16" spans="1:19" ht="33" customHeight="1">
      <c r="A16" s="437"/>
      <c r="B16" s="444" t="s">
        <v>176</v>
      </c>
      <c r="C16" s="445"/>
      <c r="D16" s="446"/>
      <c r="E16" s="97">
        <f>L14+L20+L22+L12</f>
        <v>707130.6</v>
      </c>
      <c r="F16" s="97">
        <f t="shared" si="2"/>
        <v>10023.11268603827</v>
      </c>
      <c r="G16" s="98">
        <f t="shared" ref="G16:G33" si="3">E16/$E$13</f>
        <v>0.176153122777474</v>
      </c>
      <c r="H16" s="84"/>
      <c r="I16" s="431" t="s">
        <v>187</v>
      </c>
      <c r="J16" s="432"/>
      <c r="K16" s="433"/>
      <c r="L16" s="53">
        <f>工程預算書!$F$46</f>
        <v>0</v>
      </c>
      <c r="M16" s="53">
        <f t="shared" ref="M16:M20" si="4">L16/$F$5</f>
        <v>0</v>
      </c>
      <c r="N16" s="89">
        <f t="shared" si="1"/>
        <v>0</v>
      </c>
    </row>
    <row r="17" spans="1:17" ht="33" customHeight="1">
      <c r="A17" s="437"/>
      <c r="B17" s="444" t="s">
        <v>195</v>
      </c>
      <c r="C17" s="445"/>
      <c r="D17" s="446"/>
      <c r="E17" s="99">
        <f>L21</f>
        <v>171840</v>
      </c>
      <c r="F17" s="97">
        <f t="shared" si="2"/>
        <v>2435.7193479801558</v>
      </c>
      <c r="G17" s="98">
        <f t="shared" si="3"/>
        <v>4.280701841792893E-2</v>
      </c>
      <c r="H17" s="45"/>
      <c r="I17" s="442" t="s">
        <v>208</v>
      </c>
      <c r="J17" s="443"/>
      <c r="K17" s="443"/>
      <c r="L17" s="88">
        <f>VLOOKUP(I17,工程預算書!$B:$F,5,0)</f>
        <v>141100</v>
      </c>
      <c r="M17" s="53">
        <f t="shared" si="4"/>
        <v>2000</v>
      </c>
      <c r="N17" s="89">
        <f t="shared" si="1"/>
        <v>3.5149384885764502E-2</v>
      </c>
    </row>
    <row r="18" spans="1:17" ht="33" customHeight="1">
      <c r="A18" s="437"/>
      <c r="B18" s="444" t="s">
        <v>196</v>
      </c>
      <c r="C18" s="445">
        <v>5000</v>
      </c>
      <c r="D18" s="446"/>
      <c r="E18" s="99">
        <f>F18*F5</f>
        <v>70550</v>
      </c>
      <c r="F18" s="97">
        <v>1000</v>
      </c>
      <c r="G18" s="98">
        <f>E18/$E$13</f>
        <v>1.7574692442882251E-2</v>
      </c>
      <c r="H18" s="100"/>
      <c r="I18" s="442" t="s">
        <v>209</v>
      </c>
      <c r="J18" s="443"/>
      <c r="K18" s="443"/>
      <c r="L18" s="88">
        <f>VLOOKUP(I18,工程預算書!$B:$F,5,0)</f>
        <v>720775</v>
      </c>
      <c r="M18" s="53">
        <f t="shared" si="4"/>
        <v>10216.513111268605</v>
      </c>
      <c r="N18" s="89">
        <f t="shared" si="1"/>
        <v>0.17955207576921975</v>
      </c>
    </row>
    <row r="19" spans="1:17" ht="33" customHeight="1">
      <c r="A19" s="437"/>
      <c r="B19" s="444" t="str">
        <f>I23</f>
        <v>雜項費用2%</v>
      </c>
      <c r="C19" s="445"/>
      <c r="D19" s="446"/>
      <c r="E19" s="99">
        <f>L23</f>
        <v>60499.53</v>
      </c>
      <c r="F19" s="97">
        <f>E19/$F$5</f>
        <v>857.5411764705882</v>
      </c>
      <c r="G19" s="98">
        <f t="shared" ref="G19:G20" si="5">E19/$E$13</f>
        <v>1.5071022433578E-2</v>
      </c>
      <c r="H19" s="101"/>
      <c r="I19" s="442" t="s">
        <v>180</v>
      </c>
      <c r="J19" s="443"/>
      <c r="K19" s="443"/>
      <c r="L19" s="88">
        <f>工程預算書!$F$87+工程預算書!$F$88+工程預算書!$F$89+工程預算書!$F$90+工程預算書!$F$91</f>
        <v>332475</v>
      </c>
      <c r="M19" s="88">
        <f t="shared" si="4"/>
        <v>4712.6151665485477</v>
      </c>
      <c r="N19" s="89">
        <f t="shared" si="1"/>
        <v>8.2822762153753018E-2</v>
      </c>
      <c r="P19" s="376" t="s">
        <v>294</v>
      </c>
      <c r="Q19" s="65">
        <f>工程預算書!$F$87+工程預算書!$F$88+工程預算書!$F$89+工程預算書!$F$90+工程預算書!$F$91</f>
        <v>332475</v>
      </c>
    </row>
    <row r="20" spans="1:17" ht="33" customHeight="1">
      <c r="A20" s="437"/>
      <c r="B20" s="444" t="str">
        <f>I26</f>
        <v>工程保險0.8%</v>
      </c>
      <c r="C20" s="445"/>
      <c r="D20" s="446"/>
      <c r="E20" s="99">
        <f>L26</f>
        <v>24199.812000000002</v>
      </c>
      <c r="F20" s="97">
        <f>E20/$F$5</f>
        <v>343.01647058823534</v>
      </c>
      <c r="G20" s="98">
        <f t="shared" si="5"/>
        <v>6.028408973431201E-3</v>
      </c>
      <c r="H20" s="100"/>
      <c r="I20" s="431" t="s">
        <v>181</v>
      </c>
      <c r="J20" s="432"/>
      <c r="K20" s="433"/>
      <c r="L20" s="88">
        <f>工程預算書!$F$92+工程預算書!$F$93</f>
        <v>134045</v>
      </c>
      <c r="M20" s="88">
        <f t="shared" si="4"/>
        <v>1900</v>
      </c>
      <c r="N20" s="89">
        <f t="shared" si="1"/>
        <v>3.3391915641476276E-2</v>
      </c>
      <c r="P20" s="65">
        <v>92.93</v>
      </c>
      <c r="Q20" s="65">
        <f>工程預算書!$F$92+工程預算書!$F$93</f>
        <v>134045</v>
      </c>
    </row>
    <row r="21" spans="1:17" ht="33" customHeight="1">
      <c r="A21" s="437"/>
      <c r="B21" s="425"/>
      <c r="C21" s="426"/>
      <c r="D21" s="427"/>
      <c r="E21" s="102"/>
      <c r="F21" s="102"/>
      <c r="G21" s="103"/>
      <c r="H21" s="104"/>
      <c r="I21" s="434" t="s">
        <v>210</v>
      </c>
      <c r="J21" s="435"/>
      <c r="K21" s="435"/>
      <c r="L21" s="88">
        <f>VLOOKUP(I21,工程預算書!$B:$F,5,0)</f>
        <v>171840</v>
      </c>
      <c r="M21" s="105">
        <f>L21/$F$5</f>
        <v>2435.7193479801558</v>
      </c>
      <c r="N21" s="89">
        <f t="shared" si="1"/>
        <v>4.280701841792893E-2</v>
      </c>
    </row>
    <row r="22" spans="1:17" ht="33" customHeight="1" thickBot="1">
      <c r="A22" s="438"/>
      <c r="B22" s="461" t="s">
        <v>211</v>
      </c>
      <c r="C22" s="461"/>
      <c r="D22" s="461"/>
      <c r="E22" s="106">
        <f>SUM(E15:E20)</f>
        <v>3180225.8419999997</v>
      </c>
      <c r="F22" s="107">
        <f t="shared" si="2"/>
        <v>45077.616470588233</v>
      </c>
      <c r="G22" s="108">
        <f t="shared" si="3"/>
        <v>0.79222524552879137</v>
      </c>
      <c r="H22" s="109"/>
      <c r="I22" s="434" t="s">
        <v>212</v>
      </c>
      <c r="J22" s="435"/>
      <c r="K22" s="435"/>
      <c r="L22" s="88">
        <f>VLOOKUP(I22,工程預算書!$B:$F,5,0)</f>
        <v>112880</v>
      </c>
      <c r="M22" s="105">
        <f>L22/$F$5</f>
        <v>1600</v>
      </c>
      <c r="N22" s="89">
        <f t="shared" si="1"/>
        <v>2.8119507908611598E-2</v>
      </c>
    </row>
    <row r="23" spans="1:17" ht="33" customHeight="1" thickBot="1">
      <c r="A23" s="61" t="s">
        <v>213</v>
      </c>
      <c r="B23" s="462" t="s">
        <v>214</v>
      </c>
      <c r="C23" s="462"/>
      <c r="D23" s="462"/>
      <c r="E23" s="62">
        <f>E13-E22</f>
        <v>834069.15800000029</v>
      </c>
      <c r="F23" s="110">
        <f>E23/$F$5</f>
        <v>11822.383529411769</v>
      </c>
      <c r="G23" s="111">
        <f>E23/$E$13</f>
        <v>0.20777475447120858</v>
      </c>
      <c r="I23" s="463" t="s">
        <v>152</v>
      </c>
      <c r="J23" s="464"/>
      <c r="K23" s="464"/>
      <c r="L23" s="88">
        <f>VLOOKUP(I23,工程預算書!$B:$F,5,0)</f>
        <v>60499.53</v>
      </c>
      <c r="M23" s="105">
        <f>L23/$F$5</f>
        <v>857.5411764705882</v>
      </c>
      <c r="N23" s="89">
        <f t="shared" si="1"/>
        <v>1.5071022433578E-2</v>
      </c>
    </row>
    <row r="24" spans="1:17" ht="33" customHeight="1">
      <c r="A24" s="447" t="s">
        <v>200</v>
      </c>
      <c r="B24" s="449" t="str">
        <f>I24</f>
        <v>工程設計技術整合費1%</v>
      </c>
      <c r="C24" s="450"/>
      <c r="D24" s="451"/>
      <c r="E24" s="112">
        <f>L24</f>
        <v>30249.764999999999</v>
      </c>
      <c r="F24" s="82">
        <f>E24/$F$5</f>
        <v>428.7705882352941</v>
      </c>
      <c r="G24" s="113">
        <f>E24/$E$13</f>
        <v>7.5355112167889999E-3</v>
      </c>
      <c r="I24" s="434" t="s">
        <v>215</v>
      </c>
      <c r="J24" s="435"/>
      <c r="K24" s="435"/>
      <c r="L24" s="88">
        <f>VLOOKUP(I24,工程預算書!$B:$F,5,0)</f>
        <v>30249.764999999999</v>
      </c>
      <c r="M24" s="88">
        <f>L24/$F$5</f>
        <v>428.7705882352941</v>
      </c>
      <c r="N24" s="89">
        <f t="shared" si="1"/>
        <v>7.5355112167889999E-3</v>
      </c>
    </row>
    <row r="25" spans="1:17" ht="33" customHeight="1" thickBot="1">
      <c r="A25" s="447"/>
      <c r="B25" s="452" t="str">
        <f>I27</f>
        <v>工程保固1%</v>
      </c>
      <c r="C25" s="453"/>
      <c r="D25" s="454"/>
      <c r="E25" s="99">
        <f>L27</f>
        <v>30249.764999999999</v>
      </c>
      <c r="F25" s="97">
        <f>E25/$F$5</f>
        <v>428.7705882352941</v>
      </c>
      <c r="G25" s="98">
        <f>E25/$E$13</f>
        <v>7.5355112167889999E-3</v>
      </c>
      <c r="I25" s="455" t="s">
        <v>23</v>
      </c>
      <c r="J25" s="456"/>
      <c r="K25" s="456"/>
      <c r="L25" s="60">
        <f>SUM(L11:L24)</f>
        <v>3115725.7949999999</v>
      </c>
      <c r="M25" s="60">
        <f>SUM(M13:M24)</f>
        <v>33852.718568391218</v>
      </c>
      <c r="N25" s="114">
        <f>SUM(N11:N24)</f>
        <v>0.77615765532926706</v>
      </c>
    </row>
    <row r="26" spans="1:17" s="20" customFormat="1" ht="33" customHeight="1">
      <c r="A26" s="447"/>
      <c r="B26" s="452" t="str">
        <f>I28</f>
        <v>內部管銷5%</v>
      </c>
      <c r="C26" s="453"/>
      <c r="D26" s="454"/>
      <c r="E26" s="99">
        <f>L28</f>
        <v>151248.82500000001</v>
      </c>
      <c r="F26" s="97">
        <f>E26/$F$5</f>
        <v>2143.8529411764707</v>
      </c>
      <c r="G26" s="98">
        <f>E26/$E$13</f>
        <v>3.7677556083945005E-2</v>
      </c>
      <c r="H26" s="46"/>
      <c r="I26" s="465" t="s">
        <v>297</v>
      </c>
      <c r="J26" s="466"/>
      <c r="K26" s="467"/>
      <c r="L26" s="88">
        <f>VLOOKUP(I26,工程預算書!$B:$F,5,0)</f>
        <v>24199.812000000002</v>
      </c>
      <c r="M26" s="88">
        <f>L26/$F$5</f>
        <v>343.01647058823534</v>
      </c>
      <c r="N26" s="89">
        <f>L26/$L$10</f>
        <v>6.028408973431201E-3</v>
      </c>
    </row>
    <row r="27" spans="1:17" s="20" customFormat="1" ht="33" customHeight="1">
      <c r="A27" s="447"/>
      <c r="B27" s="452" t="s">
        <v>183</v>
      </c>
      <c r="C27" s="453"/>
      <c r="D27" s="454"/>
      <c r="E27" s="99">
        <f t="shared" ref="E27" si="6">$E$13*G27</f>
        <v>80285.900000000009</v>
      </c>
      <c r="F27" s="97">
        <f>E27/$F$5</f>
        <v>1138.0000000000002</v>
      </c>
      <c r="G27" s="98">
        <v>0.02</v>
      </c>
      <c r="H27" s="47"/>
      <c r="I27" s="458" t="s">
        <v>298</v>
      </c>
      <c r="J27" s="459"/>
      <c r="K27" s="460"/>
      <c r="L27" s="88">
        <f>VLOOKUP(I27,工程預算書!$B:$F,5,0)</f>
        <v>30249.764999999999</v>
      </c>
      <c r="M27" s="88">
        <f>L27/$F$5</f>
        <v>428.7705882352941</v>
      </c>
      <c r="N27" s="89">
        <f>L27/$L$10</f>
        <v>7.5355112167889999E-3</v>
      </c>
    </row>
    <row r="28" spans="1:17" s="20" customFormat="1" ht="33" customHeight="1">
      <c r="A28" s="447"/>
      <c r="B28" s="452"/>
      <c r="C28" s="453"/>
      <c r="D28" s="454"/>
      <c r="E28" s="99"/>
      <c r="F28" s="97"/>
      <c r="G28" s="98"/>
      <c r="H28" s="47"/>
      <c r="I28" s="458" t="s">
        <v>299</v>
      </c>
      <c r="J28" s="459"/>
      <c r="K28" s="460"/>
      <c r="L28" s="88">
        <f>VLOOKUP(I28,工程預算書!$B:$F,5,0)</f>
        <v>151248.82500000001</v>
      </c>
      <c r="M28" s="88">
        <f>L28/$F$5</f>
        <v>2143.8529411764707</v>
      </c>
      <c r="N28" s="89">
        <f>L28/$L$10</f>
        <v>3.7677556083945005E-2</v>
      </c>
    </row>
    <row r="29" spans="1:17" ht="33" customHeight="1">
      <c r="A29" s="447"/>
      <c r="B29" s="457"/>
      <c r="C29" s="457"/>
      <c r="D29" s="457"/>
      <c r="E29" s="102"/>
      <c r="F29" s="102"/>
      <c r="G29" s="115"/>
      <c r="H29" s="76"/>
      <c r="I29" s="458" t="s">
        <v>154</v>
      </c>
      <c r="J29" s="459"/>
      <c r="K29" s="460"/>
      <c r="L29" s="88">
        <f>E27</f>
        <v>80285.900000000009</v>
      </c>
      <c r="M29" s="88">
        <f>L29/$F$5</f>
        <v>1138.0000000000002</v>
      </c>
      <c r="N29" s="89">
        <f>L29/$L$10</f>
        <v>2.0000000000000004E-2</v>
      </c>
    </row>
    <row r="30" spans="1:17" s="20" customFormat="1" ht="33" customHeight="1" thickBot="1">
      <c r="A30" s="448"/>
      <c r="B30" s="468" t="s">
        <v>216</v>
      </c>
      <c r="C30" s="468"/>
      <c r="D30" s="468"/>
      <c r="E30" s="116">
        <f>SUM(E24:E28)</f>
        <v>292034.255</v>
      </c>
      <c r="F30" s="97">
        <f>E30/$F$5</f>
        <v>4139.3941176470589</v>
      </c>
      <c r="G30" s="98">
        <f>E30/E13</f>
        <v>7.2748578517523005E-2</v>
      </c>
      <c r="H30" s="47"/>
      <c r="I30" s="469" t="s">
        <v>23</v>
      </c>
      <c r="J30" s="470"/>
      <c r="K30" s="471"/>
      <c r="L30" s="60">
        <f>SUM(L26:L29)</f>
        <v>285984.30200000003</v>
      </c>
      <c r="M30" s="60">
        <f>SUM(M26:M29)</f>
        <v>4053.6400000000003</v>
      </c>
      <c r="N30" s="114">
        <f>SUM(N26:N29)</f>
        <v>7.1241476274165216E-2</v>
      </c>
    </row>
    <row r="31" spans="1:17" s="20" customFormat="1" ht="33" customHeight="1" thickBot="1">
      <c r="A31" s="48" t="s">
        <v>70</v>
      </c>
      <c r="B31" s="472" t="s">
        <v>71</v>
      </c>
      <c r="C31" s="472"/>
      <c r="D31" s="472"/>
      <c r="E31" s="49">
        <f>E13-E22-E30</f>
        <v>542034.90300000028</v>
      </c>
      <c r="F31" s="117">
        <f>E31/$F$5</f>
        <v>7682.98941176471</v>
      </c>
      <c r="G31" s="118">
        <f>E31/$E$13</f>
        <v>0.13502617595368557</v>
      </c>
      <c r="H31" s="47"/>
      <c r="I31" s="465" t="s">
        <v>182</v>
      </c>
      <c r="J31" s="466"/>
      <c r="K31" s="467"/>
      <c r="L31" s="119">
        <f>E18</f>
        <v>70550</v>
      </c>
      <c r="M31" s="119">
        <f>L31/$F$5</f>
        <v>1000</v>
      </c>
      <c r="N31" s="120">
        <f>L31/$L$10</f>
        <v>1.7574692442882251E-2</v>
      </c>
    </row>
    <row r="32" spans="1:17" ht="33" customHeight="1">
      <c r="A32" s="121" t="s">
        <v>72</v>
      </c>
      <c r="B32" s="473" t="s">
        <v>201</v>
      </c>
      <c r="C32" s="474"/>
      <c r="D32" s="474"/>
      <c r="E32" s="57">
        <f>E13*2%</f>
        <v>80285.900000000009</v>
      </c>
      <c r="F32" s="122"/>
      <c r="G32" s="96">
        <f t="shared" si="3"/>
        <v>2.0000000000000004E-2</v>
      </c>
      <c r="I32" s="458" t="s">
        <v>155</v>
      </c>
      <c r="J32" s="459"/>
      <c r="K32" s="460"/>
      <c r="L32" s="88">
        <f>E32</f>
        <v>80285.900000000009</v>
      </c>
      <c r="M32" s="88">
        <f>L32/$F$5</f>
        <v>1138.0000000000002</v>
      </c>
      <c r="N32" s="89">
        <f>L32/$L$10</f>
        <v>2.0000000000000004E-2</v>
      </c>
    </row>
    <row r="33" spans="1:14" ht="33" customHeight="1" thickBot="1">
      <c r="A33" s="58" t="s">
        <v>73</v>
      </c>
      <c r="B33" s="478" t="s">
        <v>74</v>
      </c>
      <c r="C33" s="478"/>
      <c r="D33" s="478"/>
      <c r="E33" s="59">
        <f>E31-E32</f>
        <v>461749.00300000026</v>
      </c>
      <c r="F33" s="123"/>
      <c r="G33" s="124">
        <f t="shared" si="3"/>
        <v>0.11502617595368558</v>
      </c>
      <c r="I33" s="458" t="s">
        <v>161</v>
      </c>
      <c r="J33" s="459"/>
      <c r="K33" s="460"/>
      <c r="L33" s="88">
        <f>E33</f>
        <v>461749.00300000026</v>
      </c>
      <c r="M33" s="88">
        <f>L33/$F$5</f>
        <v>6544.98941176471</v>
      </c>
      <c r="N33" s="89">
        <f>L33/$L$10</f>
        <v>0.11502617595368558</v>
      </c>
    </row>
    <row r="34" spans="1:14" s="20" customFormat="1" ht="33" customHeight="1" thickBot="1">
      <c r="A34" s="65" t="s">
        <v>75</v>
      </c>
      <c r="B34" s="65"/>
      <c r="C34" s="65"/>
      <c r="D34" s="65"/>
      <c r="E34" s="65"/>
      <c r="F34" s="65"/>
      <c r="G34" s="67"/>
      <c r="H34" s="47"/>
      <c r="I34" s="469" t="s">
        <v>23</v>
      </c>
      <c r="J34" s="470"/>
      <c r="K34" s="471"/>
      <c r="L34" s="60">
        <f>SUM(L31:L33)</f>
        <v>612584.90300000028</v>
      </c>
      <c r="M34" s="60">
        <f>SUM(M31:M33)</f>
        <v>8682.9894117647091</v>
      </c>
      <c r="N34" s="114">
        <f>SUM(N31:N33)</f>
        <v>0.15260086839656783</v>
      </c>
    </row>
    <row r="35" spans="1:14" s="67" customFormat="1" ht="33" customHeight="1" thickBot="1">
      <c r="A35" s="65" t="s">
        <v>76</v>
      </c>
      <c r="B35" s="65"/>
      <c r="C35" s="65"/>
      <c r="D35" s="65"/>
      <c r="E35" s="65"/>
      <c r="F35" s="65"/>
      <c r="H35" s="125"/>
      <c r="I35" s="479" t="s">
        <v>203</v>
      </c>
      <c r="J35" s="480"/>
      <c r="K35" s="481"/>
      <c r="L35" s="52">
        <f>L34+L30+L25</f>
        <v>4014295</v>
      </c>
      <c r="M35" s="52">
        <f>M34+M30+M25</f>
        <v>46589.34798015593</v>
      </c>
      <c r="N35" s="126">
        <f>N25+N34+N30</f>
        <v>1</v>
      </c>
    </row>
    <row r="36" spans="1:14" s="67" customFormat="1" ht="33" customHeight="1">
      <c r="A36" s="65" t="s">
        <v>202</v>
      </c>
      <c r="B36" s="65"/>
      <c r="C36" s="65"/>
      <c r="D36" s="65"/>
      <c r="E36" s="65"/>
      <c r="F36" s="65"/>
    </row>
    <row r="37" spans="1:14" s="67" customFormat="1" ht="33" customHeight="1">
      <c r="A37" s="65" t="s">
        <v>160</v>
      </c>
      <c r="B37" s="65"/>
      <c r="C37" s="65"/>
      <c r="D37" s="65"/>
      <c r="E37" s="127"/>
      <c r="F37" s="65"/>
    </row>
    <row r="38" spans="1:14" s="67" customFormat="1" ht="16.5" customHeight="1">
      <c r="A38" s="65"/>
      <c r="B38" s="65"/>
      <c r="C38" s="65"/>
      <c r="D38" s="65"/>
      <c r="E38" s="65"/>
      <c r="F38" s="65"/>
      <c r="I38" s="51"/>
      <c r="J38" s="51"/>
      <c r="K38" s="51"/>
      <c r="L38" s="476"/>
      <c r="M38" s="65"/>
      <c r="N38" s="477"/>
    </row>
    <row r="39" spans="1:14" ht="16.5" customHeight="1">
      <c r="A39" s="381" t="s">
        <v>37</v>
      </c>
      <c r="D39" s="382" t="s">
        <v>301</v>
      </c>
      <c r="F39" s="69"/>
      <c r="I39" s="51"/>
      <c r="J39" s="51"/>
      <c r="K39" s="51"/>
      <c r="L39" s="476"/>
      <c r="M39" s="67"/>
      <c r="N39" s="477"/>
    </row>
    <row r="40" spans="1:14" s="67" customFormat="1" ht="16.5" customHeight="1">
      <c r="A40" s="65"/>
      <c r="B40" s="65"/>
      <c r="D40" s="65"/>
      <c r="E40" s="65"/>
      <c r="F40" s="65"/>
      <c r="I40" s="50"/>
      <c r="J40" s="50"/>
      <c r="K40" s="50"/>
      <c r="L40" s="475"/>
      <c r="M40" s="476"/>
      <c r="N40" s="477"/>
    </row>
    <row r="41" spans="1:14" ht="16.5" customHeight="1">
      <c r="I41" s="50"/>
      <c r="J41" s="50"/>
      <c r="K41" s="50"/>
      <c r="L41" s="475"/>
      <c r="M41" s="476"/>
      <c r="N41" s="477"/>
    </row>
    <row r="42" spans="1:14" ht="15.75" customHeight="1">
      <c r="A42" s="381" t="s">
        <v>77</v>
      </c>
      <c r="D42" s="381" t="s">
        <v>79</v>
      </c>
      <c r="F42" s="380" t="s">
        <v>78</v>
      </c>
      <c r="J42" s="128"/>
      <c r="K42" s="128"/>
      <c r="L42" s="128"/>
      <c r="M42" s="128"/>
      <c r="N42" s="128"/>
    </row>
    <row r="43" spans="1:14" s="67" customFormat="1" ht="16.5" customHeight="1">
      <c r="A43" s="65"/>
      <c r="B43" s="65"/>
      <c r="C43" s="65"/>
      <c r="D43" s="65"/>
      <c r="E43" s="65"/>
      <c r="F43" s="65"/>
      <c r="J43" s="128"/>
      <c r="K43" s="128"/>
      <c r="L43" s="128"/>
      <c r="M43" s="128"/>
      <c r="N43" s="128"/>
    </row>
    <row r="44" spans="1:14" ht="15.75" customHeight="1">
      <c r="J44" s="128"/>
      <c r="K44" s="128"/>
      <c r="L44" s="128"/>
      <c r="M44" s="128"/>
      <c r="N44" s="128"/>
    </row>
    <row r="45" spans="1:14" ht="16.5" customHeight="1">
      <c r="A45" s="65" t="s">
        <v>80</v>
      </c>
      <c r="J45" s="128"/>
      <c r="K45" s="128"/>
      <c r="L45" s="128"/>
      <c r="M45" s="128"/>
      <c r="N45" s="128"/>
    </row>
    <row r="46" spans="1:14" s="67" customFormat="1" ht="15.75" customHeight="1">
      <c r="A46" s="65" t="s">
        <v>81</v>
      </c>
      <c r="B46" s="65"/>
      <c r="C46" s="65"/>
      <c r="D46" s="65"/>
      <c r="E46" s="65"/>
      <c r="F46" s="21"/>
      <c r="J46" s="128"/>
      <c r="K46" s="128"/>
      <c r="L46" s="128"/>
      <c r="M46" s="128"/>
      <c r="N46" s="128"/>
    </row>
    <row r="47" spans="1:14" s="67" customFormat="1" ht="16.5" customHeight="1">
      <c r="A47" s="65" t="s">
        <v>82</v>
      </c>
      <c r="B47" s="65"/>
      <c r="C47" s="65"/>
      <c r="D47" s="65"/>
      <c r="E47" s="65"/>
      <c r="F47" s="65"/>
      <c r="J47" s="128"/>
      <c r="K47" s="128"/>
      <c r="L47" s="128"/>
      <c r="M47" s="128"/>
      <c r="N47" s="128"/>
    </row>
    <row r="48" spans="1:14" s="67" customFormat="1" ht="15.75" customHeight="1">
      <c r="A48" s="65"/>
      <c r="B48" s="65"/>
      <c r="C48" s="65"/>
      <c r="D48" s="65"/>
      <c r="E48" s="65"/>
      <c r="F48" s="65"/>
      <c r="J48" s="128"/>
      <c r="K48" s="128"/>
      <c r="L48" s="128"/>
      <c r="M48" s="128"/>
      <c r="N48" s="128"/>
    </row>
    <row r="49" spans="10:14" ht="16.5" customHeight="1">
      <c r="J49" s="128"/>
      <c r="K49" s="128"/>
      <c r="L49" s="128"/>
      <c r="M49" s="128"/>
      <c r="N49" s="128"/>
    </row>
    <row r="50" spans="10:14" ht="16.5" customHeight="1">
      <c r="J50" s="128"/>
      <c r="K50" s="128"/>
      <c r="L50" s="128"/>
      <c r="M50" s="128"/>
      <c r="N50" s="128"/>
    </row>
    <row r="51" spans="10:14" ht="16.5" customHeight="1">
      <c r="J51" s="128"/>
      <c r="K51" s="128"/>
      <c r="L51" s="128"/>
      <c r="M51" s="128"/>
      <c r="N51" s="128"/>
    </row>
  </sheetData>
  <mergeCells count="64">
    <mergeCell ref="B32:D32"/>
    <mergeCell ref="I32:K32"/>
    <mergeCell ref="L40:L41"/>
    <mergeCell ref="M40:M41"/>
    <mergeCell ref="N40:N41"/>
    <mergeCell ref="B33:D33"/>
    <mergeCell ref="I33:K33"/>
    <mergeCell ref="I34:K34"/>
    <mergeCell ref="I35:K35"/>
    <mergeCell ref="L38:L39"/>
    <mergeCell ref="N38:N39"/>
    <mergeCell ref="B28:D28"/>
    <mergeCell ref="I28:K28"/>
    <mergeCell ref="B30:D30"/>
    <mergeCell ref="I30:K30"/>
    <mergeCell ref="B31:D31"/>
    <mergeCell ref="I31:K31"/>
    <mergeCell ref="I20:K20"/>
    <mergeCell ref="A24:A30"/>
    <mergeCell ref="B24:D24"/>
    <mergeCell ref="I24:K24"/>
    <mergeCell ref="B25:D25"/>
    <mergeCell ref="I25:K25"/>
    <mergeCell ref="B26:D26"/>
    <mergeCell ref="B29:D29"/>
    <mergeCell ref="I29:K29"/>
    <mergeCell ref="B22:D22"/>
    <mergeCell ref="I22:K22"/>
    <mergeCell ref="B23:D23"/>
    <mergeCell ref="I23:K23"/>
    <mergeCell ref="I26:K26"/>
    <mergeCell ref="B27:D27"/>
    <mergeCell ref="I27:K27"/>
    <mergeCell ref="B21:D21"/>
    <mergeCell ref="I21:K21"/>
    <mergeCell ref="A14:A22"/>
    <mergeCell ref="B14:D14"/>
    <mergeCell ref="I14:K14"/>
    <mergeCell ref="B15:D15"/>
    <mergeCell ref="I15:K15"/>
    <mergeCell ref="B16:D16"/>
    <mergeCell ref="I16:K16"/>
    <mergeCell ref="B17:D17"/>
    <mergeCell ref="I17:K17"/>
    <mergeCell ref="B18:D18"/>
    <mergeCell ref="I18:K18"/>
    <mergeCell ref="B19:D19"/>
    <mergeCell ref="I19:K19"/>
    <mergeCell ref="B20:D20"/>
    <mergeCell ref="A10:A13"/>
    <mergeCell ref="B10:D10"/>
    <mergeCell ref="I10:K10"/>
    <mergeCell ref="B11:D11"/>
    <mergeCell ref="I11:K11"/>
    <mergeCell ref="B12:D12"/>
    <mergeCell ref="I12:K12"/>
    <mergeCell ref="B13:D13"/>
    <mergeCell ref="I13:K13"/>
    <mergeCell ref="A1:G1"/>
    <mergeCell ref="A2:G2"/>
    <mergeCell ref="J2:K2"/>
    <mergeCell ref="L2:M2"/>
    <mergeCell ref="B9:D9"/>
    <mergeCell ref="I9:K9"/>
  </mergeCells>
  <phoneticPr fontId="6" type="noConversion"/>
  <dataValidations count="1">
    <dataValidation type="list" allowBlank="1" showInputMessage="1" showErrorMessage="1" promptTitle="1,2" sqref="B8" xr:uid="{FB351212-7C65-4A59-9913-41DC00AE2523}">
      <formula1>"自行開發,公司轉介,網站行銷"</formula1>
    </dataValidation>
  </dataValidations>
  <printOptions horizontalCentered="1"/>
  <pageMargins left="0" right="0" top="0.51181102362204722" bottom="0.55118110236220474" header="0.31496062992125984" footer="0.31496062992125984"/>
  <pageSetup paperSize="9" scale="5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BA82-7676-4F19-ABBB-5B2F24F6B19F}">
  <sheetPr>
    <pageSetUpPr fitToPage="1"/>
  </sheetPr>
  <dimension ref="A1:N59"/>
  <sheetViews>
    <sheetView view="pageBreakPreview" zoomScale="85" zoomScaleNormal="100" zoomScaleSheetLayoutView="85" workbookViewId="0">
      <selection activeCell="E70" sqref="E70"/>
    </sheetView>
  </sheetViews>
  <sheetFormatPr defaultColWidth="9" defaultRowHeight="13.8"/>
  <cols>
    <col min="1" max="1" width="11.44140625" style="18" customWidth="1"/>
    <col min="2" max="2" width="47.109375" style="18" customWidth="1"/>
    <col min="3" max="3" width="10.33203125" style="18" customWidth="1"/>
    <col min="4" max="4" width="16.77734375" style="18" customWidth="1"/>
    <col min="5" max="5" width="16" style="18" customWidth="1"/>
    <col min="6" max="6" width="17.77734375" style="18" customWidth="1"/>
    <col min="7" max="7" width="37" style="18" customWidth="1"/>
    <col min="8" max="8" width="4.33203125" style="3" customWidth="1"/>
    <col min="9" max="9" width="13.88671875" style="2" bestFit="1" customWidth="1"/>
    <col min="10" max="10" width="12.21875" style="2" bestFit="1" customWidth="1"/>
    <col min="11" max="11" width="16.33203125" style="2" bestFit="1" customWidth="1"/>
    <col min="12" max="12" width="11.33203125" style="2" bestFit="1" customWidth="1"/>
    <col min="13" max="13" width="12.44140625" style="2" bestFit="1" customWidth="1"/>
    <col min="14" max="14" width="15.88671875" style="3" bestFit="1" customWidth="1"/>
    <col min="15" max="16" width="9" style="3"/>
    <col min="17" max="17" width="8.21875" style="3" bestFit="1" customWidth="1"/>
    <col min="18" max="16384" width="9" style="3"/>
  </cols>
  <sheetData>
    <row r="1" spans="1:14" ht="50.25" customHeight="1">
      <c r="A1" s="482"/>
      <c r="B1" s="482"/>
      <c r="C1" s="482"/>
      <c r="D1" s="482"/>
      <c r="E1" s="482"/>
      <c r="F1" s="482"/>
      <c r="G1" s="482"/>
      <c r="H1" s="1"/>
    </row>
    <row r="2" spans="1:14" s="5" customFormat="1" ht="62.25" customHeight="1" thickBot="1">
      <c r="A2" s="483" t="s">
        <v>217</v>
      </c>
      <c r="B2" s="483"/>
      <c r="C2" s="483"/>
      <c r="D2" s="483"/>
      <c r="E2" s="483"/>
      <c r="F2" s="483"/>
      <c r="G2" s="483"/>
      <c r="H2" s="4"/>
      <c r="I2" s="129" t="s">
        <v>218</v>
      </c>
      <c r="J2" s="2"/>
      <c r="K2" s="2"/>
      <c r="L2" s="2"/>
      <c r="M2" s="2"/>
    </row>
    <row r="3" spans="1:14" s="5" customFormat="1" ht="39.75" customHeight="1">
      <c r="A3" s="130" t="s">
        <v>219</v>
      </c>
      <c r="B3" s="484" t="s">
        <v>190</v>
      </c>
      <c r="C3" s="484"/>
      <c r="D3" s="484"/>
      <c r="E3" s="131" t="s">
        <v>220</v>
      </c>
      <c r="F3" s="485">
        <v>46153</v>
      </c>
      <c r="G3" s="486"/>
      <c r="H3" s="4"/>
      <c r="I3" s="132">
        <v>70.55</v>
      </c>
      <c r="J3" s="2"/>
      <c r="K3" s="2"/>
      <c r="L3" s="2"/>
      <c r="M3" s="2"/>
    </row>
    <row r="4" spans="1:14" s="5" customFormat="1" ht="39.75" customHeight="1">
      <c r="A4" s="133" t="s">
        <v>221</v>
      </c>
      <c r="B4" s="487" t="s">
        <v>191</v>
      </c>
      <c r="C4" s="487"/>
      <c r="D4" s="487"/>
      <c r="E4" s="134" t="s">
        <v>222</v>
      </c>
      <c r="F4" s="488" t="s">
        <v>223</v>
      </c>
      <c r="G4" s="489"/>
      <c r="H4" s="4"/>
      <c r="I4" s="41" t="s">
        <v>48</v>
      </c>
      <c r="J4" s="42"/>
      <c r="K4" s="41" t="s">
        <v>49</v>
      </c>
      <c r="L4" s="2"/>
      <c r="M4" s="2"/>
    </row>
    <row r="5" spans="1:14" s="5" customFormat="1" ht="39.75" customHeight="1" thickBot="1">
      <c r="A5" s="135" t="s">
        <v>224</v>
      </c>
      <c r="B5" s="490" t="s">
        <v>192</v>
      </c>
      <c r="C5" s="490"/>
      <c r="D5" s="490"/>
      <c r="E5" s="136" t="s">
        <v>46</v>
      </c>
      <c r="F5" s="491" t="s">
        <v>47</v>
      </c>
      <c r="G5" s="491"/>
      <c r="H5" s="4"/>
      <c r="I5" s="43"/>
      <c r="J5" s="43"/>
      <c r="K5" s="44">
        <v>1.23</v>
      </c>
      <c r="L5" s="7"/>
      <c r="M5" s="6"/>
    </row>
    <row r="6" spans="1:14" s="5" customFormat="1" ht="35.25" customHeight="1" thickBot="1">
      <c r="A6" s="137" t="s">
        <v>188</v>
      </c>
      <c r="B6" s="138" t="s">
        <v>225</v>
      </c>
      <c r="C6" s="138" t="s">
        <v>5</v>
      </c>
      <c r="D6" s="138" t="s">
        <v>189</v>
      </c>
      <c r="E6" s="138" t="s">
        <v>173</v>
      </c>
      <c r="F6" s="138" t="s">
        <v>226</v>
      </c>
      <c r="G6" s="139" t="s">
        <v>227</v>
      </c>
      <c r="H6" s="4"/>
      <c r="I6" s="7"/>
      <c r="J6" s="2"/>
      <c r="K6" s="2"/>
      <c r="L6" s="7"/>
      <c r="M6" s="2"/>
    </row>
    <row r="7" spans="1:14" s="5" customFormat="1" ht="35.25" customHeight="1">
      <c r="A7" s="140" t="s">
        <v>10</v>
      </c>
      <c r="B7" s="140" t="s">
        <v>228</v>
      </c>
      <c r="C7" s="141"/>
      <c r="D7" s="142"/>
      <c r="E7" s="141"/>
      <c r="F7" s="143"/>
      <c r="G7" s="144"/>
      <c r="H7" s="4"/>
      <c r="I7" s="8">
        <f>工程預算書!G28</f>
        <v>10310.652019844083</v>
      </c>
      <c r="J7" s="7"/>
      <c r="K7" s="7">
        <f>I7*$K$5</f>
        <v>12682.101984408222</v>
      </c>
      <c r="L7" s="7"/>
      <c r="M7" s="7"/>
      <c r="N7" s="9"/>
    </row>
    <row r="8" spans="1:14" s="5" customFormat="1" ht="35.25" customHeight="1">
      <c r="A8" s="145">
        <v>1</v>
      </c>
      <c r="B8" s="146" t="s">
        <v>105</v>
      </c>
      <c r="C8" s="492" t="s">
        <v>24</v>
      </c>
      <c r="D8" s="494">
        <f>$I$3</f>
        <v>70.55</v>
      </c>
      <c r="E8" s="496">
        <v>11000</v>
      </c>
      <c r="F8" s="496">
        <f>ROUND(E8*D8,0)</f>
        <v>776050</v>
      </c>
      <c r="G8" s="147" t="s">
        <v>162</v>
      </c>
      <c r="H8" s="4"/>
      <c r="I8" s="7"/>
      <c r="J8" s="7"/>
      <c r="K8" s="7">
        <f t="shared" ref="K8:K14" si="0">I8*$K$6</f>
        <v>0</v>
      </c>
      <c r="L8" s="7"/>
      <c r="M8" s="7"/>
      <c r="N8" s="9"/>
    </row>
    <row r="9" spans="1:14" s="5" customFormat="1" ht="35.25" customHeight="1">
      <c r="A9" s="145">
        <v>2</v>
      </c>
      <c r="B9" s="146" t="s">
        <v>50</v>
      </c>
      <c r="C9" s="493"/>
      <c r="D9" s="495"/>
      <c r="E9" s="497"/>
      <c r="F9" s="497"/>
      <c r="G9" s="147" t="s">
        <v>194</v>
      </c>
      <c r="H9" s="4"/>
      <c r="I9" s="7"/>
      <c r="J9" s="7"/>
      <c r="K9" s="7">
        <f t="shared" si="0"/>
        <v>0</v>
      </c>
      <c r="L9" s="7"/>
      <c r="M9" s="7"/>
      <c r="N9" s="9"/>
    </row>
    <row r="10" spans="1:14" s="5" customFormat="1" ht="35.25" customHeight="1">
      <c r="A10" s="145">
        <v>3</v>
      </c>
      <c r="B10" s="146" t="s">
        <v>85</v>
      </c>
      <c r="C10" s="493"/>
      <c r="D10" s="495"/>
      <c r="E10" s="497"/>
      <c r="F10" s="497"/>
      <c r="G10" s="147" t="s">
        <v>163</v>
      </c>
      <c r="H10" s="4"/>
      <c r="I10" s="7"/>
      <c r="J10" s="7"/>
      <c r="K10" s="7">
        <f t="shared" si="0"/>
        <v>0</v>
      </c>
      <c r="L10" s="7"/>
      <c r="M10" s="7"/>
      <c r="N10" s="9"/>
    </row>
    <row r="11" spans="1:14" s="5" customFormat="1" ht="35.25" customHeight="1">
      <c r="A11" s="145">
        <v>4</v>
      </c>
      <c r="B11" s="146" t="s">
        <v>51</v>
      </c>
      <c r="C11" s="493"/>
      <c r="D11" s="495"/>
      <c r="E11" s="497"/>
      <c r="F11" s="497"/>
      <c r="G11" s="147"/>
      <c r="H11" s="4"/>
      <c r="I11" s="7"/>
      <c r="J11" s="7"/>
      <c r="K11" s="7">
        <f t="shared" si="0"/>
        <v>0</v>
      </c>
      <c r="L11" s="7"/>
      <c r="M11" s="7"/>
      <c r="N11" s="9"/>
    </row>
    <row r="12" spans="1:14" s="5" customFormat="1" ht="35.25" customHeight="1">
      <c r="A12" s="145">
        <v>5</v>
      </c>
      <c r="B12" s="146" t="s">
        <v>229</v>
      </c>
      <c r="C12" s="493"/>
      <c r="D12" s="495"/>
      <c r="E12" s="497"/>
      <c r="F12" s="497"/>
      <c r="G12" s="147" t="s">
        <v>52</v>
      </c>
      <c r="H12" s="4"/>
      <c r="I12" s="7"/>
      <c r="J12" s="7"/>
      <c r="K12" s="7">
        <f t="shared" si="0"/>
        <v>0</v>
      </c>
      <c r="L12" s="7"/>
      <c r="M12" s="7"/>
      <c r="N12" s="9"/>
    </row>
    <row r="13" spans="1:14" s="5" customFormat="1" ht="35.25" customHeight="1">
      <c r="A13" s="145">
        <v>6</v>
      </c>
      <c r="B13" s="148" t="s">
        <v>164</v>
      </c>
      <c r="C13" s="493"/>
      <c r="D13" s="495"/>
      <c r="E13" s="497"/>
      <c r="F13" s="497"/>
      <c r="G13" s="147"/>
      <c r="H13" s="4"/>
      <c r="I13" s="7"/>
      <c r="J13" s="7"/>
      <c r="K13" s="7"/>
      <c r="L13" s="7"/>
      <c r="M13" s="7"/>
      <c r="N13" s="9"/>
    </row>
    <row r="14" spans="1:14" s="5" customFormat="1" ht="35.25" customHeight="1" thickBot="1">
      <c r="A14" s="145">
        <v>7</v>
      </c>
      <c r="B14" s="146" t="s">
        <v>83</v>
      </c>
      <c r="C14" s="493"/>
      <c r="D14" s="495"/>
      <c r="E14" s="497"/>
      <c r="F14" s="497"/>
      <c r="G14" s="147" t="s">
        <v>84</v>
      </c>
      <c r="H14" s="4"/>
      <c r="I14" s="7"/>
      <c r="J14" s="7"/>
      <c r="K14" s="7">
        <f t="shared" si="0"/>
        <v>0</v>
      </c>
      <c r="L14" s="7"/>
      <c r="M14" s="7"/>
      <c r="N14" s="9"/>
    </row>
    <row r="15" spans="1:14" s="5" customFormat="1" ht="35.25" customHeight="1">
      <c r="A15" s="140" t="s">
        <v>92</v>
      </c>
      <c r="B15" s="140" t="s">
        <v>153</v>
      </c>
      <c r="C15" s="141"/>
      <c r="D15" s="142"/>
      <c r="E15" s="141"/>
      <c r="F15" s="143"/>
      <c r="G15" s="149"/>
      <c r="H15" s="4"/>
      <c r="I15" s="8">
        <f>工程預算書!G36</f>
        <v>3667.5407512402553</v>
      </c>
      <c r="J15" s="7"/>
      <c r="K15" s="7">
        <f>I15*$K$5</f>
        <v>4511.075124025514</v>
      </c>
      <c r="L15" s="7"/>
      <c r="M15" s="7"/>
      <c r="N15" s="9"/>
    </row>
    <row r="16" spans="1:14" s="5" customFormat="1" ht="35.25" customHeight="1">
      <c r="A16" s="145">
        <v>1</v>
      </c>
      <c r="B16" s="148" t="s">
        <v>175</v>
      </c>
      <c r="C16" s="492" t="str">
        <f>C8</f>
        <v>kWp</v>
      </c>
      <c r="D16" s="494">
        <f>$I$3</f>
        <v>70.55</v>
      </c>
      <c r="E16" s="496">
        <v>5000</v>
      </c>
      <c r="F16" s="496">
        <f>ROUND(E16*D16,0)</f>
        <v>352750</v>
      </c>
      <c r="G16" s="150" t="s">
        <v>230</v>
      </c>
      <c r="H16" s="4"/>
      <c r="I16" s="7"/>
      <c r="J16" s="7"/>
      <c r="K16" s="7">
        <f t="shared" ref="K16:K18" si="1">I16*$K$5</f>
        <v>0</v>
      </c>
      <c r="L16" s="2"/>
      <c r="M16" s="7"/>
    </row>
    <row r="17" spans="1:14" s="5" customFormat="1" ht="35.25" customHeight="1">
      <c r="A17" s="151">
        <v>2</v>
      </c>
      <c r="B17" s="148" t="s">
        <v>231</v>
      </c>
      <c r="C17" s="493"/>
      <c r="D17" s="495"/>
      <c r="E17" s="497"/>
      <c r="F17" s="497"/>
      <c r="G17" s="147"/>
      <c r="H17" s="4"/>
      <c r="I17" s="7"/>
      <c r="J17" s="7"/>
      <c r="K17" s="7">
        <f t="shared" si="1"/>
        <v>0</v>
      </c>
      <c r="L17" s="2"/>
      <c r="M17" s="7"/>
    </row>
    <row r="18" spans="1:14" s="5" customFormat="1" ht="35.25" customHeight="1">
      <c r="A18" s="151">
        <v>3</v>
      </c>
      <c r="B18" s="148" t="s">
        <v>232</v>
      </c>
      <c r="C18" s="493"/>
      <c r="D18" s="495"/>
      <c r="E18" s="497"/>
      <c r="F18" s="497"/>
      <c r="G18" s="150"/>
      <c r="H18" s="4"/>
      <c r="I18" s="7"/>
      <c r="J18" s="7"/>
      <c r="K18" s="7">
        <f t="shared" si="1"/>
        <v>0</v>
      </c>
      <c r="L18" s="2"/>
      <c r="M18" s="7"/>
    </row>
    <row r="19" spans="1:14" s="5" customFormat="1" ht="35.25" customHeight="1" thickBot="1">
      <c r="A19" s="151">
        <v>4</v>
      </c>
      <c r="B19" s="148" t="s">
        <v>167</v>
      </c>
      <c r="C19" s="498"/>
      <c r="D19" s="499"/>
      <c r="E19" s="500"/>
      <c r="F19" s="500"/>
      <c r="G19" s="150"/>
      <c r="H19" s="4"/>
      <c r="I19" s="7"/>
      <c r="J19" s="7"/>
      <c r="K19" s="7"/>
      <c r="L19" s="2"/>
      <c r="M19" s="7"/>
    </row>
    <row r="20" spans="1:14" s="5" customFormat="1" ht="35.25" customHeight="1">
      <c r="A20" s="140" t="s">
        <v>25</v>
      </c>
      <c r="B20" s="140" t="s">
        <v>233</v>
      </c>
      <c r="C20" s="141"/>
      <c r="D20" s="142"/>
      <c r="E20" s="141"/>
      <c r="F20" s="143"/>
      <c r="G20" s="149"/>
      <c r="H20" s="4"/>
      <c r="I20" s="8">
        <f>工程預算書!G45</f>
        <v>6034.0184266477681</v>
      </c>
      <c r="J20" s="7"/>
      <c r="K20" s="7">
        <f>I20*$K$5</f>
        <v>7421.8426647767546</v>
      </c>
      <c r="L20" s="7"/>
      <c r="M20" s="7"/>
      <c r="N20" s="9"/>
    </row>
    <row r="21" spans="1:14" s="5" customFormat="1" ht="35.25" customHeight="1">
      <c r="A21" s="151">
        <v>1</v>
      </c>
      <c r="B21" s="148" t="s">
        <v>234</v>
      </c>
      <c r="C21" s="493" t="str">
        <f>C16</f>
        <v>kWp</v>
      </c>
      <c r="D21" s="495">
        <f>$I$3</f>
        <v>70.55</v>
      </c>
      <c r="E21" s="497">
        <v>8300</v>
      </c>
      <c r="F21" s="497">
        <f>ROUND(E21*D21,0)</f>
        <v>585565</v>
      </c>
      <c r="G21" s="150" t="s">
        <v>235</v>
      </c>
      <c r="H21" s="4"/>
      <c r="I21" s="7"/>
      <c r="J21" s="7"/>
      <c r="K21" s="7">
        <f t="shared" ref="K21:K47" si="2">I21*$K$5</f>
        <v>0</v>
      </c>
      <c r="L21" s="2"/>
      <c r="M21" s="7"/>
    </row>
    <row r="22" spans="1:14" s="5" customFormat="1" ht="35.25" customHeight="1">
      <c r="A22" s="151">
        <v>2</v>
      </c>
      <c r="B22" s="148" t="s">
        <v>101</v>
      </c>
      <c r="C22" s="493"/>
      <c r="D22" s="495"/>
      <c r="E22" s="497"/>
      <c r="F22" s="497"/>
      <c r="G22" s="150" t="s">
        <v>236</v>
      </c>
      <c r="H22" s="4"/>
      <c r="I22" s="7"/>
      <c r="J22" s="7"/>
      <c r="K22" s="7">
        <f t="shared" si="2"/>
        <v>0</v>
      </c>
      <c r="L22" s="2"/>
      <c r="M22" s="7"/>
    </row>
    <row r="23" spans="1:14" s="5" customFormat="1" ht="35.25" customHeight="1">
      <c r="A23" s="145">
        <v>3</v>
      </c>
      <c r="B23" s="148" t="s">
        <v>174</v>
      </c>
      <c r="C23" s="493"/>
      <c r="D23" s="495"/>
      <c r="E23" s="497"/>
      <c r="F23" s="497"/>
      <c r="G23" s="150"/>
      <c r="H23" s="4"/>
      <c r="I23" s="7"/>
      <c r="J23" s="7"/>
      <c r="K23" s="7">
        <f t="shared" si="2"/>
        <v>0</v>
      </c>
      <c r="L23" s="2"/>
      <c r="M23" s="7"/>
    </row>
    <row r="24" spans="1:14" s="5" customFormat="1" ht="35.25" customHeight="1" thickBot="1">
      <c r="A24" s="145">
        <v>4</v>
      </c>
      <c r="B24" s="148" t="s">
        <v>237</v>
      </c>
      <c r="C24" s="493"/>
      <c r="D24" s="495"/>
      <c r="E24" s="497"/>
      <c r="F24" s="497"/>
      <c r="G24" s="147" t="s">
        <v>102</v>
      </c>
      <c r="H24" s="4"/>
      <c r="I24" s="7"/>
      <c r="J24" s="7"/>
      <c r="K24" s="7">
        <f t="shared" si="2"/>
        <v>0</v>
      </c>
      <c r="L24" s="2"/>
      <c r="M24" s="7"/>
    </row>
    <row r="25" spans="1:14" s="5" customFormat="1" ht="35.25" customHeight="1">
      <c r="A25" s="140" t="s">
        <v>27</v>
      </c>
      <c r="B25" s="140" t="s">
        <v>187</v>
      </c>
      <c r="C25" s="141"/>
      <c r="D25" s="142"/>
      <c r="E25" s="141"/>
      <c r="F25" s="143"/>
      <c r="G25" s="149"/>
      <c r="H25" s="4"/>
      <c r="I25" s="8">
        <f>工程預算書!G51</f>
        <v>0</v>
      </c>
      <c r="J25" s="7"/>
      <c r="K25" s="7">
        <f>I25*$K$5</f>
        <v>0</v>
      </c>
      <c r="L25" s="2"/>
      <c r="M25" s="7"/>
    </row>
    <row r="26" spans="1:14" s="5" customFormat="1" ht="35.25" customHeight="1">
      <c r="A26" s="152">
        <v>1</v>
      </c>
      <c r="B26" s="148" t="s">
        <v>238</v>
      </c>
      <c r="C26" s="492" t="s">
        <v>24</v>
      </c>
      <c r="D26" s="494">
        <f>$I$3</f>
        <v>70.55</v>
      </c>
      <c r="E26" s="496">
        <v>0</v>
      </c>
      <c r="F26" s="496">
        <f>ROUND(E26*D26,0)</f>
        <v>0</v>
      </c>
      <c r="G26" s="150"/>
      <c r="H26" s="4"/>
      <c r="I26" s="7"/>
      <c r="J26" s="7"/>
      <c r="K26" s="7"/>
      <c r="L26" s="2"/>
      <c r="M26" s="7"/>
    </row>
    <row r="27" spans="1:14" s="5" customFormat="1" ht="35.25" customHeight="1" thickBot="1">
      <c r="A27" s="152">
        <v>2</v>
      </c>
      <c r="B27" s="148" t="s">
        <v>239</v>
      </c>
      <c r="C27" s="498"/>
      <c r="D27" s="499"/>
      <c r="E27" s="497"/>
      <c r="F27" s="500"/>
      <c r="G27" s="150"/>
      <c r="H27" s="4"/>
      <c r="I27" s="7"/>
      <c r="J27" s="7"/>
      <c r="K27" s="7"/>
      <c r="L27" s="2"/>
      <c r="M27" s="7"/>
      <c r="N27" s="153"/>
    </row>
    <row r="28" spans="1:14" s="5" customFormat="1" ht="35.25" customHeight="1">
      <c r="A28" s="140" t="s">
        <v>29</v>
      </c>
      <c r="B28" s="140" t="s">
        <v>208</v>
      </c>
      <c r="C28" s="141"/>
      <c r="D28" s="142"/>
      <c r="E28" s="141"/>
      <c r="F28" s="143"/>
      <c r="G28" s="149"/>
      <c r="H28" s="4"/>
      <c r="I28" s="8">
        <f>工程預算書!G58</f>
        <v>2000</v>
      </c>
      <c r="J28" s="7"/>
      <c r="K28" s="7">
        <f>I28*$K$5</f>
        <v>2460</v>
      </c>
      <c r="L28" s="2"/>
      <c r="M28" s="7"/>
    </row>
    <row r="29" spans="1:14" s="5" customFormat="1" ht="35.25" customHeight="1">
      <c r="A29" s="152">
        <v>1</v>
      </c>
      <c r="B29" s="148" t="s">
        <v>106</v>
      </c>
      <c r="C29" s="492" t="s">
        <v>24</v>
      </c>
      <c r="D29" s="494">
        <f>$I$3</f>
        <v>70.55</v>
      </c>
      <c r="E29" s="496">
        <v>3000</v>
      </c>
      <c r="F29" s="496">
        <f>ROUND(E29*D29,0)</f>
        <v>211650</v>
      </c>
      <c r="G29" s="150" t="s">
        <v>118</v>
      </c>
      <c r="H29" s="4"/>
      <c r="I29" s="7"/>
      <c r="J29" s="7"/>
      <c r="K29" s="7"/>
      <c r="L29" s="2"/>
      <c r="M29" s="7"/>
    </row>
    <row r="30" spans="1:14" s="5" customFormat="1" ht="35.25" customHeight="1" thickBot="1">
      <c r="A30" s="152">
        <v>2</v>
      </c>
      <c r="B30" s="148" t="s">
        <v>108</v>
      </c>
      <c r="C30" s="498"/>
      <c r="D30" s="499"/>
      <c r="E30" s="497"/>
      <c r="F30" s="497"/>
      <c r="G30" s="150"/>
      <c r="H30" s="4"/>
      <c r="I30" s="7"/>
      <c r="J30" s="7"/>
      <c r="K30" s="7"/>
      <c r="L30" s="2"/>
      <c r="M30" s="7"/>
      <c r="N30" s="153"/>
    </row>
    <row r="31" spans="1:14" s="5" customFormat="1" ht="35.25" customHeight="1">
      <c r="A31" s="140" t="s">
        <v>240</v>
      </c>
      <c r="B31" s="140" t="s">
        <v>241</v>
      </c>
      <c r="C31" s="141"/>
      <c r="D31" s="142"/>
      <c r="E31" s="141"/>
      <c r="F31" s="143"/>
      <c r="G31" s="149"/>
      <c r="H31" s="4"/>
      <c r="I31" s="8">
        <f>工程預算書!G84</f>
        <v>10216.513111268605</v>
      </c>
      <c r="J31" s="7"/>
      <c r="K31" s="7">
        <f t="shared" si="2"/>
        <v>12566.311126860384</v>
      </c>
      <c r="L31" s="7"/>
      <c r="M31" s="7"/>
      <c r="N31" s="9"/>
    </row>
    <row r="32" spans="1:14" s="5" customFormat="1" ht="35.25" customHeight="1">
      <c r="A32" s="145">
        <v>1</v>
      </c>
      <c r="B32" s="146" t="s">
        <v>120</v>
      </c>
      <c r="C32" s="492" t="str">
        <f>C21</f>
        <v>kWp</v>
      </c>
      <c r="D32" s="494">
        <f>$I$3</f>
        <v>70.55</v>
      </c>
      <c r="E32" s="496">
        <v>14000</v>
      </c>
      <c r="F32" s="496">
        <f>ROUND(E32*D32,0)</f>
        <v>987700</v>
      </c>
      <c r="G32" s="147"/>
      <c r="H32" s="4"/>
      <c r="I32" s="7"/>
      <c r="J32" s="7"/>
      <c r="K32" s="7"/>
      <c r="L32" s="2"/>
      <c r="M32" s="7"/>
      <c r="N32" s="153"/>
    </row>
    <row r="33" spans="1:14" s="5" customFormat="1" ht="35.25" customHeight="1">
      <c r="A33" s="145">
        <v>2</v>
      </c>
      <c r="B33" s="146" t="s">
        <v>121</v>
      </c>
      <c r="C33" s="493"/>
      <c r="D33" s="495"/>
      <c r="E33" s="497"/>
      <c r="F33" s="497"/>
      <c r="G33" s="147" t="s">
        <v>305</v>
      </c>
      <c r="H33" s="4"/>
      <c r="I33" s="7"/>
      <c r="J33" s="7"/>
      <c r="K33" s="7">
        <f t="shared" si="2"/>
        <v>0</v>
      </c>
      <c r="L33" s="2"/>
      <c r="M33" s="7"/>
      <c r="N33" s="153"/>
    </row>
    <row r="34" spans="1:14" s="5" customFormat="1" ht="35.25" customHeight="1" thickBot="1">
      <c r="A34" s="154">
        <v>3</v>
      </c>
      <c r="B34" s="155" t="s">
        <v>304</v>
      </c>
      <c r="C34" s="498"/>
      <c r="D34" s="499"/>
      <c r="E34" s="500"/>
      <c r="F34" s="500"/>
      <c r="G34" s="156"/>
      <c r="H34" s="4"/>
      <c r="I34" s="7"/>
      <c r="J34" s="7"/>
      <c r="K34" s="7">
        <f t="shared" si="2"/>
        <v>0</v>
      </c>
      <c r="L34" s="2"/>
      <c r="M34" s="7"/>
    </row>
    <row r="35" spans="1:14" s="5" customFormat="1" ht="35.25" customHeight="1">
      <c r="A35" s="140" t="s">
        <v>242</v>
      </c>
      <c r="B35" s="140" t="s">
        <v>243</v>
      </c>
      <c r="C35" s="141"/>
      <c r="D35" s="142"/>
      <c r="E35" s="141"/>
      <c r="F35" s="143"/>
      <c r="G35" s="149"/>
      <c r="H35" s="4"/>
      <c r="I35" s="8">
        <f>工程預算書!G95</f>
        <v>6612.6151665485477</v>
      </c>
      <c r="J35" s="7"/>
      <c r="K35" s="7">
        <f t="shared" si="2"/>
        <v>8133.5166548547131</v>
      </c>
      <c r="L35" s="7"/>
      <c r="M35" s="7"/>
      <c r="N35" s="157"/>
    </row>
    <row r="36" spans="1:14" s="5" customFormat="1" ht="35.25" customHeight="1">
      <c r="A36" s="151">
        <v>1</v>
      </c>
      <c r="B36" s="148" t="s">
        <v>244</v>
      </c>
      <c r="C36" s="492" t="str">
        <f>C32</f>
        <v>kWp</v>
      </c>
      <c r="D36" s="494">
        <f>$I$3</f>
        <v>70.55</v>
      </c>
      <c r="E36" s="496">
        <v>9100</v>
      </c>
      <c r="F36" s="496">
        <f>ROUND(E36*D36,0)</f>
        <v>642005</v>
      </c>
      <c r="G36" s="147"/>
      <c r="H36" s="4"/>
      <c r="I36" s="7"/>
      <c r="J36" s="7"/>
      <c r="K36" s="7">
        <f t="shared" si="2"/>
        <v>0</v>
      </c>
      <c r="L36" s="2"/>
      <c r="M36" s="7"/>
    </row>
    <row r="37" spans="1:14" s="5" customFormat="1" ht="35.25" customHeight="1">
      <c r="A37" s="145">
        <v>2</v>
      </c>
      <c r="B37" s="148" t="s">
        <v>245</v>
      </c>
      <c r="C37" s="493"/>
      <c r="D37" s="495"/>
      <c r="E37" s="497"/>
      <c r="F37" s="497"/>
      <c r="G37" s="147"/>
      <c r="H37" s="4"/>
      <c r="I37" s="7"/>
      <c r="J37" s="7"/>
      <c r="K37" s="7">
        <f t="shared" si="2"/>
        <v>0</v>
      </c>
      <c r="L37" s="2"/>
      <c r="M37" s="7"/>
    </row>
    <row r="38" spans="1:14" s="5" customFormat="1" ht="35.25" customHeight="1">
      <c r="A38" s="151">
        <v>3</v>
      </c>
      <c r="B38" s="148" t="s">
        <v>246</v>
      </c>
      <c r="C38" s="493"/>
      <c r="D38" s="495"/>
      <c r="E38" s="497"/>
      <c r="F38" s="497"/>
      <c r="G38" s="150" t="s">
        <v>247</v>
      </c>
      <c r="H38" s="4"/>
      <c r="I38" s="7"/>
      <c r="J38" s="7"/>
      <c r="K38" s="7">
        <f t="shared" si="2"/>
        <v>0</v>
      </c>
      <c r="L38" s="2"/>
      <c r="M38" s="7"/>
    </row>
    <row r="39" spans="1:14" s="5" customFormat="1" ht="35.25" customHeight="1" thickBot="1">
      <c r="A39" s="151">
        <v>4</v>
      </c>
      <c r="B39" s="148" t="s">
        <v>248</v>
      </c>
      <c r="C39" s="498"/>
      <c r="D39" s="499"/>
      <c r="E39" s="500"/>
      <c r="F39" s="500"/>
      <c r="G39" s="150"/>
      <c r="H39" s="4"/>
      <c r="I39" s="7"/>
      <c r="J39" s="7"/>
      <c r="K39" s="7">
        <f t="shared" si="2"/>
        <v>0</v>
      </c>
      <c r="L39" s="2"/>
      <c r="M39" s="7"/>
    </row>
    <row r="40" spans="1:14" s="5" customFormat="1" ht="35.25" customHeight="1">
      <c r="A40" s="140" t="s">
        <v>249</v>
      </c>
      <c r="B40" s="140" t="s">
        <v>210</v>
      </c>
      <c r="C40" s="141"/>
      <c r="D40" s="142"/>
      <c r="E40" s="141"/>
      <c r="F40" s="143"/>
      <c r="G40" s="149"/>
      <c r="H40" s="4"/>
      <c r="I40" s="8">
        <f>工程預算書!G105</f>
        <v>2435.7193479801558</v>
      </c>
      <c r="J40" s="7"/>
      <c r="K40" s="7">
        <f t="shared" si="2"/>
        <v>2995.9347980155917</v>
      </c>
      <c r="L40" s="7"/>
      <c r="M40" s="7"/>
      <c r="N40" s="9"/>
    </row>
    <row r="41" spans="1:14" s="5" customFormat="1" ht="35.25" customHeight="1">
      <c r="A41" s="151">
        <v>1</v>
      </c>
      <c r="B41" s="148" t="s">
        <v>250</v>
      </c>
      <c r="C41" s="492" t="str">
        <f>C36</f>
        <v>kWp</v>
      </c>
      <c r="D41" s="494">
        <f>$I$3</f>
        <v>70.55</v>
      </c>
      <c r="E41" s="496">
        <v>3300</v>
      </c>
      <c r="F41" s="496">
        <f>ROUND(E41*D41,0)</f>
        <v>232815</v>
      </c>
      <c r="G41" s="147"/>
      <c r="H41" s="4"/>
      <c r="I41" s="7"/>
      <c r="J41" s="7"/>
      <c r="K41" s="7">
        <f t="shared" si="2"/>
        <v>0</v>
      </c>
      <c r="L41" s="2"/>
      <c r="M41" s="7"/>
    </row>
    <row r="42" spans="1:14" s="5" customFormat="1" ht="35.25" customHeight="1">
      <c r="A42" s="145">
        <v>2</v>
      </c>
      <c r="B42" s="148" t="s">
        <v>251</v>
      </c>
      <c r="C42" s="493"/>
      <c r="D42" s="495"/>
      <c r="E42" s="497"/>
      <c r="F42" s="497"/>
      <c r="G42" s="147"/>
      <c r="H42" s="4"/>
      <c r="I42" s="7"/>
      <c r="J42" s="7"/>
      <c r="K42" s="7">
        <f t="shared" si="2"/>
        <v>0</v>
      </c>
      <c r="L42" s="2"/>
      <c r="M42" s="7"/>
    </row>
    <row r="43" spans="1:14" s="5" customFormat="1" ht="35.25" customHeight="1" thickBot="1">
      <c r="A43" s="151">
        <v>3</v>
      </c>
      <c r="B43" s="148" t="s">
        <v>252</v>
      </c>
      <c r="C43" s="493"/>
      <c r="D43" s="495"/>
      <c r="E43" s="497"/>
      <c r="F43" s="497"/>
      <c r="G43" s="150"/>
      <c r="H43" s="4"/>
      <c r="I43" s="7"/>
      <c r="J43" s="7"/>
      <c r="K43" s="7">
        <f t="shared" si="2"/>
        <v>0</v>
      </c>
      <c r="L43" s="2"/>
      <c r="M43" s="7"/>
    </row>
    <row r="44" spans="1:14" s="5" customFormat="1" ht="35.25" customHeight="1">
      <c r="A44" s="140" t="s">
        <v>253</v>
      </c>
      <c r="B44" s="140" t="s">
        <v>212</v>
      </c>
      <c r="C44" s="141"/>
      <c r="D44" s="142"/>
      <c r="E44" s="141"/>
      <c r="F44" s="143"/>
      <c r="G44" s="149"/>
      <c r="H44" s="4"/>
      <c r="I44" s="8">
        <f>工程預算書!G118+工程預算書!G115+工程預算書!G111</f>
        <v>2371.7870588235292</v>
      </c>
      <c r="J44" s="7"/>
      <c r="K44" s="7">
        <f t="shared" si="2"/>
        <v>2917.298082352941</v>
      </c>
      <c r="L44" s="7"/>
      <c r="M44" s="7"/>
      <c r="N44" s="9"/>
    </row>
    <row r="45" spans="1:14" s="5" customFormat="1" ht="35.25" customHeight="1">
      <c r="A45" s="145">
        <v>1</v>
      </c>
      <c r="B45" s="146" t="s">
        <v>159</v>
      </c>
      <c r="C45" s="492" t="s">
        <v>24</v>
      </c>
      <c r="D45" s="494">
        <f>$I$3</f>
        <v>70.55</v>
      </c>
      <c r="E45" s="496">
        <v>3200</v>
      </c>
      <c r="F45" s="496">
        <f>ROUND(E45*D45,0)</f>
        <v>225760</v>
      </c>
      <c r="G45" s="147"/>
      <c r="H45" s="4"/>
      <c r="I45" s="7"/>
      <c r="J45" s="7"/>
      <c r="K45" s="7"/>
      <c r="L45" s="2"/>
      <c r="M45" s="7"/>
    </row>
    <row r="46" spans="1:14" s="5" customFormat="1" ht="35.25" customHeight="1">
      <c r="A46" s="145">
        <v>2</v>
      </c>
      <c r="B46" s="146" t="s">
        <v>103</v>
      </c>
      <c r="C46" s="493"/>
      <c r="D46" s="495"/>
      <c r="E46" s="497"/>
      <c r="F46" s="497"/>
      <c r="G46" s="147"/>
      <c r="H46" s="4"/>
      <c r="I46" s="7"/>
      <c r="J46" s="7"/>
      <c r="K46" s="7">
        <f t="shared" si="2"/>
        <v>0</v>
      </c>
      <c r="L46" s="2"/>
      <c r="M46" s="7"/>
    </row>
    <row r="47" spans="1:14" s="5" customFormat="1" ht="35.25" customHeight="1" thickBot="1">
      <c r="A47" s="158">
        <v>3</v>
      </c>
      <c r="B47" s="159" t="s">
        <v>86</v>
      </c>
      <c r="C47" s="498"/>
      <c r="D47" s="499"/>
      <c r="E47" s="500"/>
      <c r="F47" s="500"/>
      <c r="G47" s="160"/>
      <c r="H47" s="4"/>
      <c r="I47" s="7"/>
      <c r="J47" s="7"/>
      <c r="K47" s="7">
        <f t="shared" si="2"/>
        <v>0</v>
      </c>
      <c r="L47" s="2"/>
      <c r="M47" s="7"/>
    </row>
    <row r="48" spans="1:14" s="5" customFormat="1" ht="35.25" customHeight="1">
      <c r="A48" s="161"/>
      <c r="B48" s="162" t="s">
        <v>53</v>
      </c>
      <c r="C48" s="163" t="s">
        <v>21</v>
      </c>
      <c r="D48" s="163">
        <f>D45</f>
        <v>70.55</v>
      </c>
      <c r="E48" s="164">
        <f>F48/D48</f>
        <v>56900</v>
      </c>
      <c r="F48" s="164">
        <f>SUM(F8:F47)</f>
        <v>4014295</v>
      </c>
      <c r="G48" s="165"/>
      <c r="H48" s="10"/>
      <c r="I48" s="371">
        <f>SUM(I7:I44)</f>
        <v>43648.845882352944</v>
      </c>
      <c r="J48" s="7"/>
      <c r="K48" s="372">
        <f>SUM(K7:K44)</f>
        <v>53688.080435294127</v>
      </c>
      <c r="L48" s="2"/>
      <c r="M48" s="7"/>
    </row>
    <row r="49" spans="1:13" s="5" customFormat="1" ht="35.25" customHeight="1">
      <c r="A49" s="166"/>
      <c r="B49" s="167" t="s">
        <v>54</v>
      </c>
      <c r="C49" s="168"/>
      <c r="D49" s="168"/>
      <c r="E49" s="168"/>
      <c r="F49" s="169">
        <f>ROUND(F48*0.05,0)</f>
        <v>200715</v>
      </c>
      <c r="G49" s="170"/>
      <c r="H49" s="4"/>
      <c r="J49" s="7"/>
      <c r="L49" s="7"/>
      <c r="M49" s="7"/>
    </row>
    <row r="50" spans="1:13" s="5" customFormat="1" ht="35.25" customHeight="1" thickBot="1">
      <c r="A50" s="171"/>
      <c r="B50" s="172" t="s">
        <v>254</v>
      </c>
      <c r="C50" s="173"/>
      <c r="D50" s="174"/>
      <c r="E50" s="173"/>
      <c r="F50" s="175">
        <f>F48+F49</f>
        <v>4215010</v>
      </c>
      <c r="G50" s="176"/>
      <c r="H50" s="4"/>
      <c r="I50" s="12"/>
      <c r="J50" s="7"/>
      <c r="K50" s="7"/>
      <c r="L50" s="3"/>
      <c r="M50" s="11"/>
    </row>
    <row r="51" spans="1:13" s="5" customFormat="1" ht="26.25" customHeight="1">
      <c r="A51" s="177" t="s">
        <v>55</v>
      </c>
      <c r="B51" s="501"/>
      <c r="C51" s="501"/>
      <c r="D51" s="501"/>
      <c r="E51" s="178" t="s">
        <v>255</v>
      </c>
      <c r="F51" s="502" t="s">
        <v>302</v>
      </c>
      <c r="G51" s="503"/>
      <c r="H51" s="4"/>
      <c r="I51" s="8"/>
      <c r="J51" s="7"/>
      <c r="K51" s="7"/>
      <c r="L51" s="2"/>
    </row>
    <row r="52" spans="1:13" s="5" customFormat="1" ht="26.25" customHeight="1">
      <c r="A52" s="179">
        <v>1</v>
      </c>
      <c r="B52" s="504" t="s">
        <v>256</v>
      </c>
      <c r="C52" s="504"/>
      <c r="D52" s="504"/>
      <c r="E52" s="504" t="s">
        <v>257</v>
      </c>
      <c r="F52" s="504"/>
      <c r="G52" s="505"/>
      <c r="H52" s="13"/>
      <c r="I52" s="8"/>
      <c r="J52" s="2"/>
      <c r="K52" s="7"/>
      <c r="L52" s="2"/>
      <c r="M52" s="2"/>
    </row>
    <row r="53" spans="1:13" s="5" customFormat="1" ht="26.25" customHeight="1">
      <c r="A53" s="179">
        <v>2</v>
      </c>
      <c r="B53" s="504" t="s">
        <v>56</v>
      </c>
      <c r="C53" s="504"/>
      <c r="D53" s="504"/>
      <c r="E53" s="504" t="s">
        <v>258</v>
      </c>
      <c r="F53" s="504"/>
      <c r="G53" s="505"/>
      <c r="H53" s="13"/>
      <c r="I53" s="8"/>
      <c r="J53" s="2"/>
      <c r="K53" s="7"/>
      <c r="L53" s="2"/>
      <c r="M53" s="2"/>
    </row>
    <row r="54" spans="1:13" s="5" customFormat="1" ht="26.25" customHeight="1">
      <c r="A54" s="179">
        <v>3</v>
      </c>
      <c r="B54" s="508" t="s">
        <v>259</v>
      </c>
      <c r="C54" s="509"/>
      <c r="D54" s="510"/>
      <c r="E54" s="504" t="s">
        <v>260</v>
      </c>
      <c r="F54" s="504"/>
      <c r="G54" s="505"/>
      <c r="H54" s="13"/>
      <c r="I54" s="8"/>
      <c r="J54" s="2"/>
      <c r="K54" s="7"/>
      <c r="L54" s="2"/>
      <c r="M54" s="2"/>
    </row>
    <row r="55" spans="1:13" s="5" customFormat="1" ht="26.25" customHeight="1">
      <c r="A55" s="179">
        <v>4</v>
      </c>
      <c r="B55" s="508" t="s">
        <v>261</v>
      </c>
      <c r="C55" s="509"/>
      <c r="D55" s="510"/>
      <c r="E55" s="504" t="s">
        <v>262</v>
      </c>
      <c r="F55" s="504"/>
      <c r="G55" s="505"/>
      <c r="H55" s="13"/>
      <c r="I55" s="2"/>
      <c r="J55" s="2"/>
      <c r="K55" s="7"/>
      <c r="L55" s="2"/>
      <c r="M55" s="2"/>
    </row>
    <row r="56" spans="1:13" s="5" customFormat="1" ht="26.25" customHeight="1" thickBot="1">
      <c r="A56" s="180">
        <v>5</v>
      </c>
      <c r="B56" s="511" t="s">
        <v>279</v>
      </c>
      <c r="C56" s="512"/>
      <c r="D56" s="513"/>
      <c r="E56" s="514"/>
      <c r="F56" s="514"/>
      <c r="G56" s="515"/>
      <c r="H56" s="13"/>
      <c r="I56" s="2"/>
      <c r="J56" s="2"/>
      <c r="K56" s="7"/>
      <c r="L56" s="2"/>
      <c r="M56" s="2"/>
    </row>
    <row r="57" spans="1:13" s="5" customFormat="1" ht="18.75" customHeight="1">
      <c r="A57" s="506" t="s">
        <v>263</v>
      </c>
      <c r="B57" s="506"/>
      <c r="C57" s="506"/>
      <c r="D57" s="506"/>
      <c r="E57" s="506"/>
      <c r="F57" s="506"/>
      <c r="G57" s="506"/>
      <c r="H57" s="14"/>
      <c r="I57" s="2"/>
      <c r="J57" s="2"/>
      <c r="K57" s="7"/>
      <c r="L57" s="2"/>
      <c r="M57" s="2"/>
    </row>
    <row r="58" spans="1:13" s="5" customFormat="1" ht="18.75" customHeight="1">
      <c r="A58" s="507" t="s">
        <v>57</v>
      </c>
      <c r="B58" s="507"/>
      <c r="C58" s="507"/>
      <c r="D58" s="507"/>
      <c r="E58" s="507"/>
      <c r="F58" s="507"/>
      <c r="G58" s="507"/>
      <c r="H58" s="15"/>
      <c r="I58" s="2"/>
      <c r="J58" s="2"/>
      <c r="K58" s="7"/>
      <c r="L58" s="2"/>
      <c r="M58" s="2"/>
    </row>
    <row r="59" spans="1:13" s="5" customFormat="1" ht="49.5" customHeight="1">
      <c r="A59" s="16"/>
      <c r="B59" s="16"/>
      <c r="C59" s="16"/>
      <c r="D59" s="16"/>
      <c r="E59" s="16"/>
      <c r="F59" s="16"/>
      <c r="G59" s="16"/>
      <c r="H59" s="17"/>
      <c r="I59" s="2"/>
      <c r="J59" s="2"/>
      <c r="K59" s="2"/>
      <c r="L59" s="2"/>
      <c r="M59" s="2"/>
    </row>
  </sheetData>
  <mergeCells count="58">
    <mergeCell ref="A57:G57"/>
    <mergeCell ref="A58:G58"/>
    <mergeCell ref="B54:D54"/>
    <mergeCell ref="E54:G54"/>
    <mergeCell ref="B55:D55"/>
    <mergeCell ref="E55:G55"/>
    <mergeCell ref="B56:D56"/>
    <mergeCell ref="E56:G56"/>
    <mergeCell ref="B51:D51"/>
    <mergeCell ref="F51:G51"/>
    <mergeCell ref="B52:D52"/>
    <mergeCell ref="E52:G52"/>
    <mergeCell ref="B53:D53"/>
    <mergeCell ref="E53:G53"/>
    <mergeCell ref="C41:C43"/>
    <mergeCell ref="D41:D43"/>
    <mergeCell ref="E41:E43"/>
    <mergeCell ref="F41:F43"/>
    <mergeCell ref="C45:C47"/>
    <mergeCell ref="D45:D47"/>
    <mergeCell ref="E45:E47"/>
    <mergeCell ref="F45:F47"/>
    <mergeCell ref="C32:C34"/>
    <mergeCell ref="D32:D34"/>
    <mergeCell ref="E32:E34"/>
    <mergeCell ref="F32:F34"/>
    <mergeCell ref="C36:C39"/>
    <mergeCell ref="D36:D39"/>
    <mergeCell ref="E36:E39"/>
    <mergeCell ref="F36:F39"/>
    <mergeCell ref="C26:C27"/>
    <mergeCell ref="D26:D27"/>
    <mergeCell ref="E26:E27"/>
    <mergeCell ref="F26:F27"/>
    <mergeCell ref="C29:C30"/>
    <mergeCell ref="D29:D30"/>
    <mergeCell ref="E29:E30"/>
    <mergeCell ref="F29:F30"/>
    <mergeCell ref="C16:C19"/>
    <mergeCell ref="D16:D19"/>
    <mergeCell ref="E16:E19"/>
    <mergeCell ref="F16:F19"/>
    <mergeCell ref="C21:C24"/>
    <mergeCell ref="D21:D24"/>
    <mergeCell ref="E21:E24"/>
    <mergeCell ref="F21:F24"/>
    <mergeCell ref="B5:D5"/>
    <mergeCell ref="F5:G5"/>
    <mergeCell ref="C8:C14"/>
    <mergeCell ref="D8:D14"/>
    <mergeCell ref="E8:E14"/>
    <mergeCell ref="F8:F14"/>
    <mergeCell ref="A1:G1"/>
    <mergeCell ref="A2:G2"/>
    <mergeCell ref="B3:D3"/>
    <mergeCell ref="F3:G3"/>
    <mergeCell ref="B4:D4"/>
    <mergeCell ref="F4:G4"/>
  </mergeCells>
  <phoneticPr fontId="6" type="noConversion"/>
  <hyperlinks>
    <hyperlink ref="F5" r:id="rId1" xr:uid="{6E42F403-173B-470D-814B-A40DDA28766B}"/>
  </hyperlinks>
  <printOptions horizontalCentered="1"/>
  <pageMargins left="0.23622047244094491" right="0.23622047244094491" top="0.19685039370078741" bottom="0" header="0" footer="0.11811023622047245"/>
  <pageSetup paperSize="9" scale="63" fitToHeight="0" orientation="portrait" r:id="rId2"/>
  <rowBreaks count="1" manualBreakCount="1">
    <brk id="34" max="6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D7A9-9C78-4E05-A232-A0CB6B7D53C9}">
  <sheetPr>
    <pageSetUpPr fitToPage="1"/>
  </sheetPr>
  <dimension ref="A1:H134"/>
  <sheetViews>
    <sheetView view="pageBreakPreview" zoomScale="70" zoomScaleNormal="100" zoomScaleSheetLayoutView="70" workbookViewId="0">
      <pane ySplit="5" topLeftCell="A120" activePane="bottomLeft" state="frozen"/>
      <selection activeCell="L17" sqref="L17"/>
      <selection pane="bottomLeft" activeCell="H1" sqref="H1:O1048576"/>
    </sheetView>
  </sheetViews>
  <sheetFormatPr defaultColWidth="9" defaultRowHeight="17.25" customHeight="1"/>
  <cols>
    <col min="1" max="1" width="15.88671875" style="206" customWidth="1"/>
    <col min="2" max="2" width="48.6640625" style="193" customWidth="1"/>
    <col min="3" max="3" width="9.44140625" style="193" customWidth="1"/>
    <col min="4" max="4" width="25.77734375" style="326" bestFit="1" customWidth="1"/>
    <col min="5" max="5" width="22.109375" style="330" bestFit="1" customWidth="1"/>
    <col min="6" max="6" width="34.44140625" style="331" customWidth="1"/>
    <col min="7" max="7" width="30.33203125" style="193" customWidth="1"/>
    <col min="8" max="16384" width="9" style="207"/>
  </cols>
  <sheetData>
    <row r="1" spans="1:7" s="185" customFormat="1" ht="63" customHeight="1">
      <c r="A1" s="383" t="s">
        <v>264</v>
      </c>
      <c r="B1" s="383"/>
      <c r="C1" s="181"/>
      <c r="D1" s="181"/>
      <c r="E1" s="182"/>
      <c r="F1" s="183"/>
      <c r="G1" s="181"/>
    </row>
    <row r="2" spans="1:7" s="185" customFormat="1" ht="23.1" customHeight="1">
      <c r="A2" s="186" t="s">
        <v>134</v>
      </c>
      <c r="B2" s="187" t="str">
        <f>報價單!B3</f>
        <v>夸克能源股份有限公司</v>
      </c>
      <c r="C2" s="188"/>
      <c r="D2" s="189"/>
      <c r="E2" s="190"/>
      <c r="F2" s="191"/>
      <c r="G2" s="192"/>
    </row>
    <row r="3" spans="1:7" s="185" customFormat="1" ht="23.1" customHeight="1">
      <c r="A3" s="189" t="s">
        <v>133</v>
      </c>
      <c r="B3" s="187" t="str">
        <f>報價單!B4</f>
        <v>宜蘭縣冬山鄉順安路185巷1號</v>
      </c>
      <c r="C3" s="188"/>
      <c r="D3" s="189"/>
      <c r="E3" s="190"/>
      <c r="F3" s="189" t="s">
        <v>0</v>
      </c>
      <c r="G3" s="188" t="s">
        <v>1</v>
      </c>
    </row>
    <row r="4" spans="1:7" s="185" customFormat="1" ht="23.1" customHeight="1">
      <c r="A4" s="186" t="s">
        <v>132</v>
      </c>
      <c r="B4" s="396" t="str">
        <f>報價單!B5</f>
        <v>宜蘭順安美麗莊園-光電工程-70.55kWp</v>
      </c>
      <c r="C4" s="396"/>
      <c r="D4" s="396"/>
      <c r="E4" s="194"/>
      <c r="F4" s="189" t="s">
        <v>2</v>
      </c>
      <c r="G4" s="192">
        <f>報價單!F3</f>
        <v>46153</v>
      </c>
    </row>
    <row r="5" spans="1:7" s="185" customFormat="1" ht="23.1" customHeight="1">
      <c r="A5" s="186" t="s">
        <v>131</v>
      </c>
      <c r="B5" s="195">
        <f>報價單!I3</f>
        <v>70.55</v>
      </c>
      <c r="C5" s="196"/>
      <c r="D5" s="191"/>
      <c r="E5" s="194"/>
      <c r="F5" s="189" t="s">
        <v>265</v>
      </c>
      <c r="G5" s="197"/>
    </row>
    <row r="6" spans="1:7" s="185" customFormat="1" ht="10.5" customHeight="1" thickBot="1">
      <c r="A6" s="186"/>
      <c r="B6" s="195"/>
      <c r="C6" s="196"/>
      <c r="D6" s="191"/>
      <c r="E6" s="194"/>
      <c r="F6" s="189"/>
      <c r="G6" s="197"/>
    </row>
    <row r="7" spans="1:7" ht="30" customHeight="1" thickBot="1">
      <c r="A7" s="199" t="s">
        <v>10</v>
      </c>
      <c r="B7" s="200" t="s">
        <v>184</v>
      </c>
      <c r="C7" s="201"/>
      <c r="D7" s="202"/>
      <c r="E7" s="203"/>
      <c r="F7" s="204"/>
      <c r="G7" s="205"/>
    </row>
    <row r="8" spans="1:7" s="213" customFormat="1" ht="23.1" customHeight="1">
      <c r="A8" s="208" t="s">
        <v>3</v>
      </c>
      <c r="B8" s="209" t="s">
        <v>4</v>
      </c>
      <c r="C8" s="209" t="s">
        <v>5</v>
      </c>
      <c r="D8" s="210" t="s">
        <v>6</v>
      </c>
      <c r="E8" s="211" t="s">
        <v>7</v>
      </c>
      <c r="F8" s="209" t="s">
        <v>8</v>
      </c>
      <c r="G8" s="212" t="s">
        <v>9</v>
      </c>
    </row>
    <row r="9" spans="1:7" ht="27" customHeight="1">
      <c r="A9" s="214">
        <v>1</v>
      </c>
      <c r="B9" s="215" t="s">
        <v>11</v>
      </c>
      <c r="C9" s="216" t="s">
        <v>12</v>
      </c>
      <c r="D9" s="217">
        <v>5016</v>
      </c>
      <c r="E9" s="218">
        <v>28</v>
      </c>
      <c r="F9" s="34">
        <f>E9*D9</f>
        <v>140448</v>
      </c>
      <c r="G9" s="219"/>
    </row>
    <row r="10" spans="1:7" ht="27" customHeight="1">
      <c r="A10" s="220">
        <v>2</v>
      </c>
      <c r="B10" s="221" t="s">
        <v>13</v>
      </c>
      <c r="C10" s="222" t="s">
        <v>12</v>
      </c>
      <c r="D10" s="223">
        <f>D9*0.15</f>
        <v>752.4</v>
      </c>
      <c r="E10" s="224">
        <v>40.5</v>
      </c>
      <c r="F10" s="33">
        <f t="shared" ref="F10:F26" si="0">E10*D10</f>
        <v>30472.2</v>
      </c>
      <c r="G10" s="225"/>
    </row>
    <row r="11" spans="1:7" ht="27" customHeight="1">
      <c r="A11" s="220">
        <v>3</v>
      </c>
      <c r="B11" s="221" t="s">
        <v>126</v>
      </c>
      <c r="C11" s="222" t="s">
        <v>12</v>
      </c>
      <c r="D11" s="223">
        <f>D9</f>
        <v>5016</v>
      </c>
      <c r="E11" s="224">
        <v>3</v>
      </c>
      <c r="F11" s="33">
        <f t="shared" si="0"/>
        <v>15048</v>
      </c>
      <c r="G11" s="225"/>
    </row>
    <row r="12" spans="1:7" ht="27" customHeight="1">
      <c r="A12" s="220">
        <v>4</v>
      </c>
      <c r="B12" s="221" t="s">
        <v>14</v>
      </c>
      <c r="C12" s="222" t="s">
        <v>12</v>
      </c>
      <c r="D12" s="223">
        <f>D10+D11</f>
        <v>5768.4</v>
      </c>
      <c r="E12" s="224">
        <v>10</v>
      </c>
      <c r="F12" s="33">
        <f t="shared" si="0"/>
        <v>57684</v>
      </c>
      <c r="G12" s="225"/>
    </row>
    <row r="13" spans="1:7" ht="27" customHeight="1">
      <c r="A13" s="220">
        <v>5</v>
      </c>
      <c r="B13" s="221" t="s">
        <v>15</v>
      </c>
      <c r="C13" s="222" t="s">
        <v>12</v>
      </c>
      <c r="D13" s="223">
        <f>D12</f>
        <v>5768.4</v>
      </c>
      <c r="E13" s="224">
        <v>13</v>
      </c>
      <c r="F13" s="33">
        <f t="shared" si="0"/>
        <v>74989.2</v>
      </c>
      <c r="G13" s="228"/>
    </row>
    <row r="14" spans="1:7" ht="27" customHeight="1">
      <c r="A14" s="220">
        <v>6</v>
      </c>
      <c r="B14" s="221" t="s">
        <v>87</v>
      </c>
      <c r="C14" s="222" t="s">
        <v>16</v>
      </c>
      <c r="D14" s="223">
        <v>192</v>
      </c>
      <c r="E14" s="224">
        <v>53</v>
      </c>
      <c r="F14" s="33">
        <f t="shared" si="0"/>
        <v>10176</v>
      </c>
      <c r="G14" s="225"/>
    </row>
    <row r="15" spans="1:7" ht="27" customHeight="1">
      <c r="A15" s="220">
        <v>7</v>
      </c>
      <c r="B15" s="221" t="s">
        <v>136</v>
      </c>
      <c r="C15" s="222" t="s">
        <v>12</v>
      </c>
      <c r="D15" s="223">
        <f>2673+185</f>
        <v>2858</v>
      </c>
      <c r="E15" s="224">
        <v>25</v>
      </c>
      <c r="F15" s="33">
        <f t="shared" si="0"/>
        <v>71450</v>
      </c>
      <c r="G15" s="225"/>
    </row>
    <row r="16" spans="1:7" ht="27" customHeight="1">
      <c r="A16" s="220">
        <v>8</v>
      </c>
      <c r="B16" s="221" t="s">
        <v>89</v>
      </c>
      <c r="C16" s="222" t="str">
        <f>C15</f>
        <v>kg</v>
      </c>
      <c r="D16" s="223">
        <f>D15</f>
        <v>2858</v>
      </c>
      <c r="E16" s="224">
        <v>18</v>
      </c>
      <c r="F16" s="33">
        <f t="shared" si="0"/>
        <v>51444</v>
      </c>
      <c r="G16" s="228"/>
    </row>
    <row r="17" spans="1:7" ht="27" customHeight="1">
      <c r="A17" s="220">
        <v>9</v>
      </c>
      <c r="B17" s="221" t="s">
        <v>88</v>
      </c>
      <c r="C17" s="222" t="s">
        <v>16</v>
      </c>
      <c r="D17" s="223">
        <f>392+48</f>
        <v>440</v>
      </c>
      <c r="E17" s="224">
        <v>9.5</v>
      </c>
      <c r="F17" s="33">
        <f t="shared" si="0"/>
        <v>4180</v>
      </c>
      <c r="G17" s="228"/>
    </row>
    <row r="18" spans="1:7" ht="27" customHeight="1">
      <c r="A18" s="220">
        <v>10</v>
      </c>
      <c r="B18" s="221" t="s">
        <v>17</v>
      </c>
      <c r="C18" s="222" t="s">
        <v>42</v>
      </c>
      <c r="D18" s="223">
        <f>D13+D15</f>
        <v>8626.4</v>
      </c>
      <c r="E18" s="230">
        <v>4</v>
      </c>
      <c r="F18" s="33">
        <f t="shared" si="0"/>
        <v>34505.599999999999</v>
      </c>
      <c r="G18" s="228"/>
    </row>
    <row r="19" spans="1:7" ht="27" customHeight="1">
      <c r="A19" s="220">
        <v>11</v>
      </c>
      <c r="B19" s="221" t="s">
        <v>18</v>
      </c>
      <c r="C19" s="222" t="s">
        <v>19</v>
      </c>
      <c r="D19" s="223">
        <v>32</v>
      </c>
      <c r="E19" s="224">
        <v>300</v>
      </c>
      <c r="F19" s="33">
        <f t="shared" si="0"/>
        <v>9600</v>
      </c>
      <c r="G19" s="228"/>
    </row>
    <row r="20" spans="1:7" ht="27" customHeight="1">
      <c r="A20" s="220">
        <v>12</v>
      </c>
      <c r="B20" s="221" t="s">
        <v>40</v>
      </c>
      <c r="C20" s="222" t="s">
        <v>19</v>
      </c>
      <c r="D20" s="223">
        <v>32</v>
      </c>
      <c r="E20" s="224">
        <v>700</v>
      </c>
      <c r="F20" s="33">
        <f t="shared" si="0"/>
        <v>22400</v>
      </c>
      <c r="G20" s="228"/>
    </row>
    <row r="21" spans="1:7" ht="27" customHeight="1">
      <c r="A21" s="220">
        <v>13</v>
      </c>
      <c r="B21" s="221" t="s">
        <v>41</v>
      </c>
      <c r="C21" s="222" t="s">
        <v>104</v>
      </c>
      <c r="D21" s="223">
        <f>D20*6/15*1.05</f>
        <v>13.440000000000001</v>
      </c>
      <c r="E21" s="224">
        <v>550</v>
      </c>
      <c r="F21" s="33">
        <f t="shared" si="0"/>
        <v>7392.0000000000009</v>
      </c>
      <c r="G21" s="228"/>
    </row>
    <row r="22" spans="1:7" ht="27" customHeight="1">
      <c r="A22" s="220">
        <v>14</v>
      </c>
      <c r="B22" s="232" t="s">
        <v>98</v>
      </c>
      <c r="C22" s="222" t="s">
        <v>44</v>
      </c>
      <c r="D22" s="223">
        <v>1</v>
      </c>
      <c r="E22" s="230">
        <v>38000</v>
      </c>
      <c r="F22" s="33">
        <f>E22*D22</f>
        <v>38000</v>
      </c>
      <c r="G22" s="228" t="s">
        <v>295</v>
      </c>
    </row>
    <row r="23" spans="1:7" ht="27" customHeight="1">
      <c r="A23" s="220">
        <v>15</v>
      </c>
      <c r="B23" s="232" t="s">
        <v>99</v>
      </c>
      <c r="C23" s="222" t="s">
        <v>95</v>
      </c>
      <c r="D23" s="223">
        <v>1</v>
      </c>
      <c r="E23" s="230">
        <v>15000</v>
      </c>
      <c r="F23" s="33">
        <f>E23*D23</f>
        <v>15000</v>
      </c>
      <c r="G23" s="228"/>
    </row>
    <row r="24" spans="1:7" ht="27" customHeight="1">
      <c r="A24" s="220">
        <v>16</v>
      </c>
      <c r="B24" s="232" t="s">
        <v>20</v>
      </c>
      <c r="C24" s="222" t="s">
        <v>24</v>
      </c>
      <c r="D24" s="223">
        <f>B5</f>
        <v>70.55</v>
      </c>
      <c r="E24" s="230">
        <v>1800</v>
      </c>
      <c r="F24" s="33">
        <f t="shared" si="0"/>
        <v>126990</v>
      </c>
      <c r="G24" s="228"/>
    </row>
    <row r="25" spans="1:7" ht="27" customHeight="1">
      <c r="A25" s="220">
        <v>17</v>
      </c>
      <c r="B25" s="221" t="s">
        <v>135</v>
      </c>
      <c r="C25" s="222" t="s">
        <v>24</v>
      </c>
      <c r="D25" s="223">
        <f>B5</f>
        <v>70.55</v>
      </c>
      <c r="E25" s="224">
        <v>50</v>
      </c>
      <c r="F25" s="33">
        <f t="shared" si="0"/>
        <v>3527.5</v>
      </c>
      <c r="G25" s="228"/>
    </row>
    <row r="26" spans="1:7" ht="27" customHeight="1">
      <c r="A26" s="220">
        <v>18</v>
      </c>
      <c r="B26" s="232" t="s">
        <v>22</v>
      </c>
      <c r="C26" s="222" t="s">
        <v>21</v>
      </c>
      <c r="D26" s="223">
        <f>B5</f>
        <v>70.55</v>
      </c>
      <c r="E26" s="230">
        <v>200</v>
      </c>
      <c r="F26" s="33">
        <f t="shared" si="0"/>
        <v>14110</v>
      </c>
      <c r="G26" s="228" t="s">
        <v>278</v>
      </c>
    </row>
    <row r="27" spans="1:7" ht="20.100000000000001" customHeight="1">
      <c r="A27" s="233"/>
      <c r="B27" s="234"/>
      <c r="C27" s="235"/>
      <c r="D27" s="236"/>
      <c r="E27" s="237"/>
      <c r="F27" s="238"/>
      <c r="G27" s="239"/>
    </row>
    <row r="28" spans="1:7" ht="27" customHeight="1" thickBot="1">
      <c r="A28" s="240"/>
      <c r="B28" s="241" t="s">
        <v>23</v>
      </c>
      <c r="C28" s="242"/>
      <c r="D28" s="243"/>
      <c r="E28" s="244"/>
      <c r="F28" s="257">
        <f>SUM(F9:F26)</f>
        <v>727416.5</v>
      </c>
      <c r="G28" s="258">
        <f>F28/$B$5</f>
        <v>10310.652019844083</v>
      </c>
    </row>
    <row r="29" spans="1:7" ht="30" customHeight="1" thickBot="1">
      <c r="A29" s="199" t="s">
        <v>92</v>
      </c>
      <c r="B29" s="200" t="s">
        <v>266</v>
      </c>
      <c r="C29" s="201"/>
      <c r="D29" s="202"/>
      <c r="E29" s="203"/>
      <c r="F29" s="332">
        <f>F36</f>
        <v>258745</v>
      </c>
      <c r="G29" s="205"/>
    </row>
    <row r="30" spans="1:7" s="213" customFormat="1" ht="23.1" customHeight="1">
      <c r="A30" s="208" t="s">
        <v>3</v>
      </c>
      <c r="B30" s="209" t="s">
        <v>4</v>
      </c>
      <c r="C30" s="209" t="s">
        <v>5</v>
      </c>
      <c r="D30" s="210" t="s">
        <v>6</v>
      </c>
      <c r="E30" s="211" t="s">
        <v>7</v>
      </c>
      <c r="F30" s="209" t="s">
        <v>8</v>
      </c>
      <c r="G30" s="212" t="s">
        <v>9</v>
      </c>
    </row>
    <row r="31" spans="1:7" ht="27" customHeight="1">
      <c r="A31" s="245">
        <v>1</v>
      </c>
      <c r="B31" s="246" t="s">
        <v>165</v>
      </c>
      <c r="C31" s="247" t="s">
        <v>90</v>
      </c>
      <c r="D31" s="248">
        <f>113.6+8.3</f>
        <v>121.89999999999999</v>
      </c>
      <c r="E31" s="249">
        <v>1650</v>
      </c>
      <c r="F31" s="250">
        <f>E31*D31</f>
        <v>201135</v>
      </c>
      <c r="G31" s="251" t="s">
        <v>100</v>
      </c>
    </row>
    <row r="32" spans="1:7" ht="27" customHeight="1">
      <c r="A32" s="245">
        <v>2</v>
      </c>
      <c r="B32" s="252" t="s">
        <v>267</v>
      </c>
      <c r="C32" s="247" t="s">
        <v>91</v>
      </c>
      <c r="D32" s="23">
        <v>150</v>
      </c>
      <c r="E32" s="249">
        <v>190</v>
      </c>
      <c r="F32" s="250">
        <f>D32*E32</f>
        <v>28500</v>
      </c>
      <c r="G32" s="253"/>
    </row>
    <row r="33" spans="1:7" s="198" customFormat="1" ht="27" customHeight="1">
      <c r="A33" s="245">
        <v>3</v>
      </c>
      <c r="B33" s="252" t="s">
        <v>166</v>
      </c>
      <c r="C33" s="254" t="s">
        <v>24</v>
      </c>
      <c r="D33" s="22">
        <f>B5</f>
        <v>70.55</v>
      </c>
      <c r="E33" s="249">
        <v>200</v>
      </c>
      <c r="F33" s="250">
        <f>E33*D33</f>
        <v>14110</v>
      </c>
      <c r="G33" s="255"/>
    </row>
    <row r="34" spans="1:7" s="198" customFormat="1" ht="27" customHeight="1">
      <c r="A34" s="245">
        <v>4</v>
      </c>
      <c r="B34" s="252" t="s">
        <v>167</v>
      </c>
      <c r="C34" s="247" t="s">
        <v>95</v>
      </c>
      <c r="D34" s="22">
        <v>1</v>
      </c>
      <c r="E34" s="249">
        <v>15000</v>
      </c>
      <c r="F34" s="250">
        <f t="shared" ref="F34" si="1">E34*D34</f>
        <v>15000</v>
      </c>
      <c r="G34" s="255"/>
    </row>
    <row r="35" spans="1:7" s="198" customFormat="1" ht="20.100000000000001" customHeight="1">
      <c r="A35" s="245"/>
      <c r="B35" s="252"/>
      <c r="C35" s="256"/>
      <c r="D35" s="23"/>
      <c r="E35" s="249"/>
      <c r="F35" s="250"/>
      <c r="G35" s="253"/>
    </row>
    <row r="36" spans="1:7" s="198" customFormat="1" ht="27" customHeight="1" thickBot="1">
      <c r="A36" s="240"/>
      <c r="B36" s="241" t="s">
        <v>23</v>
      </c>
      <c r="C36" s="242"/>
      <c r="D36" s="243"/>
      <c r="E36" s="244"/>
      <c r="F36" s="257">
        <f>SUM(F31:F34)</f>
        <v>258745</v>
      </c>
      <c r="G36" s="258">
        <f>F36/$B$5</f>
        <v>3667.5407512402553</v>
      </c>
    </row>
    <row r="37" spans="1:7" s="198" customFormat="1" ht="30" customHeight="1" thickBot="1">
      <c r="A37" s="199" t="s">
        <v>25</v>
      </c>
      <c r="B37" s="200" t="s">
        <v>268</v>
      </c>
      <c r="C37" s="201"/>
      <c r="D37" s="202"/>
      <c r="E37" s="203"/>
      <c r="F37" s="204"/>
      <c r="G37" s="205"/>
    </row>
    <row r="38" spans="1:7" s="198" customFormat="1" ht="27" customHeight="1">
      <c r="A38" s="208" t="s">
        <v>3</v>
      </c>
      <c r="B38" s="209" t="s">
        <v>4</v>
      </c>
      <c r="C38" s="209" t="s">
        <v>5</v>
      </c>
      <c r="D38" s="210" t="s">
        <v>6</v>
      </c>
      <c r="E38" s="211" t="s">
        <v>7</v>
      </c>
      <c r="F38" s="209" t="s">
        <v>8</v>
      </c>
      <c r="G38" s="212" t="s">
        <v>9</v>
      </c>
    </row>
    <row r="39" spans="1:7" s="198" customFormat="1" ht="27" customHeight="1">
      <c r="A39" s="245">
        <v>1</v>
      </c>
      <c r="B39" s="252" t="s">
        <v>94</v>
      </c>
      <c r="C39" s="254" t="s">
        <v>24</v>
      </c>
      <c r="D39" s="22">
        <f>B5</f>
        <v>70.55</v>
      </c>
      <c r="E39" s="249">
        <v>3000</v>
      </c>
      <c r="F39" s="250">
        <f t="shared" ref="F39:F43" si="2">E39*D39</f>
        <v>211650</v>
      </c>
      <c r="G39" s="377"/>
    </row>
    <row r="40" spans="1:7" s="198" customFormat="1" ht="27" customHeight="1">
      <c r="A40" s="220">
        <v>2</v>
      </c>
      <c r="B40" s="259" t="s">
        <v>168</v>
      </c>
      <c r="C40" s="226" t="s">
        <v>95</v>
      </c>
      <c r="D40" s="22">
        <v>1</v>
      </c>
      <c r="E40" s="260">
        <v>15000</v>
      </c>
      <c r="F40" s="261">
        <f t="shared" si="2"/>
        <v>15000</v>
      </c>
      <c r="G40" s="262"/>
    </row>
    <row r="41" spans="1:7" s="198" customFormat="1" ht="27" customHeight="1">
      <c r="A41" s="220">
        <v>3</v>
      </c>
      <c r="B41" s="259" t="s">
        <v>127</v>
      </c>
      <c r="C41" s="222" t="s">
        <v>24</v>
      </c>
      <c r="D41" s="22">
        <f>B5</f>
        <v>70.55</v>
      </c>
      <c r="E41" s="260">
        <v>2000</v>
      </c>
      <c r="F41" s="261">
        <f t="shared" si="2"/>
        <v>141100</v>
      </c>
      <c r="G41" s="227"/>
    </row>
    <row r="42" spans="1:7" s="198" customFormat="1" ht="27" customHeight="1">
      <c r="A42" s="220">
        <v>4</v>
      </c>
      <c r="B42" s="259" t="s">
        <v>96</v>
      </c>
      <c r="C42" s="226" t="s">
        <v>205</v>
      </c>
      <c r="D42" s="22">
        <v>0</v>
      </c>
      <c r="E42" s="260">
        <v>800</v>
      </c>
      <c r="F42" s="261">
        <f t="shared" si="2"/>
        <v>0</v>
      </c>
      <c r="G42" s="262"/>
    </row>
    <row r="43" spans="1:7" s="198" customFormat="1" ht="27" customHeight="1">
      <c r="A43" s="220">
        <v>5</v>
      </c>
      <c r="B43" s="259" t="s">
        <v>97</v>
      </c>
      <c r="C43" s="226" t="s">
        <v>205</v>
      </c>
      <c r="D43" s="22">
        <v>61</v>
      </c>
      <c r="E43" s="260">
        <v>950</v>
      </c>
      <c r="F43" s="261">
        <f t="shared" si="2"/>
        <v>57950</v>
      </c>
      <c r="G43" s="262"/>
    </row>
    <row r="44" spans="1:7" s="198" customFormat="1" ht="20.100000000000001" customHeight="1">
      <c r="A44" s="263"/>
      <c r="B44" s="264"/>
      <c r="C44" s="265"/>
      <c r="D44" s="24"/>
      <c r="E44" s="266"/>
      <c r="F44" s="267"/>
      <c r="G44" s="268"/>
    </row>
    <row r="45" spans="1:7" s="198" customFormat="1" ht="27" customHeight="1" thickBot="1">
      <c r="A45" s="231"/>
      <c r="B45" s="269" t="s">
        <v>23</v>
      </c>
      <c r="C45" s="270"/>
      <c r="D45" s="271"/>
      <c r="E45" s="272"/>
      <c r="F45" s="273">
        <f>SUM(F39:F43)</f>
        <v>425700</v>
      </c>
      <c r="G45" s="274">
        <f>F45/$B$5</f>
        <v>6034.0184266477681</v>
      </c>
    </row>
    <row r="46" spans="1:7" s="198" customFormat="1" ht="30" customHeight="1" thickBot="1">
      <c r="A46" s="199" t="s">
        <v>27</v>
      </c>
      <c r="B46" s="200" t="s">
        <v>269</v>
      </c>
      <c r="C46" s="201"/>
      <c r="D46" s="202"/>
      <c r="E46" s="203"/>
      <c r="F46" s="332">
        <f>F51</f>
        <v>0</v>
      </c>
      <c r="G46" s="205"/>
    </row>
    <row r="47" spans="1:7" s="198" customFormat="1" ht="27" customHeight="1">
      <c r="A47" s="208" t="s">
        <v>3</v>
      </c>
      <c r="B47" s="209" t="s">
        <v>4</v>
      </c>
      <c r="C47" s="209" t="s">
        <v>5</v>
      </c>
      <c r="D47" s="210" t="s">
        <v>6</v>
      </c>
      <c r="E47" s="211" t="s">
        <v>7</v>
      </c>
      <c r="F47" s="209" t="s">
        <v>8</v>
      </c>
      <c r="G47" s="212" t="s">
        <v>9</v>
      </c>
    </row>
    <row r="48" spans="1:7" s="198" customFormat="1" ht="27" customHeight="1">
      <c r="A48" s="220">
        <v>1</v>
      </c>
      <c r="B48" s="232" t="s">
        <v>43</v>
      </c>
      <c r="C48" s="275" t="s">
        <v>44</v>
      </c>
      <c r="D48" s="25">
        <v>0</v>
      </c>
      <c r="E48" s="276">
        <v>8188</v>
      </c>
      <c r="F48" s="35">
        <f t="shared" ref="F48:F49" si="3">E48*D48</f>
        <v>0</v>
      </c>
      <c r="G48" s="277"/>
    </row>
    <row r="49" spans="1:7" ht="27" customHeight="1">
      <c r="A49" s="220">
        <v>2</v>
      </c>
      <c r="B49" s="232" t="s">
        <v>169</v>
      </c>
      <c r="C49" s="275" t="s">
        <v>128</v>
      </c>
      <c r="D49" s="25">
        <v>0</v>
      </c>
      <c r="E49" s="276">
        <v>1000</v>
      </c>
      <c r="F49" s="35">
        <f t="shared" si="3"/>
        <v>0</v>
      </c>
      <c r="G49" s="277"/>
    </row>
    <row r="50" spans="1:7" ht="20.100000000000001" customHeight="1">
      <c r="A50" s="278"/>
      <c r="B50" s="279"/>
      <c r="C50" s="280"/>
      <c r="D50" s="281"/>
      <c r="E50" s="282"/>
      <c r="F50" s="283"/>
      <c r="G50" s="284"/>
    </row>
    <row r="51" spans="1:7" ht="27" customHeight="1" thickBot="1">
      <c r="A51" s="231"/>
      <c r="B51" s="269" t="s">
        <v>45</v>
      </c>
      <c r="C51" s="229"/>
      <c r="D51" s="285"/>
      <c r="E51" s="272"/>
      <c r="F51" s="286">
        <f>SUM(F48:F49)</f>
        <v>0</v>
      </c>
      <c r="G51" s="287">
        <f>F51/$B$5</f>
        <v>0</v>
      </c>
    </row>
    <row r="52" spans="1:7" ht="30" customHeight="1" thickBot="1">
      <c r="A52" s="199" t="s">
        <v>29</v>
      </c>
      <c r="B52" s="200" t="s">
        <v>270</v>
      </c>
      <c r="C52" s="201"/>
      <c r="D52" s="202"/>
      <c r="E52" s="203"/>
      <c r="F52" s="332">
        <f>F58</f>
        <v>141100</v>
      </c>
      <c r="G52" s="205"/>
    </row>
    <row r="53" spans="1:7" ht="27" customHeight="1">
      <c r="A53" s="208" t="s">
        <v>3</v>
      </c>
      <c r="B53" s="209" t="s">
        <v>4</v>
      </c>
      <c r="C53" s="209" t="s">
        <v>5</v>
      </c>
      <c r="D53" s="210" t="s">
        <v>6</v>
      </c>
      <c r="E53" s="211" t="s">
        <v>7</v>
      </c>
      <c r="F53" s="209" t="s">
        <v>8</v>
      </c>
      <c r="G53" s="212" t="s">
        <v>9</v>
      </c>
    </row>
    <row r="54" spans="1:7" ht="27" customHeight="1">
      <c r="A54" s="288">
        <v>1</v>
      </c>
      <c r="B54" s="289" t="s">
        <v>106</v>
      </c>
      <c r="C54" s="222" t="s">
        <v>24</v>
      </c>
      <c r="D54" s="23">
        <f>B5</f>
        <v>70.55</v>
      </c>
      <c r="E54" s="260">
        <v>9000</v>
      </c>
      <c r="F54" s="36"/>
      <c r="G54" s="228"/>
    </row>
    <row r="55" spans="1:7" ht="27" customHeight="1">
      <c r="A55" s="220">
        <v>1.1000000000000001</v>
      </c>
      <c r="B55" s="290" t="s">
        <v>118</v>
      </c>
      <c r="C55" s="226" t="s">
        <v>107</v>
      </c>
      <c r="D55" s="23">
        <v>0</v>
      </c>
      <c r="E55" s="260">
        <f>590*9</f>
        <v>5310</v>
      </c>
      <c r="F55" s="36">
        <f>D55*E55</f>
        <v>0</v>
      </c>
      <c r="G55" s="291"/>
    </row>
    <row r="56" spans="1:7" ht="27" customHeight="1">
      <c r="A56" s="288">
        <v>2</v>
      </c>
      <c r="B56" s="289" t="s">
        <v>108</v>
      </c>
      <c r="C56" s="222" t="s">
        <v>24</v>
      </c>
      <c r="D56" s="23">
        <f>B5</f>
        <v>70.55</v>
      </c>
      <c r="E56" s="260">
        <v>2000</v>
      </c>
      <c r="F56" s="36">
        <f>D56*E56</f>
        <v>141100</v>
      </c>
      <c r="G56" s="228"/>
    </row>
    <row r="57" spans="1:7" ht="20.100000000000001" customHeight="1">
      <c r="A57" s="278"/>
      <c r="B57" s="292"/>
      <c r="C57" s="293"/>
      <c r="D57" s="30"/>
      <c r="E57" s="294"/>
      <c r="F57" s="37"/>
      <c r="G57" s="295"/>
    </row>
    <row r="58" spans="1:7" ht="27" customHeight="1" thickBot="1">
      <c r="A58" s="278"/>
      <c r="B58" s="279" t="s">
        <v>26</v>
      </c>
      <c r="C58" s="293"/>
      <c r="D58" s="296"/>
      <c r="E58" s="294"/>
      <c r="F58" s="297">
        <f>SUM(F55:F56)</f>
        <v>141100</v>
      </c>
      <c r="G58" s="284">
        <f>F58/$B$5</f>
        <v>2000</v>
      </c>
    </row>
    <row r="59" spans="1:7" ht="30" customHeight="1" thickBot="1">
      <c r="A59" s="199" t="s">
        <v>30</v>
      </c>
      <c r="B59" s="200" t="s">
        <v>271</v>
      </c>
      <c r="C59" s="201"/>
      <c r="D59" s="202"/>
      <c r="E59" s="203"/>
      <c r="F59" s="332">
        <f>F84</f>
        <v>720775</v>
      </c>
      <c r="G59" s="205"/>
    </row>
    <row r="60" spans="1:7" ht="27" customHeight="1">
      <c r="A60" s="208" t="s">
        <v>3</v>
      </c>
      <c r="B60" s="209" t="s">
        <v>4</v>
      </c>
      <c r="C60" s="209" t="s">
        <v>5</v>
      </c>
      <c r="D60" s="210" t="s">
        <v>6</v>
      </c>
      <c r="E60" s="211" t="s">
        <v>7</v>
      </c>
      <c r="F60" s="209" t="s">
        <v>8</v>
      </c>
      <c r="G60" s="212" t="s">
        <v>9</v>
      </c>
    </row>
    <row r="61" spans="1:7" ht="27" customHeight="1">
      <c r="A61" s="298">
        <v>1</v>
      </c>
      <c r="B61" s="299" t="s">
        <v>121</v>
      </c>
      <c r="C61" s="300"/>
      <c r="D61" s="301"/>
      <c r="E61" s="302"/>
      <c r="F61" s="303"/>
      <c r="G61" s="304"/>
    </row>
    <row r="62" spans="1:7" ht="27" customHeight="1">
      <c r="A62" s="220">
        <v>1.1000000000000001</v>
      </c>
      <c r="B62" s="221" t="s">
        <v>151</v>
      </c>
      <c r="C62" s="384" t="s">
        <v>193</v>
      </c>
      <c r="D62" s="387">
        <f>B5</f>
        <v>70.55</v>
      </c>
      <c r="E62" s="390">
        <v>2500</v>
      </c>
      <c r="F62" s="393">
        <f>E62*D62</f>
        <v>176375</v>
      </c>
      <c r="G62" s="397"/>
    </row>
    <row r="63" spans="1:7" s="305" customFormat="1" ht="27" customHeight="1">
      <c r="A63" s="220">
        <v>1.2</v>
      </c>
      <c r="B63" s="221" t="s">
        <v>129</v>
      </c>
      <c r="C63" s="385"/>
      <c r="D63" s="388"/>
      <c r="E63" s="391"/>
      <c r="F63" s="394"/>
      <c r="G63" s="398"/>
    </row>
    <row r="64" spans="1:7" ht="27" customHeight="1">
      <c r="A64" s="220">
        <v>1.3</v>
      </c>
      <c r="B64" s="221" t="s">
        <v>143</v>
      </c>
      <c r="C64" s="386"/>
      <c r="D64" s="389"/>
      <c r="E64" s="392"/>
      <c r="F64" s="395"/>
      <c r="G64" s="399"/>
    </row>
    <row r="65" spans="1:7" ht="54" customHeight="1">
      <c r="A65" s="220">
        <v>1.4</v>
      </c>
      <c r="B65" s="307" t="s">
        <v>272</v>
      </c>
      <c r="C65" s="216" t="s">
        <v>93</v>
      </c>
      <c r="D65" s="63">
        <v>1</v>
      </c>
      <c r="E65" s="306">
        <v>130000</v>
      </c>
      <c r="F65" s="64">
        <f>E65*D65</f>
        <v>130000</v>
      </c>
      <c r="G65" s="277"/>
    </row>
    <row r="66" spans="1:7" s="305" customFormat="1" ht="20.100000000000001" customHeight="1">
      <c r="A66" s="220"/>
      <c r="B66" s="307"/>
      <c r="C66" s="254"/>
      <c r="D66" s="22"/>
      <c r="E66" s="308"/>
      <c r="F66" s="36"/>
      <c r="G66" s="277"/>
    </row>
    <row r="67" spans="1:7" ht="27" customHeight="1">
      <c r="A67" s="298">
        <v>2</v>
      </c>
      <c r="B67" s="299" t="s">
        <v>120</v>
      </c>
      <c r="C67" s="300"/>
      <c r="D67" s="301"/>
      <c r="E67" s="302"/>
      <c r="F67" s="303"/>
      <c r="G67" s="304"/>
    </row>
    <row r="68" spans="1:7" ht="27" customHeight="1">
      <c r="A68" s="220">
        <v>2.1</v>
      </c>
      <c r="B68" s="373" t="s">
        <v>281</v>
      </c>
      <c r="C68" s="405" t="s">
        <v>193</v>
      </c>
      <c r="D68" s="407">
        <f>B5</f>
        <v>70.55</v>
      </c>
      <c r="E68" s="390">
        <v>4000</v>
      </c>
      <c r="F68" s="410">
        <f>E68*D68</f>
        <v>282200</v>
      </c>
      <c r="G68" s="304"/>
    </row>
    <row r="69" spans="1:7" ht="27" customHeight="1">
      <c r="A69" s="220">
        <v>2.2000000000000002</v>
      </c>
      <c r="B69" s="373" t="s">
        <v>282</v>
      </c>
      <c r="C69" s="406"/>
      <c r="D69" s="408"/>
      <c r="E69" s="391"/>
      <c r="F69" s="411"/>
      <c r="G69" s="304"/>
    </row>
    <row r="70" spans="1:7" ht="27" customHeight="1">
      <c r="A70" s="220">
        <v>2.2999999999999998</v>
      </c>
      <c r="B70" s="373" t="s">
        <v>283</v>
      </c>
      <c r="C70" s="406"/>
      <c r="D70" s="408"/>
      <c r="E70" s="391"/>
      <c r="F70" s="411"/>
      <c r="G70" s="304"/>
    </row>
    <row r="71" spans="1:7" ht="27" customHeight="1">
      <c r="A71" s="220">
        <v>2.4</v>
      </c>
      <c r="B71" s="373" t="s">
        <v>284</v>
      </c>
      <c r="C71" s="406"/>
      <c r="D71" s="408"/>
      <c r="E71" s="391"/>
      <c r="F71" s="411"/>
      <c r="G71" s="304"/>
    </row>
    <row r="72" spans="1:7" ht="27" customHeight="1">
      <c r="A72" s="220">
        <v>2.5</v>
      </c>
      <c r="B72" s="373" t="s">
        <v>285</v>
      </c>
      <c r="C72" s="406"/>
      <c r="D72" s="408"/>
      <c r="E72" s="391"/>
      <c r="F72" s="411"/>
      <c r="G72" s="304"/>
    </row>
    <row r="73" spans="1:7" ht="27" customHeight="1">
      <c r="A73" s="220">
        <v>2.6</v>
      </c>
      <c r="B73" s="373" t="s">
        <v>286</v>
      </c>
      <c r="C73" s="406"/>
      <c r="D73" s="408"/>
      <c r="E73" s="391"/>
      <c r="F73" s="411"/>
      <c r="G73" s="304"/>
    </row>
    <row r="74" spans="1:7" ht="27" customHeight="1">
      <c r="A74" s="220">
        <v>2.7</v>
      </c>
      <c r="B74" s="373" t="s">
        <v>287</v>
      </c>
      <c r="C74" s="406"/>
      <c r="D74" s="408"/>
      <c r="E74" s="391"/>
      <c r="F74" s="411"/>
      <c r="G74" s="304"/>
    </row>
    <row r="75" spans="1:7" ht="54" customHeight="1">
      <c r="A75" s="220">
        <v>2.8</v>
      </c>
      <c r="B75" s="307" t="s">
        <v>272</v>
      </c>
      <c r="C75" s="402"/>
      <c r="D75" s="409"/>
      <c r="E75" s="392"/>
      <c r="F75" s="412"/>
      <c r="G75" s="304"/>
    </row>
    <row r="76" spans="1:7" s="305" customFormat="1" ht="20.100000000000001" customHeight="1">
      <c r="B76" s="221"/>
      <c r="C76" s="222"/>
      <c r="D76" s="22"/>
      <c r="E76" s="224"/>
      <c r="F76" s="36"/>
      <c r="G76" s="277"/>
    </row>
    <row r="77" spans="1:7" s="305" customFormat="1" ht="27" customHeight="1">
      <c r="A77" s="220">
        <v>3</v>
      </c>
      <c r="B77" s="221" t="s">
        <v>296</v>
      </c>
      <c r="C77" s="254" t="s">
        <v>95</v>
      </c>
      <c r="D77" s="22">
        <v>1</v>
      </c>
      <c r="E77" s="224">
        <v>89000</v>
      </c>
      <c r="F77" s="36">
        <f>E77*D77</f>
        <v>89000</v>
      </c>
      <c r="G77" s="378"/>
    </row>
    <row r="78" spans="1:7" s="305" customFormat="1" ht="27" customHeight="1">
      <c r="A78" s="220">
        <v>4</v>
      </c>
      <c r="B78" s="307" t="s">
        <v>288</v>
      </c>
      <c r="C78" s="254" t="s">
        <v>289</v>
      </c>
      <c r="D78" s="22">
        <v>1</v>
      </c>
      <c r="E78" s="308">
        <v>3200</v>
      </c>
      <c r="F78" s="36">
        <f>E78*D78</f>
        <v>3200</v>
      </c>
      <c r="G78" s="277"/>
    </row>
    <row r="79" spans="1:7" ht="20.100000000000001" customHeight="1">
      <c r="A79" s="220"/>
      <c r="B79" s="307"/>
      <c r="C79" s="254"/>
      <c r="D79" s="22"/>
      <c r="E79" s="308"/>
      <c r="F79" s="36"/>
      <c r="G79" s="277"/>
    </row>
    <row r="80" spans="1:7" ht="27" customHeight="1">
      <c r="A80" s="220">
        <v>5</v>
      </c>
      <c r="B80" s="290" t="s">
        <v>130</v>
      </c>
      <c r="C80" s="226" t="s">
        <v>290</v>
      </c>
      <c r="D80" s="23">
        <v>1</v>
      </c>
      <c r="E80" s="309">
        <v>10000</v>
      </c>
      <c r="F80" s="36">
        <f>E80*D80</f>
        <v>10000</v>
      </c>
      <c r="G80" s="228"/>
    </row>
    <row r="81" spans="1:8" ht="27" customHeight="1">
      <c r="A81" s="220">
        <v>6</v>
      </c>
      <c r="B81" s="290" t="s">
        <v>109</v>
      </c>
      <c r="C81" s="226" t="s">
        <v>95</v>
      </c>
      <c r="D81" s="23">
        <v>1</v>
      </c>
      <c r="E81" s="309">
        <v>12000</v>
      </c>
      <c r="F81" s="36">
        <f>E81*D81</f>
        <v>12000</v>
      </c>
      <c r="G81" s="228"/>
    </row>
    <row r="82" spans="1:8" ht="27" customHeight="1">
      <c r="A82" s="220">
        <v>7</v>
      </c>
      <c r="B82" s="259" t="s">
        <v>110</v>
      </c>
      <c r="C82" s="226" t="s">
        <v>95</v>
      </c>
      <c r="D82" s="22">
        <v>1</v>
      </c>
      <c r="E82" s="309">
        <v>18000</v>
      </c>
      <c r="F82" s="36">
        <f>E82*D82</f>
        <v>18000</v>
      </c>
      <c r="G82" s="310"/>
    </row>
    <row r="83" spans="1:8" ht="20.100000000000001" customHeight="1">
      <c r="A83" s="220"/>
      <c r="B83" s="307"/>
      <c r="C83" s="254"/>
      <c r="D83" s="22"/>
      <c r="E83" s="308"/>
      <c r="F83" s="36"/>
      <c r="G83" s="277"/>
    </row>
    <row r="84" spans="1:8" ht="27" customHeight="1" thickBot="1">
      <c r="A84" s="263"/>
      <c r="B84" s="311" t="s">
        <v>26</v>
      </c>
      <c r="C84" s="265"/>
      <c r="D84" s="312"/>
      <c r="E84" s="266"/>
      <c r="F84" s="36">
        <f>SUM(F62:F82)</f>
        <v>720775</v>
      </c>
      <c r="G84" s="313">
        <f>F84/$B$5</f>
        <v>10216.513111268605</v>
      </c>
    </row>
    <row r="85" spans="1:8" ht="30" customHeight="1" thickBot="1">
      <c r="A85" s="199" t="s">
        <v>39</v>
      </c>
      <c r="B85" s="200" t="s">
        <v>273</v>
      </c>
      <c r="C85" s="201"/>
      <c r="D85" s="202"/>
      <c r="E85" s="203"/>
      <c r="F85" s="204"/>
      <c r="G85" s="205"/>
    </row>
    <row r="86" spans="1:8" ht="27" customHeight="1">
      <c r="A86" s="208" t="s">
        <v>3</v>
      </c>
      <c r="B86" s="209" t="s">
        <v>4</v>
      </c>
      <c r="C86" s="209" t="s">
        <v>5</v>
      </c>
      <c r="D86" s="210" t="s">
        <v>6</v>
      </c>
      <c r="E86" s="211" t="s">
        <v>7</v>
      </c>
      <c r="F86" s="209" t="s">
        <v>8</v>
      </c>
      <c r="G86" s="212" t="s">
        <v>9</v>
      </c>
    </row>
    <row r="87" spans="1:8" ht="27" customHeight="1">
      <c r="A87" s="220">
        <v>1</v>
      </c>
      <c r="B87" s="314" t="s">
        <v>113</v>
      </c>
      <c r="C87" s="222" t="s">
        <v>24</v>
      </c>
      <c r="D87" s="22">
        <f>B5</f>
        <v>70.55</v>
      </c>
      <c r="E87" s="260">
        <v>3000</v>
      </c>
      <c r="F87" s="36">
        <f t="shared" ref="F87:F89" si="4">E87*D87</f>
        <v>211650</v>
      </c>
      <c r="G87" s="228"/>
    </row>
    <row r="88" spans="1:8" ht="27" customHeight="1">
      <c r="A88" s="220">
        <v>2</v>
      </c>
      <c r="B88" s="314" t="s">
        <v>114</v>
      </c>
      <c r="C88" s="222" t="s">
        <v>24</v>
      </c>
      <c r="D88" s="22">
        <f>B5</f>
        <v>70.55</v>
      </c>
      <c r="E88" s="260">
        <v>800</v>
      </c>
      <c r="F88" s="36">
        <f t="shared" si="4"/>
        <v>56440</v>
      </c>
      <c r="G88" s="228"/>
    </row>
    <row r="89" spans="1:8" ht="27" customHeight="1">
      <c r="A89" s="220">
        <v>3</v>
      </c>
      <c r="B89" s="221" t="s">
        <v>115</v>
      </c>
      <c r="C89" s="222" t="s">
        <v>24</v>
      </c>
      <c r="D89" s="22">
        <f>B5</f>
        <v>70.55</v>
      </c>
      <c r="E89" s="260">
        <v>700</v>
      </c>
      <c r="F89" s="36">
        <f t="shared" si="4"/>
        <v>49385</v>
      </c>
      <c r="G89" s="228"/>
    </row>
    <row r="90" spans="1:8" ht="27" customHeight="1">
      <c r="A90" s="220">
        <v>4</v>
      </c>
      <c r="B90" s="221" t="s">
        <v>146</v>
      </c>
      <c r="C90" s="222" t="s">
        <v>95</v>
      </c>
      <c r="D90" s="22">
        <v>1</v>
      </c>
      <c r="E90" s="260">
        <v>15000</v>
      </c>
      <c r="F90" s="36">
        <f>E90*D90</f>
        <v>15000</v>
      </c>
      <c r="G90" s="277"/>
    </row>
    <row r="91" spans="1:8" ht="27" customHeight="1">
      <c r="A91" s="220">
        <v>5</v>
      </c>
      <c r="B91" s="221" t="s">
        <v>111</v>
      </c>
      <c r="C91" s="222" t="s">
        <v>112</v>
      </c>
      <c r="D91" s="22"/>
      <c r="E91" s="260">
        <v>5000</v>
      </c>
      <c r="F91" s="36">
        <f>E91*D91</f>
        <v>0</v>
      </c>
      <c r="G91" s="277" t="s">
        <v>280</v>
      </c>
    </row>
    <row r="92" spans="1:8" ht="27" customHeight="1">
      <c r="A92" s="220">
        <v>6</v>
      </c>
      <c r="B92" s="221" t="s">
        <v>122</v>
      </c>
      <c r="C92" s="222" t="s">
        <v>24</v>
      </c>
      <c r="D92" s="22">
        <f>B5</f>
        <v>70.55</v>
      </c>
      <c r="E92" s="260">
        <v>1900</v>
      </c>
      <c r="F92" s="36">
        <f>E92*D92</f>
        <v>134045</v>
      </c>
      <c r="G92" s="228"/>
    </row>
    <row r="93" spans="1:8" ht="27" customHeight="1">
      <c r="A93" s="220">
        <v>7</v>
      </c>
      <c r="B93" s="314" t="s">
        <v>145</v>
      </c>
      <c r="C93" s="222" t="s">
        <v>95</v>
      </c>
      <c r="D93" s="22"/>
      <c r="E93" s="260">
        <v>85000</v>
      </c>
      <c r="F93" s="36">
        <f>E93*D93</f>
        <v>0</v>
      </c>
      <c r="G93" s="228"/>
    </row>
    <row r="94" spans="1:8" ht="20.100000000000001" customHeight="1">
      <c r="A94" s="220"/>
      <c r="B94" s="314"/>
      <c r="C94" s="222"/>
      <c r="D94" s="22"/>
      <c r="E94" s="260"/>
      <c r="F94" s="36"/>
      <c r="G94" s="228"/>
      <c r="H94" s="193"/>
    </row>
    <row r="95" spans="1:8" ht="27" customHeight="1" thickBot="1">
      <c r="A95" s="231"/>
      <c r="B95" s="315" t="s">
        <v>26</v>
      </c>
      <c r="C95" s="316"/>
      <c r="D95" s="39"/>
      <c r="E95" s="272"/>
      <c r="F95" s="40">
        <f>SUM(F87:F93)</f>
        <v>466520</v>
      </c>
      <c r="G95" s="317">
        <f>F95/$B$5</f>
        <v>6612.6151665485477</v>
      </c>
      <c r="H95" s="193"/>
    </row>
    <row r="96" spans="1:8" ht="30" customHeight="1" thickBot="1">
      <c r="A96" s="199" t="s">
        <v>125</v>
      </c>
      <c r="B96" s="200" t="s">
        <v>158</v>
      </c>
      <c r="C96" s="201"/>
      <c r="D96" s="202"/>
      <c r="E96" s="203"/>
      <c r="F96" s="332">
        <f>F105</f>
        <v>171840</v>
      </c>
      <c r="G96" s="205"/>
      <c r="H96" s="193"/>
    </row>
    <row r="97" spans="1:8" ht="27" customHeight="1">
      <c r="A97" s="208" t="s">
        <v>3</v>
      </c>
      <c r="B97" s="209" t="s">
        <v>4</v>
      </c>
      <c r="C97" s="209" t="s">
        <v>5</v>
      </c>
      <c r="D97" s="210" t="s">
        <v>6</v>
      </c>
      <c r="E97" s="211" t="s">
        <v>7</v>
      </c>
      <c r="F97" s="209" t="s">
        <v>8</v>
      </c>
      <c r="G97" s="212" t="s">
        <v>9</v>
      </c>
      <c r="H97" s="193"/>
    </row>
    <row r="98" spans="1:8" ht="27" customHeight="1">
      <c r="A98" s="318">
        <v>1</v>
      </c>
      <c r="B98" s="26" t="s">
        <v>116</v>
      </c>
      <c r="C98" s="222" t="s">
        <v>95</v>
      </c>
      <c r="D98" s="23">
        <v>1</v>
      </c>
      <c r="E98" s="27">
        <v>35510</v>
      </c>
      <c r="F98" s="36">
        <f>E98*D98</f>
        <v>35510</v>
      </c>
      <c r="G98" s="228"/>
      <c r="H98" s="193"/>
    </row>
    <row r="99" spans="1:8" ht="27" customHeight="1">
      <c r="A99" s="318">
        <v>2</v>
      </c>
      <c r="B99" s="221" t="s">
        <v>150</v>
      </c>
      <c r="C99" s="222" t="s">
        <v>95</v>
      </c>
      <c r="D99" s="23">
        <v>1</v>
      </c>
      <c r="E99" s="27">
        <v>9000</v>
      </c>
      <c r="F99" s="36">
        <f>E99*D99</f>
        <v>9000</v>
      </c>
      <c r="G99" s="228"/>
      <c r="H99" s="193"/>
    </row>
    <row r="100" spans="1:8" ht="27" customHeight="1">
      <c r="A100" s="318">
        <v>3</v>
      </c>
      <c r="B100" s="26" t="s">
        <v>117</v>
      </c>
      <c r="C100" s="222" t="s">
        <v>24</v>
      </c>
      <c r="D100" s="23">
        <f>B5</f>
        <v>70.55</v>
      </c>
      <c r="E100" s="27">
        <v>300</v>
      </c>
      <c r="F100" s="36">
        <f>E100*D100</f>
        <v>21165</v>
      </c>
      <c r="G100" s="228"/>
      <c r="H100" s="193"/>
    </row>
    <row r="101" spans="1:8" ht="27" customHeight="1">
      <c r="A101" s="318">
        <v>4</v>
      </c>
      <c r="B101" s="26" t="s">
        <v>124</v>
      </c>
      <c r="C101" s="222" t="s">
        <v>95</v>
      </c>
      <c r="D101" s="23">
        <v>1</v>
      </c>
      <c r="E101" s="27">
        <v>85000</v>
      </c>
      <c r="F101" s="36">
        <f>E101*D101</f>
        <v>85000</v>
      </c>
      <c r="G101" s="310"/>
      <c r="H101" s="193"/>
    </row>
    <row r="102" spans="1:8" ht="27" customHeight="1">
      <c r="A102" s="318">
        <v>5</v>
      </c>
      <c r="B102" s="26" t="s">
        <v>123</v>
      </c>
      <c r="C102" s="222" t="s">
        <v>24</v>
      </c>
      <c r="D102" s="23">
        <f>B5</f>
        <v>70.55</v>
      </c>
      <c r="E102" s="27">
        <v>300</v>
      </c>
      <c r="F102" s="36">
        <f t="shared" ref="F102" si="5">E102*D102</f>
        <v>21165</v>
      </c>
      <c r="G102" s="277"/>
      <c r="H102" s="193"/>
    </row>
    <row r="103" spans="1:8" ht="27" customHeight="1">
      <c r="A103" s="318">
        <v>6</v>
      </c>
      <c r="B103" s="26" t="s">
        <v>119</v>
      </c>
      <c r="C103" s="222" t="s">
        <v>95</v>
      </c>
      <c r="D103" s="22"/>
      <c r="E103" s="27"/>
      <c r="F103" s="36">
        <f>E103*D103</f>
        <v>0</v>
      </c>
      <c r="G103" s="295"/>
      <c r="H103" s="193"/>
    </row>
    <row r="104" spans="1:8" ht="20.100000000000001" customHeight="1">
      <c r="A104" s="38"/>
      <c r="B104" s="28"/>
      <c r="C104" s="29"/>
      <c r="D104" s="30"/>
      <c r="E104" s="32"/>
      <c r="F104" s="37"/>
      <c r="G104" s="295"/>
      <c r="H104" s="193"/>
    </row>
    <row r="105" spans="1:8" ht="27" customHeight="1" thickBot="1">
      <c r="A105" s="319"/>
      <c r="B105" s="320" t="s">
        <v>26</v>
      </c>
      <c r="C105" s="321"/>
      <c r="D105" s="31"/>
      <c r="E105" s="272"/>
      <c r="F105" s="273">
        <f>SUM(F98:F103)</f>
        <v>171840</v>
      </c>
      <c r="G105" s="317">
        <f>F105/$B$5</f>
        <v>2435.7193479801558</v>
      </c>
      <c r="H105" s="193"/>
    </row>
    <row r="106" spans="1:8" ht="30" customHeight="1" thickBot="1">
      <c r="A106" s="199" t="s">
        <v>147</v>
      </c>
      <c r="B106" s="200" t="s">
        <v>274</v>
      </c>
      <c r="C106" s="201"/>
      <c r="D106" s="202"/>
      <c r="E106" s="203"/>
      <c r="F106" s="332">
        <f>F111</f>
        <v>112880</v>
      </c>
      <c r="G106" s="205"/>
      <c r="H106" s="193"/>
    </row>
    <row r="107" spans="1:8" ht="27" customHeight="1">
      <c r="A107" s="208" t="s">
        <v>3</v>
      </c>
      <c r="B107" s="209" t="s">
        <v>4</v>
      </c>
      <c r="C107" s="209" t="s">
        <v>5</v>
      </c>
      <c r="D107" s="210" t="s">
        <v>6</v>
      </c>
      <c r="E107" s="211" t="s">
        <v>7</v>
      </c>
      <c r="F107" s="209" t="s">
        <v>8</v>
      </c>
      <c r="G107" s="212" t="s">
        <v>9</v>
      </c>
    </row>
    <row r="108" spans="1:8" ht="27" customHeight="1">
      <c r="A108" s="220">
        <v>1</v>
      </c>
      <c r="B108" s="221" t="s">
        <v>31</v>
      </c>
      <c r="C108" s="222" t="s">
        <v>24</v>
      </c>
      <c r="D108" s="223">
        <f>B5</f>
        <v>70.55</v>
      </c>
      <c r="E108" s="224">
        <v>100</v>
      </c>
      <c r="F108" s="333">
        <f>E108*D108</f>
        <v>7055</v>
      </c>
      <c r="G108" s="228"/>
    </row>
    <row r="109" spans="1:8" ht="27" customHeight="1">
      <c r="A109" s="278">
        <v>2</v>
      </c>
      <c r="B109" s="334" t="s">
        <v>148</v>
      </c>
      <c r="C109" s="222" t="s">
        <v>24</v>
      </c>
      <c r="D109" s="335">
        <f>B5</f>
        <v>70.55</v>
      </c>
      <c r="E109" s="276">
        <v>1500</v>
      </c>
      <c r="F109" s="283">
        <f>E109*D109</f>
        <v>105825</v>
      </c>
      <c r="G109" s="228"/>
    </row>
    <row r="110" spans="1:8" ht="20.100000000000001" customHeight="1">
      <c r="A110" s="278"/>
      <c r="B110" s="334"/>
      <c r="C110" s="275"/>
      <c r="D110" s="335"/>
      <c r="E110" s="276"/>
      <c r="F110" s="283"/>
      <c r="G110" s="295"/>
    </row>
    <row r="111" spans="1:8" ht="27" customHeight="1" thickBot="1">
      <c r="A111" s="231"/>
      <c r="B111" s="336" t="s">
        <v>23</v>
      </c>
      <c r="C111" s="270"/>
      <c r="D111" s="337"/>
      <c r="E111" s="338"/>
      <c r="F111" s="286">
        <f>SUM(F108:F109)</f>
        <v>112880</v>
      </c>
      <c r="G111" s="317">
        <f>F111/$B$5</f>
        <v>1600</v>
      </c>
    </row>
    <row r="112" spans="1:8" ht="30" customHeight="1" thickBot="1">
      <c r="A112" s="339" t="s">
        <v>275</v>
      </c>
      <c r="B112" s="340" t="s">
        <v>276</v>
      </c>
      <c r="C112" s="341"/>
      <c r="D112" s="342"/>
      <c r="E112" s="343"/>
      <c r="F112" s="344">
        <f>F28+F36+F45+F51+F58+F84+F95+F105+F111</f>
        <v>3024976.5</v>
      </c>
      <c r="G112" s="205"/>
    </row>
    <row r="113" spans="1:7" ht="30" customHeight="1" thickBot="1">
      <c r="A113" s="199" t="s">
        <v>206</v>
      </c>
      <c r="B113" s="200" t="s">
        <v>277</v>
      </c>
      <c r="C113" s="201"/>
      <c r="D113" s="202"/>
      <c r="E113" s="203"/>
      <c r="F113" s="204"/>
      <c r="G113" s="205"/>
    </row>
    <row r="114" spans="1:7" ht="27" customHeight="1">
      <c r="A114" s="208" t="s">
        <v>3</v>
      </c>
      <c r="B114" s="209" t="s">
        <v>4</v>
      </c>
      <c r="C114" s="209" t="s">
        <v>5</v>
      </c>
      <c r="D114" s="210" t="s">
        <v>6</v>
      </c>
      <c r="E114" s="211" t="s">
        <v>7</v>
      </c>
      <c r="F114" s="209" t="s">
        <v>8</v>
      </c>
      <c r="G114" s="212" t="s">
        <v>9</v>
      </c>
    </row>
    <row r="115" spans="1:7" ht="27" customHeight="1">
      <c r="A115" s="220">
        <v>1</v>
      </c>
      <c r="B115" s="221" t="s">
        <v>32</v>
      </c>
      <c r="C115" s="222" t="s">
        <v>28</v>
      </c>
      <c r="D115" s="223">
        <v>1</v>
      </c>
      <c r="E115" s="224">
        <f>F112*0.008</f>
        <v>24199.812000000002</v>
      </c>
      <c r="F115" s="33">
        <f>E115*D115</f>
        <v>24199.812000000002</v>
      </c>
      <c r="G115" s="277">
        <f>F115/$B$5</f>
        <v>343.01647058823534</v>
      </c>
    </row>
    <row r="116" spans="1:7" ht="27" customHeight="1">
      <c r="A116" s="220">
        <v>2</v>
      </c>
      <c r="B116" s="221" t="s">
        <v>33</v>
      </c>
      <c r="C116" s="222" t="s">
        <v>28</v>
      </c>
      <c r="D116" s="223">
        <v>1</v>
      </c>
      <c r="E116" s="224">
        <f>F112*0.01</f>
        <v>30249.764999999999</v>
      </c>
      <c r="F116" s="33">
        <f t="shared" ref="F116:F117" si="6">D116*E116</f>
        <v>30249.764999999999</v>
      </c>
      <c r="G116" s="228"/>
    </row>
    <row r="117" spans="1:7" ht="27" customHeight="1">
      <c r="A117" s="220">
        <v>3</v>
      </c>
      <c r="B117" s="345" t="s">
        <v>149</v>
      </c>
      <c r="C117" s="222" t="s">
        <v>95</v>
      </c>
      <c r="D117" s="223">
        <v>1</v>
      </c>
      <c r="E117" s="224">
        <f>F112*0.05</f>
        <v>151248.82500000001</v>
      </c>
      <c r="F117" s="33">
        <f t="shared" si="6"/>
        <v>151248.82500000001</v>
      </c>
      <c r="G117" s="228"/>
    </row>
    <row r="118" spans="1:7" ht="27" customHeight="1">
      <c r="A118" s="220">
        <v>4</v>
      </c>
      <c r="B118" s="346" t="s">
        <v>157</v>
      </c>
      <c r="C118" s="275" t="s">
        <v>95</v>
      </c>
      <c r="D118" s="335">
        <v>1</v>
      </c>
      <c r="E118" s="276">
        <f>F112*0.01</f>
        <v>30249.764999999999</v>
      </c>
      <c r="F118" s="35">
        <f>E118*D118</f>
        <v>30249.764999999999</v>
      </c>
      <c r="G118" s="277">
        <f>F118/$B$5</f>
        <v>428.7705882352941</v>
      </c>
    </row>
    <row r="119" spans="1:7" ht="27" customHeight="1">
      <c r="A119" s="220">
        <v>5</v>
      </c>
      <c r="B119" s="346" t="s">
        <v>152</v>
      </c>
      <c r="C119" s="275" t="str">
        <f>C118</f>
        <v>式</v>
      </c>
      <c r="D119" s="335">
        <v>1</v>
      </c>
      <c r="E119" s="276">
        <f>F112*0.02</f>
        <v>60499.53</v>
      </c>
      <c r="F119" s="35">
        <f>E119*D119</f>
        <v>60499.53</v>
      </c>
      <c r="G119" s="228"/>
    </row>
    <row r="120" spans="1:7" ht="20.100000000000001" customHeight="1">
      <c r="A120" s="278"/>
      <c r="B120" s="346"/>
      <c r="C120" s="275"/>
      <c r="D120" s="335"/>
      <c r="E120" s="276"/>
      <c r="F120" s="35"/>
      <c r="G120" s="228"/>
    </row>
    <row r="121" spans="1:7" s="198" customFormat="1" ht="27" customHeight="1" thickBot="1">
      <c r="A121" s="231"/>
      <c r="B121" s="269" t="s">
        <v>26</v>
      </c>
      <c r="C121" s="229"/>
      <c r="D121" s="271"/>
      <c r="E121" s="347"/>
      <c r="F121" s="273">
        <f>SUM(F115:F120)</f>
        <v>296447.69700000004</v>
      </c>
      <c r="G121" s="317">
        <f>F121/$B$5</f>
        <v>4201.9517647058829</v>
      </c>
    </row>
    <row r="122" spans="1:7" s="198" customFormat="1" ht="20.100000000000001" customHeight="1" thickBot="1">
      <c r="A122" s="403"/>
      <c r="B122" s="404"/>
      <c r="C122" s="348"/>
      <c r="D122" s="349"/>
      <c r="E122" s="350"/>
      <c r="F122" s="204"/>
      <c r="G122" s="205"/>
    </row>
    <row r="123" spans="1:7" s="198" customFormat="1" ht="27" customHeight="1">
      <c r="A123" s="351"/>
      <c r="B123" s="352" t="s">
        <v>34</v>
      </c>
      <c r="C123" s="353"/>
      <c r="D123" s="354"/>
      <c r="E123" s="355"/>
      <c r="F123" s="356">
        <f>F112+F121</f>
        <v>3321424.1970000002</v>
      </c>
      <c r="G123" s="357"/>
    </row>
    <row r="124" spans="1:7" s="198" customFormat="1" ht="27" customHeight="1">
      <c r="A124" s="358"/>
      <c r="B124" s="359" t="s">
        <v>35</v>
      </c>
      <c r="C124" s="360"/>
      <c r="D124" s="361"/>
      <c r="E124" s="362"/>
      <c r="F124" s="363">
        <f>F123/$B$5</f>
        <v>47079.010588235302</v>
      </c>
      <c r="G124" s="228"/>
    </row>
    <row r="125" spans="1:7" s="198" customFormat="1" ht="27" customHeight="1" thickBot="1">
      <c r="A125" s="364"/>
      <c r="B125" s="365" t="s">
        <v>36</v>
      </c>
      <c r="C125" s="366"/>
      <c r="D125" s="367"/>
      <c r="E125" s="368"/>
      <c r="F125" s="369">
        <f>F123*1.05</f>
        <v>3487495.4068500004</v>
      </c>
      <c r="G125" s="370"/>
    </row>
    <row r="126" spans="1:7" s="198" customFormat="1" ht="17.25" customHeight="1">
      <c r="B126" s="196"/>
      <c r="C126" s="196"/>
      <c r="D126" s="322"/>
      <c r="E126" s="323"/>
      <c r="F126" s="191"/>
      <c r="G126" s="196"/>
    </row>
    <row r="127" spans="1:7" s="198" customFormat="1" ht="17.25" customHeight="1">
      <c r="A127" s="191" t="s">
        <v>303</v>
      </c>
      <c r="B127" s="325"/>
      <c r="C127" s="324" t="s">
        <v>138</v>
      </c>
      <c r="D127" s="326"/>
      <c r="E127" s="327"/>
      <c r="F127" s="324" t="s">
        <v>139</v>
      </c>
      <c r="G127" s="193"/>
    </row>
    <row r="128" spans="1:7" s="198" customFormat="1" ht="17.25" customHeight="1">
      <c r="B128" s="325"/>
      <c r="C128" s="193"/>
      <c r="D128" s="326"/>
      <c r="E128" s="327"/>
      <c r="F128" s="324"/>
      <c r="G128" s="196"/>
    </row>
    <row r="129" spans="1:7" s="198" customFormat="1" ht="17.25" customHeight="1">
      <c r="B129" s="325"/>
      <c r="C129" s="328"/>
      <c r="D129" s="329"/>
      <c r="E129" s="327"/>
      <c r="F129" s="324"/>
      <c r="G129" s="196"/>
    </row>
    <row r="130" spans="1:7" s="198" customFormat="1" ht="17.25" customHeight="1">
      <c r="A130" s="324" t="s">
        <v>137</v>
      </c>
      <c r="B130" s="193"/>
      <c r="C130" s="324" t="s">
        <v>144</v>
      </c>
      <c r="D130" s="325"/>
      <c r="E130" s="323"/>
      <c r="F130" s="191" t="s">
        <v>141</v>
      </c>
      <c r="G130" s="191"/>
    </row>
    <row r="131" spans="1:7" s="198" customFormat="1" ht="17.25" customHeight="1">
      <c r="A131" s="184"/>
      <c r="B131" s="196"/>
      <c r="C131" s="196"/>
      <c r="D131" s="322"/>
      <c r="E131" s="323"/>
      <c r="F131" s="191"/>
      <c r="G131" s="196"/>
    </row>
    <row r="132" spans="1:7" s="198" customFormat="1" ht="17.25" customHeight="1">
      <c r="A132" s="184"/>
      <c r="B132" s="196"/>
      <c r="C132" s="196"/>
      <c r="D132" s="322"/>
      <c r="E132" s="323"/>
      <c r="F132" s="191"/>
      <c r="G132" s="196"/>
    </row>
    <row r="133" spans="1:7" s="198" customFormat="1" ht="17.25" customHeight="1">
      <c r="A133" s="324" t="s">
        <v>140</v>
      </c>
      <c r="B133" s="196"/>
      <c r="C133" s="400" t="s">
        <v>142</v>
      </c>
      <c r="D133" s="400"/>
      <c r="E133" s="323"/>
      <c r="F133" s="401" t="s">
        <v>38</v>
      </c>
      <c r="G133" s="196"/>
    </row>
    <row r="134" spans="1:7" s="198" customFormat="1" ht="17.25" customHeight="1">
      <c r="A134" s="324"/>
      <c r="B134" s="196"/>
      <c r="C134" s="196"/>
      <c r="D134" s="322"/>
      <c r="E134" s="323"/>
      <c r="F134" s="401"/>
      <c r="G134" s="196"/>
    </row>
  </sheetData>
  <dataConsolidate/>
  <mergeCells count="14">
    <mergeCell ref="A122:B122"/>
    <mergeCell ref="C68:C75"/>
    <mergeCell ref="D68:D75"/>
    <mergeCell ref="E68:E75"/>
    <mergeCell ref="F68:F75"/>
    <mergeCell ref="C133:D133"/>
    <mergeCell ref="F133:F134"/>
    <mergeCell ref="A1:B1"/>
    <mergeCell ref="C62:C64"/>
    <mergeCell ref="D62:D64"/>
    <mergeCell ref="E62:E64"/>
    <mergeCell ref="F62:F64"/>
    <mergeCell ref="B4:D4"/>
    <mergeCell ref="G62:G64"/>
  </mergeCells>
  <phoneticPr fontId="7" type="noConversion"/>
  <printOptions horizontalCentered="1"/>
  <pageMargins left="0.11811023622047245" right="0.11811023622047245" top="0" bottom="0.19685039370078741" header="0.31496062992125984" footer="0.31496062992125984"/>
  <pageSetup paperSize="9" scale="54" fitToHeight="0" orientation="portrait" r:id="rId1"/>
  <rowBreaks count="1" manualBreakCount="1">
    <brk id="66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成本分析表</vt:lpstr>
      <vt:lpstr>報價單</vt:lpstr>
      <vt:lpstr>工程預算書</vt:lpstr>
      <vt:lpstr>工程預算書!Print_Area</vt:lpstr>
      <vt:lpstr>成本分析表!Print_Area</vt:lpstr>
      <vt:lpstr>報價單!Print_Area</vt:lpstr>
      <vt:lpstr>工程預算書!Print_Titles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2026-03-09T01:09:00Z</cp:lastPrinted>
  <dcterms:created xsi:type="dcterms:W3CDTF">2025-09-08T08:55:37Z</dcterms:created>
  <dcterms:modified xsi:type="dcterms:W3CDTF">2026-06-11T05:01:32Z</dcterms:modified>
</cp:coreProperties>
</file>