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1"/>
  </bookViews>
  <sheets>
    <sheet name="Summary" sheetId="1" r:id="rId1"/>
    <sheet name="RecAndNonRecCosts" sheetId="4" r:id="rId2"/>
    <sheet name="Hoja2" sheetId="2" r:id="rId3"/>
    <sheet name="Hoja3" sheetId="3" r:id="rId4"/>
  </sheets>
  <calcPr calcId="125725"/>
</workbook>
</file>

<file path=xl/calcChain.xml><?xml version="1.0" encoding="utf-8"?>
<calcChain xmlns="http://schemas.openxmlformats.org/spreadsheetml/2006/main">
  <c r="G42" i="4"/>
  <c r="H42"/>
  <c r="G40"/>
  <c r="G33"/>
  <c r="G38"/>
  <c r="G36"/>
  <c r="G34"/>
  <c r="G32"/>
  <c r="G31"/>
  <c r="G28"/>
  <c r="G27"/>
  <c r="G26"/>
  <c r="G25"/>
  <c r="G22"/>
  <c r="G21"/>
  <c r="G20"/>
  <c r="G19"/>
  <c r="G18"/>
  <c r="G17"/>
  <c r="G16"/>
  <c r="G13"/>
  <c r="G12"/>
  <c r="G9"/>
  <c r="G8"/>
  <c r="F7"/>
  <c r="I7" s="1"/>
  <c r="I8"/>
  <c r="I9"/>
  <c r="I10"/>
  <c r="I11"/>
  <c r="I12"/>
  <c r="I13"/>
  <c r="I14"/>
  <c r="I15"/>
  <c r="I16"/>
  <c r="I17"/>
  <c r="I18"/>
  <c r="I19"/>
  <c r="I20"/>
  <c r="I21"/>
  <c r="I22"/>
  <c r="I25"/>
  <c r="I26"/>
  <c r="I27"/>
  <c r="I28"/>
  <c r="I31"/>
  <c r="I32"/>
  <c r="I34"/>
  <c r="I35"/>
  <c r="I36"/>
  <c r="I37"/>
  <c r="I38"/>
  <c r="I6"/>
  <c r="F6"/>
  <c r="I5"/>
  <c r="H6"/>
  <c r="H7"/>
  <c r="H8"/>
  <c r="H9"/>
  <c r="H10"/>
  <c r="H11"/>
  <c r="H12"/>
  <c r="H13"/>
  <c r="H14"/>
  <c r="H15"/>
  <c r="H16"/>
  <c r="H17"/>
  <c r="H18"/>
  <c r="H19"/>
  <c r="H20"/>
  <c r="H21"/>
  <c r="H22"/>
  <c r="H25"/>
  <c r="H26"/>
  <c r="H27"/>
  <c r="H28"/>
  <c r="H31"/>
  <c r="H32"/>
  <c r="H34"/>
  <c r="H35"/>
  <c r="H36"/>
  <c r="H37"/>
  <c r="H38"/>
  <c r="H5"/>
  <c r="D38"/>
  <c r="D36"/>
  <c r="D34"/>
  <c r="D32"/>
  <c r="D31"/>
  <c r="D42" s="1"/>
  <c r="D28"/>
  <c r="D27"/>
  <c r="D26"/>
  <c r="D25"/>
  <c r="B22"/>
  <c r="D22" s="1"/>
  <c r="D21"/>
  <c r="D20"/>
  <c r="D19"/>
  <c r="D18"/>
  <c r="B17"/>
  <c r="D17" s="1"/>
  <c r="D16"/>
  <c r="B13"/>
  <c r="D13" s="1"/>
  <c r="B12"/>
  <c r="D12" s="1"/>
  <c r="B9"/>
  <c r="D9" s="1"/>
  <c r="B8"/>
  <c r="D8" s="1"/>
  <c r="B7"/>
  <c r="D7" s="1"/>
  <c r="B6"/>
  <c r="D6" s="1"/>
  <c r="B5"/>
  <c r="D5" s="1"/>
  <c r="B46" i="1"/>
  <c r="D46" s="1"/>
  <c r="D66"/>
  <c r="B41"/>
  <c r="B37"/>
  <c r="B36"/>
  <c r="B33"/>
  <c r="B32"/>
  <c r="B31"/>
  <c r="B30"/>
  <c r="B29"/>
  <c r="D29" s="1"/>
  <c r="C9"/>
  <c r="C8"/>
  <c r="B9"/>
  <c r="D30"/>
  <c r="D62"/>
  <c r="D60"/>
  <c r="D58"/>
  <c r="D56"/>
  <c r="D55"/>
  <c r="D52"/>
  <c r="D51"/>
  <c r="D50"/>
  <c r="D49"/>
  <c r="D45"/>
  <c r="D44"/>
  <c r="D43"/>
  <c r="D42"/>
  <c r="D40"/>
  <c r="D31"/>
  <c r="C21"/>
  <c r="D8"/>
  <c r="C10"/>
  <c r="C24" s="1"/>
  <c r="D9"/>
  <c r="D32"/>
  <c r="D33"/>
  <c r="D37"/>
  <c r="D36"/>
  <c r="H51"/>
  <c r="H52" s="1"/>
  <c r="J30"/>
  <c r="I30"/>
  <c r="F30"/>
  <c r="D40" i="4" l="1"/>
  <c r="B10" i="1"/>
  <c r="D10" s="1"/>
  <c r="F48"/>
  <c r="D41" l="1"/>
  <c r="D64" s="1"/>
  <c r="B20" s="1"/>
  <c r="D20" l="1"/>
  <c r="D21" s="1"/>
  <c r="D24" s="1"/>
  <c r="B21" l="1"/>
  <c r="B24" s="1"/>
</calcChain>
</file>

<file path=xl/sharedStrings.xml><?xml version="1.0" encoding="utf-8"?>
<sst xmlns="http://schemas.openxmlformats.org/spreadsheetml/2006/main" count="165" uniqueCount="88">
  <si>
    <t>Ayudantes o Tesistas</t>
  </si>
  <si>
    <t>Personal técnico o administrivos</t>
  </si>
  <si>
    <t>Pasajes</t>
  </si>
  <si>
    <t>Viáticos</t>
  </si>
  <si>
    <t>SUB TOTAL</t>
  </si>
  <si>
    <t>M$ año 1</t>
  </si>
  <si>
    <t>M$ total</t>
  </si>
  <si>
    <t>M$ año 2</t>
  </si>
  <si>
    <t>Material bibliographico</t>
  </si>
  <si>
    <t>Materiales de laboratorio</t>
  </si>
  <si>
    <t>Bienes fungibles</t>
  </si>
  <si>
    <t>Pagos de servicios externos</t>
  </si>
  <si>
    <t>Especificar</t>
  </si>
  <si>
    <t>TOTAL</t>
  </si>
  <si>
    <t>A. Horarios</t>
  </si>
  <si>
    <t>B. Pasajes y Viáticos</t>
  </si>
  <si>
    <t>C. Gastos de Operación</t>
  </si>
  <si>
    <t>D. Bienes de Capital</t>
  </si>
  <si>
    <t>(A + B + C + D)</t>
  </si>
  <si>
    <t>Environmental Sensing</t>
  </si>
  <si>
    <t>Data Acquisition</t>
  </si>
  <si>
    <t>Collector Monitoring</t>
  </si>
  <si>
    <t>Camera</t>
  </si>
  <si>
    <t>Quantity</t>
  </si>
  <si>
    <t>Power System</t>
  </si>
  <si>
    <t>Solar Panel</t>
  </si>
  <si>
    <t>Battery Charge Controller</t>
  </si>
  <si>
    <t>Battery</t>
  </si>
  <si>
    <t>Probe Tower</t>
  </si>
  <si>
    <t>Tubing</t>
  </si>
  <si>
    <t>Cable</t>
  </si>
  <si>
    <t>Cement</t>
  </si>
  <si>
    <t>Hardware</t>
  </si>
  <si>
    <t>Basis of Estimate</t>
  </si>
  <si>
    <t>Flow meter (Tipping Bucket Rain Gauge)</t>
  </si>
  <si>
    <t>Humidity sensor (Humidity/Temperature Sensor with USB Connection)</t>
  </si>
  <si>
    <t>Barometric pressure sensor (0 - 5 V)</t>
  </si>
  <si>
    <t>Total</t>
  </si>
  <si>
    <t>Sodimac: Perfil tubular redondo 1 1/2 pulgada x 2 mm x 6 m</t>
  </si>
  <si>
    <t xml:space="preserve">Sodimac: Alambre galvanizado multiuso Displays #18 20 m, Inchalam </t>
  </si>
  <si>
    <t>Optical Fog Detector</t>
  </si>
  <si>
    <t>PCB layout, PCBs, and electronics components (LEDs, phototransistors, resistors, etc.)</t>
  </si>
  <si>
    <t>Lightning protection</t>
  </si>
  <si>
    <t>Other options Young Model 61302V ($US 622)</t>
  </si>
  <si>
    <t>Power (W)</t>
  </si>
  <si>
    <t>Wind vane anemometer</t>
  </si>
  <si>
    <t>Small</t>
  </si>
  <si>
    <t>Estimate for USB load</t>
  </si>
  <si>
    <t>Cellular telephone service</t>
  </si>
  <si>
    <t>Ethernet interface</t>
  </si>
  <si>
    <t>Arduino Mega 2560
 (includes 54 digital I/O, 16 analog inputs and a USB interface)</t>
  </si>
  <si>
    <t>Sparkfun.com Arduino microSD Shield</t>
  </si>
  <si>
    <t xml:space="preserve">Arduino Ethernet Shield </t>
  </si>
  <si>
    <t>Analog input card</t>
  </si>
  <si>
    <t>Central computer</t>
  </si>
  <si>
    <t>Spreadtrum Cellular Shield with SM5100B</t>
  </si>
  <si>
    <t>Cellular telephone interface</t>
  </si>
  <si>
    <t>SD card interface (data logger)</t>
  </si>
  <si>
    <t>LWC probe with thermistor and electronics</t>
  </si>
  <si>
    <t>Panel solar fotovoltaico 115W monocristalino, para baterías de 12V</t>
  </si>
  <si>
    <t xml:space="preserve">Batería 12V 100Ah Curtiss CT121000 AGM Ciclo Profundo </t>
  </si>
  <si>
    <t xml:space="preserve">Victron Cargador de Baterías Blue Power Charger 12/7 IP20 12V 7A </t>
  </si>
  <si>
    <t>Miscellaneous</t>
  </si>
  <si>
    <t>Cables, SD cards, connectors</t>
  </si>
  <si>
    <t>Power cables, connectors, and mounting hardware</t>
  </si>
  <si>
    <t>Electronics Enclosure</t>
  </si>
  <si>
    <t>Sodimac: Hormigon Rapido, $1,990 pesos per 35 kg</t>
  </si>
  <si>
    <t>Sodimac: Tableros sobrepuestos</t>
  </si>
  <si>
    <t>Young  Model 52203 (unheated) with factor of 1.5 for IVA, shipping, and potential changes in currency exchange</t>
  </si>
  <si>
    <t>Panasonic BB-HCM531A Outdoor Pan/Tilt PoE Security Network Camera  with factor of 1.5 for IVA, shipping, and potential changes in currency exchange</t>
  </si>
  <si>
    <t>Omega Part number PX2760-600A5V  with factor of 1.5 for IVA, shipping, and potential changes in currency exchange</t>
  </si>
  <si>
    <t>Omega Part number RH-USB with factor of 1.5 for IVA, shipping, and potential changes in currency exchange</t>
  </si>
  <si>
    <t>Rod, post, wire</t>
  </si>
  <si>
    <t>Entel: Modem + monthly service</t>
  </si>
  <si>
    <t>Component</t>
  </si>
  <si>
    <t>Mayhew Labs Mux Shield (48 analog inputs)   with factor of 1.5 for IVA, shipping, and potential changes in currency exchange</t>
  </si>
  <si>
    <t>Fittings, connectors</t>
  </si>
  <si>
    <t>Unit Cost (M$)</t>
  </si>
  <si>
    <t>Total Cost (M$)</t>
  </si>
  <si>
    <t>Estimate from DICTUC for final electronics design, PCB layout, PCBs, and electronics components, nonrecurring costs were averaged and included per unit</t>
  </si>
  <si>
    <t>Metal, generator, bearings, machining, nonrecurring costs were averaged and included per unit</t>
  </si>
  <si>
    <t>Units</t>
  </si>
  <si>
    <t>Non-recurring costs (M$)</t>
  </si>
  <si>
    <t>Recurring costs per unit (M$)</t>
  </si>
  <si>
    <t>Total cost (M$)</t>
  </si>
  <si>
    <t>Total PS</t>
  </si>
  <si>
    <t>Total system</t>
  </si>
  <si>
    <t>One of each without the probe tower</t>
  </si>
</sst>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&quot;$&quot;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1" fontId="1" fillId="0" borderId="0" xfId="0" applyNumberFormat="1" applyFont="1"/>
    <xf numFmtId="1" fontId="0" fillId="0" borderId="0" xfId="0" applyNumberFormat="1"/>
    <xf numFmtId="1" fontId="1" fillId="0" borderId="0" xfId="0" applyNumberFormat="1" applyFont="1" applyAlignment="1">
      <alignment wrapText="1"/>
    </xf>
    <xf numFmtId="165" fontId="0" fillId="0" borderId="0" xfId="0" applyNumberFormat="1"/>
    <xf numFmtId="165" fontId="1" fillId="0" borderId="0" xfId="0" applyNumberFormat="1" applyFont="1" applyAlignment="1">
      <alignment wrapText="1"/>
    </xf>
    <xf numFmtId="165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66"/>
  <sheetViews>
    <sheetView topLeftCell="A9" workbookViewId="0">
      <selection activeCell="B47" sqref="B47"/>
    </sheetView>
  </sheetViews>
  <sheetFormatPr baseColWidth="10" defaultColWidth="11.42578125" defaultRowHeight="15"/>
  <cols>
    <col min="1" max="1" width="30" style="2" customWidth="1"/>
    <col min="2" max="2" width="11.85546875" bestFit="1" customWidth="1"/>
    <col min="3" max="3" width="11.42578125" style="9"/>
    <col min="4" max="4" width="11.85546875" bestFit="1" customWidth="1"/>
    <col min="5" max="5" width="41.42578125" customWidth="1"/>
    <col min="6" max="6" width="41.140625" style="2" customWidth="1"/>
    <col min="7" max="7" width="17.5703125" customWidth="1"/>
    <col min="10" max="10" width="23.140625" style="7" customWidth="1"/>
  </cols>
  <sheetData>
    <row r="2" spans="1:10" s="1" customFormat="1">
      <c r="A2" s="3" t="s">
        <v>14</v>
      </c>
      <c r="B2" s="1" t="s">
        <v>5</v>
      </c>
      <c r="C2" s="8" t="s">
        <v>7</v>
      </c>
      <c r="D2" s="1" t="s">
        <v>6</v>
      </c>
      <c r="F2" s="3"/>
      <c r="J2" s="6"/>
    </row>
    <row r="3" spans="1:10">
      <c r="A3" s="2" t="s">
        <v>0</v>
      </c>
      <c r="B3">
        <v>1000</v>
      </c>
      <c r="C3" s="9">
        <v>0</v>
      </c>
      <c r="D3">
        <v>1000</v>
      </c>
    </row>
    <row r="4" spans="1:10">
      <c r="A4" s="2" t="s">
        <v>1</v>
      </c>
      <c r="B4">
        <v>0</v>
      </c>
      <c r="C4" s="9">
        <v>0</v>
      </c>
    </row>
    <row r="5" spans="1:10">
      <c r="A5" s="2" t="s">
        <v>4</v>
      </c>
      <c r="B5">
        <v>1000</v>
      </c>
      <c r="D5">
        <v>1000</v>
      </c>
    </row>
    <row r="7" spans="1:10" s="1" customFormat="1">
      <c r="A7" s="3" t="s">
        <v>15</v>
      </c>
      <c r="B7" s="1" t="s">
        <v>5</v>
      </c>
      <c r="C7" s="8" t="s">
        <v>7</v>
      </c>
      <c r="D7" s="1" t="s">
        <v>6</v>
      </c>
      <c r="F7" s="3"/>
      <c r="J7" s="6"/>
    </row>
    <row r="8" spans="1:10">
      <c r="A8" s="2" t="s">
        <v>2</v>
      </c>
      <c r="C8">
        <f>120*2*1.5</f>
        <v>360</v>
      </c>
      <c r="D8">
        <f>SUM(B8:C8)</f>
        <v>360</v>
      </c>
    </row>
    <row r="9" spans="1:10">
      <c r="A9" s="2" t="s">
        <v>3</v>
      </c>
      <c r="B9">
        <f>2*130*1.5</f>
        <v>390</v>
      </c>
      <c r="C9" s="9">
        <f>130*1.5+370*1.5+2*60*1.5</f>
        <v>930</v>
      </c>
      <c r="D9">
        <f t="shared" ref="D9:D10" si="0">SUM(B9:C9)</f>
        <v>1320</v>
      </c>
    </row>
    <row r="10" spans="1:10">
      <c r="A10" s="2" t="s">
        <v>4</v>
      </c>
      <c r="B10">
        <f>SUM(B8:B9)</f>
        <v>390</v>
      </c>
      <c r="C10">
        <f>SUM(C8:C9)</f>
        <v>1290</v>
      </c>
      <c r="D10">
        <f t="shared" si="0"/>
        <v>1680</v>
      </c>
    </row>
    <row r="12" spans="1:10" s="1" customFormat="1">
      <c r="A12" s="3" t="s">
        <v>16</v>
      </c>
      <c r="B12" s="1" t="s">
        <v>5</v>
      </c>
      <c r="C12" s="8" t="s">
        <v>7</v>
      </c>
      <c r="D12" s="1" t="s">
        <v>6</v>
      </c>
      <c r="F12" s="3"/>
      <c r="J12" s="6"/>
    </row>
    <row r="13" spans="1:10">
      <c r="A13" s="2" t="s">
        <v>8</v>
      </c>
      <c r="B13">
        <v>0</v>
      </c>
      <c r="C13" s="9">
        <v>0</v>
      </c>
      <c r="D13">
        <v>0</v>
      </c>
    </row>
    <row r="14" spans="1:10">
      <c r="A14" s="2" t="s">
        <v>9</v>
      </c>
      <c r="B14">
        <v>0</v>
      </c>
      <c r="C14" s="9">
        <v>0</v>
      </c>
      <c r="D14">
        <v>0</v>
      </c>
    </row>
    <row r="15" spans="1:10">
      <c r="A15" s="2" t="s">
        <v>10</v>
      </c>
      <c r="B15">
        <v>0</v>
      </c>
      <c r="C15" s="9">
        <v>0</v>
      </c>
      <c r="D15">
        <v>0</v>
      </c>
    </row>
    <row r="16" spans="1:10">
      <c r="A16" s="2" t="s">
        <v>11</v>
      </c>
      <c r="B16">
        <v>0</v>
      </c>
      <c r="C16" s="9">
        <v>0</v>
      </c>
      <c r="D16">
        <v>0</v>
      </c>
    </row>
    <row r="17" spans="1:10">
      <c r="A17" s="2" t="s">
        <v>4</v>
      </c>
      <c r="B17">
        <v>0</v>
      </c>
      <c r="C17" s="9">
        <v>0</v>
      </c>
      <c r="D17">
        <v>0</v>
      </c>
    </row>
    <row r="19" spans="1:10" s="1" customFormat="1">
      <c r="A19" s="3" t="s">
        <v>17</v>
      </c>
      <c r="B19" s="1" t="s">
        <v>5</v>
      </c>
      <c r="C19" s="8" t="s">
        <v>7</v>
      </c>
      <c r="D19" s="1" t="s">
        <v>6</v>
      </c>
      <c r="F19" s="3"/>
      <c r="J19" s="6"/>
    </row>
    <row r="20" spans="1:10">
      <c r="A20" s="2" t="s">
        <v>12</v>
      </c>
      <c r="B20" s="4">
        <f>D64</f>
        <v>5117.0249999999996</v>
      </c>
      <c r="C20" s="4">
        <v>0</v>
      </c>
      <c r="D20" s="4">
        <f>SUM(B20:C20)</f>
        <v>5117.0249999999996</v>
      </c>
    </row>
    <row r="21" spans="1:10">
      <c r="A21" s="2" t="s">
        <v>4</v>
      </c>
      <c r="B21" s="4">
        <f>B20</f>
        <v>5117.0249999999996</v>
      </c>
      <c r="C21" s="4">
        <f t="shared" ref="C21:D21" si="1">C20</f>
        <v>0</v>
      </c>
      <c r="D21" s="4">
        <f t="shared" si="1"/>
        <v>5117.0249999999996</v>
      </c>
    </row>
    <row r="23" spans="1:10" s="1" customFormat="1">
      <c r="A23" s="3" t="s">
        <v>18</v>
      </c>
      <c r="B23" s="1" t="s">
        <v>5</v>
      </c>
      <c r="C23" s="8" t="s">
        <v>7</v>
      </c>
      <c r="D23" s="1" t="s">
        <v>6</v>
      </c>
      <c r="F23" s="3"/>
      <c r="J23" s="6"/>
    </row>
    <row r="24" spans="1:10">
      <c r="A24" s="2" t="s">
        <v>13</v>
      </c>
      <c r="B24" s="9">
        <f>B5+B10+B17+B21</f>
        <v>6507.0249999999996</v>
      </c>
      <c r="C24" s="9">
        <f t="shared" ref="C24:D24" si="2">C5+C10+C17+C21</f>
        <v>1290</v>
      </c>
      <c r="D24" s="9">
        <f t="shared" si="2"/>
        <v>7797.0249999999996</v>
      </c>
    </row>
    <row r="27" spans="1:10" s="3" customFormat="1" ht="30">
      <c r="A27" s="3" t="s">
        <v>74</v>
      </c>
      <c r="B27" s="10" t="s">
        <v>77</v>
      </c>
      <c r="C27" s="3" t="s">
        <v>23</v>
      </c>
      <c r="D27" s="3" t="s">
        <v>78</v>
      </c>
      <c r="E27" s="3" t="s">
        <v>33</v>
      </c>
      <c r="F27" s="3" t="s">
        <v>44</v>
      </c>
      <c r="I27" s="6"/>
    </row>
    <row r="28" spans="1:10">
      <c r="A28" s="3" t="s">
        <v>19</v>
      </c>
      <c r="B28" s="9"/>
      <c r="C28"/>
      <c r="E28" s="2"/>
      <c r="F28"/>
      <c r="I28" s="7"/>
      <c r="J28"/>
    </row>
    <row r="29" spans="1:10" ht="45">
      <c r="A29" s="2" t="s">
        <v>40</v>
      </c>
      <c r="B29" s="9">
        <f>(20000+250000/C29)/1000</f>
        <v>270</v>
      </c>
      <c r="C29">
        <v>1</v>
      </c>
      <c r="D29" s="4">
        <f>C29*B29</f>
        <v>270</v>
      </c>
      <c r="E29" s="2" t="s">
        <v>41</v>
      </c>
      <c r="F29" t="s">
        <v>46</v>
      </c>
      <c r="I29" s="7"/>
      <c r="J29"/>
    </row>
    <row r="30" spans="1:10" ht="60">
      <c r="A30" s="2" t="s">
        <v>58</v>
      </c>
      <c r="B30" s="9">
        <f>(60000+500000/C30)/1000</f>
        <v>131.42857142857142</v>
      </c>
      <c r="C30">
        <v>7</v>
      </c>
      <c r="D30" s="4">
        <f>C30*B30</f>
        <v>919.99999999999989</v>
      </c>
      <c r="E30" s="2" t="s">
        <v>79</v>
      </c>
      <c r="F30">
        <f>15*7</f>
        <v>105</v>
      </c>
      <c r="I30" s="7">
        <f>60*24*42</f>
        <v>60480</v>
      </c>
      <c r="J30">
        <f>2000/120</f>
        <v>16.666666666666668</v>
      </c>
    </row>
    <row r="31" spans="1:10" ht="45">
      <c r="A31" s="2" t="s">
        <v>45</v>
      </c>
      <c r="B31" s="9">
        <f>(50000+500000/C31)/1000</f>
        <v>121.42857142857143</v>
      </c>
      <c r="C31">
        <v>7</v>
      </c>
      <c r="D31" s="4">
        <f>C31*B31</f>
        <v>850</v>
      </c>
      <c r="E31" s="2" t="s">
        <v>80</v>
      </c>
      <c r="F31">
        <v>0.5</v>
      </c>
      <c r="I31" s="7"/>
      <c r="J31"/>
    </row>
    <row r="32" spans="1:10" ht="45">
      <c r="A32" s="2" t="s">
        <v>35</v>
      </c>
      <c r="B32" s="9">
        <f>(145*470*1.5)/1000</f>
        <v>102.22499999999999</v>
      </c>
      <c r="C32">
        <v>1</v>
      </c>
      <c r="D32" s="4">
        <f>C32*B32</f>
        <v>102.22499999999999</v>
      </c>
      <c r="E32" s="2" t="s">
        <v>71</v>
      </c>
      <c r="F32">
        <v>1</v>
      </c>
      <c r="G32" t="s">
        <v>47</v>
      </c>
      <c r="I32" s="7"/>
      <c r="J32"/>
    </row>
    <row r="33" spans="1:10" ht="45">
      <c r="A33" s="2" t="s">
        <v>36</v>
      </c>
      <c r="B33" s="9">
        <f>(395*470*1.5)/1000</f>
        <v>278.47500000000002</v>
      </c>
      <c r="C33">
        <v>1</v>
      </c>
      <c r="D33" s="4">
        <f>C33*B33</f>
        <v>278.47500000000002</v>
      </c>
      <c r="E33" s="2" t="s">
        <v>70</v>
      </c>
      <c r="F33">
        <v>0.2</v>
      </c>
      <c r="G33" t="s">
        <v>43</v>
      </c>
      <c r="I33" s="7"/>
      <c r="J33"/>
    </row>
    <row r="34" spans="1:10">
      <c r="B34" s="9"/>
      <c r="C34"/>
      <c r="D34" s="4"/>
      <c r="E34" s="2"/>
      <c r="F34"/>
      <c r="I34" s="7"/>
      <c r="J34"/>
    </row>
    <row r="35" spans="1:10">
      <c r="A35" s="3" t="s">
        <v>21</v>
      </c>
      <c r="B35" s="9"/>
      <c r="C35"/>
      <c r="D35" s="4"/>
      <c r="E35" s="2"/>
      <c r="F35"/>
      <c r="I35" s="7"/>
      <c r="J35"/>
    </row>
    <row r="36" spans="1:10" ht="45">
      <c r="A36" s="2" t="s">
        <v>34</v>
      </c>
      <c r="B36" s="9">
        <f>(466*470*1.5)/1000</f>
        <v>328.53</v>
      </c>
      <c r="C36">
        <v>1</v>
      </c>
      <c r="D36" s="4">
        <f>C36*B36</f>
        <v>328.53</v>
      </c>
      <c r="E36" s="2" t="s">
        <v>68</v>
      </c>
      <c r="F36" t="s">
        <v>46</v>
      </c>
      <c r="I36" s="7"/>
      <c r="J36"/>
    </row>
    <row r="37" spans="1:10" ht="60">
      <c r="A37" s="2" t="s">
        <v>22</v>
      </c>
      <c r="B37" s="9">
        <f>(533*470*1.5)/1000</f>
        <v>375.76499999999999</v>
      </c>
      <c r="C37">
        <v>1</v>
      </c>
      <c r="D37" s="4">
        <f>C37*B37</f>
        <v>375.76499999999999</v>
      </c>
      <c r="E37" s="2" t="s">
        <v>69</v>
      </c>
      <c r="F37">
        <v>8</v>
      </c>
      <c r="I37" s="7"/>
      <c r="J37"/>
    </row>
    <row r="38" spans="1:10">
      <c r="B38" s="9"/>
      <c r="C38"/>
      <c r="D38" s="4"/>
      <c r="E38" s="2"/>
      <c r="F38"/>
      <c r="I38" s="7"/>
      <c r="J38"/>
    </row>
    <row r="39" spans="1:10">
      <c r="A39" s="3" t="s">
        <v>20</v>
      </c>
      <c r="B39" s="9"/>
      <c r="C39"/>
      <c r="D39" s="4"/>
      <c r="E39" s="2"/>
      <c r="F39"/>
      <c r="I39" s="7"/>
      <c r="J39"/>
    </row>
    <row r="40" spans="1:10" ht="45">
      <c r="A40" s="2" t="s">
        <v>54</v>
      </c>
      <c r="B40" s="9">
        <v>47</v>
      </c>
      <c r="C40">
        <v>1</v>
      </c>
      <c r="D40" s="4">
        <f t="shared" ref="D40:D46" si="3">C40*B40</f>
        <v>47</v>
      </c>
      <c r="E40" s="2" t="s">
        <v>50</v>
      </c>
      <c r="F40">
        <v>1</v>
      </c>
      <c r="I40" s="7"/>
      <c r="J40"/>
    </row>
    <row r="41" spans="1:10" ht="45">
      <c r="A41" s="2" t="s">
        <v>53</v>
      </c>
      <c r="B41" s="9">
        <f>(25*470*1.5)/1000</f>
        <v>17.625</v>
      </c>
      <c r="C41">
        <v>2</v>
      </c>
      <c r="D41" s="4">
        <f t="shared" si="3"/>
        <v>35.25</v>
      </c>
      <c r="E41" s="2" t="s">
        <v>75</v>
      </c>
      <c r="F41">
        <v>1</v>
      </c>
      <c r="I41" s="7"/>
      <c r="J41"/>
    </row>
    <row r="42" spans="1:10">
      <c r="A42" s="2" t="s">
        <v>49</v>
      </c>
      <c r="B42" s="9">
        <v>31</v>
      </c>
      <c r="C42">
        <v>1</v>
      </c>
      <c r="D42" s="4">
        <f t="shared" si="3"/>
        <v>31</v>
      </c>
      <c r="E42" s="2" t="s">
        <v>52</v>
      </c>
      <c r="F42">
        <v>1</v>
      </c>
      <c r="I42" s="7"/>
      <c r="J42"/>
    </row>
    <row r="43" spans="1:10">
      <c r="A43" s="2" t="s">
        <v>56</v>
      </c>
      <c r="B43" s="9">
        <v>65</v>
      </c>
      <c r="C43">
        <v>1</v>
      </c>
      <c r="D43" s="4">
        <f t="shared" si="3"/>
        <v>65</v>
      </c>
      <c r="E43" s="2" t="s">
        <v>55</v>
      </c>
      <c r="F43">
        <v>2</v>
      </c>
      <c r="I43" s="7"/>
      <c r="J43"/>
    </row>
    <row r="44" spans="1:10">
      <c r="A44" s="2" t="s">
        <v>57</v>
      </c>
      <c r="B44" s="9">
        <v>10</v>
      </c>
      <c r="C44">
        <v>1</v>
      </c>
      <c r="D44" s="4">
        <f t="shared" si="3"/>
        <v>10</v>
      </c>
      <c r="E44" s="2" t="s">
        <v>51</v>
      </c>
      <c r="F44" t="s">
        <v>46</v>
      </c>
      <c r="I44" s="7"/>
      <c r="J44"/>
    </row>
    <row r="45" spans="1:10">
      <c r="A45" s="2" t="s">
        <v>62</v>
      </c>
      <c r="B45" s="9">
        <v>100</v>
      </c>
      <c r="C45">
        <v>1</v>
      </c>
      <c r="D45" s="4">
        <f t="shared" si="3"/>
        <v>100</v>
      </c>
      <c r="E45" s="2" t="s">
        <v>63</v>
      </c>
      <c r="F45"/>
      <c r="I45" s="7"/>
      <c r="J45"/>
    </row>
    <row r="46" spans="1:10">
      <c r="A46" s="2" t="s">
        <v>48</v>
      </c>
      <c r="B46" s="9">
        <f>(79990+39990*21)/1000</f>
        <v>919.78</v>
      </c>
      <c r="C46">
        <v>1</v>
      </c>
      <c r="D46" s="4">
        <f t="shared" si="3"/>
        <v>919.78</v>
      </c>
      <c r="E46" s="2" t="s">
        <v>73</v>
      </c>
      <c r="F46"/>
      <c r="I46" s="7"/>
      <c r="J46"/>
    </row>
    <row r="47" spans="1:10">
      <c r="B47" s="9"/>
      <c r="C47"/>
      <c r="D47" s="4"/>
      <c r="E47" s="2"/>
      <c r="F47"/>
      <c r="I47" s="7"/>
      <c r="J47"/>
    </row>
    <row r="48" spans="1:10">
      <c r="A48" s="3" t="s">
        <v>24</v>
      </c>
      <c r="B48" s="9"/>
      <c r="C48"/>
      <c r="D48" s="4"/>
      <c r="E48" s="2"/>
      <c r="F48">
        <f>SUM(F29:F46)</f>
        <v>119.7</v>
      </c>
      <c r="I48" s="7"/>
      <c r="J48"/>
    </row>
    <row r="49" spans="1:10" ht="30">
      <c r="A49" s="2" t="s">
        <v>25</v>
      </c>
      <c r="B49" s="9">
        <v>237</v>
      </c>
      <c r="C49">
        <v>1</v>
      </c>
      <c r="D49" s="4">
        <f>C49*B49</f>
        <v>237</v>
      </c>
      <c r="E49" s="2" t="s">
        <v>59</v>
      </c>
      <c r="F49"/>
      <c r="I49" s="7"/>
      <c r="J49"/>
    </row>
    <row r="50" spans="1:10" ht="30">
      <c r="A50" s="2" t="s">
        <v>26</v>
      </c>
      <c r="B50" s="9">
        <v>80</v>
      </c>
      <c r="C50">
        <v>1</v>
      </c>
      <c r="D50" s="4">
        <f>C50*B50</f>
        <v>80</v>
      </c>
      <c r="E50" s="2" t="s">
        <v>61</v>
      </c>
      <c r="F50"/>
      <c r="I50" s="7"/>
      <c r="J50"/>
    </row>
    <row r="51" spans="1:10" ht="30">
      <c r="A51" s="2" t="s">
        <v>27</v>
      </c>
      <c r="B51" s="9">
        <v>130</v>
      </c>
      <c r="C51">
        <v>1</v>
      </c>
      <c r="D51" s="4">
        <f>C51*B51</f>
        <v>130</v>
      </c>
      <c r="E51" s="2" t="s">
        <v>60</v>
      </c>
      <c r="F51"/>
      <c r="H51">
        <f>100/12</f>
        <v>8.3333333333333339</v>
      </c>
      <c r="I51" s="7"/>
      <c r="J51"/>
    </row>
    <row r="52" spans="1:10" ht="30">
      <c r="A52" s="2" t="s">
        <v>62</v>
      </c>
      <c r="B52" s="9">
        <v>50</v>
      </c>
      <c r="C52">
        <v>1</v>
      </c>
      <c r="D52" s="4">
        <f>C52*B52</f>
        <v>50</v>
      </c>
      <c r="E52" s="2" t="s">
        <v>64</v>
      </c>
      <c r="F52"/>
      <c r="H52">
        <f>H51*14</f>
        <v>116.66666666666667</v>
      </c>
      <c r="I52" s="7"/>
      <c r="J52"/>
    </row>
    <row r="53" spans="1:10">
      <c r="B53" s="9"/>
      <c r="C53"/>
      <c r="D53" s="4"/>
      <c r="E53" s="2"/>
      <c r="F53"/>
      <c r="I53" s="7"/>
      <c r="J53"/>
    </row>
    <row r="54" spans="1:10">
      <c r="A54" s="5" t="s">
        <v>28</v>
      </c>
      <c r="B54" s="9"/>
      <c r="C54"/>
      <c r="D54" s="4"/>
      <c r="E54" s="2"/>
      <c r="F54"/>
      <c r="I54" s="7"/>
      <c r="J54"/>
    </row>
    <row r="55" spans="1:10" ht="30">
      <c r="A55" s="2" t="s">
        <v>29</v>
      </c>
      <c r="B55" s="9">
        <v>12</v>
      </c>
      <c r="C55">
        <v>10</v>
      </c>
      <c r="D55" s="4">
        <f>C55*B55</f>
        <v>120</v>
      </c>
      <c r="E55" s="2" t="s">
        <v>38</v>
      </c>
      <c r="F55"/>
      <c r="I55" s="7"/>
      <c r="J55"/>
    </row>
    <row r="56" spans="1:10" ht="30">
      <c r="A56" s="2" t="s">
        <v>30</v>
      </c>
      <c r="B56" s="9">
        <v>1</v>
      </c>
      <c r="C56">
        <v>8</v>
      </c>
      <c r="D56" s="4">
        <f>C56*B56</f>
        <v>8</v>
      </c>
      <c r="E56" s="2" t="s">
        <v>39</v>
      </c>
      <c r="F56"/>
      <c r="I56" s="7"/>
      <c r="J56"/>
    </row>
    <row r="57" spans="1:10">
      <c r="A57" s="2" t="s">
        <v>32</v>
      </c>
      <c r="B57" s="9"/>
      <c r="C57"/>
      <c r="D57" s="4">
        <v>100</v>
      </c>
      <c r="E57" s="2" t="s">
        <v>76</v>
      </c>
      <c r="F57"/>
      <c r="I57" s="7"/>
      <c r="J57"/>
    </row>
    <row r="58" spans="1:10" ht="30">
      <c r="A58" s="2" t="s">
        <v>31</v>
      </c>
      <c r="B58" s="9">
        <v>2</v>
      </c>
      <c r="C58">
        <v>10</v>
      </c>
      <c r="D58" s="4">
        <f>C58*B58</f>
        <v>20</v>
      </c>
      <c r="E58" s="2" t="s">
        <v>66</v>
      </c>
      <c r="F58"/>
      <c r="I58" s="7"/>
      <c r="J58"/>
    </row>
    <row r="59" spans="1:10">
      <c r="B59" s="9"/>
      <c r="C59"/>
      <c r="D59" s="4"/>
      <c r="E59" s="2"/>
      <c r="F59"/>
      <c r="I59" s="7"/>
      <c r="J59"/>
    </row>
    <row r="60" spans="1:10">
      <c r="A60" s="5" t="s">
        <v>65</v>
      </c>
      <c r="B60" s="9">
        <v>9</v>
      </c>
      <c r="C60">
        <v>1</v>
      </c>
      <c r="D60" s="4">
        <f>C60*B60</f>
        <v>9</v>
      </c>
      <c r="E60" s="2" t="s">
        <v>67</v>
      </c>
      <c r="F60"/>
      <c r="I60" s="7"/>
      <c r="J60"/>
    </row>
    <row r="61" spans="1:10">
      <c r="A61" s="5"/>
      <c r="B61" s="9"/>
      <c r="C61"/>
      <c r="D61" s="4"/>
      <c r="E61" s="2"/>
      <c r="F61"/>
      <c r="I61" s="7"/>
      <c r="J61"/>
    </row>
    <row r="62" spans="1:10">
      <c r="A62" s="5" t="s">
        <v>42</v>
      </c>
      <c r="B62" s="9">
        <v>30</v>
      </c>
      <c r="C62">
        <v>1</v>
      </c>
      <c r="D62" s="4">
        <f>C62*B62</f>
        <v>30</v>
      </c>
      <c r="E62" s="2" t="s">
        <v>72</v>
      </c>
      <c r="F62"/>
      <c r="I62" s="7"/>
      <c r="J62"/>
    </row>
    <row r="63" spans="1:10">
      <c r="D63" s="4"/>
      <c r="E63" s="4"/>
    </row>
    <row r="64" spans="1:10">
      <c r="C64" s="4" t="s">
        <v>37</v>
      </c>
      <c r="D64" s="4">
        <f>SUM(D29:D63)</f>
        <v>5117.0249999999996</v>
      </c>
    </row>
    <row r="66" spans="4:4">
      <c r="D66" s="4">
        <f>SUM(D55:D58)</f>
        <v>248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I42"/>
  <sheetViews>
    <sheetView tabSelected="1" topLeftCell="A32" zoomScale="130" zoomScaleNormal="130" workbookViewId="0">
      <selection activeCell="G43" sqref="G43"/>
    </sheetView>
  </sheetViews>
  <sheetFormatPr baseColWidth="10" defaultColWidth="11.42578125" defaultRowHeight="15"/>
  <cols>
    <col min="1" max="1" width="30" style="2" customWidth="1"/>
    <col min="2" max="2" width="11.85546875" style="11" bestFit="1" customWidth="1"/>
    <col min="3" max="3" width="11.42578125" style="9"/>
    <col min="4" max="4" width="11.85546875" bestFit="1" customWidth="1"/>
    <col min="5" max="5" width="41.42578125" customWidth="1"/>
    <col min="6" max="7" width="11.42578125" style="11"/>
    <col min="9" max="9" width="11.42578125" style="11"/>
  </cols>
  <sheetData>
    <row r="3" spans="1:9" s="3" customFormat="1" ht="45">
      <c r="A3" s="3" t="s">
        <v>74</v>
      </c>
      <c r="B3" s="12" t="s">
        <v>77</v>
      </c>
      <c r="C3" s="3" t="s">
        <v>23</v>
      </c>
      <c r="D3" s="3" t="s">
        <v>78</v>
      </c>
      <c r="E3" s="3" t="s">
        <v>33</v>
      </c>
      <c r="F3" s="12" t="s">
        <v>82</v>
      </c>
      <c r="G3" s="12" t="s">
        <v>83</v>
      </c>
      <c r="H3" s="3" t="s">
        <v>81</v>
      </c>
      <c r="I3" s="12" t="s">
        <v>84</v>
      </c>
    </row>
    <row r="4" spans="1:9">
      <c r="A4" s="3" t="s">
        <v>19</v>
      </c>
      <c r="C4"/>
      <c r="E4" s="2"/>
    </row>
    <row r="5" spans="1:9" ht="45">
      <c r="A5" s="2" t="s">
        <v>40</v>
      </c>
      <c r="B5" s="11">
        <f>(20000+250000/C5)/1000</f>
        <v>270</v>
      </c>
      <c r="C5">
        <v>1</v>
      </c>
      <c r="D5" s="4">
        <f>C5*B5</f>
        <v>270</v>
      </c>
      <c r="E5" s="2" t="s">
        <v>41</v>
      </c>
      <c r="F5" s="11">
        <v>220</v>
      </c>
      <c r="G5" s="11">
        <v>50</v>
      </c>
      <c r="H5">
        <f>C5</f>
        <v>1</v>
      </c>
      <c r="I5" s="11">
        <f>F5+H5*G5</f>
        <v>270</v>
      </c>
    </row>
    <row r="6" spans="1:9" ht="60">
      <c r="A6" s="2" t="s">
        <v>58</v>
      </c>
      <c r="B6" s="11">
        <f>(60000+500000/C6)/1000</f>
        <v>131.42857142857142</v>
      </c>
      <c r="C6">
        <v>7</v>
      </c>
      <c r="D6" s="4">
        <f>C6*B6</f>
        <v>919.99999999999989</v>
      </c>
      <c r="E6" s="2" t="s">
        <v>79</v>
      </c>
      <c r="F6" s="11">
        <f>D6-H6*G6</f>
        <v>219.99999999999989</v>
      </c>
      <c r="G6" s="11">
        <v>100</v>
      </c>
      <c r="H6">
        <f t="shared" ref="H6:H38" si="0">C6</f>
        <v>7</v>
      </c>
      <c r="I6" s="11">
        <f>F6+H6*G6</f>
        <v>919.99999999999989</v>
      </c>
    </row>
    <row r="7" spans="1:9" ht="45">
      <c r="A7" s="2" t="s">
        <v>45</v>
      </c>
      <c r="B7" s="11">
        <f>(50000+500000/C7)/1000</f>
        <v>121.42857142857143</v>
      </c>
      <c r="C7">
        <v>7</v>
      </c>
      <c r="D7" s="4">
        <f>C7*B7</f>
        <v>850</v>
      </c>
      <c r="E7" s="2" t="s">
        <v>80</v>
      </c>
      <c r="F7" s="11">
        <f>D7-H7*G7</f>
        <v>150</v>
      </c>
      <c r="G7" s="11">
        <v>100</v>
      </c>
      <c r="H7">
        <f t="shared" si="0"/>
        <v>7</v>
      </c>
      <c r="I7" s="11">
        <f t="shared" ref="I7:I38" si="1">F7+H7*G7</f>
        <v>850</v>
      </c>
    </row>
    <row r="8" spans="1:9" ht="45">
      <c r="A8" s="2" t="s">
        <v>35</v>
      </c>
      <c r="B8" s="11">
        <f>(145*470*1.5)/1000</f>
        <v>102.22499999999999</v>
      </c>
      <c r="C8">
        <v>1</v>
      </c>
      <c r="D8" s="4">
        <f>C8*B8</f>
        <v>102.22499999999999</v>
      </c>
      <c r="E8" s="2" t="s">
        <v>71</v>
      </c>
      <c r="G8" s="11">
        <f>B8</f>
        <v>102.22499999999999</v>
      </c>
      <c r="H8">
        <f t="shared" si="0"/>
        <v>1</v>
      </c>
      <c r="I8" s="11">
        <f t="shared" si="1"/>
        <v>102.22499999999999</v>
      </c>
    </row>
    <row r="9" spans="1:9" ht="45">
      <c r="A9" s="2" t="s">
        <v>36</v>
      </c>
      <c r="B9" s="11">
        <f>(395*470*1.5)/1000</f>
        <v>278.47500000000002</v>
      </c>
      <c r="C9">
        <v>1</v>
      </c>
      <c r="D9" s="4">
        <f>C9*B9</f>
        <v>278.47500000000002</v>
      </c>
      <c r="E9" s="2" t="s">
        <v>70</v>
      </c>
      <c r="G9" s="11">
        <f>B9</f>
        <v>278.47500000000002</v>
      </c>
      <c r="H9">
        <f t="shared" si="0"/>
        <v>1</v>
      </c>
      <c r="I9" s="11">
        <f t="shared" si="1"/>
        <v>278.47500000000002</v>
      </c>
    </row>
    <row r="10" spans="1:9">
      <c r="C10"/>
      <c r="D10" s="4"/>
      <c r="E10" s="2"/>
      <c r="H10">
        <f t="shared" si="0"/>
        <v>0</v>
      </c>
      <c r="I10" s="11">
        <f t="shared" si="1"/>
        <v>0</v>
      </c>
    </row>
    <row r="11" spans="1:9">
      <c r="A11" s="3" t="s">
        <v>21</v>
      </c>
      <c r="C11"/>
      <c r="D11" s="4"/>
      <c r="E11" s="2"/>
      <c r="H11">
        <f t="shared" si="0"/>
        <v>0</v>
      </c>
      <c r="I11" s="11">
        <f t="shared" si="1"/>
        <v>0</v>
      </c>
    </row>
    <row r="12" spans="1:9" ht="45">
      <c r="A12" s="2" t="s">
        <v>34</v>
      </c>
      <c r="B12" s="11">
        <f>(466*470*1.5)/1000</f>
        <v>328.53</v>
      </c>
      <c r="C12">
        <v>1</v>
      </c>
      <c r="D12" s="4">
        <f>C12*B12</f>
        <v>328.53</v>
      </c>
      <c r="E12" s="2" t="s">
        <v>68</v>
      </c>
      <c r="G12" s="11">
        <f>B12</f>
        <v>328.53</v>
      </c>
      <c r="H12">
        <f t="shared" si="0"/>
        <v>1</v>
      </c>
      <c r="I12" s="11">
        <f t="shared" si="1"/>
        <v>328.53</v>
      </c>
    </row>
    <row r="13" spans="1:9" ht="60">
      <c r="A13" s="2" t="s">
        <v>22</v>
      </c>
      <c r="B13" s="11">
        <f>(533*470*1.5)/1000</f>
        <v>375.76499999999999</v>
      </c>
      <c r="C13">
        <v>1</v>
      </c>
      <c r="D13" s="4">
        <f>C13*B13</f>
        <v>375.76499999999999</v>
      </c>
      <c r="E13" s="2" t="s">
        <v>69</v>
      </c>
      <c r="G13" s="11">
        <f>B13</f>
        <v>375.76499999999999</v>
      </c>
      <c r="H13">
        <f t="shared" si="0"/>
        <v>1</v>
      </c>
      <c r="I13" s="11">
        <f t="shared" si="1"/>
        <v>375.76499999999999</v>
      </c>
    </row>
    <row r="14" spans="1:9">
      <c r="C14"/>
      <c r="D14" s="4"/>
      <c r="E14" s="2"/>
      <c r="H14">
        <f t="shared" si="0"/>
        <v>0</v>
      </c>
      <c r="I14" s="11">
        <f t="shared" si="1"/>
        <v>0</v>
      </c>
    </row>
    <row r="15" spans="1:9">
      <c r="A15" s="3" t="s">
        <v>20</v>
      </c>
      <c r="C15"/>
      <c r="D15" s="4"/>
      <c r="E15" s="2"/>
      <c r="H15">
        <f t="shared" si="0"/>
        <v>0</v>
      </c>
      <c r="I15" s="11">
        <f t="shared" si="1"/>
        <v>0</v>
      </c>
    </row>
    <row r="16" spans="1:9" ht="45">
      <c r="A16" s="2" t="s">
        <v>54</v>
      </c>
      <c r="B16" s="11">
        <v>47</v>
      </c>
      <c r="C16">
        <v>1</v>
      </c>
      <c r="D16" s="4">
        <f t="shared" ref="D16:D22" si="2">C16*B16</f>
        <v>47</v>
      </c>
      <c r="E16" s="2" t="s">
        <v>50</v>
      </c>
      <c r="G16" s="11">
        <f t="shared" ref="G16:G22" si="3">B16</f>
        <v>47</v>
      </c>
      <c r="H16">
        <f t="shared" si="0"/>
        <v>1</v>
      </c>
      <c r="I16" s="11">
        <f t="shared" si="1"/>
        <v>47</v>
      </c>
    </row>
    <row r="17" spans="1:9" ht="45">
      <c r="A17" s="2" t="s">
        <v>53</v>
      </c>
      <c r="B17" s="11">
        <f>(25*470*1.5)/1000</f>
        <v>17.625</v>
      </c>
      <c r="C17">
        <v>2</v>
      </c>
      <c r="D17" s="4">
        <f t="shared" si="2"/>
        <v>35.25</v>
      </c>
      <c r="E17" s="2" t="s">
        <v>75</v>
      </c>
      <c r="G17" s="11">
        <f t="shared" si="3"/>
        <v>17.625</v>
      </c>
      <c r="H17">
        <f t="shared" si="0"/>
        <v>2</v>
      </c>
      <c r="I17" s="11">
        <f t="shared" si="1"/>
        <v>35.25</v>
      </c>
    </row>
    <row r="18" spans="1:9">
      <c r="A18" s="2" t="s">
        <v>49</v>
      </c>
      <c r="B18" s="11">
        <v>31</v>
      </c>
      <c r="C18">
        <v>1</v>
      </c>
      <c r="D18" s="4">
        <f t="shared" si="2"/>
        <v>31</v>
      </c>
      <c r="E18" s="2" t="s">
        <v>52</v>
      </c>
      <c r="G18" s="11">
        <f t="shared" si="3"/>
        <v>31</v>
      </c>
      <c r="H18">
        <f t="shared" si="0"/>
        <v>1</v>
      </c>
      <c r="I18" s="11">
        <f t="shared" si="1"/>
        <v>31</v>
      </c>
    </row>
    <row r="19" spans="1:9">
      <c r="A19" s="2" t="s">
        <v>56</v>
      </c>
      <c r="B19" s="11">
        <v>65</v>
      </c>
      <c r="C19">
        <v>1</v>
      </c>
      <c r="D19" s="4">
        <f t="shared" si="2"/>
        <v>65</v>
      </c>
      <c r="E19" s="2" t="s">
        <v>55</v>
      </c>
      <c r="G19" s="11">
        <f t="shared" si="3"/>
        <v>65</v>
      </c>
      <c r="H19">
        <f t="shared" si="0"/>
        <v>1</v>
      </c>
      <c r="I19" s="11">
        <f t="shared" si="1"/>
        <v>65</v>
      </c>
    </row>
    <row r="20" spans="1:9">
      <c r="A20" s="2" t="s">
        <v>57</v>
      </c>
      <c r="B20" s="11">
        <v>10</v>
      </c>
      <c r="C20">
        <v>1</v>
      </c>
      <c r="D20" s="4">
        <f t="shared" si="2"/>
        <v>10</v>
      </c>
      <c r="E20" s="2" t="s">
        <v>51</v>
      </c>
      <c r="G20" s="11">
        <f t="shared" si="3"/>
        <v>10</v>
      </c>
      <c r="H20">
        <f t="shared" si="0"/>
        <v>1</v>
      </c>
      <c r="I20" s="11">
        <f t="shared" si="1"/>
        <v>10</v>
      </c>
    </row>
    <row r="21" spans="1:9">
      <c r="A21" s="2" t="s">
        <v>62</v>
      </c>
      <c r="B21" s="11">
        <v>100</v>
      </c>
      <c r="C21">
        <v>1</v>
      </c>
      <c r="D21" s="4">
        <f t="shared" si="2"/>
        <v>100</v>
      </c>
      <c r="E21" s="2" t="s">
        <v>63</v>
      </c>
      <c r="G21" s="11">
        <f t="shared" si="3"/>
        <v>100</v>
      </c>
      <c r="H21">
        <f t="shared" si="0"/>
        <v>1</v>
      </c>
      <c r="I21" s="11">
        <f t="shared" si="1"/>
        <v>100</v>
      </c>
    </row>
    <row r="22" spans="1:9">
      <c r="A22" s="2" t="s">
        <v>48</v>
      </c>
      <c r="B22" s="11">
        <f>(79990+39990*21)/1000</f>
        <v>919.78</v>
      </c>
      <c r="C22">
        <v>1</v>
      </c>
      <c r="D22" s="4">
        <f t="shared" si="2"/>
        <v>919.78</v>
      </c>
      <c r="E22" s="2" t="s">
        <v>73</v>
      </c>
      <c r="G22" s="11">
        <f t="shared" si="3"/>
        <v>919.78</v>
      </c>
      <c r="H22">
        <f t="shared" si="0"/>
        <v>1</v>
      </c>
      <c r="I22" s="11">
        <f t="shared" si="1"/>
        <v>919.78</v>
      </c>
    </row>
    <row r="23" spans="1:9">
      <c r="C23"/>
      <c r="D23" s="4"/>
      <c r="E23" s="2"/>
    </row>
    <row r="24" spans="1:9">
      <c r="A24" s="3" t="s">
        <v>24</v>
      </c>
      <c r="C24"/>
      <c r="D24" s="4"/>
      <c r="E24" s="2"/>
    </row>
    <row r="25" spans="1:9" ht="30">
      <c r="A25" s="2" t="s">
        <v>25</v>
      </c>
      <c r="B25" s="11">
        <v>237</v>
      </c>
      <c r="C25">
        <v>1</v>
      </c>
      <c r="D25" s="4">
        <f>C25*B25</f>
        <v>237</v>
      </c>
      <c r="E25" s="2" t="s">
        <v>59</v>
      </c>
      <c r="G25" s="11">
        <f>B25</f>
        <v>237</v>
      </c>
      <c r="H25">
        <f t="shared" si="0"/>
        <v>1</v>
      </c>
      <c r="I25" s="11">
        <f t="shared" si="1"/>
        <v>237</v>
      </c>
    </row>
    <row r="26" spans="1:9" ht="30">
      <c r="A26" s="2" t="s">
        <v>26</v>
      </c>
      <c r="B26" s="11">
        <v>80</v>
      </c>
      <c r="C26">
        <v>1</v>
      </c>
      <c r="D26" s="4">
        <f>C26*B26</f>
        <v>80</v>
      </c>
      <c r="E26" s="2" t="s">
        <v>61</v>
      </c>
      <c r="G26" s="11">
        <f>B26</f>
        <v>80</v>
      </c>
      <c r="H26">
        <f t="shared" si="0"/>
        <v>1</v>
      </c>
      <c r="I26" s="11">
        <f t="shared" si="1"/>
        <v>80</v>
      </c>
    </row>
    <row r="27" spans="1:9" ht="30">
      <c r="A27" s="2" t="s">
        <v>27</v>
      </c>
      <c r="B27" s="11">
        <v>130</v>
      </c>
      <c r="C27">
        <v>1</v>
      </c>
      <c r="D27" s="4">
        <f>C27*B27</f>
        <v>130</v>
      </c>
      <c r="E27" s="2" t="s">
        <v>60</v>
      </c>
      <c r="G27" s="11">
        <f>B27</f>
        <v>130</v>
      </c>
      <c r="H27">
        <f t="shared" si="0"/>
        <v>1</v>
      </c>
      <c r="I27" s="11">
        <f t="shared" si="1"/>
        <v>130</v>
      </c>
    </row>
    <row r="28" spans="1:9" ht="30">
      <c r="A28" s="2" t="s">
        <v>62</v>
      </c>
      <c r="B28" s="11">
        <v>50</v>
      </c>
      <c r="C28">
        <v>1</v>
      </c>
      <c r="D28" s="4">
        <f>C28*B28</f>
        <v>50</v>
      </c>
      <c r="E28" s="2" t="s">
        <v>64</v>
      </c>
      <c r="G28" s="11">
        <f>B28</f>
        <v>50</v>
      </c>
      <c r="H28">
        <f t="shared" si="0"/>
        <v>1</v>
      </c>
      <c r="I28" s="11">
        <f t="shared" si="1"/>
        <v>50</v>
      </c>
    </row>
    <row r="29" spans="1:9">
      <c r="C29"/>
      <c r="D29" s="4"/>
      <c r="E29" s="2"/>
    </row>
    <row r="30" spans="1:9">
      <c r="A30" s="5" t="s">
        <v>28</v>
      </c>
      <c r="C30"/>
      <c r="D30" s="4"/>
      <c r="E30" s="2"/>
    </row>
    <row r="31" spans="1:9" ht="30">
      <c r="A31" s="2" t="s">
        <v>29</v>
      </c>
      <c r="B31" s="11">
        <v>12</v>
      </c>
      <c r="C31">
        <v>10</v>
      </c>
      <c r="D31" s="4">
        <f>C31*B31</f>
        <v>120</v>
      </c>
      <c r="E31" s="2" t="s">
        <v>38</v>
      </c>
      <c r="G31" s="11">
        <f>B31</f>
        <v>12</v>
      </c>
      <c r="H31">
        <f t="shared" si="0"/>
        <v>10</v>
      </c>
      <c r="I31" s="11">
        <f t="shared" si="1"/>
        <v>120</v>
      </c>
    </row>
    <row r="32" spans="1:9" ht="30">
      <c r="A32" s="2" t="s">
        <v>30</v>
      </c>
      <c r="B32" s="11">
        <v>1</v>
      </c>
      <c r="C32">
        <v>8</v>
      </c>
      <c r="D32" s="4">
        <f>C32*B32</f>
        <v>8</v>
      </c>
      <c r="E32" s="2" t="s">
        <v>39</v>
      </c>
      <c r="G32" s="11">
        <f>B32</f>
        <v>1</v>
      </c>
      <c r="H32">
        <f t="shared" si="0"/>
        <v>8</v>
      </c>
      <c r="I32" s="11">
        <f t="shared" si="1"/>
        <v>8</v>
      </c>
    </row>
    <row r="33" spans="1:9">
      <c r="A33" s="2" t="s">
        <v>32</v>
      </c>
      <c r="C33"/>
      <c r="D33" s="4">
        <v>100</v>
      </c>
      <c r="E33" s="2" t="s">
        <v>76</v>
      </c>
      <c r="G33" s="11">
        <f>D33</f>
        <v>100</v>
      </c>
    </row>
    <row r="34" spans="1:9" ht="30">
      <c r="A34" s="2" t="s">
        <v>31</v>
      </c>
      <c r="B34" s="11">
        <v>2</v>
      </c>
      <c r="C34">
        <v>10</v>
      </c>
      <c r="D34" s="4">
        <f>C34*B34</f>
        <v>20</v>
      </c>
      <c r="E34" s="2" t="s">
        <v>66</v>
      </c>
      <c r="G34" s="11">
        <f>B34</f>
        <v>2</v>
      </c>
      <c r="H34">
        <f t="shared" si="0"/>
        <v>10</v>
      </c>
      <c r="I34" s="11">
        <f t="shared" si="1"/>
        <v>20</v>
      </c>
    </row>
    <row r="35" spans="1:9">
      <c r="C35"/>
      <c r="D35" s="4"/>
      <c r="E35" s="2"/>
      <c r="H35">
        <f t="shared" si="0"/>
        <v>0</v>
      </c>
      <c r="I35" s="11">
        <f t="shared" si="1"/>
        <v>0</v>
      </c>
    </row>
    <row r="36" spans="1:9">
      <c r="A36" s="5" t="s">
        <v>65</v>
      </c>
      <c r="B36" s="11">
        <v>9</v>
      </c>
      <c r="C36">
        <v>1</v>
      </c>
      <c r="D36" s="4">
        <f>C36*B36</f>
        <v>9</v>
      </c>
      <c r="E36" s="2" t="s">
        <v>67</v>
      </c>
      <c r="G36" s="11">
        <f>B36</f>
        <v>9</v>
      </c>
      <c r="H36">
        <f t="shared" si="0"/>
        <v>1</v>
      </c>
      <c r="I36" s="11">
        <f t="shared" si="1"/>
        <v>9</v>
      </c>
    </row>
    <row r="37" spans="1:9">
      <c r="A37" s="5"/>
      <c r="C37"/>
      <c r="D37" s="4"/>
      <c r="E37" s="2"/>
      <c r="H37">
        <f t="shared" si="0"/>
        <v>0</v>
      </c>
      <c r="I37" s="11">
        <f t="shared" si="1"/>
        <v>0</v>
      </c>
    </row>
    <row r="38" spans="1:9">
      <c r="A38" s="5" t="s">
        <v>42</v>
      </c>
      <c r="B38" s="11">
        <v>30</v>
      </c>
      <c r="C38">
        <v>1</v>
      </c>
      <c r="D38" s="4">
        <f>C38*B38</f>
        <v>30</v>
      </c>
      <c r="E38" s="2" t="s">
        <v>72</v>
      </c>
      <c r="G38" s="11">
        <f>B38</f>
        <v>30</v>
      </c>
      <c r="H38">
        <f t="shared" si="0"/>
        <v>1</v>
      </c>
      <c r="I38" s="11">
        <f t="shared" si="1"/>
        <v>30</v>
      </c>
    </row>
    <row r="39" spans="1:9">
      <c r="D39" s="4"/>
      <c r="E39" s="4"/>
    </row>
    <row r="40" spans="1:9">
      <c r="C40" s="4" t="s">
        <v>37</v>
      </c>
      <c r="D40" s="4">
        <f>SUM(D5:D39)</f>
        <v>5117.0249999999996</v>
      </c>
      <c r="F40" s="11" t="s">
        <v>85</v>
      </c>
      <c r="G40" s="11">
        <f>SUM(G25:G38)</f>
        <v>651</v>
      </c>
    </row>
    <row r="41" spans="1:9" s="2" customFormat="1" ht="75">
      <c r="B41" s="13"/>
      <c r="C41" s="14"/>
      <c r="F41" s="13"/>
      <c r="G41" s="13" t="s">
        <v>87</v>
      </c>
      <c r="H41" s="2" t="s">
        <v>86</v>
      </c>
      <c r="I41" s="13"/>
    </row>
    <row r="42" spans="1:9">
      <c r="D42" s="4">
        <f>SUM(D31:D34)</f>
        <v>248</v>
      </c>
      <c r="G42" s="11">
        <f>SUM(G5:G28)</f>
        <v>3022.3999999999996</v>
      </c>
      <c r="H42" s="11">
        <f>SUMPRODUCT(G5:G38,H5:H38)</f>
        <v>4427.0249999999996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Summary</vt:lpstr>
      <vt:lpstr>RecAndNonRecCosts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2011-05-31T19:51:55Z</dcterms:modified>
</cp:coreProperties>
</file>