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0-Milestones" sheetId="1" r:id="rId4"/>
    <sheet state="visible" name="09-NavigatorTutorial" sheetId="2" r:id="rId5"/>
    <sheet state="hidden" name="old-09-NavigatorTutorial" sheetId="3" r:id="rId6"/>
    <sheet state="visible" name="01-GenEstsDataHMIS" sheetId="4" r:id="rId7"/>
    <sheet state="visible" name="02-UploadDataADR" sheetId="5" r:id="rId8"/>
    <sheet state="visible" name="03-ValidateDataNaomi" sheetId="6" r:id="rId9"/>
    <sheet state="visible" name="04-InputDatatoSpectrum" sheetId="7" r:id="rId10"/>
    <sheet state="visible" name="05-GenIncidenceEstswithEPP" sheetId="8" r:id="rId11"/>
    <sheet state="visible" name="06-GenKOSShiny90" sheetId="9" r:id="rId12"/>
    <sheet state="visible" name="07-FinalizeNatlEstsSpectrum" sheetId="10" r:id="rId13"/>
    <sheet state="visible" name="08-GenSubNatlEstsNaomi" sheetId="11" r:id="rId14"/>
    <sheet state="hidden" name="Sheet1" sheetId="12" r:id="rId15"/>
  </sheets>
  <definedNames/>
  <calcPr/>
  <extLst>
    <ext uri="GoogleSheetsCustomDataVersion1">
      <go:sheetsCustomData xmlns:go="http://customooxmlschemas.google.com/" r:id="rId16" roundtripDataSignature="AMtx7mhKWB2hm5RgNI03wjAXriyAzkzUNw=="/>
    </ext>
  </extLst>
</workbook>
</file>

<file path=xl/comments1.xml><?xml version="1.0" encoding="utf-8"?>
<comments xmlns:r="http://schemas.openxmlformats.org/officeDocument/2006/relationships" xmlns="http://schemas.openxmlformats.org/spreadsheetml/2006/main">
  <authors>
    <author/>
  </authors>
  <commentList>
    <comment authorId="0" ref="I12">
      <text>
        <t xml:space="preserve">======
ID#AAAASYjj5eE
tc={69C0F8D5-BDA3-48CA-8475-D76775529B3F}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ID#AAAARMmfkVY
Jonathan Pearson    (2021-11-30 09:23:08)
@jonathan@fjelltopp.org</t>
      </text>
    </comment>
    <comment authorId="0" ref="I14">
      <text>
        <t xml:space="preserve">======
ID#AAAASYjj5eA
tc={B4F14ED7-4D5B-4B68-9AA9-FEA37D3C2A24}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ID#AAAARMmfkVg
Jonathan Pearson    (2021-11-30 09:23:40)
@jonathan@fjelltopp.org</t>
      </text>
    </comment>
    <comment authorId="0" ref="I13">
      <text>
        <t xml:space="preserve">======
ID#AAAASYjj5d4
tc={00E57C65-4EFD-4CAD-8517-02CA531AAD92}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ID#AAAARMmfkVc
Jonathan Pearson    (2021-11-30 09:23:23)
@jonathan@fjelltopp.org</t>
      </text>
    </comment>
    <comment authorId="0" ref="I11">
      <text>
        <t xml:space="preserve">======
ID#AAAASYjj5ds
tc={74C073BF-C656-4D83-9D12-2E2B3D86DBC1}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ID#AAAARMmfkVU
Jonathan Pearson    (2021-11-30 09:22:51)
@jonathan@fjelltopp.org</t>
      </text>
    </comment>
  </commentList>
  <extLst>
    <ext uri="GoogleSheetsCustomDataVersion1">
      <go:sheetsCustomData xmlns:go="http://customooxmlschemas.google.com/" r:id="rId1" roundtripDataSignature="AMtx7mhaP+PtDZIk1GfovTe4jat627DWqg=="/>
    </ext>
  </extLst>
</comments>
</file>

<file path=xl/comments2.xml><?xml version="1.0" encoding="utf-8"?>
<comments xmlns:r="http://schemas.openxmlformats.org/officeDocument/2006/relationships" xmlns="http://schemas.openxmlformats.org/spreadsheetml/2006/main">
  <authors>
    <author/>
  </authors>
  <commentList>
    <comment authorId="0" ref="I8">
      <text>
        <t xml:space="preserve">======
ID#AAAASYjj5eY
    (2021-11-25 18:28:02)
@jonathan@fjelltopp.org ADD LINK DIRECTLY TO USER'S ORGANIZATION PAGE / INPUTS PACKAGE FOR THIS YEAR.
_Assigned to Jonathan Berry_
	-Jonathan Berry</t>
      </text>
    </comment>
    <comment authorId="0" ref="I11">
      <text>
        <t xml:space="preserve">======
ID#AAAASYjj5d8
    (2021-11-25 18:28:02)
@jonathan@fjelltopp.org ADD LINK DIRECTLY TO USER'S ORGANIZATION PAGE / INPUTS PACKAGE FOR THIS YEAR.
_Assigned to Jonathan Berry_
	-Jonathan Berry</t>
      </text>
    </comment>
    <comment authorId="0" ref="I10">
      <text>
        <t xml:space="preserve">======
ID#AAAASYjj5d0
    (2021-11-25 18:28:02)
@jonathan@fjelltopp.org ADD LINK DIRECTLY TO USER'S ORGANIZATION PAGE / INPUTS PACKAGE FOR THIS YEAR.
_Assigned to Jonathan Berry_
	-Jonathan Berry</t>
      </text>
    </comment>
    <comment authorId="0" ref="I9">
      <text>
        <t xml:space="preserve">======
ID#AAAASYjj5dw
    (2021-11-25 18:28:02)
@jonathan@fjelltopp.org ADD LINK DIRECTLY TO USER'S ORGANIZATION PAGE / INPUTS PACKAGE FOR THIS YEAR.
_Assigned to Jonathan Berry_
	-Jonathan Berry</t>
      </text>
    </comment>
  </commentList>
  <extLst>
    <ext uri="GoogleSheetsCustomDataVersion1">
      <go:sheetsCustomData xmlns:go="http://customooxmlschemas.google.com/" r:id="rId1" roundtripDataSignature="AMtx7miWk+6zpVG89196YJLo8CF9SnorYQ=="/>
    </ext>
  </extLst>
</comments>
</file>

<file path=xl/comments3.xml><?xml version="1.0" encoding="utf-8"?>
<comments xmlns:r="http://schemas.openxmlformats.org/officeDocument/2006/relationships" xmlns="http://schemas.openxmlformats.org/spreadsheetml/2006/main">
  <authors>
    <author/>
  </authors>
  <commentList>
    <comment authorId="0" ref="A15">
      <text>
        <t xml:space="preserve">======
ID#AAAASYjj5eQ
    (2021-11-25 18:28:02)
@jonathan@fjelltopp.org Check ID
_Assigned to Jonathan Berry_
	-Jonathan Berry</t>
      </text>
    </comment>
  </commentList>
  <extLst>
    <ext uri="GoogleSheetsCustomDataVersion1">
      <go:sheetsCustomData xmlns:go="http://customooxmlschemas.google.com/" r:id="rId1" roundtripDataSignature="AMtx7mgpqK+XLNvA2shkacioghiw3VbdGQ=="/>
    </ext>
  </extLst>
</comments>
</file>

<file path=xl/comments4.xml><?xml version="1.0" encoding="utf-8"?>
<comments xmlns:r="http://schemas.openxmlformats.org/officeDocument/2006/relationships" xmlns="http://schemas.openxmlformats.org/spreadsheetml/2006/main">
  <authors>
    <author/>
  </authors>
  <commentList>
    <comment authorId="0" ref="F16">
      <text>
        <t xml:space="preserve">======
ID#AAAASdCRYWw
Jonathan Berry    (2021-12-03 12:11:21)
@jonathan@strategy4ward.com To check the wording of these automatic spectrum check tasks when he can.
_Assigned to Jonathan Pearson_</t>
      </text>
    </comment>
    <comment authorId="0" ref="Q17">
      <text>
        <t xml:space="preserve">======
ID#AAAASQchb-M
Jonathan Berry    (2021-11-30 17:22:56)
@jonathan@strategy4ward.com Where multiple validation checks are required, are all checks required to pass? Or only one check? i.e. Is it an AND thing or an OR?
_Assigned to Jonathan Pearson_</t>
      </text>
    </comment>
    <comment authorId="0" ref="I15">
      <text>
        <t xml:space="preserve">======
ID#AAAASYjj5eU
    (2021-11-25 18:28:02)
@jonathan@fjelltopp.org Add link directly to user's inputs package?
_Assigned to Jonathan Berry_
	-Jonathan Berry</t>
      </text>
    </comment>
  </commentList>
  <extLst>
    <ext uri="GoogleSheetsCustomDataVersion1">
      <go:sheetsCustomData xmlns:go="http://customooxmlschemas.google.com/" r:id="rId1" roundtripDataSignature="AMtx7miIk/v7InulN46/q1ENwBPYMeYRLw=="/>
    </ext>
  </extLst>
</comments>
</file>

<file path=xl/comments5.xml><?xml version="1.0" encoding="utf-8"?>
<comments xmlns:r="http://schemas.openxmlformats.org/officeDocument/2006/relationships" xmlns="http://schemas.openxmlformats.org/spreadsheetml/2006/main">
  <authors>
    <author/>
  </authors>
  <commentList>
    <comment authorId="0" ref="G21">
      <text>
        <t xml:space="preserve">======
ID#AAAATTKeNZU
Jonathan Berry    (2021-12-20 10:37:42)
@jonathan@strategy4ward.com Is the text in this step properly updated for all the Calibration checks?  You mention four indicators, but there are six calibration checks?
_Assigned to Jonathan Pearson_
------
ID#AAAATTU47z8
Jonathan Pearson    (2021-12-20 12:06:09)
There are four indicators for calibration (listed correctly in the text) and then a calibration method so a total of five different calibration-related "things". I added a space in the text to make the cal option stand out separately. Otherwise, the text seems okay to me.
------
ID#AAAATTU470A
Jonathan Berry    (2021-12-20 12:28:02)
We don't need to make any reference to the Cal_Population check Jeff has just added in then?
------
ID#AAAATTU470E
Jonathan Berry    (2021-12-20 12:30:00)
If' you're happy that we don't need to update the text for the new calibration check then just mark this issue as resolved.</t>
      </text>
    </comment>
    <comment authorId="0" ref="G19">
      <text>
        <t xml:space="preserve">======
ID#AAAASdCRYWg
Jonathan Berry    (2021-12-03 12:04:13)
@jonathan@strategy4ward.com to review the wording of these tasks for  Naomi automatic checks when he can.</t>
      </text>
    </comment>
    <comment authorId="0" ref="J18">
      <text>
        <t xml:space="preserve">======
ID#AAAASYjj5eM
    (2021-11-25 18:28:02)
@jonathan@fjelltopp.org  Add link directly to user's organization?
_Assigned to Jonathan Berry_
	-Jonathan Berry</t>
      </text>
    </comment>
  </commentList>
  <extLst>
    <ext uri="GoogleSheetsCustomDataVersion1">
      <go:sheetsCustomData xmlns:go="http://customooxmlschemas.google.com/" r:id="rId1" roundtripDataSignature="AMtx7mht/aM4cJb9nPrpCvCc1CeWWT0boQ=="/>
    </ext>
  </extLst>
</comments>
</file>

<file path=xl/sharedStrings.xml><?xml version="1.0" encoding="utf-8"?>
<sst xmlns="http://schemas.openxmlformats.org/spreadsheetml/2006/main" count="1009" uniqueCount="671">
  <si>
    <t>Ref.</t>
  </si>
  <si>
    <t>Milestone Title (Visible to User):</t>
  </si>
  <si>
    <t>Milestone Title (Visible to User):::fr</t>
  </si>
  <si>
    <t>Milestone Title (Visible to User):::pt_PT</t>
  </si>
  <si>
    <t>Milestone Description (Visible to User):</t>
  </si>
  <si>
    <t>Milestone Description (Visible to User):::fr</t>
  </si>
  <si>
    <t>Milestone Description (Visible to User):::pt_PT</t>
  </si>
  <si>
    <t>Entry Criteria:</t>
  </si>
  <si>
    <t>Entry Criteria:::fr</t>
  </si>
  <si>
    <t>Entry Criteria:::pt_PT</t>
  </si>
  <si>
    <t>Version:</t>
  </si>
  <si>
    <t>Complete Message</t>
  </si>
  <si>
    <t>Complete Message::fr</t>
  </si>
  <si>
    <t>Complete Message::pt_PT</t>
  </si>
  <si>
    <t>Milestones</t>
  </si>
  <si>
    <t>HIV Estimates Process 2022</t>
  </si>
  <si>
    <t xml:space="preserve">These are the major milestones you will complete as a part of this year's estimates process. Each milestone is made up of tasks. Navigator will walk you through each task, assisting you with instructions and resources along the way. </t>
  </si>
  <si>
    <t>User has an ADR account</t>
  </si>
  <si>
    <t>Congratulations, you have completed this year's estimates process. You may now use your results for other needs such as the PEPFAR data pack, DMPPT2 (for VMMC data where applicable), national reporting, or other needs.</t>
  </si>
  <si>
    <t>Task Title (Visible to User)</t>
  </si>
  <si>
    <t>Task Title (Visible to User)::fr</t>
  </si>
  <si>
    <t>Task Title (Visible to User)::pt_PT</t>
  </si>
  <si>
    <t>Task Test (if test passes, proceed to next test)</t>
  </si>
  <si>
    <t>If test fails, present this to user:</t>
  </si>
  <si>
    <t>Resources / Links</t>
  </si>
  <si>
    <t>Resources / Links::fr</t>
  </si>
  <si>
    <t>Resources / Links::pt_PT</t>
  </si>
  <si>
    <t>Mandatory right now</t>
  </si>
  <si>
    <t>Test function</t>
  </si>
  <si>
    <t>Proceed to test (if test fails)</t>
  </si>
  <si>
    <t>Comments</t>
  </si>
  <si>
    <t>MIL-01-10</t>
  </si>
  <si>
    <t>Milestone: Navigator tutorial</t>
  </si>
  <si>
    <t>09-NavigatorTutorial</t>
  </si>
  <si>
    <t>MIL-02-01</t>
  </si>
  <si>
    <t>Milestone: Preparing Input Data for HIV Estimates</t>
  </si>
  <si>
    <t>01-GenEstsDataHMIS</t>
  </si>
  <si>
    <t>MIL-03-01</t>
  </si>
  <si>
    <t>Milestone: Upload and Review Data Files in Your Dataset on ADR</t>
  </si>
  <si>
    <t>02-UploadDataADR</t>
  </si>
  <si>
    <t>MIL-04-01</t>
  </si>
  <si>
    <t>Milestone: Review quality of programme data inputs using the Review Inputs function in Naomi</t>
  </si>
  <si>
    <t>03-ValidateDataNaomi</t>
  </si>
  <si>
    <t>MIL-05-01</t>
  </si>
  <si>
    <t>Milestone: Enter Data Into Spectrum</t>
  </si>
  <si>
    <t>04-InputDatatoSpectrum</t>
  </si>
  <si>
    <t>MIL-06-01</t>
  </si>
  <si>
    <t>Milestone: Generate HIV incidence for generalized epidemics using EPP</t>
  </si>
  <si>
    <t>05-GenIncidenceEstswithEPP</t>
  </si>
  <si>
    <t>MIL-07-01</t>
  </si>
  <si>
    <t>Milestone: Generate knowledge of HIV status using Shiny 90</t>
  </si>
  <si>
    <t>06-GenKOSShiny90</t>
  </si>
  <si>
    <t>MIL-08-01</t>
  </si>
  <si>
    <t>Milestone: Finalize National HIV Estimates in Spectrum</t>
  </si>
  <si>
    <t>07-FinalizeNatlEstsSpectrum</t>
  </si>
  <si>
    <t>MIL-09-01</t>
  </si>
  <si>
    <t>Milestone: Generate District HIV Estimates Using Naomi</t>
  </si>
  <si>
    <t>08-GenSubNatlEstsNaomi</t>
  </si>
  <si>
    <t>Navigator Tutorial</t>
  </si>
  <si>
    <t xml:space="preserve">This is a brief introduction to the HIV Estimates Navigator.  It will help you understand how to mark tasks as complete and proceed through your Country Estimates process. </t>
  </si>
  <si>
    <t xml:space="preserve">User has logged into Navigator ans has access to edit an ADR Country Estimates dataset. </t>
  </si>
  <si>
    <t>OVV-01-10</t>
  </si>
  <si>
    <t>Welcome to the UNAIDS HIV Estimates Navigator</t>
  </si>
  <si>
    <t>Has the user clicked What's Next?</t>
  </si>
  <si>
    <t>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**Do this now to proceed to your next task.**</t>
  </si>
  <si>
    <t>check_manual_confirmation('EST-OVV-01-10-A')</t>
  </si>
  <si>
    <t>OVV-01-11</t>
  </si>
  <si>
    <t>Navigator tutorial: Skipping tasks</t>
  </si>
  <si>
    <t>Not all tasks need to be completed at the time they are presented to you.  Many tasks can skipped and completed at a later stage. 
To skip a task, just click "What's Next?" without marking the task as complete. 
**Do this now to proceed to your next task.**</t>
  </si>
  <si>
    <t>check_manual_confirmation('EST-OVV-01-11-A')</t>
  </si>
  <si>
    <t>OVV-01-12</t>
  </si>
  <si>
    <t>Navigator tutorial: Browsing previous tasks</t>
  </si>
  <si>
    <t>You can browse through all previous tasks that you have either skipped or completed using the "Prior Task" and "Next Task" buttons.  To proceed beyond your current task, you must use the "What's Next?" button to re-evaluate where you are in the estimates process and be guided to your next task. 
To aid with browsing tasks we are currently developing a "Task List" view, which will list all your tasks and tell you which ones you have completed.  You will be able to use this view to quickly browse to skipped tasks. 
Try browsing backwards through your task list now, before returning to this current task.  
**Once you have done this mark the task as complete and click "What's Next?" to see your next task.**</t>
  </si>
  <si>
    <t>check_manual_confirmation('EST-OVV-01-12-A')</t>
  </si>
  <si>
    <t>OVV-01-13</t>
  </si>
  <si>
    <t>Navigator tutorial: Automatic tasks and skip checks</t>
  </si>
  <si>
    <t>Has the user completed the tutorial?</t>
  </si>
  <si>
    <t>In some case cases, when you mark a task as complete, Navigator will validate your response. If you haven't actually completed the task, you will be alerted by a message in a blue box above. 
In some cases Navigator may also check that some essential tasks are complete and have not been skipped. If you have skipped some essential tasks, Navigator will inform you, and then take you backwards to complete those tasks.
For example, to proceed further you must now ensure you have completed both of these tasks:
- Navigator Tutorial: Skipping tasks
- Navigator Tutorial: Browsing previous tasks
**Once you have understood this message, mark the task as complete and click "What's Next?" to be taken back to complete these tasks.**</t>
  </si>
  <si>
    <t>check_not_skipped(['EST-OVV-01-11-A', 'EST-OVV-01-12-A'])</t>
  </si>
  <si>
    <t>OVV-02-01</t>
  </si>
  <si>
    <t>Are you ready to begin the estimates process?</t>
  </si>
  <si>
    <t>Has the entry criteria for 01-GenEstsDataHMIS been met?</t>
  </si>
  <si>
    <t>Congratulations! You have completed the HIV Estimates Navigator tutorial. 
In order to proceed to use the Navigator your country must: 
 - Have data from all sites for the time period used in the models;
If you are satisfied that the above requirement is met, mark this task  complete and click "What's next?"</t>
  </si>
  <si>
    <t>check_manual_confirmation('EST-OVV-02-01-A')</t>
  </si>
  <si>
    <t>Prepare Input Data for HIV Estimates</t>
  </si>
  <si>
    <r>
      <rPr>
        <rFont val="Calibri"/>
        <color rgb="FF000000"/>
        <sz val="8.0"/>
      </rPr>
      <t>In this milestone, you will prepare</t>
    </r>
    <r>
      <rPr>
        <rFont val="Calibri"/>
        <strike/>
        <color rgb="FF000000"/>
        <sz val="8.0"/>
      </rPr>
      <t xml:space="preserve"> </t>
    </r>
    <r>
      <rPr>
        <rFont val="Calibri"/>
        <color rgb="FF000000"/>
        <sz val="8.0"/>
      </rPr>
      <t xml:space="preserve">and place the required input data in the Dataset needed to generate HIV estimates. You should use the best, highest quality, and most complete input data you have available to you for the estimates process. </t>
    </r>
  </si>
  <si>
    <t>Country has collected data from all sites for the time period used in the models
Data are compiled and validated by country (e.g., MOH) authorities.
The user is authorized to prepare estimates on behalf of the country</t>
  </si>
  <si>
    <t>GEN-01-10</t>
  </si>
  <si>
    <t>Ensure programme data are complete in your national health information system (e.g., DHIS2)</t>
  </si>
  <si>
    <t>Have all programme data required for estimates been completed and are they available in the national health information system?</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</si>
  <si>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</si>
  <si>
    <r>
      <rPr>
        <rFont val="Calibri"/>
        <color rgb="FF000000"/>
        <sz val="8.0"/>
        <u/>
      </rPr>
      <t xml:space="preserve">Guide 8, Data Quality, Indicator Element Matrix </t>
    </r>
    <r>
      <rPr>
        <rFont val="Calibri"/>
        <color rgb="FF1155CC"/>
        <sz val="8.0"/>
        <u/>
      </rPr>
      <t>https://hivtools.unaids.org/hiv-estimates-training-material-en/</t>
    </r>
  </si>
  <si>
    <t>MM: Add sheet to HIV tools page and put link to that sheet here
MM: Add link to video on data preparation. Training materials ID: G.10</t>
  </si>
  <si>
    <t>check_manual_confirmation('EST-GEN-01-10-A')</t>
  </si>
  <si>
    <t>GEN-02-01</t>
  </si>
  <si>
    <t>Review the quality of and validate your programme data using UNAIDS Guide 6, Data Quality Standards of Practice.</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</si>
  <si>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</si>
  <si>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Naomi's Review Inputs function is another tool available to users for assessing data quality. This step will be completed after data are uploaded to ADR.</t>
  </si>
  <si>
    <r>
      <rPr>
        <rFont val="Calibri"/>
        <color rgb="FF000000"/>
        <sz val="8.0"/>
      </rPr>
      <t xml:space="preserve">Guide 6, Data Quality Standards of Practice </t>
    </r>
    <r>
      <rPr>
        <rFont val="Calibri"/>
        <color rgb="FF1155CC"/>
        <sz val="8.0"/>
        <u/>
      </rPr>
      <t>https://hivtools.unaids.org/hiv-estimates-training-material-en/</t>
    </r>
  </si>
  <si>
    <t>MM: training materials ID: D.8</t>
  </si>
  <si>
    <t>check_manual_confirmation('EST-GEN-02-01-A')</t>
  </si>
  <si>
    <t>GEN-03-01</t>
  </si>
  <si>
    <t>Update your ANC programme data file with data from the current reporting period</t>
  </si>
  <si>
    <t>Has user updated ANC data file?</t>
  </si>
  <si>
    <t xml:space="preserve">Before you upload data files to your Dataset to ADR, ensure you have updated them for the current reporting period.  **Update** your programme data files for ANC. UNAIDS has placed last year's final ANC file in this year's Dataset for your convenience. UNAIDS recommends beginning with last year's final Dataset and only updating the files for the current reporting period. You can learn more about the data elements required in Guide 8 Data Quality, Indicator Elements Matrix. </t>
  </si>
  <si>
    <t>AIDS Data Repository https://adr.unaids.org/
Guide 8, Data Quality, Indicator Element Matrix https://hivtools.unaids.org/hiv-estimates-training-material-en/</t>
  </si>
  <si>
    <t xml:space="preserve">@Fjelltopp - plz link to the user's organization page. </t>
  </si>
  <si>
    <t>check_manual_confirmation('EST-GEN-03-01-A')</t>
  </si>
  <si>
    <t>GEN-04-01</t>
  </si>
  <si>
    <t>Update your ART programme data file with data from the current reporting period</t>
  </si>
  <si>
    <t>Has user updated ART data file?</t>
  </si>
  <si>
    <t xml:space="preserve">Before you upload data files to your Dataset to ADR, ensure you have updated the data files for the current reporting period.  **Update** your programme data files for ART. UNAIDS has placed last year's final ART file in this year's Dataset for your convenience. UNAIDS recommends beginning with last year's final Dataset and only updating the files for the current reporting period. You can learn more about the data elements required in Guide 8 Data Quality, Indicator Elements Matrix. </t>
  </si>
  <si>
    <t>check_manual_confirmation('EST-GEN-04-01-A')</t>
  </si>
  <si>
    <t>GEN-05-01</t>
  </si>
  <si>
    <t>If relevant, update your Voluntary Male Medical Circumcision (VMMC) programme data file with data from the current reporting period</t>
  </si>
  <si>
    <t>Has user updated VMMC data file?</t>
  </si>
  <si>
    <t>*This task is only for VMMC priority countries (see below). If you are not from one of the priority VMMC countries, mark this task complete and click "What's Next".* Before you upload data files to your Dataset to ADR, ensure you have updated the data files for the current reporting period.  **Update** your programme data files for VMMC (if relevant). UNAIDS recommends beginning with last year's data and only updating as necessary for the current reporting period. If you are not using VMMC data for your estimates, you can market this task as complete and click the What's Next? button.. You can learn more about the data elements required in Guide 8 Data Quality, Indicator Elements Matrix. 
VMMC priority countries: Botswana, Eswatini, Ethiopia, Kenya, Lesotho, Malawi, Mozambique, Namibia, Rwanda, South Africa, Uganda, United Republic of Tanzania, Zambia, Zimbabwe.</t>
  </si>
  <si>
    <t>check_manual_confirmation('EST-GEN-05-01-A')</t>
  </si>
  <si>
    <t>GEN-06-01</t>
  </si>
  <si>
    <t>Update your Shiny 90 HIV Testing programme data file with data from the current reporting period</t>
  </si>
  <si>
    <t>Has user updated Shiny 90 HIV Testing data file?</t>
  </si>
  <si>
    <t xml:space="preserve">Before you upload your Dataset to ADR, ensure you have updated the data files for the current reporting period.  **Update** your programme data files for HIV Testing in the Shiny 90 data file. UNAIDS has placed last year's final Shiny 90 HIV Testing file in this year's Dataset for your convenience. UNAIDS recommends beginning with last year's final Dataset and only updating the files for the current reporting period.You can learn more about the data elements required in Guide 8 Data Quality, Indicator Elements Matrix. If you are not planning to use Shiny 90 to estimate your Knowledge of Status figures, mark this task complete in Navigator. </t>
  </si>
  <si>
    <t>AIDS Data Repository https://adr.unaids.org/
Guide 8, Data Quality, Indicator Element Matrix https //hivtools.unaids.org/hiv-estimates-training-material-en/</t>
  </si>
  <si>
    <t>check_manual_confirmation('EST-GEN-06-01-A')</t>
  </si>
  <si>
    <t>GEN-07-01</t>
  </si>
  <si>
    <t>Review your Shiny 90 Survey data file in your Dataset</t>
  </si>
  <si>
    <t>Has user reviewed their Shiny 90 survey data file?</t>
  </si>
  <si>
    <t xml:space="preserve">UNAIDS has placed a *Shiny 90 survey*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 If you are not planning to use Shiny 90 to estimate your Knowledge of Status figures, mark this task complete in Navigator and click "What's Next?". </t>
  </si>
  <si>
    <t>AIDS Data Repository https://adr.unaids.org/</t>
  </si>
  <si>
    <t>check_manual_confirmation('EST-GEN-07-01-A')</t>
  </si>
  <si>
    <t>GEN-08-01</t>
  </si>
  <si>
    <t>Review your Naomi Survey data file in your Dataset</t>
  </si>
  <si>
    <t>Has user reviewed their Naomi survey data file?</t>
  </si>
  <si>
    <t xml:space="preserve">UNAIDS has placed a *Naomi survey*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corrected.If you are not planning to use Naomi to produce district-level HIV estimates, mark this task complete in Navigator and click "What's Next?" below.  </t>
  </si>
  <si>
    <t>check_manual_confirmation('EST-GEN-08-01-A')</t>
  </si>
  <si>
    <t>GEN-09-01</t>
  </si>
  <si>
    <t>Review your area boundary file in your Dataset</t>
  </si>
  <si>
    <t>Has user reviewed their area boundary data file?</t>
  </si>
  <si>
    <t>UNAIDS has placed an *Area Boundary* data file (aka "Geographic Data")  in your Dataset in the AIDS Data Repository (ADR). Before we begin the estimates process, please review this file. If you are satisfied with the data in this file, mark this task complete.  If you see problems with this file, contact UNAIDS or one of its partners to have it corrected.</t>
  </si>
  <si>
    <t>check_manual_confirmation('EST-GEN-09-01-A')</t>
  </si>
  <si>
    <t>GEN-10-01</t>
  </si>
  <si>
    <t>Review your Population file in your Dataset</t>
  </si>
  <si>
    <t>Has user reviewed their population data file?</t>
  </si>
  <si>
    <t>UNAIDS has placed a *Population* data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t>
  </si>
  <si>
    <t>check_manual_confirmation('EST-GEN-10-01-A')</t>
  </si>
  <si>
    <t>Upload and Review Data Files in Your Dataset on ADR</t>
  </si>
  <si>
    <t xml:space="preserve">For your convenience, UNAIDS has placed last year's data files into this year's Dataset in your organization/country data sets ADR. Programme data files (e.g., ART, ANC, VMMC, Shiny 90 HIV Testing) will need to be updated with the current year's data. Other data files (e.g., area boundary, population, surveys) will only need to be reviewed and confirmed. Once you have updated your Dataset programme data files, you can upload the files to your organization/country on the AIDS Data Repository (ADR). There are many advantages to using ADR, including integration with key estimates models such as Naomi. Before you begin this step, you should be sure you have updated all required programme data files for the current reporting period (e.g., ANC, ART, Shiny 90 HIV testing, and VMMC where relevant). You can also review your other data files (e.g., surveys, population, area boundary). You will need to have an ADR user account and be associated with an organization (country) with an editor role. </t>
  </si>
  <si>
    <t xml:space="preserve"> Data input files are available
 User has an ADR account associated with a country organization in ADR
 User has at least editor role assigned within the country organization</t>
  </si>
  <si>
    <t>ADR-01-10</t>
  </si>
  <si>
    <t>Check that the required data has been preloaded into your ADR Dataset</t>
  </si>
  <si>
    <t xml:space="preserve">Does the user have geojson, survey data,  population data, shiny90 survey data, spectrum file in their dataset? </t>
  </si>
  <si>
    <t xml:space="preserve">Your estimates dataset in the ADR should already have the following data preloaded into it:
- Spectrum file from the previous year
- Geograph data file (subnational area boundaries)
- Survey data file for Naomi
- Survey data file for Shiny 90 (if relevant)
- Population data file
If any of these data are missing or incorrect, please speak to UNAIDS or a facilitator to help you compile these missing data and upload it to the ADR.  </t>
  </si>
  <si>
    <t>JB: This is an automatic check, so will only be shown to the user if they are missing expected data. It's just a proposal
Can easily remove.</t>
  </si>
  <si>
    <t>check_resource_key(['inputs-unaids-geographic', 'inputs-unaids-survey', 'inputs-unaids-population', 'inputs-unaids-spectrum-file'], 'url', '.*')</t>
  </si>
  <si>
    <t>ADR-01-11</t>
  </si>
  <si>
    <t>Upload data inputs to the ADR using the required templates</t>
  </si>
  <si>
    <t>Are the required inputs uploaded to the ADR?</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</si>
  <si>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Dataset. Upload each of the required files for this year's estimates process in the required format. For your convenience, UNAIDS has imported the final data files from last year. You only need to update the files with data from the current year. 
You should ensure you have included data from the current year in the following data files:
- Shiny90 HIV Testing Data
- ART Data
- ANC Data
- VMMC Data (if relevent)
**To update a data file to your Dataset in the ADR:**
- Open your estimates 2022 Dataset in the ADR
- Find the file you wish to update and click the red Explore button and choose Download
- Open the file on your computer and add data from the current year
- Return to ADR and open your estimates 2022 Dataset
- Drag and drop your updated data file into the centre of the ADR web page.
- A pop up will open with the name of your file in it.
- In the dropdown next to the filename , select which data input you are uploading.
- Click "Upload Files"</t>
  </si>
  <si>
    <t>check_manual_confirmation('EST-ADR-01-11-A')</t>
  </si>
  <si>
    <t>ADR-02-01</t>
  </si>
  <si>
    <r>
      <rPr>
        <rFont val="Calibri"/>
        <color rgb="FF000000"/>
        <sz val="8.0"/>
      </rPr>
      <t>Upload your Shiny 90 HIV t</t>
    </r>
    <r>
      <rPr>
        <rFont val="Calibri"/>
        <color rgb="FF000000"/>
        <sz val="8.0"/>
      </rPr>
      <t>esting data files</t>
    </r>
    <r>
      <rPr>
        <rFont val="Calibri"/>
        <color rgb="FF9900FF"/>
        <sz val="8.0"/>
      </rPr>
      <t xml:space="preserve"> </t>
    </r>
    <r>
      <rPr>
        <rFont val="Calibri"/>
        <color rgb="FF000000"/>
        <sz val="8.0"/>
      </rPr>
      <t>to ADR</t>
    </r>
  </si>
  <si>
    <t>Is user's Shiny 90 HIV Testing data file uploaded to ADR in the required format?</t>
  </si>
  <si>
    <t>Your ADR dataset should include a *Shiny 90 HIV Testing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Shiny 90 HIV testing data file* in the required format. UNAIDS has imported the final data files from last year. You only need to update the files with data from the current year. 
**To upload your Shiny 90 HIV Testing data file to the ADR:**
- Open your estimates 2022 Dataset in the ADR
- Under *Missing Resources* find "Shiny 90 Testing Data" and click *Add Data*
- Drag your data file into the file upload zone
- Add any useful notes about the file under *Description* 
- Confirm the format field is correct
- If you wish to share the file with someone outside your organisation you can do so under *Access Restriction* 
- Click "Add" to upload the file</t>
  </si>
  <si>
    <t>check_resource_key('inputs-unaids-hiv-testing', 'url', '.*')</t>
  </si>
  <si>
    <t>ADR-03-01</t>
  </si>
  <si>
    <t>Upload your ART programme data file to your Dataset on the ADR</t>
  </si>
  <si>
    <t>Has the user uploaded an ART data file?</t>
  </si>
  <si>
    <t>Your ADR dataset should include an *ART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ART data file* in the required format.
**To upload your  ART data to the ADR:**
- Open your estimates 2022 Dataset in the ADR
- Under *Missing Resources* find "ART Data" and click *Add Data*
- Drag your ART template file into the file upload zone
- Add any useful notes about the file under *Description* 
- Confirm the format field is correct
- If you wish to share the file with someone outside your organisation you can do so under *Access Restriction* 
- Click "Add" to upload the file</t>
  </si>
  <si>
    <r>
      <rPr>
        <rFont val="Calibri"/>
        <color rgb="FF000000"/>
        <sz val="8.0"/>
      </rPr>
      <t xml:space="preserve">AIDS Data Repository </t>
    </r>
    <r>
      <rPr>
        <rFont val="Calibri"/>
        <color rgb="FF1155CC"/>
        <sz val="8.0"/>
        <u/>
      </rPr>
      <t>https://adr.unaids.org/</t>
    </r>
  </si>
  <si>
    <t>check_resource_key('inputs-unaids-art', 'url', '.*')</t>
  </si>
  <si>
    <t>ADR-04-01</t>
  </si>
  <si>
    <t>Upload your ANC data file to your Dataset on the ADR</t>
  </si>
  <si>
    <t>Has the user uploaded an  ANC data file?</t>
  </si>
  <si>
    <t>Your ADR dataset should include an *ANC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ANC data file* in the required format.
**To upload your ANC data file to the ADR:**
- Open your estimates 2022 Dataset in the ADR
- Under *Missing Resources* find "ANC Data" and click *Add Data*
- Drag your ANC template file into the file upload zone
- Add any useful notes about the file under *Description* 
- Confirm the format field is correct
- If you wish to share the file with someone outside your organisation you can do so under *Access Restriction* 
- Click "Add" to upload the file</t>
  </si>
  <si>
    <r>
      <rPr>
        <rFont val="Calibri"/>
        <color rgb="FF000000"/>
        <sz val="8.0"/>
      </rPr>
      <t xml:space="preserve">AIDS Data Repository </t>
    </r>
    <r>
      <rPr>
        <rFont val="Calibri"/>
        <color rgb="FF1155CC"/>
        <sz val="8.0"/>
        <u/>
      </rPr>
      <t>https://adr.unaids.org/</t>
    </r>
  </si>
  <si>
    <t>check_resource_key('inputs-unaids-anc', 'url', '.*')</t>
  </si>
  <si>
    <t>ADR-05-01</t>
  </si>
  <si>
    <t>Upload the VMMC data file to your Dataset on the ADR</t>
  </si>
  <si>
    <t>Is the VMMC data file uploaded to ADR in the required format?</t>
  </si>
  <si>
    <t>This requirement only applies to the 15 countries that are prioritized for VMMC (see list below). The data will be used to create district level coverage estimates of VMMC in your country.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each of the required files for this year's estimates process in the required format. 
If you are *not* from one of the 15 countries who are prioritizing VMMC (see below), you can mark this task complete to skip it. 
VMMC priority countries: Botswana, Eswatini, Ethiopia, Kenya, Lesotho, Malawi, Mozambique, Namibia, Rwanda, South Africa, Uganda, United Republic of Tanzania, Zambia, Zimbabwe.</t>
  </si>
  <si>
    <r>
      <rPr>
        <rFont val="Calibri"/>
        <color rgb="FF000000"/>
        <sz val="8.0"/>
      </rPr>
      <t xml:space="preserve">AIDS Data Repository </t>
    </r>
    <r>
      <rPr>
        <rFont val="Calibri"/>
        <color rgb="FF1155CC"/>
        <sz val="8.0"/>
        <u/>
      </rPr>
      <t>https://adr.unaids.org/</t>
    </r>
  </si>
  <si>
    <t>check_manual_confirmation('EST-ADR-05-01-A')</t>
  </si>
  <si>
    <t>ADR-06-01</t>
  </si>
  <si>
    <t>Ensure ADR has validated each of the data files in your Dataset</t>
  </si>
  <si>
    <t>Are all uploaded data files for Shiny 90, Naomi, and VMMC (if applicable) valid in ADR?</t>
  </si>
  <si>
    <t xml:space="preserve">ADR provides a cursory data quality check on all files in the Dataset. Be sure to confirm the green "Valid" badge next to each file. If any files are missing the green "valid" badge, be sure to review the data issues identified by ADR and correct them. If any changes are made to the data in the estimates data files, ensure changes are cascaded to the source systems (e.g., DHIS2) as needed. Once data files are uploaded and valid in ADR, you may proceed to ShinyRob to conduct more thorough data quality reviews.
To resolve a red validation badge next to a resource in your Dataset, click on the "Error Report" link just under the badge.  The error report will list the problems it has found with your data.  You should address these problems one by one in the order they are presented to you, since resolving the first problem may in turn resolve later problems. </t>
  </si>
  <si>
    <r>
      <rPr>
        <rFont val="Calibri"/>
        <color rgb="FF000000"/>
        <sz val="8.0"/>
      </rPr>
      <t xml:space="preserve">AIDS Data Repository </t>
    </r>
    <r>
      <rPr>
        <rFont val="Calibri"/>
        <color rgb="FF1155CC"/>
        <sz val="8.0"/>
        <u/>
      </rPr>
      <t>https://adr.unaids.org/</t>
    </r>
  </si>
  <si>
    <t>check_dataset_valid()</t>
  </si>
  <si>
    <t>Review quality of programme data inputs using the Review Inputs function in Naomi</t>
  </si>
  <si>
    <r>
      <rPr>
        <rFont val="Calibri"/>
        <color rgb="FF000000"/>
        <sz val="8.0"/>
      </rPr>
      <t xml:space="preserve">The quality of data inputs is one of the most influential determinants of your HIV estimates.  The Review Inputs function in Naomi was developed to assist countries to identify and resolve data quality issues within programme data inputs </t>
    </r>
    <r>
      <rPr>
        <rFont val="Calibri"/>
        <color rgb="FF000000"/>
        <sz val="8.0"/>
        <u/>
      </rPr>
      <t>before</t>
    </r>
    <r>
      <rPr>
        <rFont val="Calibri"/>
        <color rgb="FF000000"/>
        <sz val="8.0"/>
      </rPr>
      <t xml:space="preserve"> they are used by estimates models. UNAIDS strongly recommends country teams review and validate their programme data inputs using the Review Inputs function in Naomi prior to beginning work in the models.</t>
    </r>
  </si>
  <si>
    <t>User has ADR account and ADR key and Naomi account
User is associated with a country organization in ADR
Country’s Dataset files for ANC and ART, including area hierarchy dataset, have been uploaded and have an ADR validation</t>
  </si>
  <si>
    <t>If test fails, present this to user:::fr</t>
  </si>
  <si>
    <t>If test fails, present this to user:::pt_PT</t>
  </si>
  <si>
    <t>ROB-01-CK</t>
  </si>
  <si>
    <t>ADR-01-10, ADR-01-11, ADR-03-01, ADR-04-01 complete?</t>
  </si>
  <si>
    <t>not a user-facing task check; required to import data from ADR</t>
  </si>
  <si>
    <t>check_not_skipped(['EST-ADR-01-10-A', 'EST-ADR-01-11-A', 'EST-ADR-03-01-A', 'EST-ADR-04-01-A'])</t>
  </si>
  <si>
    <t>ROB-02-01</t>
  </si>
  <si>
    <t>Create a Naomi user account</t>
  </si>
  <si>
    <t>Does the user already have a Naomi account?</t>
  </si>
  <si>
    <t xml:space="preserve">Congratulations, you've completed the previous estimates milestone. Now you're ready to review the quality of your data in Naomi (formerly ShinyRob). In order to use the Naomi Inputs Review Function, UNAIDS recommends you create a Naomi user account. A Naomi user account has multiple advantages, including integration with ADR and direct access to your Dataset, project saving, and sharing of draft and final project results. If you do not already have an account, you may request one by completing the brief Naomi user account request form. Responses should be immediate, especially during the time of estimates workshops. If you prefer, you may use Naomi as a guest, but it is not recommended. </t>
  </si>
  <si>
    <t>Naomi user account request form https://forms.office.com/r/7S9EMigGr4</t>
  </si>
  <si>
    <t>check_manual_confirmation('EST-ROB-02-01-A')</t>
  </si>
  <si>
    <t>ROB-03-01</t>
  </si>
  <si>
    <t>Log into Naomi</t>
  </si>
  <si>
    <t xml:space="preserve">Is the user logged in to Naomi? </t>
  </si>
  <si>
    <t xml:space="preserve">In order to take full advantage of Naomi's functionality, UNAIDS recommends you log into the system with your user account. There are many advantages to logging into Naomi such as integration with ADR and direct access to your estimates Dataset, project saving, and sharing of draft and final project results.. If you do not log in, you will not be able to pull your data from ADR nor save projects and versions. To log into Naomi, go to naomi.unaids.org. Click the 'Log in' button in the upper right corner of the home page to enter your login details. </t>
  </si>
  <si>
    <r>
      <rPr>
        <rFont val="Calibri"/>
        <color theme="1"/>
        <sz val="8.0"/>
      </rPr>
      <t xml:space="preserve">Log in to Naomi </t>
    </r>
    <r>
      <rPr>
        <rFont val="Calibri"/>
        <color rgb="FF1155CC"/>
        <sz val="8.0"/>
        <u/>
      </rPr>
      <t>https://naomi.unaids.org/login</t>
    </r>
  </si>
  <si>
    <t>check_manual_confirmation('EST-ROB-03-01-A')</t>
  </si>
  <si>
    <t>ROB-04-01</t>
  </si>
  <si>
    <t>Create a project in Naomi for the current reporting period</t>
  </si>
  <si>
    <t>Has the user created a project in Naomi?</t>
  </si>
  <si>
    <t xml:space="preserve">The first step to using Naomi, even for the Inputs Review function, is to create a project. Each Naomi project will have its own data and settings. If you are logged in, you can save multiple projects and test different data and model options for comparison. To create a project, simply enter a name for the project and click the 'Create Project' button. </t>
  </si>
  <si>
    <r>
      <rPr>
        <rFont val="Calibri"/>
        <color theme="1"/>
        <sz val="8.0"/>
      </rPr>
      <t xml:space="preserve">Naomi </t>
    </r>
    <r>
      <rPr>
        <rFont val="Calibri"/>
        <color rgb="FF000000"/>
        <sz val="8.0"/>
      </rPr>
      <t>https://naomi.unaids.org/</t>
    </r>
  </si>
  <si>
    <t>check_manual_confirmation('EST-ROB-04-01-A')</t>
  </si>
  <si>
    <t>ROB-05-01</t>
  </si>
  <si>
    <t>Select the Datasets you would like to review</t>
  </si>
  <si>
    <t>Has user selected geographic data package, ART data package, and ANC data package?</t>
  </si>
  <si>
    <t>In order to utilize the powerful data quality analyses provided by Naomi's Inputs Review function, you must select the relevant Dataset for this year, including geographic data package (named area boundary file in ADR), ART data package, and ANC data package. Although not recommended by UNAIDS, you may also upload the files individually to Naomi. 
**You may use last year's Spectrum file for the data review process. The Spectrum file is only required to create a new project and will not be used in this process.**</t>
  </si>
  <si>
    <r>
      <rPr>
        <rFont val="Calibri"/>
        <color theme="1"/>
        <sz val="8.0"/>
      </rPr>
      <t xml:space="preserve">Naomi </t>
    </r>
    <r>
      <rPr>
        <rFont val="Calibri"/>
        <color rgb="FF000000"/>
        <sz val="8.0"/>
      </rPr>
      <t>https://naomi.unaids.org/</t>
    </r>
  </si>
  <si>
    <t>check_manual_confirmation('EST-ROB-05-01-A')</t>
  </si>
  <si>
    <t>ROB-06-01</t>
  </si>
  <si>
    <t>Review time series results for your ANC and ART data file</t>
  </si>
  <si>
    <t>Has user reviewed all plot types for their ART and ANC data files and corrected all anomolies?</t>
  </si>
  <si>
    <t>The Naomi Inputs Review function provides a number of powerful visualizations to help country teams identify data quality problems. UNAIDS recommends country teams view each of the plot options available for ART and ANC. Selecting these different options will present you with each district's data trends for the years included in your data file. Potential data anomolies will be highlighted by red lines. 
It's important to document any anomolies with your team to investigate further. Engage your district counterparts to investigate and resolve anomolies. Remember, data quality issues can have a major impact on your estimates. **Your estimates outputs are only as good as the quality of your Dataset. UNAIDS strongly recommends correcting any erroneous data in the source system and inputs templates prior to proceeding with your estimates process.** Once your data files have been corrected, you may upload them to ADR in lieu of the previous versions with errors. Once you are fully satisfied with the quality of all data files, you may proceed with the estimates process, starting with Milestone 4 - Enter Data into Spectrum.
**NOTE YOU SHOULD ONLY BE USING THE INPUTS REVIEW FUNCTION AT THIS POINT. DO NOT PROCEED WITH THE OTHER FUNCTIONS OF NAOMI. YOU WILL COMPLETE THE SPECTRUM MILESTONE BEFORE RETURNING TO NAOMI. ONCE YOU HAVE COMPLETED YOUR DATA QUALITY REVIEW AND CORRECTIONS, YOU MAY LEAVE NAOMI AND RETURN TO NAVIGATOR TO PROCEED TO THE SPECTRUM MILESTONE.***</t>
  </si>
  <si>
    <r>
      <rPr>
        <rFont val="Calibri"/>
        <color theme="1"/>
        <sz val="8.0"/>
      </rPr>
      <t xml:space="preserve">Naomi </t>
    </r>
    <r>
      <rPr>
        <rFont val="Calibri"/>
        <color rgb="FF000000"/>
        <sz val="8.0"/>
      </rPr>
      <t>https://naomi.unaids.org/</t>
    </r>
  </si>
  <si>
    <t>check_manual_confirmation('EST-ROB-06-01-A')</t>
  </si>
  <si>
    <t>Enter Data Into Spectrum</t>
  </si>
  <si>
    <t xml:space="preserve">You will be using the Spectrum model for many of the upcoming tasks. The first milestone in Spectrum will have you entering data inputs into the software before estimating HIV incidence and knowledge of status. You will complete your Spectrum results in a second Spectrum milestone. For countries producing sub-national (e.g., provincial) Spectrum estimates, the tasks below must be completed for each Spectrum file. </t>
  </si>
  <si>
    <t>User has correct Spectrum software available, has last year’s Spectrum file, and PMTCT and ART program data available</t>
  </si>
  <si>
    <t>Spectrum Check File Ref</t>
  </si>
  <si>
    <t>SPE-01-10</t>
  </si>
  <si>
    <t>Confirm you are using the Spectrum AIM client software installed on a computer</t>
  </si>
  <si>
    <t xml:space="preserve">Will user use Spectrum AIM client software? </t>
  </si>
  <si>
    <r>
      <rPr>
        <rFont val="Calibri"/>
        <color theme="1"/>
        <sz val="8.0"/>
      </rPr>
      <t>Congratulations for completing the first three estimates milestones. Now it's time to begin the first Spectrum milestone. 
Spectrum has two versions available for countries - i) Spectrum AIM client software available for download and installation on a team member's computer or ii) Spectrum Web, a browser and cloud version of the software. *</t>
    </r>
    <r>
      <rPr>
        <rFont val="Calibri"/>
        <color rgb="FFEA4335"/>
        <sz val="8.0"/>
      </rPr>
      <t>If you are planning to use Spectrum Desktop software (aka Windows version of Spectrum), you may proceed to the next task by marking this task complete and clicking "What's Next?"</t>
    </r>
    <r>
      <rPr>
        <rFont val="Calibri"/>
        <color theme="1"/>
        <sz val="8.0"/>
      </rPr>
      <t xml:space="preserve">.* To use Spectrum Web, you must first create a user account. If you do not have an existing user account, you can create one on Spectrum Web. 
Once you have chosen which version of Spectrum you will use, you may mark this task as complete in Navigator. </t>
    </r>
  </si>
  <si>
    <r>
      <rPr>
        <rFont val="Calibri"/>
        <color rgb="FF000000"/>
        <sz val="8.0"/>
        <u/>
      </rPr>
      <t>Spectrum</t>
    </r>
    <r>
      <rPr>
        <rFont val="Calibri"/>
        <color theme="1"/>
        <sz val="8.0"/>
      </rPr>
      <t xml:space="preserve"> </t>
    </r>
    <r>
      <rPr>
        <rFont val="Calibri"/>
        <color rgb="FF1155CC"/>
        <sz val="8.0"/>
        <u/>
      </rPr>
      <t>https://aim.spectrumweb.org/</t>
    </r>
  </si>
  <si>
    <t xml:space="preserve">S4: Note this task recommends the user mark this task complete regardless of the Spectrum version they want to use. This assumes the instructions below are suitable to both versions. </t>
  </si>
  <si>
    <t>check_manual_confirmation('EST-SPE-01-10-A')</t>
  </si>
  <si>
    <t>SPE-02-01</t>
  </si>
  <si>
    <t>Ensure you are using the latest version of Spectrum AIM</t>
  </si>
  <si>
    <t>Does user have the latest version of Spectrum AIM?</t>
  </si>
  <si>
    <t xml:space="preserve">UNAIDS strongly recommend using the latest version of Spectrum AIM for your estimates. Older versions may be incompatible with the current process. Further, you may miss out on new functionality developed in the most recent version. To download and install the most recent version, visit the Spectrum software link below. On the right side of the page, find the AIM Releases section and download the most recent version. Once you have the file on your laptop, you can double click the *exe* file and follow the normal installation instructions. </t>
  </si>
  <si>
    <t>Spectrum software https://www.avenirhealth.org/software-spectrum.php</t>
  </si>
  <si>
    <t>check_manual_confirmation('EST-SPE-02-01-A')</t>
  </si>
  <si>
    <t>SPE-03-01</t>
  </si>
  <si>
    <t>Open your Spectrum file</t>
  </si>
  <si>
    <t>Does user have a Spectrum file for this year's estimates?</t>
  </si>
  <si>
    <t xml:space="preserve">After you've logged in (or opened your Spectrum AIM program on your computer), you must upload your existing Spectrum projection file (e.g., from last year). You can find last year's Spectrum file in your organization's Dataset for this year as UNAIDS has placed all prior year Spectrum files in their respective Dataset for your convenience. If your country will only use one Spectrum file for the national level, you only need to do this once. If you will use separate Spectrum files for different geographic areas (optional), you will update a Spectrum file for each area. </t>
  </si>
  <si>
    <t>check_manual_confirmation('EST-SPE-03-01-A')</t>
  </si>
  <si>
    <t>SPE-04-01</t>
  </si>
  <si>
    <t>Ensure population estimates in your Spectrum file match official estimates</t>
  </si>
  <si>
    <t>Do Spectrum file population estimates match official estimates in your Spectrum file?</t>
  </si>
  <si>
    <t>By default, Spectrum uses the UN World Population Prospects (WPP) estimates. You can either use these or replace them with official country estimates. 
To update the WPP estimates, select Manager, and reload DemProj data. To edit the demographic data, in the online version select ‘DemProj’ and then the input to edit; in the desktop version, select ‘DemProj’ then ‘Demographic data’ then select the tab you wish to edit.</t>
  </si>
  <si>
    <t>JS: The user has to do this. There is not way for Spectrum to know.</t>
  </si>
  <si>
    <t>check_manual_confirmation('EST-SPE-04-01-A')</t>
  </si>
  <si>
    <t>SPE-05-01</t>
  </si>
  <si>
    <t>PMTCT_current</t>
  </si>
  <si>
    <t>Enter PMTCT data for the current reporting year into Spectrum</t>
  </si>
  <si>
    <t>Does the user's Spectrum file have current estimates year data for PMTCT [required / optional data elements available in Indicator Element Matrix]?</t>
  </si>
  <si>
    <t>In order to produce updated estimates in Spectrum, updated PMTCT programme data are required. These data are required for each Spectrum file. 
You can find all required data elements in the Guide 8, Data quality, Indicator Element Matrix. Spectrum also provides specific guidance for each regimen in the PMTCT data entry page. *It is highly recommended you finalize your programme data before proceeding.* 
If edits to PMTCT programme data are required later in the process, you will have to return to this step. For countries with sub-national Spectrum estimates (optional), this step applies to each file.</t>
  </si>
  <si>
    <r>
      <rPr>
        <rFont val="Calibri"/>
        <color theme="1"/>
        <sz val="8.0"/>
      </rPr>
      <t xml:space="preserve">Guide 8, Data quality, Indicator Element Matrix </t>
    </r>
    <r>
      <rPr>
        <rFont val="Calibri"/>
        <color rgb="FF1155CC"/>
        <sz val="8.0"/>
        <u/>
      </rPr>
      <t>https://hivtools.unaids.org/hiv-estimates-training-material-en/</t>
    </r>
  </si>
  <si>
    <t>check_manual_confirmation('EST-SPE-05-01-A')</t>
  </si>
  <si>
    <t>SPE-06-01</t>
  </si>
  <si>
    <t>Update breastfeeding patterns in Spectrum</t>
  </si>
  <si>
    <t>Has user updated Breastfeeding Pattern in their Spectrum file?</t>
  </si>
  <si>
    <t>The duration of breastfeeding is important for understanding how long a child is exposed to possible vertical transmission.  Spectrum has prepopulated data that reflect data from surveys in your country on breastfeeding patterns. These data are updated periodically to reflect new surveys.  On the Program Statistics\PMTCT tab, please click on Breastfeeding then Read survey data button to update the breastfeeding patterns among women not receiving ARVs.  A pop up button will ask if you want to update these data for women Receiving ARVs at the same time. If you select Yes it will update both ‘Not receiving ARVs’ and ‘Receiving ARVs’.  Alternatively, if you have data from your PMTCT programme on breastfeeding duration you could enter that for the women Receiving ARVs.</t>
  </si>
  <si>
    <t>05/Nov - updated with MM's text</t>
  </si>
  <si>
    <t>check_manual_confirmation('EST-SPE-06-01-A')</t>
  </si>
  <si>
    <t>SPE-07-01</t>
  </si>
  <si>
    <t>Update and review ANC testing data in Spectrum</t>
  </si>
  <si>
    <t>Has user updated ANC testing data in their Spectrum file for current reporting period [required / optional data elements available in Indicator Element Matrix]?</t>
  </si>
  <si>
    <t xml:space="preserve">Although not mandatory becasue it does not impact the model, UNAIDS suggests user provide up-to-date ANC Testing programme data for the reporting period to check the quality of the ANC data. This information helps to identify issues with prevalence data for your estimates. You can find all required data elements in the Guide 8, Data quality, Indicator Element Matrix. It is highly recommended you review these programme data before beginning the incidence curve fitting process. Enter the ANC data under the Program Statistics\ANC Testing tab. </t>
  </si>
  <si>
    <t>Guide 8, Data quality, Indicator Element Matrix https://hivtools.unaids.org/hiv-estimates-training-material-en/</t>
  </si>
  <si>
    <t>check_manual_confirmation('EST-SPE-07-01-A')</t>
  </si>
  <si>
    <t>SPE-08-01</t>
  </si>
  <si>
    <t>MaleART_current,
FemaleART_current</t>
  </si>
  <si>
    <t>Update Adult ART data in Spectrum</t>
  </si>
  <si>
    <t>Has user updated adult ART data in their Spectrum file for current reporting period [required / optional data elements available in Indicator Element Matrix]?</t>
  </si>
  <si>
    <t xml:space="preserve">Spectrum requires up-to-date Adult ART programme data for the reporting period for estimating treatment coverage and for estimating incidence. You should update the ART data before running your incidence curve. Data on the number newly initiated on ART and lost to follow up can improve the precision of some of the outputs from Spectrum. If those data are available be sure to include them. You can find all required data elements in the Guide 8, Data quality, Indicator Element Matrix. *If edits to the ART programme data are required later in the process, you will have to rerun your incidence curve fitting.* </t>
  </si>
  <si>
    <t>check_manual_confirmation('EST-SPE-08-01-A')</t>
  </si>
  <si>
    <t>SPE-09-01</t>
  </si>
  <si>
    <t>Confirm ART data entered in Spectrum match the Naomi ART data input file on ADR</t>
  </si>
  <si>
    <t>Do the sum totals for ART - including pediatric, male adults, and female adults - from the user's Spectrum file match the data in the country's Naomi ART file?</t>
  </si>
  <si>
    <t xml:space="preserve">Countries should be using a single, validated source of information for data used in different estimates models, even if some models require sub-national data (e.g., Naomi) and others use national-level data (e.g., Spectrum in most cases). ART data are one such source used by both Naomi and Spectrum. The ART totals you have entered in Spectrum for pediatric, adult female, and adult male populations must match the sum of the subnational ART data for the same populations in your Dataset. *If these two data sources do not match, please review and correct so what you enter in Spectrum is the same as what you have in your Naomi inputs file.* For countries producing provincial-level Spectrum estimates, ensure that the district data for Naomi match the provincial Spectrum files to which the districts belong. </t>
  </si>
  <si>
    <t xml:space="preserve">S4: Added 27/Oct. </t>
  </si>
  <si>
    <t>check_manual_confirmation('EST-SPE-09-01-A')</t>
  </si>
  <si>
    <t>SPE-10-01</t>
  </si>
  <si>
    <t>PedART_current</t>
  </si>
  <si>
    <t>Update Pediatric ART data in Spectrum for the current reporting period</t>
  </si>
  <si>
    <t>Has user updated pediatric ART data in their Spectrum file for current reporting year [required / optional data elements available in Indicator Element Matrix]?</t>
  </si>
  <si>
    <t xml:space="preserve">Spectrum requires up-to-date Pediatric ART programme data for the reporting period. You can find all required data elements in the Guide 8, Data quality, Indicator Element Matrix. It is highly recommended you finalize your programme data before beginning the Spectrum process. If edits to ART programme data are required later in the process, you will have to return to this step. </t>
  </si>
  <si>
    <t>check_manual_confirmation('EST-SPE-10-01-A')</t>
  </si>
  <si>
    <t>SPE-11-01</t>
  </si>
  <si>
    <t>PedVS_current,MaleVS_current,FemaleVS_current</t>
  </si>
  <si>
    <t>Update viral load suppression data in Spectrum for the current reporting period for adult females and males and pediatric populations</t>
  </si>
  <si>
    <r>
      <rPr>
        <rFont val="Calibri"/>
        <color theme="1"/>
        <sz val="8.0"/>
      </rPr>
      <t>Spectrum file has</t>
    </r>
    <r>
      <rPr>
        <rFont val="Calibri"/>
        <color theme="1"/>
        <sz val="8.0"/>
      </rPr>
      <t xml:space="preserve"> updated viral suppression data in Spectrum for current reporting period [required / optional data elements available in Indicator Element Matrix]?</t>
    </r>
  </si>
  <si>
    <t xml:space="preserve">Spectrum requires up-to-date adult and pediatric viral load suppression programme data for the reporting period. You can find all required data elements in the Guide 8, Data quality, Indicator Element Matrix. It is highly recommended you finalize your programme data before beginning the Spectrum process. Enter the best, most up-to-date viral load suppression data you have for adult female, adult male, and pediatric populations. </t>
  </si>
  <si>
    <t xml:space="preserve">JS: In the Data Checker
</t>
  </si>
  <si>
    <t>check_manual_confirmation('EST-SPE-11-01-A')</t>
  </si>
  <si>
    <t>SPE-12-CK</t>
  </si>
  <si>
    <t>Are SPE-05-01,SPE-07-01,SPE-08-01,SPE-10-01,SPE-11-01 complete?</t>
  </si>
  <si>
    <t>Not a user-facing task
MM: SPE-06 is not required. i have removed</t>
  </si>
  <si>
    <t>check_not_skipped(['EST-SPE-05-01-A', 'EST-SPE-07-01-A', 'EST-SPE-08-01-A', 'EST-SPE-10-01-A', 'EST-SPE-11-01-A'])</t>
  </si>
  <si>
    <t>SPE-12-01</t>
  </si>
  <si>
    <t>AdultProgression_default,AdultDistNI_default,ARTMortNoART_default,ARTMortART_default</t>
  </si>
  <si>
    <t>Confirm default values for adult parameters under Advanced Options</t>
  </si>
  <si>
    <t>Has the user confirmed that the default values for adult parameters under Advanced Options are updated?</t>
  </si>
  <si>
    <t>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Adult Transition Parameters &gt; Restore all transition default values and exit. For Spectrum on the web: enter Advanced Options and confirm the default selections for adult parameters. If you see values in red font, the parameters have not been updated. To learn more about the Advanced Options, see the Spectrum training materials.</t>
  </si>
  <si>
    <t>Spectrum training materials https://hivtools.unaids.org/hiv-estimates-training-material-en/</t>
  </si>
  <si>
    <t>check_manual_confirmation('EST-SPE-12-01-A')</t>
  </si>
  <si>
    <t>SPE-13-01</t>
  </si>
  <si>
    <t>ChildProgression_default,ChildDistNI_default,ChildMortNoART_default,ChildMortART_default</t>
  </si>
  <si>
    <t>Confirm default values for pediatric parameters under Advanced Options</t>
  </si>
  <si>
    <t>Has the user confirmed that the default values for pediatric parameters under Advanced Options are correct?</t>
  </si>
  <si>
    <t>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Pediatric Parameters &gt; Restore all transition default values and exit. For Spectrum on the web: enter Advanced Options and confirm the default selections for pediatric parameters. If you see values in red font, the parameters have not been updated. To learn more about the Advanced Options, see the Spectrum training materials.</t>
  </si>
  <si>
    <t>check_manual_confirmation('EST-SPE-13-01-A')</t>
  </si>
  <si>
    <t>SPE-14-01</t>
  </si>
  <si>
    <t>FRRCD4_default,FRRageNoART_default,FRRageART_default</t>
  </si>
  <si>
    <t>Update Fertility Rate Ratios or confirm default values are used under Advanced Options</t>
  </si>
  <si>
    <t xml:space="preserve">Has the user updated the Fertility Rate Ratios under Advanced Options? </t>
  </si>
  <si>
    <t>To produce accurate estimates of number of births to women living with HIV, Spectrum requires the correct assumptions about fertility among women living with HIV are selected under Advanced Options. Enter Advanced Options and confirm the default selections for the "HIV-related fertility reductions" are correct for your country. If good quality prevalence from census level ANC data are available, those can be used with the fit local fertility adjustment. The data will be pulled directly from EPP so update your ANC-RT census data in EPP before doing this step.  To learn more about the Advanced Options, see the Spectrum training materials.</t>
  </si>
  <si>
    <t>check_manual_confirmation('EST-SPE-14-01-A')</t>
  </si>
  <si>
    <t>SPE-15-01</t>
  </si>
  <si>
    <t>MTCTtrans_default</t>
  </si>
  <si>
    <t>Confirm default values for MTCT probabilities under Advanced Options</t>
  </si>
  <si>
    <t>Has the user confirmed that the default values for mother-to-child transmission probabilities under Advanced Options are correct?</t>
  </si>
  <si>
    <t>To produce accurate estimates, Spectrum requires the correct options are selected under Advanced Options. Enter Advanced Options in Spectrum Web and confirm the default selections for the "MTCT Transmission Probabilities" are correct for your country. To learn more about the Advanced Options, see the Spectrum training materials.</t>
  </si>
  <si>
    <t>Spectrum training materials  https://hivtools.unaids.org/hiv-estimates-training-material-en/</t>
  </si>
  <si>
    <t>check_manual_confirmation('EST-SPE-15-01-A')</t>
  </si>
  <si>
    <t>SPE-16-01</t>
  </si>
  <si>
    <t>ARTallocation_default</t>
  </si>
  <si>
    <t>Confirm default values for new ART allocation method under Advanced Options</t>
  </si>
  <si>
    <t>Has the user confirmed that the default values for the allocation method for new ART patients under Advanced Options is correct?</t>
  </si>
  <si>
    <t xml:space="preserve">To produce accurate estimates, Spectrum requires the correct options are selected under Advanced Options. Enter Advanced Options in Spectrum Web and confirm the default selection for the "allocation method for new ART patients" is correct for your country. To learn more about the Advanced Options, see the Spectrum training materials. </t>
  </si>
  <si>
    <t>check_manual_confirmation('EST-SPE-16-01-A')</t>
  </si>
  <si>
    <t>SPE-17-CK</t>
  </si>
  <si>
    <t>Are SPE-12-01, SPE-13-01, SPE-14-01, SPE-15-01, SPE-16-01 complete?</t>
  </si>
  <si>
    <t>Not a user-facing task</t>
  </si>
  <si>
    <t>check_not_skipped(['EST-SPE-12-01-A', 'EST-SPE-13-01-A', 'EST-SPE-14-01-A', 'EST-SPE-15-01-A', 'EST-SPE-16-01-A'])</t>
  </si>
  <si>
    <t>Generate HIV incidence for generalized epidemics using EPP</t>
  </si>
  <si>
    <t>UNAIDS Estimation and Projection Package is used in generalized epidemics to estimate HIV incidence for Spectrum. In this milestone, you will execute the steps needed to update your EPP projections from last year with new population, surveillance and survey data and then refit your projections. You will also distribute the newly calculated incidence across the age/sex bands under fit incidence ratios.</t>
  </si>
  <si>
    <t>Country has a generalized epidemic and required data sets: ANC surveillance, survey (prevalence and incidence/ART coverage (if available), and routine ANC testing data</t>
  </si>
  <si>
    <t>Comment</t>
  </si>
  <si>
    <t>S4 Follow-up</t>
  </si>
  <si>
    <t>EPP-02-01</t>
  </si>
  <si>
    <t>Define and review your country's epidemic structure in EPP</t>
  </si>
  <si>
    <t>Has the user defined and reviewed the epidemic structure in EPP?</t>
  </si>
  <si>
    <t xml:space="preserve">Congratulations on finishing the first of two Spectrum milestones. Now you will begin the process of estimating HIV incidence using EPP. 
EPP requires the country to have a defined epidemic structure. You can see the previously used epidemic structure for your country in Spectrum (Modules&gt;AIM&gt;Incidence&gt;Configuration (EPP)). You may have to choose EPP as the preferred option under Incidence &gt; Incidence Options. 
If all the information is valid, you can choose "Save and continue", which will take you to EPP's "Define Pops" page. If the epidemic structure is not correct, you can set it up according to data availability for your country. Once completed, choose "Save and continue" to proceed to the next step. </t>
  </si>
  <si>
    <t>MM: I don't think EPP-03 and EPP-04 should be mandatory because they usually do not change</t>
  </si>
  <si>
    <t>check_manual_confirmation('EST-EPP-02-01-A')</t>
  </si>
  <si>
    <t>EPP-03-01</t>
  </si>
  <si>
    <t>Define population sizes for the epidemic structure</t>
  </si>
  <si>
    <t>Has the user defined population sizes based on the selected epidemic structure?</t>
  </si>
  <si>
    <t xml:space="preserve">If the epidemic structure is defined, population sizes must be entered for each population. In most cases you will not have to change this unless there is new data.  Option 1: Divide National epidemic into urban/rural. Click Save and Continue. Option 2: For urban/rural structure epidemic with extended years of projections, you can either fill in percentage urban for extended years or adjust to UN values then click Save and Continue. Option 3: In case of National epidemic structure consisting of multiple sub-national projections, adjust for changed population, adding data for extended years, if necessary. Verify that population still to assign is 0 for all years then click Save and Continue. </t>
  </si>
  <si>
    <t>check_manual_confirmation('EST-EPP-03-01-A')</t>
  </si>
  <si>
    <t>EPP-04-01</t>
  </si>
  <si>
    <t>Enter new or corrected surveillance or survey data into EPP (if available)</t>
  </si>
  <si>
    <t>Have you entered your prevlanece data from routine ANC and any other new surveillance or survey data?</t>
  </si>
  <si>
    <t xml:space="preserve">Enter the latest ANC prevalence or any new survey or surveillance data into EPP under Incidence &gt; Surveillance data (EPP). If you have new surveillance data to enter: i) select first subpopulation, ii) choose the HIV data mode for the source of your surveillance data (HIV Sentinel Surveillance or Antenatal Clinics), iii) enter data for sentinel and/or routine testing and census-level ANC if available. If applicable, continue this process for all sub-populations. If you have no survey data, click "Save and Continue". However, if you have new survey data, begin by clicking the "Source" button to explain the survey. Select the new survey, provide a short name, enter the year of the survey, and provide the standard error. If the survey has incidence, you can enter those values. Repeat for all sub-areas as needed. Once you have finished, click "Save and Continue" to proceed. </t>
  </si>
  <si>
    <t>check_manual_confirmation('EST-EPP-04-01-A')</t>
  </si>
  <si>
    <t>EPP-05-01</t>
  </si>
  <si>
    <t>Run curve fitting in Spectrum</t>
  </si>
  <si>
    <t>Has the user run curve fitting in Spectrum?</t>
  </si>
  <si>
    <t xml:space="preserve">An important step in estimating HIV incidence is curve fitting, which is completed in Spectrum (AIM &gt; Incidence &gt; Curve Fitting). Be sure to review your data in the graph on this page for each population before proceeding with the curve fitting process. If you see any outliers or mistaken data points in the surveillance, survey, or census data displayed on the graph, then return to "AIM &gt; Incidence &gt; Surveillance Data (EPP)" menu and correct them before fitting. Once you are satisfied with the data, you can select the model for fitting each population. In most instances this is the same model you have used in the previous year and no action is needed. You may consult the Guide 3, Spectrum Quick Start for information about which model to use. Once the model is selected for each population, set to run national projection and then "Fit All". Save All projections and calibrate if needed (Guide 3, Spectrum Quick Start can provide further information about calibration). Review the results on EPP’s “Fitting Results” page. Compare new results with previous projection using the “Compare” button. If there are large differences in the curve produced in the last round consider whether the input data or model fit might have changed those data. </t>
  </si>
  <si>
    <r>
      <rPr>
        <rFont val="Calibri"/>
        <color theme="1"/>
        <sz val="8.0"/>
      </rPr>
      <t xml:space="preserve">Guide 3, Spectrum Quick Start </t>
    </r>
    <r>
      <rPr>
        <rFont val="Calibri"/>
        <color rgb="FF1155CC"/>
        <sz val="8.0"/>
        <u/>
      </rPr>
      <t>https://hivtools.unaids.org/hiv-estimates-training-material-en/</t>
    </r>
  </si>
  <si>
    <t>S4: To confirm, this is the Spectrum Quick Guide, correct?
Also, note there's no direct link to the training materials and guides so I'm sending them to the landing page for the training material. 
MM: That is correct it is the spectrum quick start guide.  We could send them to the EPP video: Training material ID Code G.21 or G.40</t>
  </si>
  <si>
    <t>check_manual_confirmation('EST-EPP-05-01-A')</t>
  </si>
  <si>
    <t>EPP-06-01</t>
  </si>
  <si>
    <t>In Spectrum, restore sex/age incidence patterns to default values and fit them as fixed or time-dependent ratios</t>
  </si>
  <si>
    <t xml:space="preserve">Have sex/age incidence patterns been restored to default values and then fit either as fixed over time or time-dependent ratios in Spectrum? </t>
  </si>
  <si>
    <t xml:space="preserve">You are close to completing the Spectrum process. The last step created an incidence curve. Now we need to asign that incidence by age and sex. For generalized epidemics with national surveys, the model will calculate the appropriate sex and age incidence patterns from the current age/sex prevlance pattern. Begin by navigating to AIM &gt; Sex/Age Pattern in Spectrum. Then click the button ‘Restore default values’. Then set the radio button to Pattern fitted to HIV prevalence or ART and select Fit Incidence ratios. Set the radio button to ‘Time dependent incidence ratios’ and click the button ‘Fit incidence’. The fit should only take a few minutes. Then set the radio button to ‘Fixed incidence ratios over time’ and click the button ‘Fit incidence ratios’ again. When it is done, look at the values of the Akaike information criterion for each option. This statistic measures the goodness of fit and adjusts for the degrees of freedom. The lower number is the better option. Set the radio button to that option. Also look at how well the modelled results match the prevalence from your surveys. Check this for males and females separately using the radio buttons at the top of the screen. Ideally the values will be within the confidence intervals of the survey. </t>
  </si>
  <si>
    <t>check_manual_confirmation('EST-EPP-06-01-A')</t>
  </si>
  <si>
    <t>Generate knowledge of HIV status using Shiny 90</t>
  </si>
  <si>
    <t xml:space="preserve">In this milestone, you will use Shiny 90 to estimate the proportion of people living with HIV who know their HIV+ status (KOS). KOS is the "first 90" of the 90-90-90 framework used globally in the fight against HIV. In this milestone, you will enter programme and survey data, run your model, and download the results before returning to Spectrum. </t>
  </si>
  <si>
    <t>Country has nationally representative population survey data with HIV serology testing; 
Spectrum file is completed (EPP run, and IRRs fit) highly recommended
HTS data which have been reviewed and validated by the estimates team</t>
  </si>
  <si>
    <t>S90-01-10</t>
  </si>
  <si>
    <t>Ensure pediatric and adult ART programme data inputs, incidence estimates (EPP) and sex/age patterns have not changed in Spectrum</t>
  </si>
  <si>
    <t>Programme data for pediatric and adult ART as well as incidence results are up to date?</t>
  </si>
  <si>
    <t>Shiny 90 will use the information on people living with HIV and numbers on ART in your Spectrum file to run the shiny90 model. If any of the data used in Spectrum have changed, please go back and update those data in Spectrum. If the ART or prevalence data have changed please rerun your EPP curve fitting.  Once the Spectrum file is fully up to date you can run your Shiny 90 file</t>
  </si>
  <si>
    <t>check_manual_confirmation('EST-S90-01-10-A')</t>
  </si>
  <si>
    <t>S90-02-01</t>
  </si>
  <si>
    <t>Start a new working set in Shiny 90</t>
  </si>
  <si>
    <t xml:space="preserve">Is the user planning to start a new working set? </t>
  </si>
  <si>
    <t>The next step estimates the proportion of people living with HIV who know their HIV positive status. In most cases you will create a new Shiny90 file, assuming that you have updated your HIV testing data with the most recent year. If you are going back to review the results you can also use an existing workset. 
This step is not yet linked to the ADR (although it is planned for a future date). You should have on your computer the most recent Shiny90 HIV testing data, Shiny90 survey data and your final Spectrum file.  
**If you make any changes to the Spectrum file after this step you will need to rerun your Shiny90 results.**</t>
  </si>
  <si>
    <t>Shiny 90 https://shiny90.unaids.org/</t>
  </si>
  <si>
    <t>check_manual_confirmation('EST-S90-02-01-A')</t>
  </si>
  <si>
    <t>Updated w/ Mary's testing feedback text</t>
  </si>
  <si>
    <t>S90-03-CK</t>
  </si>
  <si>
    <t>Are  GEN-07-01, ADR-02-01, ADR-06-01, and EPP-06-01 complete?</t>
  </si>
  <si>
    <t>check_not_skipped(['EST-GEN-07-01-A', 'EST-ADR-02-01-A', 'EST-ADR-06-01-A', 'EST-EPP-06-01-A'])</t>
  </si>
  <si>
    <t>not a user facing task</t>
  </si>
  <si>
    <t>S90-04-01</t>
  </si>
  <si>
    <t>Upload your final Spectrum file to Shiny 90</t>
  </si>
  <si>
    <t>Has the user uploaded a final Spectrum file to Shiny 90?</t>
  </si>
  <si>
    <t xml:space="preserve">Shiny 90 requires you to have already completed the first milestone in Spectrum and download the final file. If you do not have a Spectrum file, you cannot yet begin the Shiny 90 process. Please return to Spectrum and complete all steps from milestone 01 - Input Data to Spectrum. </t>
  </si>
  <si>
    <t>check_manual_confirmation('EST-S90-04-01-A')</t>
  </si>
  <si>
    <t>S90-05-01</t>
  </si>
  <si>
    <t>Verify the Spectrum file you have uploaded by checking file name and visualizing the data in Shiny 90</t>
  </si>
  <si>
    <t>Has the user verified that the correct final, calibrated Spectrum file has been uploaded to Shiny 90 by checking the file name and visually reviewing the data in the graphics provided by Shiny 90?</t>
  </si>
  <si>
    <t xml:space="preserve">Be sure to confirm you are using the correct Spectrum file by checking the file name and visually reviewing the data in the graphics provided by Shiny 90. If you have uploaded the incorrect Spectrum file, please upload the final file and then proceed. </t>
  </si>
  <si>
    <t>check_manual_confirmation('EST-S90-05-01-A')</t>
  </si>
  <si>
    <t>S90-06-01</t>
  </si>
  <si>
    <t>Upload your HIV Testing programme data file in the format required by Shiny 90</t>
  </si>
  <si>
    <t>Has the user uploaded an existing HIV Testing programme data file in the format required by Shiny 90?</t>
  </si>
  <si>
    <t>Shiny 90 requires testing programme data in a specific format to function properly. Currently, the file can be downloaded from Shiny 90 after Upload the HIV Testing programme data file in the format required by Shiny 90</t>
  </si>
  <si>
    <t>check_manual_confirmation('EST-S90-06-01-A')</t>
  </si>
  <si>
    <t>This template isn't available on ADR. It can't be validated by ADR currently. Shouldn't this be added to ADR and validated by the same? Note you cannot access it until after you upload your Spectrum file, meaning you have to disrupt the workflow to complete the file before proceeding with Shiny 90. 
@UNAIDS - we don't check if they've uploaded their survey file. Is this something we decided last week on the call? If not, I may have deleted by accident. Should we have an equivalent check for the survey file right after this one? 
Ian: the data checks and prep are under 01. yes this shoudl be validated there.
the task here is for the user to load the program data</t>
  </si>
  <si>
    <t>S90-07-01</t>
  </si>
  <si>
    <t>Visualize the programme data in Shiny 90 to confirm their validity</t>
  </si>
  <si>
    <t xml:space="preserve">Has the user reviewed the programme data using the visualization options in Shiny 90 and confirmed the data are valid? </t>
  </si>
  <si>
    <t xml:space="preserve">If you have not yet visualized the data to check for outliers or other data issues, please do so. Once you have visualized the data and confirmed data are of high quality, you may proceed with the Shiny 90 process. </t>
  </si>
  <si>
    <t>check_manual_confirmation('EST-S90-07-01-A')</t>
  </si>
  <si>
    <t>S90-08-01</t>
  </si>
  <si>
    <t>Run the Shiny 90 model</t>
  </si>
  <si>
    <t>Has the user run the Shiny 90 model?</t>
  </si>
  <si>
    <t>Now you are ready to run the model. You can run the model by clicking the Run Model link in the left menu and then the "Run Model" button.</t>
  </si>
  <si>
    <t>check_manual_confirmation('EST-S90-08-01-A')</t>
  </si>
  <si>
    <t>Ian: Question: at this point is the user in Navifator or in shiny 90? if in shiny 90 then steps 09-12 are repetious and not required as shiny 90 already guides the user to do these steps
please demo via mock up what you envision here
S4 20/Nov: although Shiny 90 (and other models such as Naomi) generally guides the user, the Navigator still provides the workflow and validates the status of the individual tasks (or asks the user to validate the task status). It also provides more detailed instructions than the main UI of the models. If we don't show the Navigator tasks step-by-step here, then it will be a different workflow than all other milestones. We'd like for users to be able to go back and forth between the models and Navigator and using Navigator to manage their progress. 
MM 24/Nov: Let's keep in for now. For next Navigator version, let's establish a principle for what stays in Navigator and what can be explained in the models themselves. For example, will Navigator take over quick start guides? Navigator currently covers 80% of quick start guides. Should we leave as is or cover remaining 20% and remove the guides?</t>
  </si>
  <si>
    <t>S90-09-01</t>
  </si>
  <si>
    <t>Confirm Shiny 90 model outputs</t>
  </si>
  <si>
    <t xml:space="preserve">Is the user satisfied with the model outputs after examining the visualizations presented by Shiny 90? </t>
  </si>
  <si>
    <t xml:space="preserve">After you have viewed the advanced visualizations of the model outputs ("Advanced Outputs" tab), are you satisfied with the results? If you believe the model outputs do not reflect your expectations, you can determine underlying causes of poor outputs (e.g., survey data, programme data, Spectrum file), correct them and return to the beginning of Shiny 90. Once you are satisfied with the model outputs, you can download the Shiny 90 output file by clicking the "Download Shiny 90 Outputs for Spectrum" and return to Spectrum to proceed with the estimates process. </t>
  </si>
  <si>
    <t>check_manual_confirmation('EST-S90-09-01-A')</t>
  </si>
  <si>
    <t>S90-10-01</t>
  </si>
  <si>
    <t>Download the Shiny 90 output file for use in Spectrum</t>
  </si>
  <si>
    <t>Has the user downloaded the Shiny 90 output file?</t>
  </si>
  <si>
    <t xml:space="preserve">Now you are ready to download your results and return to Spectrum to continue the process. Click the "Download Shiny 90 Outputs for Spectrum” button and save the file in your preferred location then return to Spectrum to continue. </t>
  </si>
  <si>
    <t>check_manual_confirmation('EST-S90-10-01-A')</t>
  </si>
  <si>
    <t>Data Loader:</t>
  </si>
  <si>
    <t>Finalize National HIV Estimates in Spectrum</t>
  </si>
  <si>
    <t xml:space="preserve">In this milestone, you will finalize your national estimates using Spectrum. For countries producing provincial or state-level estimates in Spectrum the tasks must be completed for each of your Spectrum files.  </t>
  </si>
  <si>
    <t>Milestones, 1, 2, 3, 4, 5 and 6 are completed</t>
  </si>
  <si>
    <t>load_csv_from_zipped_resource('inputs-unaids-spectrum-file', '.*_check.CSV', 'spectrum-validation-file')</t>
  </si>
  <si>
    <t>SPF-01-10</t>
  </si>
  <si>
    <t>Confirm adult ART programme data and ANC and survey prevalence inputs have not changed since beginning the EPP process</t>
  </si>
  <si>
    <t>No updates have been made to any Spectrum data inputs (population, ART programme data, ART, ANC survey and prevalence ) before estimating incidence in EPP?</t>
  </si>
  <si>
    <t xml:space="preserve">If ART or surveillance data have changed since you completed the first portion of Spectrum, you must update the data entry in Spectrum, rerun EPP curve fits and update the sex/age patterns. </t>
  </si>
  <si>
    <t>check_manual_confirmation('EST-SPF-01-10-A')</t>
  </si>
  <si>
    <t xml:space="preserve">JS: Spectrum will display whether the Uncertainty Analysis and Shiny 90 projections are Valid. If not, they need to be re-run. This is included in the Data Checker validation file we will send to ADR. </t>
  </si>
  <si>
    <t>SPF-02-01</t>
  </si>
  <si>
    <t>Confirm no updates have been made to the HIV Testing programme data</t>
  </si>
  <si>
    <t>No updates have been made to any Shiny 90 programme (HIV Testing) or survey data since completing the Shiny 90 process?</t>
  </si>
  <si>
    <t>If any underlying programme or survey data have changed since you completed the Shiny 90 model, you must return to the beginning of the Shiny 90 process and repeat all steps before proceeding with the final stages of Spectrum.</t>
  </si>
  <si>
    <t>check_manual_confirmation('EST-SPF-02-01-A')</t>
  </si>
  <si>
    <t>JS: There no way for Spectrum to know this.</t>
  </si>
  <si>
    <t>SPF-03-01</t>
  </si>
  <si>
    <t>Upload a completed Shiny 90 file to Spectrum or enter KOS estimates in another format</t>
  </si>
  <si>
    <t>User's Spectrum file has updated knowledge of status data in Spectrum for current estimates year [required / optional data elements available in Indicator Element Matrix] by uploading a completed Shiny 90 file?</t>
  </si>
  <si>
    <t>Each of your Spectrum files requires updated knowledge of status data elements for current estimates year using one of available options - Direct Entry of Case Reports, Shiny 90, CSAVR, ECDC, Manual Entry. Most countries will use Shiny 90. If you have used Shiny 90, you must upload your Shiny 90 model outputs (AIM &gt; Program Statistics &gt; Knowledge of Status &gt; Data Source = Shiny 90 &gt; Load Data).</t>
  </si>
  <si>
    <t>check_manual_confirmation('EST-SPF-03-01-A')</t>
  </si>
  <si>
    <t>Shiny90Valid,PedKOS_current,MaleKOS_current,FemaleKOS_current</t>
  </si>
  <si>
    <r>
      <rPr>
        <rFont val="Calibri"/>
        <color theme="1"/>
        <sz val="8.0"/>
      </rPr>
      <t xml:space="preserve">JS: KOS must be run for each Spectrum file
MM: Delete this row as it repeats the last step of KOS
</t>
    </r>
    <r>
      <rPr>
        <rFont val="Calibri"/>
        <color theme="5"/>
        <sz val="8.0"/>
      </rPr>
      <t xml:space="preserve">S4 20/Nov: The final tasks of KOS are downloading the file. This task is actually uploading it to Spectrum (or entering KOS through other means). Not sure why we drop this step as it's required. </t>
    </r>
  </si>
  <si>
    <t>DROP</t>
  </si>
  <si>
    <t>SPF-04-01</t>
  </si>
  <si>
    <t>Confirm incidence estimates have been completed using EPP</t>
  </si>
  <si>
    <t xml:space="preserve">Estimated incidence has been completed using EPP? </t>
  </si>
  <si>
    <t xml:space="preserve">Your Spectrum file requires updated incidence estimates for the current estimates year. For 2022, only countries with generalized epidemics using EPP are using the HIV Estimates Navigator. Ensure you have completed the EPP process for generalized epidemics prior to proceeding in Spectrum. If you used another method to complete your incidence estimates, you can market this task complete. </t>
  </si>
  <si>
    <t>check_manual_confirmation('EST-SPF-04-01-A')</t>
  </si>
  <si>
    <t xml:space="preserve">UNAIDS: For 2022, Navigator is only available to countries with generalized epidemics using EPP. </t>
  </si>
  <si>
    <t>SPF-05-01</t>
  </si>
  <si>
    <t>View and validate your Spectrum results</t>
  </si>
  <si>
    <t>User has viewed and validated results of the model in Spectrum?</t>
  </si>
  <si>
    <t xml:space="preserve">Ensure you have viewed and validated your country's results using Spectrum validation tab for all Spectrum files. There are a number of options for validating the Spectrum projection against data on the validation tab. The prevalence by age chart will compare the Spectrum estimate of prevalence by age (solid line) against survey estimates from the same year. You can select the survey in the drop-down menu at the top to pull in prepopulated data from the survey. Generally the Spectrum line should pass through the confidence intervals of the survey estimates. 
If you entered the number of people on ART by age group under Program Statistics, you can compare the Spectrum estimate (solid line) with those data. 
Under the ART option, you can display a chart showing the number of people living with HIV but not on ART according to whether they have never or previously been on treatment. In many countries today, the majority of those not on ART were in treatment previously but dropped out. The projections in this chart depend on the assumptions summarized at the bottom of that page about annual retention on ART, on the likelihood of re-initiation on treatment and whether mortality while off ART is different among those who were previously on treatment compared to those who are treatment naïve. You can change any of these assumptions to see the effect on the curves.
Finally in the validation tab you can check the file completeness. This will ensure that the you have entered the required data for 2021, the parameters are updated to the latest defaults, and that you have the required additional files. Please make this final check before uploading to ADR. </t>
  </si>
  <si>
    <t>check_manual_confirmation('EST-SPF-05-01-A')</t>
  </si>
  <si>
    <t>SPF-06-01</t>
  </si>
  <si>
    <t>Confirm your ART and PMTCT coverage does not exceed 100%</t>
  </si>
  <si>
    <r>
      <rPr>
        <rFont val="Calibri"/>
        <color theme="1"/>
        <sz val="8.0"/>
      </rPr>
      <t xml:space="preserve">Coverages for adult and pediatric ART and PMTCT do </t>
    </r>
    <r>
      <rPr>
        <rFont val="Calibri"/>
        <color theme="1"/>
        <sz val="8.0"/>
        <u/>
      </rPr>
      <t>not</t>
    </r>
    <r>
      <rPr>
        <rFont val="Calibri"/>
        <color theme="1"/>
        <sz val="8.0"/>
      </rPr>
      <t xml:space="preserve"> exceed 100%? </t>
    </r>
  </si>
  <si>
    <t xml:space="preserve">Occasionally, Spectrum will produce coverage of over 100% for ART or PMTCT services. There are multiple causes for coverage results over 100%. If your results are over 100%, UNAIDS recommends resolving this issue before proceeding by consulting your estimates facilitator and/or UNAIDS to determine how to address coverage issues in your model results. 
Although this is a manual step, Navigator will also automatically check to ensure your coverage isn't over 100% when you upload your Spectrum file to ADR later in the process. Once you have confirmed your coverage is 100% or less, mark this task complete and click the "What's Next?" button. </t>
  </si>
  <si>
    <t>check_manual_confirmation('EST-SPF-06-01-A')</t>
  </si>
  <si>
    <t>AdultARTcovLT100,PedARTcovLT100,PMTCTcovLT100</t>
  </si>
  <si>
    <t>SPF-07-01</t>
  </si>
  <si>
    <t>Compare your Spectrum outputs to last year's results in read-only</t>
  </si>
  <si>
    <t xml:space="preserve">Has user opened the prior year's file as read-only and compared it against the reporting period's results? </t>
  </si>
  <si>
    <t xml:space="preserve">As a final step you can compare your new estimate for 2021 with the 2020 estimate prepared last year. To do this, choose ‘File’ from the top horizontal menu and then ‘Read Only’. (In the web version go to ‘Library’, click the ‘…’ menu next to last year’s file name and select ‘Read Only’. 
_x000b_Spectrum will open last year’s projection in Read Only mode, meaning that you will not be able to change anything. Now when you display any result, you will see the new estimate shown in red and the previous estimate shown in blue. </t>
  </si>
  <si>
    <t>check_manual_confirmation('EST-SPF-07-01-A')</t>
  </si>
  <si>
    <t xml:space="preserve">JS: Good to suggest this, but it is not required.
</t>
  </si>
  <si>
    <t>SPF-08-01</t>
  </si>
  <si>
    <t>Run Uncertainty Analysis</t>
  </si>
  <si>
    <t>Has user run Uncertainty Analysis?</t>
  </si>
  <si>
    <t xml:space="preserve">The uncertainty associated with each result can be estimated using the Uncertainty Analysis tool. Access this tool by choosing ‘Tools’ from the top horizontal menu, then ‘More Tools’, then ‘Uncertainty analysis’. 
Set the ‘Aggregate data capture year’ to the final year of data and the ‘Number of iterations’ to 300, then click the ‘Process’ button. The model will run 300 simulations by choosing values for the epidemiological parameters from within their confidence intervals. This analysis may take 10-30 minutes. When it is complete, click the ‘Save’ button. After running this analysis you will see uncertainty intervals on all the outputs (as long as you only have one projection open in Spectrum). </t>
  </si>
  <si>
    <t>check_manual_confirmation('EST-SPF-08-01-A')</t>
  </si>
  <si>
    <t>UAvalid</t>
  </si>
  <si>
    <t>SPF-09-01</t>
  </si>
  <si>
    <t>Confirm Spectrum results</t>
  </si>
  <si>
    <t>User found no issues with Spectrum results?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</si>
  <si>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</si>
  <si>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check_manual_confirmation('EST-SPF-09-01-A')</t>
  </si>
  <si>
    <t>SPF-10-01</t>
  </si>
  <si>
    <t>If you are using multiple Spectrum files (e.g., for provincial estimates), view aggregate results</t>
  </si>
  <si>
    <t xml:space="preserve">If producing multiple Spectrum files, the user has reviewed the combined results using the Spectrum aggregate function? </t>
  </si>
  <si>
    <t xml:space="preserve">If you have multiple Spectrum files (e.g., provincial files), you must use the aggregate function to view combined national-level estimates. Begin by saving all Spectrum files to a single location (e.g., your computer or share drive). Close all the files in Spectrum, click on Tools &gt; More Tools &gt; Aggregate.  Choose the files to add and Process. If you are not producing sub-national estimates in Spectrum, mark this task complete. </t>
  </si>
  <si>
    <t>check_manual_confirmation('EST-SPF-10-01-A')</t>
  </si>
  <si>
    <t>SPF-11-01</t>
  </si>
  <si>
    <t>Upload your Spectrum file to your organization on ADR</t>
  </si>
  <si>
    <t>Final, validated Spectrum file has been uploaded to the correct organization on ADR?</t>
  </si>
  <si>
    <t xml:space="preserve">Before proceeding, you should now upload your final Spectrum file to the AIDS Data Repository (adr.hivtools.org). Saving your file to ADR supports sound knowledge management and will allow your country estimates team and supporters (e.g., UNAIDS) to view the results. Further, if you are proceeding with sub-national estimates, Naomi will require your Spectrum file. Naomi can pull your Spectrum file directly from ADR. To upload your Spectrum file to ADR, proceed to adr.hivtools.org and find your organization (i.e., country). In your country's list of data, you will see the Dataset for the reporting period. </t>
  </si>
  <si>
    <r>
      <rPr>
        <rFont val="Calibri"/>
        <color theme="1"/>
        <sz val="8.0"/>
      </rPr>
      <t xml:space="preserve">AIDS Data Repository </t>
    </r>
    <r>
      <rPr>
        <rFont val="Calibri"/>
        <color rgb="FF1155CC"/>
        <sz val="8.0"/>
        <u/>
      </rPr>
      <t>http://adr.hivtools.org</t>
    </r>
  </si>
  <si>
    <t>check_manual_confirmation('EST-SPF-11-01-A')</t>
  </si>
  <si>
    <r>
      <rPr>
        <rFont val="Calibri"/>
        <color theme="1"/>
        <sz val="8.0"/>
      </rPr>
      <t xml:space="preserve">js: We are working on adding that capability.
S4: </t>
    </r>
    <r>
      <rPr>
        <rFont val="Calibri"/>
        <color theme="5"/>
        <sz val="8.0"/>
      </rPr>
      <t xml:space="preserve">@Fjelltopp </t>
    </r>
    <r>
      <rPr>
        <rFont val="Calibri"/>
        <color theme="1"/>
        <sz val="8.0"/>
      </rPr>
      <t xml:space="preserve">- Link directly to the user's organization page and possibly Dataset for the current year. 
Ian: at this point there should be an autmated check to verify that the default parameters have been used, as well as check shiny file has loaded into Spectrum and comparison of ART totals to Naomi input files
</t>
    </r>
    <r>
      <rPr>
        <rFont val="Calibri"/>
        <color theme="5"/>
        <sz val="8.0"/>
      </rPr>
      <t xml:space="preserve">S4 20/Nov: we are checking default parameters at the end of the 1st Spectrum milestone, which follows the workflow in the training materials. Should it be repeated here? Checking uploaded Shiny file is up above. The validation of Spectrum ART totals vis-a-vis Naomi data files is the first step in Naomi milestone. Should it be moved here. </t>
    </r>
    <r>
      <rPr>
        <rFont val="Calibri"/>
        <color theme="1"/>
        <sz val="8.0"/>
      </rPr>
      <t xml:space="preserve"> Also, Spectrum CSV data checker will validate some (all?) of these things. </t>
    </r>
  </si>
  <si>
    <t>SPF-13-01</t>
  </si>
  <si>
    <t>Spectrum Validation: Enter PMTCT data for the current reporting year into Spectrum</t>
  </si>
  <si>
    <t xml:space="preserve">**Navigator has detected that there is a problem with your Spectrum file. **
Spectrum requires up-to-date PMTCT programme data for the reporting period. These data are required for each Spectrum file. You can find all required data elements in the Guide 8, Data quality, Indicator Element Matrix. Spectrum also provides specific guidance for each regimen in the PMTCT data entry page. *It is highly recommended you finalize your programme data before beginning the Spectrum process.* If edits to PMTCT programme data are required later in the process, you will have to return to this step. For countries with sub-national Spectrum estimates (optional), this step applies to each file. 
Please ensure you correct this in your Spectrum file **and then reupload the file to the ADR** in order to complete this task. </t>
  </si>
  <si>
    <r>
      <rPr>
        <rFont val="Calibri"/>
        <color theme="1"/>
        <sz val="8.0"/>
      </rPr>
      <t xml:space="preserve">Guide 8, Data quality, Indicator Element Matrix </t>
    </r>
    <r>
      <rPr>
        <rFont val="Calibri"/>
        <color rgb="FF1155CC"/>
        <sz val="8.0"/>
        <u/>
      </rPr>
      <t>https://hivtools.unaids.org/hiv-estimates-training-material-en/</t>
    </r>
  </si>
  <si>
    <t>check_spectrum_file(['PMTCT_current'])</t>
  </si>
  <si>
    <t>SPF-14-01</t>
  </si>
  <si>
    <t>Spectrum Validation: Update Adult ART data in Spectrum</t>
  </si>
  <si>
    <t xml:space="preserve">**Navigator has detected that there is a problem with your Spectrum file. **
Spectrum requires up-to-date Adult ART programme data for the reporting period for estimating treatment coverage and for estimating incidence. You should update the ART data before running your incidence curve. Data on the number newly initiated on ART and lost to follow up can improve the precision of some of the outputs from Spectrum. If those data are available be sure to include them. You can find all required data elements in the Guide 8, Data quality, Indicator Element Matrix. If edits to the ART programme data are required later in the process, you will have to rerun your incidence curve fitting. 
Please ensure you correct this in your Spectrum file **and then reupload the file to the ADR** in order to complete this task. </t>
  </si>
  <si>
    <t>check_spectrum_file(['MaleART_current', 'FemaleART_current'])</t>
  </si>
  <si>
    <t>check_spectrum_file(['MaleART_current', 
'FemaleART_current'])</t>
  </si>
  <si>
    <t>SPF-15-01</t>
  </si>
  <si>
    <t>Spectrum Validation: Update Pediatric ART data in Spectrum for the current reporting period</t>
  </si>
  <si>
    <t xml:space="preserve">**Navigator has detected that there is a problem with your Spectrum file. **
Spectrum requires up-to-date Pediatric ART programme data for the reporting period. You can find all required data elements in the Guide 8, Data quality, Indicator Element Matrix. It is highly recommended you finalize your programme data before beginning the Spectrum process. If edits to ART programme data are required later in the process, you will have to return to this step. 
Please ensure you correct this in your Spectrum file **and then reupload the file to the ADR** in order to complete this task. </t>
  </si>
  <si>
    <t>check_spectrum_file(['PedART_current'])</t>
  </si>
  <si>
    <t>SPF-16-01</t>
  </si>
  <si>
    <t>Spectrum Validation: Update viral load suppression data in Spectrum for the current reporting period for adult females and males and pediatric populations</t>
  </si>
  <si>
    <r>
      <rPr>
        <rFont val="Calibri"/>
        <color theme="1"/>
        <sz val="8.0"/>
      </rPr>
      <t>Spectrum file has</t>
    </r>
    <r>
      <rPr>
        <rFont val="Calibri"/>
        <color theme="1"/>
        <sz val="8.0"/>
      </rPr>
      <t xml:space="preserve"> updated viral suppression data in Spectrum for current reporting period [required / optional data elements available in Indicator Element Matrix]?</t>
    </r>
  </si>
  <si>
    <t xml:space="preserve">**Navigator has detected that there is a problem with your Spectrum file. **
Spectrum requires up-to-date adult and pediatric viral load suppression programme data for the reporting period. You can find all required data elements in the Guide 8, Data quality, Indicator Element Matrix. It is highly recommended you finalize your programme data before beginning the Spectrum process. Enter the best, most up-to-date viral load suppression data you have for adult female, adult male, and pediatric populations. 
Please ensure you correct this in your Spectrum file **and then reupload the file to the ADR** in order to complete this task. </t>
  </si>
  <si>
    <t>check_spectrum_file(['PedVS_current', 'MaleVS_current', 'FemaleVS_current'])</t>
  </si>
  <si>
    <t>SPF-17-01</t>
  </si>
  <si>
    <t>Spectrum Validation: Confirm default values for adult parameters under Advanced Options</t>
  </si>
  <si>
    <t xml:space="preserve">**Navigator has detected that there is a problem with your Spectrum file. **
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Adult Parameters &gt; Restore defaults. For Spectrum on the web: enter Advanced Options and confirm the default selections for adult parameters. If you see values in red font, the parameters have not been updated. To learn more about the Advanced Options, see the Spectrum training materials.
Please ensure you correct this in your Spectrum file **and then reupload the file to the ADR** in order to complete this task. </t>
  </si>
  <si>
    <t>check_spectrum_file(['AdultProgression_default', 'AdultDistNI_default', 'ARTMortNoART_default', 'ARTMortART_default'])</t>
  </si>
  <si>
    <t>SPF-18-01</t>
  </si>
  <si>
    <t>Spectrum Validation: Confirm default values for pediatric parameters under Advanced Options</t>
  </si>
  <si>
    <t xml:space="preserve">**Navigator has detected that there is a problem with your Spectrum file. **
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Pediatric Parameters &gt; Restore defaults. For Spectrum on the web: enter Advanced Options and confirm the default selections for pediatric parameters. If you see values in red font, the parameters have not been updated. To learn more about the Advanced Options, see the Spectrum training materials.
Please ensure you correct this in your Spectrum file **and then reupload the file to the ADR** in order to complete this task. </t>
  </si>
  <si>
    <t>check_spectrum_file(['ChildProgression_default', 'ChildDistNI_default', 'ChildMortNoART_default', 'ChildMortART_default'])</t>
  </si>
  <si>
    <t>SPF-19-01</t>
  </si>
  <si>
    <t>Spectrum Validation: Confirm default values for Fertility Rate Ratios under Advanced Options</t>
  </si>
  <si>
    <t>Has the user confirmed that the default values for Fertility Rate Ratios under Advanced Options are correct?</t>
  </si>
  <si>
    <t xml:space="preserve">**Navigator has detected that there is a problem with your Spectrum file. **
To produce accurate estimates, Spectrum requires the correct options are selected under Advanced Options. Enter Advanced Options in Spectrum Web and confirm the default selections for the "HIV-related fertility reductions" are correct for your country. They must be confirmed for CD4, on ART, and off ART. To learn more about the Advanced Options, see the Spectrum training materials.
Please ensure you correct this in your Spectrum file **and then reupload the file to the ADR** in order to complete this task. </t>
  </si>
  <si>
    <t>check_spectrum_file(['FRRCD4_default', 'FRRageNoART_default', 'FRRageART_default'])</t>
  </si>
  <si>
    <t>SPF-20-01</t>
  </si>
  <si>
    <t>Spectrum Validation: Confirm default values for MTCT probabilities under Advanced Options</t>
  </si>
  <si>
    <t xml:space="preserve">**Navigator has detected that there is a problem with your Spectrum file. **
To produce accurate estimates, Spectrum requires the correct options are selected under Advanced Options. Enter Advanced Options in Spectrum Web and confirm the default selections for the "MTCT Transmission Probabilities" are correct for your country. To learn more about the Advanced Options, see the Spectrum training materials.
Please ensure you correct this in your Spectrum file **and then reupload the file to the ADR** in order to complete this task. </t>
  </si>
  <si>
    <t>check_spectrum_file(['MTCTtrans_default'])</t>
  </si>
  <si>
    <t>SPF-21-01</t>
  </si>
  <si>
    <t>Spectrum Validation: Confirm default values for new ART allocation method under Advanced Options</t>
  </si>
  <si>
    <t xml:space="preserve">**Navigator has detected that there is a problem with your Spectrum file. **
To produce accurate estimates, Spectrum requires the correct options are selected under Advanced Options. Enter Advanced Options in Spectrum Web and confirm the default selection for the "allocation method for new ART patients" is correct for your country. To learn more about the Advanced Options, see the Spectrum training materials. 
Please ensure you correct this in your Spectrum file **and then reupload the file to the ADR** in order to complete this task. </t>
  </si>
  <si>
    <t>check_spectrum_file(['ARTallocation_default'])</t>
  </si>
  <si>
    <t>SPF-22-01</t>
  </si>
  <si>
    <t>Spectrum Validation: Upload a completed Shiny 90 file to Spectrum or enter KOS estimates in another format</t>
  </si>
  <si>
    <t xml:space="preserve">**Navigator has detected that there is a problem with your Spectrum file. **
Each of your Spectrum files requires updated knowledge of status data elements for current estimates year using one of available options - Direct Entry of Case Reports, Shiny 90, CSAVR, ECDC, Manual Entry. Most countries will use Shiny 90. If you have used Shiny 90, you must upload your Shiny 90 model outputs (AIM &gt; Program Statistics &gt; Knowledge of Status &gt; Data Source = Shiny 90 &gt; Load Data).
Please ensure you correct this in your Spectrum file **and then reupload the file to the ADR** in order to complete this task. </t>
  </si>
  <si>
    <t>check_spectrum_file(['Shiny90Valid', 'PedKOS_current', 'MaleKOS_current', 'FemaleKOS_current'])</t>
  </si>
  <si>
    <t>SPF-23-01</t>
  </si>
  <si>
    <t>Spectrum Validation: Confirm your ART and PMTCT coverage does not exceed 100%</t>
  </si>
  <si>
    <r>
      <rPr>
        <rFont val="Calibri"/>
        <color theme="1"/>
        <sz val="8.0"/>
      </rPr>
      <t xml:space="preserve">Coverages for adult and pediatric ART and PMTCT do </t>
    </r>
    <r>
      <rPr>
        <rFont val="Calibri"/>
        <color theme="1"/>
        <sz val="8.0"/>
        <u/>
      </rPr>
      <t>not</t>
    </r>
    <r>
      <rPr>
        <rFont val="Calibri"/>
        <color theme="1"/>
        <sz val="8.0"/>
      </rPr>
      <t xml:space="preserve"> exceed 100%? </t>
    </r>
  </si>
  <si>
    <t xml:space="preserve">**Navigator has detected that there is a problem with your Spectrum file. **
Occasionally, Spectrum will produce coverage of over 100% for ART or PMTCT services. There are multiple causes for coverage results over 100%. UNAIDS recommends consulting your estimates facilitator and/or UNAIDS to determine how to address coverage issues in your model results. 
Please ensure you correct this in your Spectrum file **and then reupload the file to the ADR** in order to complete this task. </t>
  </si>
  <si>
    <t>check_spectrum_file(['AdultARTcovLT100', 'PedARTcovLT100', 'PMTCTcovLT100'])</t>
  </si>
  <si>
    <t>SPF-24-01</t>
  </si>
  <si>
    <t>Spectrum Validation: Run Uncertainty Analysis</t>
  </si>
  <si>
    <t xml:space="preserve">**Navigator has detected that there is a problem with your Spectrum file. **
The uncertainty associated with each result can be estimated using the Uncertainty Analysis tool. Access this tool by choosing ‘Tools’ from the top horizontal menu, then ‘More Tools’, then ‘Uncertainty analysis’. 
Set the ‘Aggregate data capture year’ to the final year of data and the ‘Number of iterations’ to 300, then click the ‘Process’ button. The model will run 300 simulations by choosing values for the epidemiological parameters from within their confidence intervals. This analysis may take 10-30 minutes. When it is complete, click the ‘Save’ button. After running this analysis you will see uncertainty intervals on all the outputs (as long as you only have one projection open in Spectrum). 
Please ensure you correct this in your Spectrum file **and then reupload the file to the ADR** in order to complete this task. </t>
  </si>
  <si>
    <t>check_spectrum_file(['UAvalid'])</t>
  </si>
  <si>
    <t>SPF-25-01</t>
  </si>
  <si>
    <t>Upload KP workbook into Spectrum</t>
  </si>
  <si>
    <t>Has the user uploaded their KP workbook into Spectrum</t>
  </si>
  <si>
    <t>A new feature added in 2022 was the review of available key population data. These data will be used in future years to improve the models. In 2022 it will not impact the model. You will find a prepopulated KP data sheet on ADR within your HIV Estimates 2022 country data set. 
This task requires that you review the prepopulated key population data, update with any missing data, and create national-level estimates of KP size, HIV prevalence, and new HIV infections.  
Once you are complete you should upload the file into Spectrum under Program Statistics &gt; Key Populations.  Remember that this step has no impact on your Spectrum estimates.</t>
  </si>
  <si>
    <t>check_manual_confirmation('EST-SPF-25-01-A')</t>
  </si>
  <si>
    <t>SPF-26-01</t>
  </si>
  <si>
    <t>Alert UNAIDS that your Spectrum file is ready for review</t>
  </si>
  <si>
    <t xml:space="preserve">User has shared Spectrum file with UNAIDS? </t>
  </si>
  <si>
    <t>Congratulations on reaching this point in the estimates process! Please alert your UNAIDS focal point that the file is ready for review and is availble on ADR.</t>
  </si>
  <si>
    <t>check_manual_confirmation('EST-SPF-26-01-A')</t>
  </si>
  <si>
    <t>S4: Are results shared with UNAIDS now or after Naomi in case of sub-national estimates?
MM: Should be before but often a fluid process.</t>
  </si>
  <si>
    <t>SPF-27-01</t>
  </si>
  <si>
    <t>Determine if you will produce district-level estimates</t>
  </si>
  <si>
    <t xml:space="preserve">User is producing district-level HIV estimates? </t>
  </si>
  <si>
    <t xml:space="preserve">If you are not producing district-level estimates, congratulations, you have completed the estimates process. You may use results for national reporting or other needs. 
*If you require estimates to inform your PEPFAR Data Pack or DMPPT, you must product district-level estimates using Naomi.*
If you are planning to produce district-level estimates, mark this task complete and click the "What's Next?" button to proceed to the Naomi milestone. </t>
  </si>
  <si>
    <t>check_manual_confirmation('EST-SPF-27-01-A')</t>
  </si>
  <si>
    <t>Generate District HIV Estimates Using Naomi</t>
  </si>
  <si>
    <t xml:space="preserve">Countries generating district-level estimates utilize the Naomi model. In this milestone, you will create a project, import your Dataset from the AIDS Data Repository, and execute multiple steps to calibrate and run the model for your district estimates. This is the final milestone in the HIV Estimates Navigator. </t>
  </si>
  <si>
    <t>User has a validated, final Spectrum file
No underlying Spectrum data (e.g., surveillance, survey, or programme data) have changed since the Spectrum file was produced. 
User has uploaded validated programme data and survey data files to ADR in the required formats</t>
  </si>
  <si>
    <t>load_csv_from_zipped_resource('inputs-unaids-naomi-output-zip', '.*unaids_navigator_checklist.csv', 'naomi-validation-file')</t>
  </si>
  <si>
    <t>Naomi Check File Ref</t>
  </si>
  <si>
    <t>NAO-01-10</t>
  </si>
  <si>
    <t>Upload Naomi data files to your Dataset on ADR if you haven't already</t>
  </si>
  <si>
    <t>Is the reporting period's estimates Dataset uploaded to ADR and validated, including: i) Area boundary file, ii) Final, validated Spectrum file, iii) Population data, iv) Survey data, v) ART data, and vi) ANC data?</t>
  </si>
  <si>
    <t>UNAIDS encourages use of ADR's Dataset functionality for storing estimates data files. The ADR includes data validation to ensure data conform to the required structure and meet basic data quality requirements.
 For your convenience, UNAIDS has already uploaded last year's final data files to your Dataset for this year.
Naomi requires specific data inputs:
- Area boundary file,
- Final, validated Spectrum file,
- Population data,
- Household survey data,
- ART programme data, and
- Routine ANC testing data.
Before beginning Naomi, upload these data inputs to this year's Dataset to ADR. Naomi will import these validated files directly from ADR.</t>
  </si>
  <si>
    <t>check_manual_confirmation('EST-NAO-01-10-A')</t>
  </si>
  <si>
    <t>NAO-02-01</t>
  </si>
  <si>
    <t>ART_is_Spectrum,ANC_is_Spectrum</t>
  </si>
  <si>
    <t>Match data inputs for Spectrum and Naomi</t>
  </si>
  <si>
    <t>Do all Naomi-required data which were also used by Spectrum or other models match the values used by Spectrum and other models?</t>
  </si>
  <si>
    <t>ART and ANC testing programme data used by Naomi are also used by Spectrum. The sum of the area-disaggregated data input to Naomi should be equal those input into Spectrum.
If the Naomi data inputs do not match those used in your Spectrum model process, review the data from both sources and modify them to match. If you have changed inputs used by Spectrum, return to Spectrum and begin the process again. If you have altered your Naomi inputs to match those used by Spectrum, you may continue with Naomi.
Learn more about the requirements for each of the models in 'Guide 8, Data quality, Indicator Element Matrix' in the UNAIDS training materials using the link below.</t>
  </si>
  <si>
    <t>check_manual_confirmation('EST-NAO-02-01-A')</t>
  </si>
  <si>
    <r>
      <rPr>
        <rFont val="Calibri"/>
        <color theme="1"/>
        <sz val="8.0"/>
      </rPr>
      <t xml:space="preserve">Ian: run a formal validation to compare the values in the spectrum file and the naomi input files
</t>
    </r>
    <r>
      <rPr>
        <rFont val="Calibri"/>
        <color rgb="FFFF0000"/>
        <sz val="8.0"/>
      </rPr>
      <t>@Fjelltopp - can ADR compare the Spectrum file's numbers and compare them to the Naomi Input Files?</t>
    </r>
  </si>
  <si>
    <t>NAO-03-01</t>
  </si>
  <si>
    <t>Using Naomi involves logging in via a user account. If you do not already have a Naomi user account, please request one using the link to the form below. 
A Naomi user account has several advantages:
- integration with ADR and direct access to your Dataset,
- project saving,
- sharing of draft and final project results.
If you prefer, you may use Naomi as a guest, but it is not recommended.</t>
  </si>
  <si>
    <t>check_manual_confirmation('EST-NAO-03-01-A')</t>
  </si>
  <si>
    <t>NAO-04-01</t>
  </si>
  <si>
    <r>
      <rPr>
        <rFont val="Calibri"/>
        <color theme="1"/>
        <sz val="8.0"/>
      </rPr>
      <t xml:space="preserve">In order to take full advantage of Naomi's functionality, UNAIDS recommends you log into the system with your user account. There are many advantages to logging into Naomi such as integration with ADR and direct access to your estimates Dataset, project saving, and sharing of draft and final project results.. 
If you do not log in, you will not be able to pull your data from ADR nor save projects and versions. To log into Naomi, go to </t>
    </r>
    <r>
      <rPr>
        <rFont val="Calibri"/>
        <color rgb="FF1155CC"/>
        <sz val="8.0"/>
        <u/>
      </rPr>
      <t>naomi.unaids.org</t>
    </r>
    <r>
      <rPr>
        <rFont val="Calibri"/>
        <color theme="1"/>
        <sz val="8.0"/>
      </rPr>
      <t xml:space="preserve"> and enter your login details on the landing page. </t>
    </r>
  </si>
  <si>
    <r>
      <rPr>
        <rFont val="Calibri"/>
        <color theme="1"/>
        <sz val="8.0"/>
      </rPr>
      <t xml:space="preserve">Log in to Naomi </t>
    </r>
    <r>
      <rPr>
        <rFont val="Calibri"/>
        <color rgb="FF1155CC"/>
        <sz val="8.0"/>
        <u/>
      </rPr>
      <t>https://naomi.unaids.org/login</t>
    </r>
  </si>
  <si>
    <t>check_manual_confirmation('EST-NAO-04-01-A')</t>
  </si>
  <si>
    <t>NAO-05-01</t>
  </si>
  <si>
    <t>Package_created</t>
  </si>
  <si>
    <t xml:space="preserve">The first step to using Naomi is to create a project. To create a project, enter a name for the project and click the 'Create Project' button.
Each Naomi project has its own data and settings. If you are logged in, you can save multiple projects and test different data and model options for comparison. 
To create a project, simply enter a name for the project and click the 'Create Project' button. </t>
  </si>
  <si>
    <t>check_manual_confirmation('EST-NAO-05-01-A')</t>
  </si>
  <si>
    <t>NAO-06-01</t>
  </si>
  <si>
    <t>Package_has_all_data</t>
  </si>
  <si>
    <t>Import validated data from ADR or by uploading directly to Naomi</t>
  </si>
  <si>
    <t>Has the user imported validated data inputs either from ADR or through individual file uploads?</t>
  </si>
  <si>
    <t xml:space="preserve">To begin the Naomi process, you must either import your data from ADR by entering your ADR access key (*recommended*) or by uploading individual data input files required by Naomi.
You can find your ADR access key on your ADR profile page (click your name in the upper part of any ADR page after logging in). 
UNAIDS recommends using last year's data files and updating them with data from the current reporting period. Enter your data into these data files in the required formats and then either upload them to ADR for validation or directly to Naomi in order to proceed. For your convenience, UNAIDS has placed your country's final data files from last year into this year's Dataset on ADR. You only need to update those files with data from the current year. 
More information about the required inputs for all models are available in 'Guide 8, Data quality, Indicator Element Matrix' in the UNAIDS training materials. On the same page, you can find more information about preparing Naomi data inputs in 'Guide 4, Preparing Naomi data inputs'. A link to these UNAIDS resources is provided below. </t>
  </si>
  <si>
    <r>
      <rPr>
        <rFont val="Calibri"/>
        <color rgb="FF000000"/>
        <sz val="8.0"/>
      </rPr>
      <t xml:space="preserve">Get your ADR access key </t>
    </r>
    <r>
      <rPr>
        <rFont val="Calibri"/>
        <color rgb="FF1155CC"/>
        <sz val="8.0"/>
        <u/>
      </rPr>
      <t>https://adr.unaids.org/me/</t>
    </r>
    <r>
      <rPr>
        <rFont val="Calibri"/>
        <color rgb="FF000000"/>
        <sz val="8.0"/>
      </rPr>
      <t xml:space="preserve">
Guide 4, Preparing Naomi data inputs https://hivtools.unaids.org/hiv-estimates-training-material-en/
Guide 8, Data quality, Indicator Element Matrix </t>
    </r>
    <r>
      <rPr>
        <rFont val="Calibri"/>
        <color rgb="FF1155CC"/>
        <sz val="8.0"/>
        <u/>
      </rPr>
      <t>https://hivtools.unaids.org/hiv-estimates-training-material-en/</t>
    </r>
  </si>
  <si>
    <t>check_manual_confirmation('EST-NAO-06-01-A')</t>
  </si>
  <si>
    <t>NAO-07-01</t>
  </si>
  <si>
    <t>Visualize inputs data in Naomi</t>
  </si>
  <si>
    <t>Has the user visualized uploaded data and is the user satisfied with the results?</t>
  </si>
  <si>
    <t xml:space="preserve">Naomi relies heavily on the quality of country data inputs. Modest data quality issues in these inputs may impact Naomi outputs significantly. Please visualize your data inputs in Naomi by scrolling through the various visualizations provided for survey and programme data. Be sure to use the filters provided to review specific portions of the data for validity. If you already completed this step for programme data before you completed Spectrum, there is no need to repeat it for programme data at this time. 
You can learn more about standards of practice for estimates data quality in Guide 6, Data Quality Standards of Practice in the UNAIDS estimates training materials. Table 2 in this guide provides a number of helpful analyses, many of which can be conducted using Naomi's Inputs Review function. </t>
  </si>
  <si>
    <t>Guide 6, Data Quality Standards of Practice in the UNAIDS estimates training materials  https://hivtools.unaids.org/hiv-estimates-training-material-en/</t>
  </si>
  <si>
    <t>check_manual_confirmation('EST-NAO-07-01-A')</t>
  </si>
  <si>
    <t>NAO-08-01</t>
  </si>
  <si>
    <t>Opt_recent_qtr,Opt_future_proj_qtr,Opt_area_ID_selected,Opt_calendar_survey_match,Opt_recent_survey_only,Opt_ART_coverage,Opt_ANC_data,Opt_ART_data,Opt_ART_attendance_yes</t>
  </si>
  <si>
    <t>Select or confirm default settings in Naomi model options</t>
  </si>
  <si>
    <t>Has the user selected or confirmed default settings in model options?</t>
  </si>
  <si>
    <r>
      <rPr>
        <rFont val="Arial"/>
        <color rgb="FF000000"/>
        <sz val="8.0"/>
      </rPr>
      <t>Naomi is a flexible model which allows countries to customize their subnational outputs. Review the multitude of model options available to users. 
You can learn more about these options in 'Guide 5, Naomi Quick Start' in UNAIDS estimates training materials</t>
    </r>
    <r>
      <rPr>
        <rFont val="Arial"/>
        <color rgb="FF1155CC"/>
        <sz val="8.0"/>
      </rPr>
      <t>.</t>
    </r>
  </si>
  <si>
    <t>Guide 5, Naomi Quick Start  https://hivtools.unaids.org/hiv-estimates-training-material-en/</t>
  </si>
  <si>
    <t>check_manual_confirmation('EST-NAO-08-01-A')</t>
  </si>
  <si>
    <r>
      <rPr>
        <rFont val="Calibri"/>
        <color theme="1"/>
        <sz val="8.0"/>
      </rPr>
      <t xml:space="preserve">Ian: Can we run a formal check on the naomi file that is uploaded to the ADR to verify if the standandirsed options a country has used match what is expecetd. This means we need a prepoulated database that contains a list of expected parameters for each country that uses naomi
</t>
    </r>
    <r>
      <rPr>
        <rFont val="Calibri"/>
        <color rgb="FFFF0000"/>
        <sz val="8.0"/>
      </rPr>
      <t>@Fjelltopp - possible this year?</t>
    </r>
  </si>
  <si>
    <t>NAO-09-01</t>
  </si>
  <si>
    <t>Model_fit</t>
  </si>
  <si>
    <t>Fit the model in Naomi</t>
  </si>
  <si>
    <t>Has the user fit their model in Naomi?</t>
  </si>
  <si>
    <t xml:space="preserve">After you have selected and validated the various model options, the next step in the Naomi process is to fit your model. Depending on your underlying data, this step may take some time (up to 30 minutes or even an hour in rare cases). When you are ready, simply click the "Fit Model" button. </t>
  </si>
  <si>
    <t>check_manual_confirmation('EST-NAO-09-01-A')</t>
  </si>
  <si>
    <t>NAO-10-01</t>
  </si>
  <si>
    <t>Cal_PLHIV,Cal_ART,Cal_KOS,Cal_new_infections,Cal_method</t>
  </si>
  <si>
    <t>Calibrate the model in Naomi</t>
  </si>
  <si>
    <t>Has the user calibrated the model?</t>
  </si>
  <si>
    <t>Naomi model results may be calibrated to Spectrum outputs for the four indicators: PLHIV, ART, aware of HIV status and new infections. This ensures that the mean aggregate estimates from Spectrum and Naomi are consistent.
All these should be adjusted to match your Spectrum file either the national or sub-national Spectrum files with the following age sex stratification: (sex and age &lt;15 /15+ years).
For calibration method: use the default which is logistic and which scales the prevalence, ART coverage, proportion unaware, and incidence on the logit scale within each district / sex / age stratum in order to match to Spectrum. This ensures that ART coverage does not go above 100% in any district / sex / age stratification.
Further information is available in Guide 5, Naomi Quick Start.</t>
  </si>
  <si>
    <t>Guide 5, Naomi Quick Start https://hivtools.unaids.org/hiv-estimates-training-material-en/</t>
  </si>
  <si>
    <t>check_manual_confirmation('EST-NAO-10-01-A')</t>
  </si>
  <si>
    <t>NAO-11-01</t>
  </si>
  <si>
    <t>Confirm no data files in your Dataset on ADR required for district estimates have changed since you began Naomi</t>
  </si>
  <si>
    <t>No updates have been made to any Naomi data files or underlying data to be used by Naomi before using those files in models which project subnational est?</t>
  </si>
  <si>
    <t xml:space="preserve">If any underlying programme data have changed since you completed the first portion of Spectrum, you must return to the beginning of the Spectrum process and repeat all steps before proceeding with the final steps of Spectrum and, after, to the beginning of the Naomi milestone. *Note steps you followed to estimate incidence (e.g., EPP) and produce KOS outputs (Shiny 90) must also be repeated if your underlying data files have changed.* </t>
  </si>
  <si>
    <t>check_manual_confirmation('EST-NAO-11-01-A')</t>
  </si>
  <si>
    <t>NAO-12-01</t>
  </si>
  <si>
    <t>Review your Naomi model output</t>
  </si>
  <si>
    <t>Has user reviewed their Naomi model output?</t>
  </si>
  <si>
    <t>Once you have calibrated your Naomi model, the next step is to review the results in the maps, tables and bar charts in the Naomi application.
Review coverage estimates for estimates that are implausibly high or low; review prevalence and incidence data for values that are not realistic (e.g., outlying compared to most other districts or to other quarters/years).
Available review options include:
-  i) Visualisations - Chloropleth, Bar chart, Bubble plot;
- ii) Tabular results - Estimates and CIs, Sortable and searchable;
- iii) All stratifications of - Indicators, Levels, Areas, Time points, Sexes, and Age groups.
If you have questions or concerns about your Naomi model outputs, contact your estimates facilitator or UNAIDS.</t>
  </si>
  <si>
    <t>check_manual_confirmation('EST-NAO-12-01-A')</t>
  </si>
  <si>
    <t>NAO-13-01</t>
  </si>
  <si>
    <t>Download your Naomi results</t>
  </si>
  <si>
    <t>Has user downloaded their Naomi results?</t>
  </si>
  <si>
    <t>The next step is to upload your Naomi results to ADR or download your results for review by UNAIDS, use in country programme planning, and for global reporting.
UNAIDS recommends using the *Upload to ADR* feature on Naomi. You may directly upload the files to your ADR data set using the 'Upload to ADR' button the 'Download' step in the Naomi application. Ensure you have uploaded the final outputs to ADR for records retention and to allow access to the results to your country estimates team and other interested stakeholders (e.g., UNAIDS and your estimates facilitator). You may dir
Otherwise, there are three download options:
- Option 1. Export model outputs for Spectrum. Use this option to download a zip file which can then be uploaded into Spectrum and used to create a PEPFAR Data pack. You can also use this file to view the results on a Naomi-Spectrum viewer available at https://naomi-spectrum.unaids.org. This provides some additional viewing options and a table format of the data both at district and province level.
- Option 2. Download coarse age group outputs.
- Option 3. Download summary report. This option provides a summary of your results which you can share with key stakeholders.</t>
  </si>
  <si>
    <t>check_manual_confirmation('EST-NAO-13-01-A')</t>
  </si>
  <si>
    <t>NAO-14-01</t>
  </si>
  <si>
    <t>Upload final validated Naomi file to your organization on ADR</t>
  </si>
  <si>
    <t xml:space="preserve">Has user uploaded final validated Naomi files to ADR? </t>
  </si>
  <si>
    <t xml:space="preserve">As a final step, you should now upload your final Naomi files to the AIDS Data Repository (adr.hivtools.org). Saving your file to ADR supports sound knowledge management and will allow your country estimates team and supporters (e.g., UNAIDS) to view the results. To upload your Naomi files to ADR, proceed to adr.hivtools.org and find your organization (i.e., country). In your country's list of data, you will be able to upload your files for the reporting period. Be sure to inform UNAIDS when you have uploaded your Naomi file to ADR for their review. </t>
  </si>
  <si>
    <t>AIDS Data Repository http://adr.hivtools.org</t>
  </si>
  <si>
    <t>check_manual_confirmation('EST-NAO-14-01-A')</t>
  </si>
  <si>
    <t>NAO-15-01</t>
  </si>
  <si>
    <t>Naomi Validation: Match data inputs for Spectrum and Naomi</t>
  </si>
  <si>
    <t>**Navigator has detected a problem with your Naomi Outputs zip.**
Some data inputs used by Naomi are disaggregated versions of data inputs for other models such as Spectrum. For example, ART and ANC data used by Naomi are also used by Spectrum. You can learn more about the requirements for each of the models from 'Guide 8' in the UNAIDS training materials (attached below). It is critical that data inputs used by Naomi match the inputs used by Spectrum. Although in some cases disaggregation levels may differ, the sum of the disaggregations must equal those used by Spectrum. If the Naomi data inputs do not match those used in your Spectrum model process, modify them to match. If you have changed inputs used by Spectrum, you must return to Spectrum and begin the process again. If you have altered your Naomi inputs to match those used by Spectrum, you may continue with Naomi. 
**Please ensure you address this in your Naomi model run and then reupload your Naomi Outputs zip to the ADR in order to complete this task.**</t>
  </si>
  <si>
    <t>check_naomi_file(['ART_is_Spectrum', 'ANC_is_Spectrum'])</t>
  </si>
  <si>
    <r>
      <rPr>
        <rFont val="Calibri"/>
        <color theme="1"/>
        <sz val="8.0"/>
      </rPr>
      <t xml:space="preserve">Ian: run a formal validation to compare the values in the spectrum file and the naomi input files
</t>
    </r>
    <r>
      <rPr>
        <rFont val="Calibri"/>
        <color rgb="FFFF0000"/>
        <sz val="8.0"/>
      </rPr>
      <t>@Fjelltopp - can ADR compare the Spectrum file's numbers and compare them to the Naomi Input Files?</t>
    </r>
  </si>
  <si>
    <t>NAO-16-01</t>
  </si>
  <si>
    <t>Naomi Validation: Select or confirm default settings in Naomi model options</t>
  </si>
  <si>
    <r>
      <rPr>
        <rFont val="Arial"/>
        <color rgb="FF000000"/>
        <sz val="8.0"/>
      </rPr>
      <t>**Navigator has detected a problem with your Naomi Outputs zip.**
Naomi is a flexible model which allows countries to customize their subnational outputs. Review the multitude of model options available to users. You can learn more about these options in 'Guide 5, Naomi Quick Start' in UNAIDS estimates training materials</t>
    </r>
    <r>
      <rPr>
        <rFont val="Arial"/>
        <color rgb="FF1155CC"/>
        <sz val="8.0"/>
      </rPr>
      <t xml:space="preserve">.
</t>
    </r>
    <r>
      <rPr>
        <rFont val="Calibri"/>
        <color theme="1"/>
        <sz val="8.0"/>
      </rPr>
      <t>**Please ensure you address this in your Naomi model run and then reupload your Naomi Outputs zip to the ADR in order to complete this task.**</t>
    </r>
  </si>
  <si>
    <t>check_naomi_file(['Opt_recent_qtr', 'Opt_future_proj_qtr' , 'Opt_area_ID_selected', 'Opt_calendar_survey_match', 'Opt_recent_survey_only', 'Opt_ART_coverage', 'Opt_ANC_data', 'Opt_ART_data', 'Opt_ART_attendance_yes'])</t>
  </si>
  <si>
    <r>
      <rPr>
        <rFont val="Calibri"/>
        <color theme="1"/>
        <sz val="8.0"/>
      </rPr>
      <t xml:space="preserve">Ian: Can we run a formal check on the naomi file that is uploaded to the ADR to verify if the standandirsed options a country has used match what is expecetd. This means we need a prepoulated database that contains a list of expected parameters for each country that uses naomi
</t>
    </r>
    <r>
      <rPr>
        <rFont val="Calibri"/>
        <color rgb="FFFF0000"/>
        <sz val="8.0"/>
      </rPr>
      <t>@Fjelltopp - possible this year?</t>
    </r>
  </si>
  <si>
    <t>NAO-17-01</t>
  </si>
  <si>
    <t>Cal_PLHIV,Cal_ART,Cal_KOS,Cal_new_infections,Cal_method, Cal_Population</t>
  </si>
  <si>
    <t>Naomi Validation:  Calibrate the model in Naomi</t>
  </si>
  <si>
    <t>**Navigator has detected a problem with your Naomi Outputs zip.**
You should calibrate your model for the following four indicators (PLHIV, ART, aware of HIV status and new infections). This is to ensure that the mean aggregate estimates from Spectrum and Naomi are consistent. All these should be adjusted to match your Spectrum file either the national or sub-national Spectrum files with the following age sex stratification: (sex and age &lt;15 /15+ years). 
For calibration method: use the default which is logistic and which scales the prevalence, ART coverage, proportion unaware, and incidence on the logit scale within each district / sex / age stratum in order to match to Spectrum. This ensures that ART coverage does not go above 100% in any district / sex / age stratification. Further information is available in Guide 5, Naomi Quick Start. 
**Please ensure you address this in your Naomi model run and then reupload your Naomi Outputs zip to the ADR in order to complete this task.**</t>
  </si>
  <si>
    <t>check_naomi_file(['Cal_PLHIV', 'Cal_ART', 'Cal_KOS', 'Cal_new_infections', 'Cal_method', 'Cal_Population'])</t>
  </si>
  <si>
    <t>Task ID</t>
  </si>
  <si>
    <t>Task Title::EN</t>
  </si>
  <si>
    <t>Task Title::FR</t>
  </si>
  <si>
    <t>If test fails, present this to user::FR</t>
  </si>
  <si>
    <t>Resources / Links:: FR</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</si>
</sst>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8.0"/>
      <color theme="1"/>
      <name val="Calibri"/>
    </font>
    <font>
      <sz val="10.0"/>
      <color theme="1"/>
      <name val="Arial"/>
    </font>
    <font>
      <sz val="8.0"/>
      <color theme="1"/>
      <name val="Calibri"/>
    </font>
    <font>
      <color theme="1"/>
      <name val="Arial"/>
      <scheme val="minor"/>
    </font>
    <font>
      <sz val="11.0"/>
      <color theme="1"/>
      <name val="Calibri"/>
    </font>
    <font>
      <b/>
      <sz val="11.0"/>
      <color theme="1"/>
      <name val="Calibri"/>
    </font>
    <font>
      <sz val="8.0"/>
      <color rgb="FF000000"/>
      <name val="Calibri"/>
    </font>
    <font/>
    <font>
      <b/>
      <sz val="8.0"/>
      <color rgb="FF000000"/>
      <name val="Calibri"/>
    </font>
    <font>
      <sz val="11.0"/>
      <color rgb="FFFF0000"/>
      <name val="Calibri"/>
    </font>
    <font>
      <sz val="11.0"/>
      <color rgb="FF000000"/>
      <name val="Calibri"/>
    </font>
    <font>
      <b/>
      <sz val="11.0"/>
      <color rgb="FF000000"/>
      <name val="Calibri"/>
    </font>
    <font>
      <sz val="8.0"/>
      <color theme="1"/>
      <name val="Arial"/>
    </font>
    <font>
      <sz val="11.0"/>
      <color rgb="FFFF0000"/>
      <name val="Arial"/>
    </font>
    <font>
      <u/>
      <sz val="8.0"/>
      <color rgb="FF000000"/>
      <name val="Calibri"/>
    </font>
    <font>
      <u/>
      <sz val="8.0"/>
      <color rgb="FF000000"/>
      <name val="Calibri"/>
    </font>
    <font>
      <sz val="10.0"/>
      <color rgb="FF000000"/>
      <name val="Arial"/>
    </font>
    <font>
      <u/>
      <sz val="8.0"/>
      <color rgb="FF000000"/>
      <name val="Calibri"/>
    </font>
    <font>
      <sz val="8.0"/>
      <color rgb="FFFF0000"/>
      <name val="Calibri"/>
    </font>
    <font>
      <sz val="11.0"/>
      <color theme="1"/>
      <name val="Arial"/>
    </font>
    <font>
      <b/>
      <sz val="10.0"/>
      <color theme="1"/>
      <name val="Calibri"/>
    </font>
    <font>
      <u/>
      <sz val="8.0"/>
      <color theme="1"/>
      <name val="Calibri"/>
    </font>
    <font>
      <strike/>
      <sz val="8.0"/>
      <color theme="1"/>
      <name val="Calibri"/>
    </font>
    <font>
      <u/>
      <sz val="8.0"/>
      <color theme="1"/>
      <name val="Calibri"/>
    </font>
    <font>
      <sz val="8.0"/>
      <color rgb="FFFF0000"/>
      <name val="Arial"/>
    </font>
    <font>
      <sz val="10.0"/>
      <color theme="1"/>
      <name val="Calibri"/>
    </font>
    <font>
      <u/>
      <sz val="8.0"/>
      <color theme="1"/>
      <name val="Calibri"/>
    </font>
    <font>
      <u/>
      <sz val="8.0"/>
      <color rgb="FF000000"/>
      <name val="Calibri"/>
    </font>
    <font>
      <b/>
      <color theme="1"/>
      <name val="Arial"/>
      <scheme val="minor"/>
    </font>
    <font>
      <b/>
      <color rgb="FF000000"/>
      <name val="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EF2CB"/>
        <bgColor rgb="FFFEF2CB"/>
      </patternFill>
    </fill>
    <fill>
      <patternFill patternType="solid">
        <fgColor rgb="FFF3F3F3"/>
        <bgColor rgb="FFF3F3F3"/>
      </patternFill>
    </fill>
    <fill>
      <patternFill patternType="solid">
        <fgColor rgb="FFFFE599"/>
        <bgColor rgb="FFFFE599"/>
      </patternFill>
    </fill>
    <fill>
      <patternFill patternType="solid">
        <fgColor rgb="FFD8D8D8"/>
        <bgColor rgb="FFD8D8D8"/>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border>
    <border>
      <right style="thin">
        <color rgb="FF000000"/>
      </right>
      <top style="thin">
        <color rgb="FF000000"/>
      </top>
    </border>
    <border>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1" fillId="0" fontId="1" numFmtId="0" xfId="0" applyAlignment="1" applyBorder="1" applyFont="1">
      <alignment vertical="bottom"/>
    </xf>
    <xf borderId="0" fillId="0" fontId="1" numFmtId="0" xfId="0" applyFont="1"/>
    <xf borderId="2" fillId="0" fontId="1" numFmtId="0" xfId="0" applyBorder="1" applyFont="1"/>
    <xf borderId="1" fillId="0" fontId="1" numFmtId="0" xfId="0" applyBorder="1" applyFont="1"/>
    <xf borderId="1" fillId="0" fontId="1" numFmtId="0" xfId="0" applyAlignment="1" applyBorder="1" applyFont="1">
      <alignment readingOrder="0"/>
    </xf>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1" fillId="0" fontId="1" numFmtId="0" xfId="0" applyAlignment="1" applyBorder="1" applyFont="1">
      <alignment shrinkToFit="0" vertical="bottom" wrapText="0"/>
    </xf>
    <xf borderId="0" fillId="0" fontId="2" numFmtId="0" xfId="0" applyFont="1"/>
    <xf borderId="1" fillId="0" fontId="3" numFmtId="0" xfId="0" applyAlignment="1" applyBorder="1" applyFont="1">
      <alignment horizontal="left" readingOrder="0" shrinkToFit="0" vertical="bottom" wrapText="1"/>
    </xf>
    <xf borderId="1" fillId="0" fontId="3" numFmtId="0" xfId="0" applyAlignment="1" applyBorder="1" applyFont="1">
      <alignment horizontal="left" shrinkToFit="0" vertical="bottom" wrapText="1"/>
    </xf>
    <xf borderId="1" fillId="0" fontId="3" numFmtId="0" xfId="0" applyAlignment="1" applyBorder="1" applyFont="1">
      <alignment shrinkToFit="0" vertical="bottom" wrapText="1"/>
    </xf>
    <xf borderId="0" fillId="0" fontId="3" numFmtId="0" xfId="0" applyAlignment="1" applyFont="1">
      <alignment horizontal="left" shrinkToFit="0" vertical="bottom" wrapText="1"/>
    </xf>
    <xf borderId="2" fillId="0" fontId="3" numFmtId="0" xfId="0" applyAlignment="1" applyBorder="1" applyFont="1">
      <alignment horizontal="left" shrinkToFit="0" vertical="bottom" wrapText="1"/>
    </xf>
    <xf borderId="3" fillId="0" fontId="3" numFmtId="0" xfId="0" applyAlignment="1" applyBorder="1" applyFont="1">
      <alignment horizontal="left" shrinkToFit="0" vertical="bottom" wrapText="1"/>
    </xf>
    <xf borderId="4" fillId="0" fontId="3" numFmtId="0" xfId="0" applyAlignment="1" applyBorder="1" applyFont="1">
      <alignment horizontal="left" readingOrder="0" shrinkToFit="0" vertical="bottom" wrapText="1"/>
    </xf>
    <xf borderId="5" fillId="0" fontId="3" numFmtId="0" xfId="0" applyAlignment="1" applyBorder="1" applyFont="1">
      <alignment horizontal="left" readingOrder="0" shrinkToFit="0" vertical="bottom" wrapText="1"/>
    </xf>
    <xf borderId="6" fillId="0" fontId="3" numFmtId="0" xfId="0" applyAlignment="1" applyBorder="1" applyFont="1">
      <alignment horizontal="left" readingOrder="0" shrinkToFit="0" vertical="bottom" wrapText="1"/>
    </xf>
    <xf borderId="2" fillId="0" fontId="3" numFmtId="0" xfId="0" applyAlignment="1" applyBorder="1" applyFont="1">
      <alignment horizontal="left" readingOrder="0" shrinkToFit="0" vertical="bottom" wrapText="1"/>
    </xf>
    <xf borderId="0" fillId="0" fontId="4" numFmtId="0" xfId="0" applyAlignment="1" applyFont="1">
      <alignment vertical="bottom"/>
    </xf>
    <xf borderId="0" fillId="0" fontId="2" numFmtId="0" xfId="0" applyAlignment="1" applyFont="1">
      <alignment vertical="bottom"/>
    </xf>
    <xf borderId="0" fillId="0" fontId="5" numFmtId="0" xfId="0" applyFont="1"/>
    <xf borderId="6" fillId="0" fontId="6" numFmtId="0" xfId="0" applyBorder="1" applyFont="1"/>
    <xf borderId="1" fillId="0" fontId="6" numFmtId="0" xfId="0" applyAlignment="1" applyBorder="1" applyFont="1">
      <alignment vertical="bottom"/>
    </xf>
    <xf borderId="1" fillId="0" fontId="3" numFmtId="49" xfId="0" applyAlignment="1" applyBorder="1" applyFont="1" applyNumberFormat="1">
      <alignment readingOrder="0"/>
    </xf>
    <xf borderId="1" fillId="0" fontId="3" numFmtId="49" xfId="0" applyAlignment="1" applyBorder="1" applyFont="1" applyNumberFormat="1">
      <alignment readingOrder="0" shrinkToFit="0" wrapText="1"/>
    </xf>
    <xf borderId="1" fillId="0" fontId="3" numFmtId="49" xfId="0" applyAlignment="1" applyBorder="1" applyFont="1" applyNumberFormat="1">
      <alignment shrinkToFit="0" vertical="bottom" wrapText="1"/>
    </xf>
    <xf borderId="1" fillId="2" fontId="5" numFmtId="0" xfId="0" applyBorder="1" applyFill="1" applyFont="1"/>
    <xf borderId="1" fillId="0" fontId="3" numFmtId="0" xfId="0" applyAlignment="1" applyBorder="1" applyFont="1">
      <alignment horizontal="right" readingOrder="0"/>
    </xf>
    <xf borderId="7" fillId="0" fontId="2" numFmtId="0" xfId="0" applyBorder="1" applyFont="1"/>
    <xf borderId="7" fillId="0" fontId="3" numFmtId="0" xfId="0" applyAlignment="1" applyBorder="1" applyFont="1">
      <alignment horizontal="left" shrinkToFit="0" wrapText="1"/>
    </xf>
    <xf borderId="1" fillId="0" fontId="3" numFmtId="49" xfId="0" applyAlignment="1" applyBorder="1" applyFont="1" applyNumberFormat="1">
      <alignment shrinkToFit="0" wrapText="1"/>
    </xf>
    <xf borderId="1" fillId="0" fontId="3" numFmtId="0" xfId="0" applyAlignment="1" applyBorder="1" applyFont="1">
      <alignment horizontal="right"/>
    </xf>
    <xf borderId="1" fillId="0" fontId="2" numFmtId="0" xfId="0" applyBorder="1" applyFont="1"/>
    <xf borderId="1" fillId="0" fontId="3" numFmtId="0" xfId="0" applyAlignment="1" applyBorder="1" applyFont="1">
      <alignment shrinkToFit="0" wrapText="1"/>
    </xf>
    <xf borderId="1" fillId="0" fontId="5" numFmtId="0" xfId="0" applyBorder="1" applyFont="1"/>
    <xf borderId="1" fillId="0" fontId="3" numFmtId="0" xfId="0" applyAlignment="1" applyBorder="1" applyFont="1">
      <alignment readingOrder="0" shrinkToFit="0" wrapText="1"/>
    </xf>
    <xf borderId="8" fillId="0" fontId="3" numFmtId="0" xfId="0" applyAlignment="1" applyBorder="1" applyFont="1">
      <alignment horizontal="left" shrinkToFit="0" wrapText="1"/>
    </xf>
    <xf borderId="1" fillId="0" fontId="3" numFmtId="0" xfId="0" applyAlignment="1" applyBorder="1" applyFont="1">
      <alignment horizontal="left" shrinkToFit="0" wrapText="1"/>
    </xf>
    <xf borderId="9" fillId="0" fontId="3" numFmtId="0" xfId="0" applyAlignment="1" applyBorder="1" applyFont="1">
      <alignment horizontal="left" shrinkToFit="0" wrapText="1"/>
    </xf>
    <xf borderId="0" fillId="0" fontId="3" numFmtId="0" xfId="0" applyAlignment="1" applyFont="1">
      <alignment shrinkToFit="0" wrapText="1"/>
    </xf>
    <xf borderId="6" fillId="0" fontId="1" numFmtId="0" xfId="0" applyAlignment="1" applyBorder="1" applyFont="1">
      <alignment vertical="bottom"/>
    </xf>
    <xf borderId="1"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3" fillId="0" fontId="3" numFmtId="0" xfId="0" applyAlignment="1" applyBorder="1" applyFont="1">
      <alignment horizontal="left" readingOrder="0" shrinkToFit="0" vertical="bottom" wrapText="1"/>
    </xf>
    <xf borderId="0" fillId="0" fontId="3" numFmtId="0" xfId="0" applyAlignment="1" applyFont="1">
      <alignment horizontal="left" readingOrder="0" shrinkToFit="0" vertical="bottom" wrapText="1"/>
    </xf>
    <xf borderId="1" fillId="0" fontId="3" numFmtId="49" xfId="0" applyBorder="1" applyFont="1" applyNumberFormat="1"/>
    <xf borderId="7" fillId="0" fontId="3" numFmtId="0" xfId="0" applyAlignment="1" applyBorder="1" applyFont="1">
      <alignment readingOrder="0" shrinkToFit="0" wrapText="1"/>
    </xf>
    <xf borderId="7" fillId="0" fontId="3" numFmtId="0" xfId="0" applyAlignment="1" applyBorder="1" applyFont="1">
      <alignment shrinkToFit="0" wrapText="1"/>
    </xf>
    <xf borderId="1" fillId="0" fontId="4" numFmtId="0" xfId="0" applyBorder="1" applyFont="1"/>
    <xf borderId="1" fillId="0" fontId="7" numFmtId="49" xfId="0" applyAlignment="1" applyBorder="1" applyFont="1" applyNumberFormat="1">
      <alignment horizontal="left" readingOrder="0" vertical="bottom"/>
    </xf>
    <xf borderId="1" fillId="0" fontId="7" numFmtId="0" xfId="0" applyAlignment="1" applyBorder="1" applyFont="1">
      <alignment horizontal="left" readingOrder="0" vertical="bottom"/>
    </xf>
    <xf borderId="1" fillId="0" fontId="7" numFmtId="0" xfId="0" applyAlignment="1" applyBorder="1" applyFont="1">
      <alignment horizontal="right" readingOrder="0" vertical="bottom"/>
    </xf>
    <xf borderId="1" fillId="0" fontId="1" numFmtId="0" xfId="0" applyAlignment="1" applyBorder="1" applyFont="1">
      <alignment shrinkToFit="0" wrapText="1"/>
    </xf>
    <xf borderId="6" fillId="0" fontId="8" numFmtId="0" xfId="0" applyBorder="1" applyFont="1"/>
    <xf borderId="2" fillId="0" fontId="9" numFmtId="0" xfId="0" applyBorder="1" applyFont="1"/>
    <xf borderId="1" fillId="0" fontId="9" numFmtId="0" xfId="0" applyBorder="1" applyFont="1"/>
    <xf borderId="1" fillId="0" fontId="7" numFmtId="0" xfId="0" applyAlignment="1" applyBorder="1" applyFont="1">
      <alignment horizontal="left" readingOrder="0" shrinkToFit="0" wrapText="1"/>
    </xf>
    <xf borderId="2" fillId="0" fontId="7" numFmtId="0" xfId="0" applyAlignment="1" applyBorder="1" applyFont="1">
      <alignment horizontal="left" readingOrder="0" shrinkToFit="0" wrapText="1"/>
    </xf>
    <xf borderId="0" fillId="0" fontId="10" numFmtId="0" xfId="0" applyFont="1"/>
    <xf borderId="0" fillId="0" fontId="11" numFmtId="0" xfId="0" applyFont="1"/>
    <xf borderId="6" fillId="0" fontId="12" numFmtId="0" xfId="0" applyBorder="1" applyFont="1"/>
    <xf borderId="1" fillId="0" fontId="6" numFmtId="0" xfId="0" applyBorder="1" applyFont="1"/>
    <xf borderId="1" fillId="0" fontId="13" numFmtId="0" xfId="0" applyAlignment="1" applyBorder="1" applyFont="1">
      <alignment horizontal="left" vertical="bottom"/>
    </xf>
    <xf borderId="0" fillId="0" fontId="4" numFmtId="0" xfId="0" applyAlignment="1" applyFont="1">
      <alignment shrinkToFit="0" wrapText="1"/>
    </xf>
    <xf borderId="0" fillId="0" fontId="14" numFmtId="0" xfId="0" applyAlignment="1" applyFont="1">
      <alignment shrinkToFit="0" wrapText="1"/>
    </xf>
    <xf borderId="2" fillId="0" fontId="1" numFmtId="0" xfId="0" applyAlignment="1" applyBorder="1" applyFont="1">
      <alignment vertical="bottom"/>
    </xf>
    <xf borderId="10" fillId="0" fontId="1" numFmtId="0" xfId="0" applyBorder="1" applyFont="1"/>
    <xf borderId="2" fillId="0" fontId="3" numFmtId="0" xfId="0" applyAlignment="1" applyBorder="1" applyFont="1">
      <alignment shrinkToFit="0" vertical="bottom" wrapText="1"/>
    </xf>
    <xf borderId="10" fillId="0" fontId="7" numFmtId="0" xfId="0" applyAlignment="1" applyBorder="1" applyFont="1">
      <alignment horizontal="left" readingOrder="0" shrinkToFit="0" wrapText="1"/>
    </xf>
    <xf borderId="3" fillId="0" fontId="7" numFmtId="0" xfId="0" applyAlignment="1" applyBorder="1" applyFont="1">
      <alignment horizontal="left" readingOrder="0" shrinkToFit="0" wrapText="1"/>
    </xf>
    <xf borderId="2" fillId="0" fontId="7" numFmtId="0" xfId="0" applyAlignment="1" applyBorder="1" applyFont="1">
      <alignment horizontal="left" shrinkToFit="0" wrapText="1"/>
    </xf>
    <xf borderId="1" fillId="0" fontId="7" numFmtId="0" xfId="0" applyAlignment="1" applyBorder="1" applyFont="1">
      <alignment horizontal="left" shrinkToFit="0" wrapText="1"/>
    </xf>
    <xf borderId="1" fillId="0" fontId="12" numFmtId="0" xfId="0" applyBorder="1" applyFont="1"/>
    <xf borderId="7" fillId="0" fontId="7" numFmtId="49" xfId="0" applyAlignment="1" applyBorder="1" applyFont="1" applyNumberFormat="1">
      <alignment readingOrder="0" shrinkToFit="0" wrapText="1"/>
    </xf>
    <xf borderId="7" fillId="0" fontId="7" numFmtId="49" xfId="0" applyAlignment="1" applyBorder="1" applyFont="1" applyNumberFormat="1">
      <alignment shrinkToFit="0" wrapText="1"/>
    </xf>
    <xf borderId="7" fillId="0" fontId="7" numFmtId="0" xfId="0" applyAlignment="1" applyBorder="1" applyFont="1">
      <alignment shrinkToFit="0" wrapText="1"/>
    </xf>
    <xf borderId="7" fillId="0" fontId="15" numFmtId="0" xfId="0" applyAlignment="1" applyBorder="1" applyFont="1">
      <alignment readingOrder="0" shrinkToFit="0" wrapText="1"/>
    </xf>
    <xf borderId="1" fillId="0" fontId="7" numFmtId="0" xfId="0" applyAlignment="1" applyBorder="1" applyFont="1">
      <alignment shrinkToFit="0" wrapText="1"/>
    </xf>
    <xf borderId="8" fillId="0" fontId="7" numFmtId="49" xfId="0" applyAlignment="1" applyBorder="1" applyFont="1" applyNumberFormat="1">
      <alignment shrinkToFit="0" wrapText="1"/>
    </xf>
    <xf borderId="7" fillId="0" fontId="7" numFmtId="0" xfId="0" applyAlignment="1" applyBorder="1" applyFont="1">
      <alignment readingOrder="0" shrinkToFit="0" wrapText="1"/>
    </xf>
    <xf borderId="7" fillId="0" fontId="16" numFmtId="0" xfId="0" applyAlignment="1" applyBorder="1" applyFont="1">
      <alignment shrinkToFit="0" wrapText="1"/>
    </xf>
    <xf quotePrefix="1" borderId="1" fillId="0" fontId="7" numFmtId="0" xfId="0" applyAlignment="1" applyBorder="1" applyFont="1">
      <alignment horizontal="left" shrinkToFit="0" wrapText="1"/>
    </xf>
    <xf borderId="0" fillId="0" fontId="10" numFmtId="0" xfId="0" applyAlignment="1" applyFont="1">
      <alignment shrinkToFit="0" wrapText="1"/>
    </xf>
    <xf borderId="0" fillId="0" fontId="11" numFmtId="0" xfId="0" applyAlignment="1" applyFont="1">
      <alignment shrinkToFit="0" wrapText="1"/>
    </xf>
    <xf borderId="11" fillId="0" fontId="12" numFmtId="0" xfId="0" applyBorder="1" applyFont="1"/>
    <xf borderId="1" fillId="0" fontId="7" numFmtId="0" xfId="0" applyAlignment="1" applyBorder="1" applyFont="1">
      <alignment readingOrder="0" shrinkToFit="0" wrapText="1"/>
    </xf>
    <xf borderId="7" fillId="0" fontId="7" numFmtId="0" xfId="0" applyAlignment="1" applyBorder="1" applyFont="1">
      <alignment horizontal="right" shrinkToFit="0" wrapText="1"/>
    </xf>
    <xf borderId="7" fillId="0" fontId="7" numFmtId="0" xfId="0" applyAlignment="1" applyBorder="1" applyFont="1">
      <alignment horizontal="left" readingOrder="0" shrinkToFit="0" wrapText="1"/>
    </xf>
    <xf borderId="1" fillId="0" fontId="3" numFmtId="0" xfId="0" applyAlignment="1" applyBorder="1" applyFont="1">
      <alignment readingOrder="0" shrinkToFit="0" vertical="bottom" wrapText="1"/>
    </xf>
    <xf borderId="7" fillId="0" fontId="7" numFmtId="0" xfId="0" applyAlignment="1" applyBorder="1" applyFont="1">
      <alignment horizontal="left" shrinkToFit="0" wrapText="1"/>
    </xf>
    <xf borderId="7" fillId="3" fontId="3" numFmtId="0" xfId="0" applyAlignment="1" applyBorder="1" applyFill="1" applyFont="1">
      <alignment readingOrder="0" shrinkToFit="0" wrapText="1"/>
    </xf>
    <xf borderId="0" fillId="0" fontId="17" numFmtId="0" xfId="0" applyFont="1"/>
    <xf borderId="1" fillId="4" fontId="7" numFmtId="0" xfId="0" applyAlignment="1" applyBorder="1" applyFill="1" applyFont="1">
      <alignment shrinkToFit="0" wrapText="1"/>
    </xf>
    <xf borderId="7" fillId="4" fontId="7" numFmtId="0" xfId="0" applyAlignment="1" applyBorder="1" applyFont="1">
      <alignment readingOrder="0" shrinkToFit="0" wrapText="1"/>
    </xf>
    <xf borderId="7" fillId="4" fontId="7" numFmtId="0" xfId="0" applyAlignment="1" applyBorder="1" applyFont="1">
      <alignment shrinkToFit="0" wrapText="1"/>
    </xf>
    <xf borderId="7" fillId="4" fontId="18" numFmtId="0" xfId="0" applyAlignment="1" applyBorder="1" applyFont="1">
      <alignment shrinkToFit="0" wrapText="1"/>
    </xf>
    <xf borderId="7" fillId="4" fontId="7" numFmtId="0" xfId="0" applyAlignment="1" applyBorder="1" applyFont="1">
      <alignment horizontal="right" shrinkToFit="0" wrapText="1"/>
    </xf>
    <xf borderId="7" fillId="4" fontId="19" numFmtId="0" xfId="0" applyAlignment="1" applyBorder="1" applyFont="1">
      <alignment shrinkToFit="0" wrapText="1"/>
    </xf>
    <xf borderId="7" fillId="4" fontId="3" numFmtId="0" xfId="0" applyAlignment="1" applyBorder="1" applyFont="1">
      <alignment shrinkToFit="0" wrapText="1"/>
    </xf>
    <xf borderId="7" fillId="4" fontId="3" numFmtId="0" xfId="0" applyAlignment="1" applyBorder="1" applyFont="1">
      <alignment readingOrder="0" shrinkToFit="0" wrapText="1"/>
    </xf>
    <xf borderId="0" fillId="0" fontId="20" numFmtId="0" xfId="0" applyFont="1"/>
    <xf borderId="1" fillId="0" fontId="9" numFmtId="0" xfId="0" applyAlignment="1" applyBorder="1" applyFont="1">
      <alignment shrinkToFit="0" wrapText="1"/>
    </xf>
    <xf borderId="10" fillId="0" fontId="9" numFmtId="0" xfId="0" applyBorder="1" applyFont="1"/>
    <xf borderId="3" fillId="0" fontId="9" numFmtId="0" xfId="0" applyBorder="1" applyFont="1"/>
    <xf borderId="12" fillId="5" fontId="7" numFmtId="0" xfId="0" applyAlignment="1" applyBorder="1" applyFill="1" applyFont="1">
      <alignment shrinkToFit="0" wrapText="1"/>
    </xf>
    <xf borderId="12" fillId="5" fontId="7" numFmtId="0" xfId="0" applyAlignment="1" applyBorder="1" applyFont="1">
      <alignment readingOrder="0" shrinkToFit="0" wrapText="1"/>
    </xf>
    <xf borderId="12" fillId="5" fontId="7" numFmtId="0" xfId="0" applyAlignment="1" applyBorder="1" applyFont="1">
      <alignment horizontal="right"/>
    </xf>
    <xf borderId="12" fillId="5" fontId="7" numFmtId="0" xfId="0" applyBorder="1" applyFont="1"/>
    <xf borderId="1" fillId="5" fontId="3" numFmtId="0" xfId="0" applyAlignment="1" applyBorder="1" applyFont="1">
      <alignment shrinkToFit="0" wrapText="1"/>
    </xf>
    <xf borderId="1" fillId="5" fontId="3" numFmtId="0" xfId="0" applyAlignment="1" applyBorder="1" applyFont="1">
      <alignment readingOrder="0" shrinkToFit="0" wrapText="1"/>
    </xf>
    <xf borderId="8" fillId="0" fontId="7" numFmtId="0" xfId="0" applyAlignment="1" applyBorder="1" applyFont="1">
      <alignment horizontal="right"/>
    </xf>
    <xf borderId="7" fillId="0" fontId="7" numFmtId="0" xfId="0" applyBorder="1" applyFont="1"/>
    <xf borderId="1" fillId="0" fontId="3" numFmtId="0" xfId="0" applyAlignment="1" applyBorder="1" applyFont="1">
      <alignment readingOrder="0" shrinkToFit="0" wrapText="1"/>
    </xf>
    <xf borderId="8" fillId="0" fontId="7" numFmtId="0" xfId="0" applyAlignment="1" applyBorder="1" applyFont="1">
      <alignment shrinkToFit="0" wrapText="1"/>
    </xf>
    <xf borderId="8" fillId="0" fontId="7" numFmtId="0" xfId="0" applyBorder="1" applyFont="1"/>
    <xf borderId="7" fillId="0" fontId="19" numFmtId="0" xfId="0" applyAlignment="1" applyBorder="1" applyFont="1">
      <alignment shrinkToFit="0" wrapText="1"/>
    </xf>
    <xf borderId="0" fillId="0" fontId="9" numFmtId="0" xfId="0" applyAlignment="1" applyFont="1">
      <alignment shrinkToFit="0" wrapText="1"/>
    </xf>
    <xf borderId="0" fillId="0" fontId="7" numFmtId="0" xfId="0" applyAlignment="1" applyFont="1">
      <alignment horizontal="left" shrinkToFit="0" wrapText="1"/>
    </xf>
    <xf borderId="10" fillId="0" fontId="7" numFmtId="0" xfId="0" applyAlignment="1" applyBorder="1" applyFont="1">
      <alignment horizontal="left" shrinkToFit="0" wrapText="1"/>
    </xf>
    <xf borderId="3" fillId="0" fontId="7" numFmtId="0" xfId="0" applyAlignment="1" applyBorder="1" applyFont="1">
      <alignment horizontal="left" shrinkToFit="0" wrapText="1"/>
    </xf>
    <xf borderId="1" fillId="0" fontId="21" numFmtId="0" xfId="0" applyBorder="1" applyFont="1"/>
    <xf borderId="1" fillId="6" fontId="21" numFmtId="0" xfId="0" applyBorder="1" applyFill="1" applyFont="1"/>
    <xf borderId="2" fillId="0" fontId="21" numFmtId="0" xfId="0" applyBorder="1" applyFont="1"/>
    <xf borderId="1" fillId="0" fontId="6" numFmtId="0" xfId="0" applyAlignment="1" applyBorder="1" applyFont="1">
      <alignment shrinkToFit="0" wrapText="1"/>
    </xf>
    <xf borderId="1" fillId="6" fontId="3" numFmtId="0" xfId="0" applyAlignment="1" applyBorder="1" applyFont="1">
      <alignment shrinkToFit="0" wrapText="1"/>
    </xf>
    <xf borderId="2" fillId="0" fontId="3" numFmtId="0" xfId="0" applyAlignment="1" applyBorder="1" applyFont="1">
      <alignment readingOrder="0" shrinkToFit="0" wrapText="1"/>
    </xf>
    <xf borderId="1" fillId="0" fontId="22" numFmtId="0" xfId="0" applyAlignment="1" applyBorder="1" applyFont="1">
      <alignment shrinkToFit="0" wrapText="1"/>
    </xf>
    <xf borderId="2" fillId="0" fontId="3" numFmtId="0" xfId="0" applyAlignment="1" applyBorder="1" applyFont="1">
      <alignment shrinkToFit="0" wrapText="1"/>
    </xf>
    <xf borderId="1" fillId="6" fontId="3" numFmtId="0" xfId="0" applyBorder="1" applyFont="1"/>
    <xf borderId="1" fillId="0" fontId="23" numFmtId="0" xfId="0" applyAlignment="1" applyBorder="1" applyFont="1">
      <alignment shrinkToFit="0" wrapText="1"/>
    </xf>
    <xf borderId="1" fillId="0" fontId="19" numFmtId="0" xfId="0" applyAlignment="1" applyBorder="1" applyFont="1">
      <alignment shrinkToFit="0" wrapText="1"/>
    </xf>
    <xf borderId="1" fillId="6" fontId="19" numFmtId="0" xfId="0" applyBorder="1" applyFont="1"/>
    <xf borderId="13" fillId="5" fontId="3" numFmtId="0" xfId="0" applyAlignment="1" applyBorder="1" applyFont="1">
      <alignment shrinkToFit="0" wrapText="1"/>
    </xf>
    <xf borderId="2" fillId="5" fontId="3" numFmtId="0" xfId="0" applyAlignment="1" applyBorder="1" applyFont="1">
      <alignment shrinkToFit="0" wrapText="1"/>
    </xf>
    <xf borderId="1" fillId="5" fontId="7" numFmtId="0" xfId="0" applyAlignment="1" applyBorder="1" applyFont="1">
      <alignment shrinkToFit="0" wrapText="1"/>
    </xf>
    <xf borderId="1" fillId="3" fontId="3" numFmtId="0" xfId="0" applyAlignment="1" applyBorder="1" applyFont="1">
      <alignment shrinkToFit="0" wrapText="1"/>
    </xf>
    <xf borderId="13" fillId="3" fontId="3" numFmtId="0" xfId="0" applyAlignment="1" applyBorder="1" applyFont="1">
      <alignment readingOrder="0" shrinkToFit="0" wrapText="1"/>
    </xf>
    <xf borderId="1" fillId="3" fontId="7" numFmtId="0" xfId="0" applyAlignment="1" applyBorder="1" applyFont="1">
      <alignment horizontal="left" shrinkToFit="0" wrapText="1"/>
    </xf>
    <xf borderId="1" fillId="3" fontId="7" numFmtId="0" xfId="0" applyAlignment="1" applyBorder="1" applyFont="1">
      <alignment shrinkToFit="0" wrapText="1"/>
    </xf>
    <xf borderId="1" fillId="2" fontId="7" numFmtId="0" xfId="0" applyAlignment="1" applyBorder="1" applyFont="1">
      <alignment horizontal="left" shrinkToFit="0" wrapText="1"/>
    </xf>
    <xf borderId="1" fillId="5" fontId="3" numFmtId="0" xfId="0" applyBorder="1" applyFont="1"/>
    <xf borderId="9" fillId="5" fontId="7" numFmtId="0" xfId="0" applyAlignment="1" applyBorder="1" applyFont="1">
      <alignment horizontal="left" shrinkToFit="0" wrapText="1"/>
    </xf>
    <xf borderId="14" fillId="5" fontId="7" numFmtId="0" xfId="0" applyAlignment="1" applyBorder="1" applyFont="1">
      <alignment horizontal="left" shrinkToFit="0" wrapText="1"/>
    </xf>
    <xf borderId="14" fillId="5" fontId="3" numFmtId="0" xfId="0" applyAlignment="1" applyBorder="1" applyFont="1">
      <alignment shrinkToFit="0" wrapText="1"/>
    </xf>
    <xf borderId="6" fillId="0" fontId="9" numFmtId="0" xfId="0" applyBorder="1" applyFont="1"/>
    <xf borderId="1" fillId="0" fontId="7" numFmtId="0" xfId="0" applyAlignment="1" applyBorder="1" applyFont="1">
      <alignment horizontal="left" shrinkToFit="0" vertical="top" wrapText="1"/>
    </xf>
    <xf borderId="10" fillId="0" fontId="7" numFmtId="0" xfId="0" applyAlignment="1" applyBorder="1" applyFont="1">
      <alignment horizontal="left" shrinkToFit="0" vertical="top" wrapText="1"/>
    </xf>
    <xf borderId="6" fillId="0" fontId="7" numFmtId="0" xfId="0" applyAlignment="1" applyBorder="1" applyFont="1">
      <alignment horizontal="left" shrinkToFit="0" vertical="top" wrapText="1"/>
    </xf>
    <xf borderId="2" fillId="0" fontId="24" numFmtId="0" xfId="0" applyAlignment="1" applyBorder="1" applyFont="1">
      <alignment shrinkToFit="0" wrapText="1"/>
    </xf>
    <xf borderId="10" fillId="0" fontId="9" numFmtId="0" xfId="0" applyAlignment="1" applyBorder="1" applyFont="1">
      <alignment readingOrder="0" shrinkToFit="0" wrapText="1"/>
    </xf>
    <xf borderId="10" fillId="0" fontId="3" numFmtId="49" xfId="0" applyAlignment="1" applyBorder="1" applyFont="1" applyNumberFormat="1">
      <alignment readingOrder="0"/>
    </xf>
    <xf borderId="6" fillId="0" fontId="7" numFmtId="0" xfId="0" applyAlignment="1" applyBorder="1" applyFont="1">
      <alignment horizontal="left" shrinkToFit="0" wrapText="1"/>
    </xf>
    <xf borderId="0" fillId="0" fontId="25" numFmtId="0" xfId="0" applyFont="1"/>
    <xf borderId="2" fillId="0" fontId="19" numFmtId="0" xfId="0" applyAlignment="1" applyBorder="1" applyFont="1">
      <alignment shrinkToFit="0" wrapText="1"/>
    </xf>
    <xf borderId="1" fillId="7" fontId="3" numFmtId="0" xfId="0" applyAlignment="1" applyBorder="1" applyFill="1" applyFont="1">
      <alignment shrinkToFit="0" wrapText="1"/>
    </xf>
    <xf borderId="13" fillId="7" fontId="3" numFmtId="0" xfId="0" applyAlignment="1" applyBorder="1" applyFont="1">
      <alignment shrinkToFit="0" wrapText="1"/>
    </xf>
    <xf borderId="1" fillId="7" fontId="20" numFmtId="0" xfId="0" applyBorder="1" applyFont="1"/>
    <xf borderId="1" fillId="0" fontId="20" numFmtId="0" xfId="0" applyBorder="1" applyFont="1"/>
    <xf borderId="10" fillId="0" fontId="9" numFmtId="0" xfId="0" applyAlignment="1" applyBorder="1" applyFont="1">
      <alignment shrinkToFit="0" wrapText="1"/>
    </xf>
    <xf borderId="10" fillId="0" fontId="3" numFmtId="0" xfId="0" applyAlignment="1" applyBorder="1" applyFont="1">
      <alignment horizontal="left" shrinkToFit="0" wrapText="1"/>
    </xf>
    <xf borderId="2" fillId="0" fontId="3" numFmtId="0" xfId="0" applyAlignment="1" applyBorder="1" applyFont="1">
      <alignment horizontal="left" shrinkToFit="0" wrapText="1"/>
    </xf>
    <xf borderId="1" fillId="8" fontId="21" numFmtId="0" xfId="0" applyAlignment="1" applyBorder="1" applyFill="1" applyFont="1">
      <alignment shrinkToFit="0" wrapText="1"/>
    </xf>
    <xf borderId="1" fillId="8" fontId="3" numFmtId="0" xfId="0" applyAlignment="1" applyBorder="1" applyFont="1">
      <alignment shrinkToFit="0" wrapText="1"/>
    </xf>
    <xf borderId="0" fillId="0" fontId="26" numFmtId="0" xfId="0" applyFont="1"/>
    <xf borderId="1" fillId="2" fontId="7" numFmtId="0" xfId="0" applyAlignment="1" applyBorder="1" applyFont="1">
      <alignment horizontal="left" readingOrder="0" shrinkToFit="0" wrapText="1"/>
    </xf>
    <xf borderId="1" fillId="3" fontId="3" numFmtId="0" xfId="0" applyAlignment="1" applyBorder="1" applyFont="1">
      <alignment readingOrder="0" shrinkToFit="0" wrapText="1"/>
    </xf>
    <xf borderId="15" fillId="0" fontId="9" numFmtId="0" xfId="0" applyBorder="1" applyFont="1"/>
    <xf borderId="1" fillId="8" fontId="21" numFmtId="0" xfId="0" applyBorder="1" applyFont="1"/>
    <xf borderId="1" fillId="0" fontId="27" numFmtId="0" xfId="0" applyAlignment="1" applyBorder="1" applyFont="1">
      <alignment readingOrder="0" shrinkToFit="0" wrapText="1"/>
    </xf>
    <xf borderId="1" fillId="2" fontId="28" numFmtId="0" xfId="0" applyAlignment="1" applyBorder="1" applyFont="1">
      <alignment horizontal="left" readingOrder="0" shrinkToFit="0" wrapText="1"/>
    </xf>
    <xf borderId="1" fillId="0" fontId="3" numFmtId="0" xfId="0" applyAlignment="1" applyBorder="1" applyFont="1">
      <alignment readingOrder="0" shrinkToFit="0" wrapText="1"/>
    </xf>
    <xf borderId="1" fillId="8" fontId="3" numFmtId="0" xfId="0" applyAlignment="1" applyBorder="1" applyFont="1">
      <alignment readingOrder="0" shrinkToFit="0" wrapText="1"/>
    </xf>
    <xf borderId="2" fillId="0" fontId="29" numFmtId="0" xfId="0" applyAlignment="1" applyBorder="1" applyFont="1">
      <alignment readingOrder="0"/>
    </xf>
    <xf borderId="3" fillId="0" fontId="29" numFmtId="0" xfId="0" applyAlignment="1" applyBorder="1" applyFont="1">
      <alignment readingOrder="0"/>
    </xf>
    <xf borderId="3" fillId="2" fontId="12" numFmtId="0" xfId="0" applyAlignment="1" applyBorder="1" applyFont="1">
      <alignment horizontal="left" readingOrder="0"/>
    </xf>
    <xf borderId="3" fillId="2" fontId="30" numFmtId="0" xfId="0" applyAlignment="1" applyBorder="1" applyFont="1">
      <alignment horizontal="left" readingOrder="0"/>
    </xf>
    <xf borderId="1" fillId="0" fontId="21"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adr.hivtools.org/"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10.xml"/><Relationship Id="rId5"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naomi.unaids.org/" TargetMode="External"/><Relationship Id="rId3" Type="http://schemas.openxmlformats.org/officeDocument/2006/relationships/hyperlink" Target="https://naomi.unaids.org/login" TargetMode="External"/><Relationship Id="rId4" Type="http://schemas.openxmlformats.org/officeDocument/2006/relationships/hyperlink" Target="https://adr.unaids.org/me/" TargetMode="External"/><Relationship Id="rId5" Type="http://schemas.openxmlformats.org/officeDocument/2006/relationships/hyperlink" Target="https://hivtools.unaids.org/hiv-estimates-training-material-en/" TargetMode="External"/><Relationship Id="rId6" Type="http://schemas.openxmlformats.org/officeDocument/2006/relationships/hyperlink" Target="https://hivtools.unaids.org/hiv-estimates-training-material-en/" TargetMode="External"/><Relationship Id="rId7" Type="http://schemas.openxmlformats.org/officeDocument/2006/relationships/drawing" Target="../drawings/drawing11.xml"/><Relationship Id="rId8"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vtools.unaids.org/hiv-estimates-training-material-en/"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4.xml"/><Relationship Id="rId5"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dr.unaids.org/" TargetMode="External"/><Relationship Id="rId3" Type="http://schemas.openxmlformats.org/officeDocument/2006/relationships/hyperlink" Target="https://adr.unaids.org/" TargetMode="External"/><Relationship Id="rId4" Type="http://schemas.openxmlformats.org/officeDocument/2006/relationships/hyperlink" Target="https://adr.unaids.org/" TargetMode="External"/><Relationship Id="rId5" Type="http://schemas.openxmlformats.org/officeDocument/2006/relationships/hyperlink" Target="https://adr.unaids.org/" TargetMode="External"/><Relationship Id="rId6" Type="http://schemas.openxmlformats.org/officeDocument/2006/relationships/drawing" Target="../drawings/drawing5.xml"/><Relationship Id="rId7"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hyperlink" Target="https://naomi.unaids.org/login"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im.spectrumweb.org/"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7.xml"/><Relationship Id="rId5"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hivtools.unaids.org/hiv-estimates-training-material-e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12.25"/>
    <col customWidth="1" min="2" max="2" width="55.0"/>
    <col customWidth="1" hidden="1" min="3" max="3" width="40.38"/>
    <col customWidth="1" hidden="1" min="4" max="4" width="38.25"/>
    <col customWidth="1" min="5" max="5" width="24.25"/>
    <col customWidth="1" min="6" max="6" width="26.63"/>
    <col customWidth="1" hidden="1" min="7" max="7" width="27.88"/>
    <col customWidth="1" hidden="1" min="8" max="8" width="30.38"/>
    <col customWidth="1" min="9" max="9" width="23.5"/>
    <col customWidth="1" hidden="1" min="10" max="10" width="27.88"/>
    <col customWidth="1" hidden="1" min="11" max="11" width="22.25"/>
    <col customWidth="1" min="12" max="12" width="24.63"/>
    <col customWidth="1" min="13" max="14" width="7.63"/>
    <col customWidth="1" min="15" max="15" width="11.88"/>
    <col customWidth="1" hidden="1" min="16" max="17" width="7.63"/>
    <col customWidth="1" min="18" max="24" width="7.63"/>
  </cols>
  <sheetData>
    <row r="1" ht="12.0" customHeight="1">
      <c r="A1" s="1" t="s">
        <v>0</v>
      </c>
      <c r="B1" s="2" t="s">
        <v>1</v>
      </c>
      <c r="C1" s="3" t="s">
        <v>2</v>
      </c>
      <c r="D1" s="3" t="s">
        <v>3</v>
      </c>
      <c r="E1" s="4"/>
      <c r="F1" s="5" t="s">
        <v>4</v>
      </c>
      <c r="G1" s="3" t="s">
        <v>5</v>
      </c>
      <c r="H1" s="3" t="s">
        <v>6</v>
      </c>
      <c r="I1" s="6" t="s">
        <v>7</v>
      </c>
      <c r="J1" s="7" t="s">
        <v>8</v>
      </c>
      <c r="K1" s="7" t="s">
        <v>9</v>
      </c>
      <c r="L1" s="8" t="s">
        <v>10</v>
      </c>
      <c r="M1" s="9"/>
      <c r="N1" s="10"/>
      <c r="O1" s="11" t="s">
        <v>11</v>
      </c>
      <c r="P1" s="3" t="s">
        <v>12</v>
      </c>
      <c r="Q1" s="12" t="s">
        <v>13</v>
      </c>
      <c r="S1" s="13"/>
      <c r="T1" s="13"/>
      <c r="U1" s="13"/>
      <c r="V1" s="13"/>
      <c r="W1" s="13"/>
      <c r="X1" s="13"/>
      <c r="Y1" s="13"/>
      <c r="Z1" s="13"/>
      <c r="AA1" s="13"/>
      <c r="AB1" s="13"/>
      <c r="AC1" s="13"/>
      <c r="AD1" s="13"/>
      <c r="AE1" s="13"/>
      <c r="AF1" s="13"/>
      <c r="AG1" s="13"/>
    </row>
    <row r="2" ht="68.25" customHeight="1">
      <c r="A2" s="14" t="s">
        <v>14</v>
      </c>
      <c r="B2" s="15" t="s">
        <v>15</v>
      </c>
      <c r="C2" s="16" t="str">
        <f>IFERROR(__xludf.DUMMYFUNCTION("GOOGLETRANSLATE(B2,""EN"",""FR"")"),"Processus des estimations du VIH 2022")</f>
        <v>Processus des estimations du VIH 2022</v>
      </c>
      <c r="D2" s="16" t="str">
        <f>IFERROR(__xludf.DUMMYFUNCTION("GOOGLETRANSLATE(B2,""EN"",""PT"")"),"Processo de estimativa de HIV 2022")</f>
        <v>Processo de estimativa de HIV 2022</v>
      </c>
      <c r="E2" s="17"/>
      <c r="F2" s="18" t="s">
        <v>16</v>
      </c>
      <c r="G2" s="18" t="str">
        <f>IFERROR(__xludf.DUMMYFUNCTION("GOOGLETRANSLATE(F2,""EN"",""FR"")"),"Ce sont les principaux jalons que vous remplirez dans le cadre du processus d'estimation de cette année. Chaque étape est composée de tâches. Navigator vous dirigera par chaque tâche, vous assistant avec des instructions et des ressources en cours de rout"&amp;"e.")</f>
        <v>Ce sont les principaux jalons que vous remplirez dans le cadre du processus d'estimation de cette année. Chaque étape est composée de tâches. Navigator vous dirigera par chaque tâche, vous assistant avec des instructions et des ressources en cours de route.</v>
      </c>
      <c r="H2" s="18" t="str">
        <f>IFERROR(__xludf.DUMMYFUNCTION("GOOGLETRANSLATE(F2,""EN"",""PT"")"),"Estes são os principais marcos que você completará como parte do processo de estimativas deste ano. Cada marco é composto de tarefas. O Navigator irá guiá-lo por cada tarefa, ajudando você com instruções e recursos ao longo do caminho.")</f>
        <v>Estes são os principais marcos que você completará como parte do processo de estimativas deste ano. Cada marco é composto de tarefas. O Navigator irá guiá-lo por cada tarefa, ajudando você com instruções e recursos ao longo do caminho.</v>
      </c>
      <c r="I2" s="15" t="s">
        <v>17</v>
      </c>
      <c r="J2" s="15" t="str">
        <f>IFERROR(__xludf.DUMMYFUNCTION("GOOGLETRANSLATE(I2,""EN"",""FR"")"),"L'utilisateur a un compte ADR")</f>
        <v>L'utilisateur a un compte ADR</v>
      </c>
      <c r="K2" s="15" t="str">
        <f>IFERROR(__xludf.DUMMYFUNCTION("GOOGLETRANSLATE(I2,""EN"",""PT"")"),"O usuário tem uma conta ADR")</f>
        <v>O usuário tem uma conta ADR</v>
      </c>
      <c r="L2" s="19">
        <v>0.2</v>
      </c>
      <c r="M2" s="20"/>
      <c r="N2" s="21"/>
      <c r="O2" s="22" t="s">
        <v>18</v>
      </c>
      <c r="P2" s="23" t="str">
        <f>IFERROR(__xludf.DUMMYFUNCTION("GOOGLETRANSLATE(O2,""EN"",""FR"")"),"Félicitations, vous avez terminé le processus d'estimation de cette année. Vous pouvez maintenant utiliser vos résultats pour d'autres besoins tels que le pack de données PEPFAR, DMPPT2 (pour les données VMMC, le cas échéant), des rapports nationaux ou d'"&amp;"autres besoins.")</f>
        <v>Félicitations, vous avez terminé le processus d'estimation de cette année. Vous pouvez maintenant utiliser vos résultats pour d'autres besoins tels que le pack de données PEPFAR, DMPPT2 (pour les données VMMC, le cas échéant), des rapports nationaux ou d'autres besoins.</v>
      </c>
      <c r="Q2" s="14" t="str">
        <f>IFERROR(__xludf.DUMMYFUNCTION("GOOGLETRANSLATE(O2,""EN"",""PT"")"),"Parabéns, você concluiu o processo de estimativas deste ano. Agora você pode usar seus resultados para outras necessidades, como o PEPFAR Data Pack, DMPPT2 (para dados VMMC, quando aplicáveis), relatórios nacionais ou outras necessidades.")</f>
        <v>Parabéns, você concluiu o processo de estimativas deste ano. Agora você pode usar seus resultados para outras necessidades, como o PEPFAR Data Pack, DMPPT2 (para dados VMMC, quando aplicáveis), relatórios nacionais ou outras necessidades.</v>
      </c>
      <c r="R2" s="24"/>
      <c r="S2" s="25"/>
      <c r="T2" s="25"/>
      <c r="U2" s="25"/>
      <c r="V2" s="25"/>
      <c r="W2" s="25"/>
      <c r="X2" s="25"/>
      <c r="Y2" s="25"/>
      <c r="Z2" s="25"/>
      <c r="AA2" s="25"/>
      <c r="AB2" s="25"/>
      <c r="AC2" s="25"/>
      <c r="AD2" s="25"/>
      <c r="AE2" s="25"/>
      <c r="AF2" s="25"/>
      <c r="AG2" s="25"/>
    </row>
    <row r="3" ht="12.0" customHeight="1">
      <c r="A3" s="26"/>
      <c r="B3" s="26"/>
      <c r="C3" s="26"/>
      <c r="D3" s="26"/>
      <c r="E3" s="26"/>
      <c r="F3" s="26"/>
      <c r="G3" s="26"/>
      <c r="H3" s="26"/>
      <c r="I3" s="26"/>
      <c r="J3" s="26"/>
      <c r="K3" s="13"/>
      <c r="L3" s="13"/>
      <c r="M3" s="13"/>
      <c r="N3" s="13"/>
      <c r="O3" s="13"/>
      <c r="P3" s="13"/>
      <c r="Q3" s="13"/>
      <c r="R3" s="13"/>
      <c r="S3" s="13"/>
      <c r="T3" s="13"/>
      <c r="U3" s="13"/>
      <c r="V3" s="13"/>
      <c r="W3" s="13"/>
      <c r="X3" s="13"/>
    </row>
    <row r="4" ht="12.0" customHeight="1">
      <c r="A4" s="27" t="s">
        <v>0</v>
      </c>
      <c r="B4" s="27" t="s">
        <v>19</v>
      </c>
      <c r="C4" s="28" t="s">
        <v>20</v>
      </c>
      <c r="D4" s="28" t="s">
        <v>21</v>
      </c>
      <c r="E4" s="27" t="s">
        <v>22</v>
      </c>
      <c r="F4" s="27" t="s">
        <v>23</v>
      </c>
      <c r="G4" s="28" t="str">
        <f>CONCAT(F4,"::fr")</f>
        <v>If test fails, present this to user:::fr</v>
      </c>
      <c r="H4" s="28" t="str">
        <f>CONCAT(F4,"::pt_PT")</f>
        <v>If test fails, present this to user:::pt_PT</v>
      </c>
      <c r="I4" s="27" t="s">
        <v>24</v>
      </c>
      <c r="J4" s="28" t="s">
        <v>25</v>
      </c>
      <c r="K4" s="28" t="s">
        <v>26</v>
      </c>
      <c r="L4" s="27" t="s">
        <v>27</v>
      </c>
      <c r="M4" s="27" t="s">
        <v>28</v>
      </c>
      <c r="N4" s="27" t="s">
        <v>29</v>
      </c>
      <c r="O4" s="27" t="s">
        <v>30</v>
      </c>
      <c r="Q4" s="13"/>
      <c r="R4" s="13"/>
      <c r="S4" s="13"/>
      <c r="T4" s="13"/>
      <c r="U4" s="13"/>
      <c r="V4" s="13"/>
      <c r="W4" s="13"/>
      <c r="X4" s="13"/>
      <c r="Y4" s="13"/>
      <c r="Z4" s="13"/>
      <c r="AA4" s="13"/>
      <c r="AB4" s="13"/>
      <c r="AC4" s="13"/>
      <c r="AD4" s="13"/>
      <c r="AE4" s="13"/>
      <c r="AF4" s="13"/>
      <c r="AG4" s="13"/>
    </row>
    <row r="5" ht="12.0" customHeight="1">
      <c r="A5" s="29" t="s">
        <v>31</v>
      </c>
      <c r="B5" s="30" t="s">
        <v>32</v>
      </c>
      <c r="C5" s="31" t="str">
        <f>IFERROR(__xludf.DUMMYFUNCTION("GOOGLETRANSLATE(B5,""EN"",""FR"")"),"Milestone: tutoriel de navigateur")</f>
        <v>Milestone: tutoriel de navigateur</v>
      </c>
      <c r="D5" s="31" t="str">
        <f>IFERROR(__xludf.DUMMYFUNCTION("GOOGLETRANSLATE(B5,""EN"",""PT"")"),"Milestone: Tutorial do Navegador")</f>
        <v>Milestone: Tutorial do Navegador</v>
      </c>
      <c r="E5" s="30" t="s">
        <v>33</v>
      </c>
      <c r="F5" s="32"/>
      <c r="G5" s="32"/>
      <c r="H5" s="32"/>
      <c r="I5" s="32"/>
      <c r="J5" s="33"/>
      <c r="K5" s="33"/>
      <c r="L5" s="33">
        <v>1.0</v>
      </c>
      <c r="M5" s="34"/>
      <c r="N5" s="35"/>
      <c r="O5" s="35"/>
      <c r="Q5" s="13"/>
      <c r="R5" s="13"/>
      <c r="S5" s="13"/>
      <c r="T5" s="13"/>
      <c r="U5" s="13"/>
      <c r="V5" s="13"/>
      <c r="W5" s="13"/>
      <c r="X5" s="13"/>
      <c r="Y5" s="13"/>
      <c r="Z5" s="13"/>
      <c r="AA5" s="13"/>
      <c r="AB5" s="13"/>
      <c r="AC5" s="13"/>
      <c r="AD5" s="13"/>
      <c r="AE5" s="13"/>
      <c r="AF5" s="13"/>
      <c r="AG5" s="13"/>
    </row>
    <row r="6" ht="12.0" customHeight="1">
      <c r="A6" s="29" t="s">
        <v>34</v>
      </c>
      <c r="B6" s="36" t="s">
        <v>35</v>
      </c>
      <c r="C6" s="31" t="str">
        <f>IFERROR(__xludf.DUMMYFUNCTION("GOOGLETRANSLATE(B6,""EN"",""FR"")"),"Milestone: Préparation des données d'entrée pour les estimations du VIH")</f>
        <v>Milestone: Préparation des données d'entrée pour les estimations du VIH</v>
      </c>
      <c r="D6" s="31" t="str">
        <f>IFERROR(__xludf.DUMMYFUNCTION("GOOGLETRANSLATE(B6,""EN"",""PT"")"),"Marco: Preparando dados de entrada para estimativas de HIV")</f>
        <v>Marco: Preparando dados de entrada para estimativas de HIV</v>
      </c>
      <c r="E6" s="36" t="s">
        <v>36</v>
      </c>
      <c r="F6" s="32"/>
      <c r="G6" s="32"/>
      <c r="H6" s="32"/>
      <c r="I6" s="32"/>
      <c r="J6" s="37"/>
      <c r="K6" s="37"/>
      <c r="L6" s="37">
        <v>1.0</v>
      </c>
      <c r="M6" s="38"/>
      <c r="N6" s="35"/>
      <c r="O6" s="35"/>
      <c r="Q6" s="13"/>
      <c r="R6" s="13"/>
      <c r="S6" s="13"/>
      <c r="T6" s="13"/>
      <c r="U6" s="13"/>
      <c r="V6" s="13"/>
      <c r="W6" s="13"/>
      <c r="X6" s="13"/>
      <c r="Y6" s="13"/>
      <c r="Z6" s="13"/>
      <c r="AA6" s="13"/>
      <c r="AB6" s="13"/>
      <c r="AC6" s="13"/>
      <c r="AD6" s="13"/>
      <c r="AE6" s="13"/>
      <c r="AF6" s="13"/>
      <c r="AG6" s="13"/>
    </row>
    <row r="7" ht="12.0" customHeight="1">
      <c r="A7" s="29" t="s">
        <v>37</v>
      </c>
      <c r="B7" s="30" t="s">
        <v>38</v>
      </c>
      <c r="C7" s="31" t="str">
        <f>IFERROR(__xludf.DUMMYFUNCTION("GOOGLETRANSLATE(B7,""EN"",""FR"")"),"Milestone: télécharger et examiner les fichiers de données de votre jeu de données sur ADR")</f>
        <v>Milestone: télécharger et examiner les fichiers de données de votre jeu de données sur ADR</v>
      </c>
      <c r="D7" s="31" t="str">
        <f>IFERROR(__xludf.DUMMYFUNCTION("GOOGLETRANSLATE(B7,""EN"",""PT"")"),"Marco: Carregar e revisar arquivos de dados no seu conjunto de dados no ADR")</f>
        <v>Marco: Carregar e revisar arquivos de dados no seu conjunto de dados no ADR</v>
      </c>
      <c r="E7" s="39" t="s">
        <v>39</v>
      </c>
      <c r="F7" s="40"/>
      <c r="G7" s="40"/>
      <c r="H7" s="40"/>
      <c r="I7" s="40"/>
      <c r="J7" s="37"/>
      <c r="K7" s="37"/>
      <c r="L7" s="37">
        <v>1.0</v>
      </c>
      <c r="M7" s="38"/>
      <c r="N7" s="35"/>
      <c r="O7" s="35"/>
      <c r="Q7" s="13"/>
      <c r="R7" s="13"/>
      <c r="S7" s="13"/>
      <c r="T7" s="13"/>
      <c r="U7" s="13"/>
      <c r="V7" s="13"/>
      <c r="W7" s="13"/>
      <c r="X7" s="13"/>
      <c r="Y7" s="13"/>
      <c r="Z7" s="13"/>
      <c r="AA7" s="13"/>
      <c r="AB7" s="13"/>
      <c r="AC7" s="13"/>
      <c r="AD7" s="13"/>
      <c r="AE7" s="13"/>
      <c r="AF7" s="13"/>
      <c r="AG7" s="13"/>
    </row>
    <row r="8" ht="12.0" customHeight="1">
      <c r="A8" s="29" t="s">
        <v>40</v>
      </c>
      <c r="B8" s="30" t="s">
        <v>41</v>
      </c>
      <c r="C8" s="31" t="str">
        <f>IFERROR(__xludf.DUMMYFUNCTION("GOOGLETRANSLATE(B8,""EN"",""FR"")"),"Milestone: Examiner la qualité des entrées de données de programme à l'aide de la fonction Entrées de révision dans Naomi")</f>
        <v>Milestone: Examiner la qualité des entrées de données de programme à l'aide de la fonction Entrées de révision dans Naomi</v>
      </c>
      <c r="D8" s="31" t="str">
        <f>IFERROR(__xludf.DUMMYFUNCTION("GOOGLETRANSLATE(B8,""EN"",""PT"")"),"Milestone: revisar a qualidade das entradas de dados do programa usando a função de insumos de revisão em Naomi")</f>
        <v>Milestone: revisar a qualidade das entradas de dados do programa usando a função de insumos de revisão em Naomi</v>
      </c>
      <c r="E8" s="41" t="s">
        <v>42</v>
      </c>
      <c r="F8" s="40"/>
      <c r="G8" s="40"/>
      <c r="H8" s="40"/>
      <c r="I8" s="40"/>
      <c r="J8" s="37"/>
      <c r="K8" s="37"/>
      <c r="L8" s="37">
        <v>0.0</v>
      </c>
      <c r="M8" s="38"/>
      <c r="N8" s="35"/>
      <c r="O8" s="35"/>
      <c r="Q8" s="13"/>
      <c r="R8" s="13"/>
      <c r="S8" s="13"/>
      <c r="T8" s="13"/>
      <c r="U8" s="13"/>
      <c r="V8" s="13"/>
      <c r="W8" s="13"/>
      <c r="X8" s="13"/>
      <c r="Y8" s="13"/>
      <c r="Z8" s="13"/>
      <c r="AA8" s="13"/>
      <c r="AB8" s="13"/>
      <c r="AC8" s="13"/>
      <c r="AD8" s="13"/>
      <c r="AE8" s="13"/>
      <c r="AF8" s="13"/>
      <c r="AG8" s="13"/>
    </row>
    <row r="9" ht="12.0" customHeight="1">
      <c r="A9" s="29" t="s">
        <v>43</v>
      </c>
      <c r="B9" s="36" t="s">
        <v>44</v>
      </c>
      <c r="C9" s="31" t="str">
        <f>IFERROR(__xludf.DUMMYFUNCTION("GOOGLETRANSLATE(B9,""EN"",""FR"")"),"Milestone: entrez les données dans Spectrum")</f>
        <v>Milestone: entrez les données dans Spectrum</v>
      </c>
      <c r="D9" s="31" t="str">
        <f>IFERROR(__xludf.DUMMYFUNCTION("GOOGLETRANSLATE(B9,""EN"",""PT"")"),"Milestone: insira dados no espectro")</f>
        <v>Milestone: insira dados no espectro</v>
      </c>
      <c r="E9" s="36" t="s">
        <v>45</v>
      </c>
      <c r="F9" s="40"/>
      <c r="G9" s="40"/>
      <c r="H9" s="40"/>
      <c r="I9" s="40"/>
      <c r="J9" s="37"/>
      <c r="K9" s="37"/>
      <c r="L9" s="37">
        <v>1.0</v>
      </c>
      <c r="M9" s="38"/>
      <c r="N9" s="35"/>
      <c r="O9" s="35"/>
      <c r="Q9" s="13"/>
      <c r="R9" s="13"/>
      <c r="S9" s="13"/>
      <c r="T9" s="13"/>
      <c r="U9" s="13"/>
      <c r="V9" s="13"/>
      <c r="W9" s="13"/>
      <c r="X9" s="13"/>
      <c r="Y9" s="13"/>
      <c r="Z9" s="13"/>
      <c r="AA9" s="13"/>
      <c r="AB9" s="13"/>
      <c r="AC9" s="13"/>
      <c r="AD9" s="13"/>
      <c r="AE9" s="13"/>
      <c r="AF9" s="13"/>
      <c r="AG9" s="13"/>
    </row>
    <row r="10" ht="12.0" customHeight="1">
      <c r="A10" s="29" t="s">
        <v>46</v>
      </c>
      <c r="B10" s="36" t="s">
        <v>47</v>
      </c>
      <c r="C10" s="31" t="str">
        <f>IFERROR(__xludf.DUMMYFUNCTION("GOOGLETRANSLATE(B10,""EN"",""FR"")"),"Milestone: générer l'incidence du VIH pour les épidémies généralisées utilisant EPP")</f>
        <v>Milestone: générer l'incidence du VIH pour les épidémies généralisées utilisant EPP</v>
      </c>
      <c r="D10" s="31" t="str">
        <f>IFERROR(__xludf.DUMMYFUNCTION("GOOGLETRANSLATE(B10,""EN"",""PT"")"),"Marco: gerar incidência de HIV para epidemias generalizadas usando o EPP")</f>
        <v>Marco: gerar incidência de HIV para epidemias generalizadas usando o EPP</v>
      </c>
      <c r="E10" s="36" t="s">
        <v>48</v>
      </c>
      <c r="F10" s="40"/>
      <c r="G10" s="40"/>
      <c r="H10" s="40"/>
      <c r="I10" s="40"/>
      <c r="J10" s="37"/>
      <c r="K10" s="37"/>
      <c r="L10" s="37">
        <v>1.0</v>
      </c>
      <c r="M10" s="38"/>
      <c r="N10" s="35"/>
      <c r="O10" s="35"/>
      <c r="Q10" s="13"/>
      <c r="R10" s="13"/>
      <c r="S10" s="13"/>
      <c r="T10" s="13"/>
      <c r="U10" s="13"/>
      <c r="V10" s="13"/>
      <c r="W10" s="13"/>
      <c r="X10" s="13"/>
      <c r="Y10" s="13"/>
      <c r="Z10" s="13"/>
      <c r="AA10" s="13"/>
      <c r="AB10" s="13"/>
      <c r="AC10" s="13"/>
      <c r="AD10" s="13"/>
      <c r="AE10" s="13"/>
      <c r="AF10" s="13"/>
      <c r="AG10" s="13"/>
    </row>
    <row r="11" ht="12.0" customHeight="1">
      <c r="A11" s="29" t="s">
        <v>49</v>
      </c>
      <c r="B11" s="36" t="s">
        <v>50</v>
      </c>
      <c r="C11" s="31" t="str">
        <f>IFERROR(__xludf.DUMMYFUNCTION("GOOGLETRANSLATE(B11,""EN"",""FR"")"),"Milestone: générer des connaissances sur le statut VIH en utilisant le 90 brillant")</f>
        <v>Milestone: générer des connaissances sur le statut VIH en utilisant le 90 brillant</v>
      </c>
      <c r="D11" s="31" t="str">
        <f>IFERROR(__xludf.DUMMYFUNCTION("GOOGLETRANSLATE(B11,""EN"",""PT"")"),"Marco: gerar conhecimento do status do HIV usando 90 brilhantes")</f>
        <v>Marco: gerar conhecimento do status do HIV usando 90 brilhantes</v>
      </c>
      <c r="E11" s="41" t="s">
        <v>51</v>
      </c>
      <c r="F11" s="40"/>
      <c r="G11" s="40"/>
      <c r="H11" s="40"/>
      <c r="I11" s="40"/>
      <c r="J11" s="37"/>
      <c r="K11" s="37"/>
      <c r="L11" s="37">
        <v>1.0</v>
      </c>
      <c r="M11" s="38"/>
      <c r="N11" s="42"/>
      <c r="O11" s="43"/>
      <c r="Q11" s="13"/>
      <c r="R11" s="13"/>
      <c r="S11" s="13"/>
      <c r="T11" s="13"/>
      <c r="U11" s="13"/>
      <c r="V11" s="13"/>
      <c r="W11" s="13"/>
      <c r="X11" s="13"/>
      <c r="Y11" s="13"/>
      <c r="Z11" s="13"/>
      <c r="AA11" s="13"/>
      <c r="AB11" s="13"/>
      <c r="AC11" s="13"/>
      <c r="AD11" s="13"/>
      <c r="AE11" s="13"/>
      <c r="AF11" s="13"/>
      <c r="AG11" s="13"/>
    </row>
    <row r="12" ht="12.0" customHeight="1">
      <c r="A12" s="29" t="s">
        <v>52</v>
      </c>
      <c r="B12" s="36" t="s">
        <v>53</v>
      </c>
      <c r="C12" s="31" t="str">
        <f>IFERROR(__xludf.DUMMYFUNCTION("GOOGLETRANSLATE(B12,""EN"",""FR"")"),"Milestone: finaliser les estimations nationales du VIH dans le spectre")</f>
        <v>Milestone: finaliser les estimations nationales du VIH dans le spectre</v>
      </c>
      <c r="D12" s="31" t="str">
        <f>IFERROR(__xludf.DUMMYFUNCTION("GOOGLETRANSLATE(B12,""EN"",""PT"")"),"Marco: finalizar estimativas nacionais de HIV no espectro")</f>
        <v>Marco: finalizar estimativas nacionais de HIV no espectro</v>
      </c>
      <c r="E12" s="39" t="s">
        <v>54</v>
      </c>
      <c r="F12" s="40"/>
      <c r="G12" s="40"/>
      <c r="H12" s="40"/>
      <c r="I12" s="40"/>
      <c r="J12" s="37"/>
      <c r="K12" s="37"/>
      <c r="L12" s="37">
        <v>1.0</v>
      </c>
      <c r="M12" s="38"/>
      <c r="N12" s="44"/>
      <c r="O12" s="43"/>
      <c r="Q12" s="13"/>
      <c r="R12" s="13"/>
      <c r="S12" s="13"/>
      <c r="T12" s="13"/>
      <c r="U12" s="13"/>
      <c r="V12" s="13"/>
      <c r="W12" s="13"/>
      <c r="X12" s="13"/>
      <c r="Y12" s="13"/>
      <c r="Z12" s="13"/>
      <c r="AA12" s="13"/>
      <c r="AB12" s="13"/>
      <c r="AC12" s="13"/>
      <c r="AD12" s="13"/>
      <c r="AE12" s="13"/>
      <c r="AF12" s="13"/>
      <c r="AG12" s="13"/>
    </row>
    <row r="13" ht="12.0" customHeight="1">
      <c r="A13" s="29" t="s">
        <v>55</v>
      </c>
      <c r="B13" s="36" t="s">
        <v>56</v>
      </c>
      <c r="C13" s="31" t="str">
        <f>IFERROR(__xludf.DUMMYFUNCTION("GOOGLETRANSLATE(B13,""EN"",""FR"")"),"Milestone: générer des estimations du VIH de district utilisant Naomi")</f>
        <v>Milestone: générer des estimations du VIH de district utilisant Naomi</v>
      </c>
      <c r="D13" s="31" t="str">
        <f>IFERROR(__xludf.DUMMYFUNCTION("GOOGLETRANSLATE(B13,""EN"",""PT"")"),"Milestone: gerar estimativas de HIV do distrito usando Naomi")</f>
        <v>Milestone: gerar estimativas de HIV do distrito usando Naomi</v>
      </c>
      <c r="E13" s="39" t="s">
        <v>57</v>
      </c>
      <c r="F13" s="40"/>
      <c r="G13" s="40"/>
      <c r="H13" s="40"/>
      <c r="I13" s="40"/>
      <c r="J13" s="37"/>
      <c r="K13" s="37"/>
      <c r="L13" s="37">
        <v>1.0</v>
      </c>
      <c r="M13" s="39"/>
      <c r="N13" s="39"/>
      <c r="O13" s="39"/>
      <c r="Q13" s="13"/>
      <c r="R13" s="13"/>
      <c r="S13" s="13"/>
      <c r="T13" s="13"/>
      <c r="U13" s="13"/>
      <c r="V13" s="13"/>
      <c r="W13" s="13"/>
      <c r="X13" s="13"/>
      <c r="Y13" s="13"/>
      <c r="Z13" s="13"/>
      <c r="AA13" s="13"/>
      <c r="AB13" s="13"/>
      <c r="AC13" s="13"/>
      <c r="AD13" s="13"/>
      <c r="AE13" s="13"/>
      <c r="AF13" s="13"/>
      <c r="AG13" s="13"/>
    </row>
    <row r="14" ht="12.0" customHeight="1">
      <c r="A14" s="13"/>
      <c r="B14" s="13"/>
      <c r="C14" s="13"/>
      <c r="D14" s="13"/>
      <c r="E14" s="13"/>
      <c r="F14" s="13"/>
      <c r="G14" s="13"/>
      <c r="H14" s="13"/>
      <c r="I14" s="45"/>
      <c r="J14" s="45"/>
      <c r="K14" s="13"/>
      <c r="L14" s="13"/>
      <c r="M14" s="13"/>
      <c r="N14" s="13"/>
      <c r="O14" s="13"/>
      <c r="P14" s="13"/>
      <c r="Q14" s="13"/>
      <c r="R14" s="13"/>
      <c r="S14" s="13"/>
      <c r="T14" s="13"/>
      <c r="U14" s="13"/>
      <c r="V14" s="13"/>
      <c r="W14" s="13"/>
      <c r="X14" s="13"/>
    </row>
    <row r="15" ht="12.0" customHeight="1">
      <c r="A15" s="13"/>
      <c r="B15" s="13"/>
      <c r="C15" s="13"/>
      <c r="D15" s="13"/>
      <c r="E15" s="13"/>
      <c r="F15" s="13"/>
      <c r="G15" s="13"/>
      <c r="H15" s="13"/>
      <c r="I15" s="45"/>
      <c r="J15" s="45"/>
      <c r="K15" s="13"/>
      <c r="L15" s="13"/>
      <c r="M15" s="13"/>
      <c r="N15" s="13"/>
      <c r="O15" s="13"/>
      <c r="P15" s="13"/>
      <c r="Q15" s="13"/>
      <c r="R15" s="13"/>
      <c r="S15" s="13"/>
      <c r="T15" s="13"/>
      <c r="U15" s="13"/>
      <c r="V15" s="13"/>
      <c r="W15" s="13"/>
      <c r="X15" s="13"/>
    </row>
    <row r="16" ht="12.0" customHeight="1">
      <c r="A16" s="13"/>
      <c r="B16" s="13"/>
      <c r="C16" s="13"/>
      <c r="D16" s="13"/>
      <c r="E16" s="13"/>
      <c r="F16" s="13"/>
      <c r="G16" s="13"/>
      <c r="H16" s="13"/>
      <c r="I16" s="45"/>
      <c r="J16" s="45"/>
      <c r="K16" s="13"/>
      <c r="L16" s="13"/>
      <c r="M16" s="13"/>
      <c r="N16" s="13"/>
      <c r="O16" s="13"/>
      <c r="P16" s="13"/>
      <c r="Q16" s="13"/>
      <c r="R16" s="13"/>
      <c r="S16" s="13"/>
      <c r="T16" s="13"/>
      <c r="U16" s="13"/>
      <c r="V16" s="13"/>
      <c r="W16" s="13"/>
      <c r="X16" s="13"/>
    </row>
    <row r="17" ht="12.0" customHeight="1">
      <c r="A17" s="13"/>
      <c r="B17" s="13"/>
      <c r="C17" s="13"/>
      <c r="D17" s="13"/>
      <c r="E17" s="13"/>
      <c r="F17" s="13"/>
      <c r="G17" s="13"/>
      <c r="H17" s="13"/>
      <c r="I17" s="45"/>
      <c r="J17" s="45"/>
      <c r="K17" s="13"/>
      <c r="L17" s="13"/>
      <c r="M17" s="13"/>
      <c r="N17" s="13"/>
      <c r="O17" s="13"/>
      <c r="P17" s="13"/>
      <c r="Q17" s="13"/>
      <c r="R17" s="13"/>
      <c r="S17" s="13"/>
      <c r="T17" s="13"/>
      <c r="U17" s="13"/>
      <c r="V17" s="13"/>
      <c r="W17" s="13"/>
      <c r="X17" s="13"/>
    </row>
    <row r="18" ht="12.0" customHeight="1">
      <c r="A18" s="13"/>
      <c r="B18" s="13"/>
      <c r="C18" s="13"/>
      <c r="D18" s="13"/>
      <c r="E18" s="13"/>
      <c r="F18" s="13"/>
      <c r="G18" s="13"/>
      <c r="H18" s="13"/>
      <c r="I18" s="45"/>
      <c r="J18" s="45"/>
      <c r="K18" s="13"/>
      <c r="L18" s="13"/>
      <c r="M18" s="13"/>
      <c r="N18" s="13"/>
      <c r="O18" s="13"/>
      <c r="P18" s="13"/>
      <c r="Q18" s="13"/>
      <c r="R18" s="13"/>
      <c r="S18" s="13"/>
      <c r="T18" s="13"/>
      <c r="U18" s="13"/>
      <c r="V18" s="13"/>
      <c r="W18" s="13"/>
      <c r="X18" s="13"/>
    </row>
    <row r="19" ht="12.0" customHeight="1">
      <c r="A19" s="13"/>
      <c r="B19" s="13"/>
      <c r="C19" s="13"/>
      <c r="D19" s="13"/>
      <c r="E19" s="13"/>
      <c r="F19" s="13"/>
      <c r="G19" s="13"/>
      <c r="H19" s="13"/>
      <c r="I19" s="45"/>
      <c r="J19" s="45"/>
      <c r="K19" s="13"/>
      <c r="L19" s="13"/>
      <c r="M19" s="13"/>
      <c r="N19" s="13"/>
      <c r="O19" s="13"/>
      <c r="P19" s="13"/>
      <c r="Q19" s="13"/>
      <c r="R19" s="13"/>
      <c r="S19" s="13"/>
      <c r="T19" s="13"/>
      <c r="U19" s="13"/>
      <c r="V19" s="13"/>
      <c r="W19" s="13"/>
      <c r="X19" s="13"/>
    </row>
    <row r="20" ht="12.0" customHeight="1">
      <c r="A20" s="13"/>
      <c r="B20" s="13"/>
      <c r="C20" s="13"/>
      <c r="D20" s="13"/>
      <c r="E20" s="13"/>
      <c r="F20" s="13"/>
      <c r="G20" s="13"/>
      <c r="H20" s="13"/>
      <c r="I20" s="45"/>
      <c r="J20" s="45"/>
      <c r="K20" s="13"/>
      <c r="L20" s="13"/>
      <c r="M20" s="13"/>
      <c r="N20" s="13"/>
      <c r="O20" s="13"/>
      <c r="P20" s="13"/>
      <c r="Q20" s="13"/>
      <c r="R20" s="13"/>
      <c r="S20" s="13"/>
      <c r="T20" s="13"/>
      <c r="U20" s="13"/>
      <c r="V20" s="13"/>
      <c r="W20" s="13"/>
      <c r="X20" s="13"/>
    </row>
    <row r="21" ht="12.0" customHeight="1">
      <c r="A21" s="13"/>
      <c r="B21" s="13"/>
      <c r="C21" s="13"/>
      <c r="D21" s="13"/>
      <c r="E21" s="13"/>
      <c r="F21" s="13"/>
      <c r="G21" s="13"/>
      <c r="H21" s="13"/>
      <c r="I21" s="45"/>
      <c r="J21" s="45"/>
      <c r="K21" s="13"/>
      <c r="L21" s="13"/>
      <c r="M21" s="13"/>
      <c r="N21" s="13"/>
      <c r="O21" s="13"/>
      <c r="P21" s="13"/>
      <c r="Q21" s="13"/>
      <c r="R21" s="13"/>
      <c r="S21" s="13"/>
      <c r="T21" s="13"/>
      <c r="U21" s="13"/>
      <c r="V21" s="13"/>
      <c r="W21" s="13"/>
      <c r="X21" s="13"/>
    </row>
    <row r="22" ht="12.0" customHeight="1">
      <c r="A22" s="13"/>
      <c r="B22" s="13"/>
      <c r="C22" s="13"/>
      <c r="D22" s="13"/>
      <c r="E22" s="13"/>
      <c r="F22" s="13"/>
      <c r="G22" s="13"/>
      <c r="H22" s="13"/>
      <c r="I22" s="45"/>
      <c r="J22" s="45"/>
      <c r="K22" s="13"/>
      <c r="L22" s="13"/>
      <c r="M22" s="13"/>
      <c r="N22" s="13"/>
      <c r="O22" s="13"/>
      <c r="P22" s="13"/>
      <c r="Q22" s="13"/>
      <c r="R22" s="13"/>
      <c r="S22" s="13"/>
      <c r="T22" s="13"/>
      <c r="U22" s="13"/>
      <c r="V22" s="13"/>
      <c r="W22" s="13"/>
      <c r="X22" s="13"/>
    </row>
    <row r="23" ht="12.0" customHeight="1">
      <c r="A23" s="13"/>
      <c r="B23" s="13"/>
      <c r="C23" s="13"/>
      <c r="D23" s="13"/>
      <c r="E23" s="13"/>
      <c r="F23" s="13"/>
      <c r="G23" s="13"/>
      <c r="H23" s="13"/>
      <c r="I23" s="45"/>
      <c r="J23" s="45"/>
      <c r="K23" s="13"/>
      <c r="L23" s="13"/>
      <c r="M23" s="13"/>
      <c r="N23" s="13"/>
      <c r="O23" s="13"/>
      <c r="P23" s="13"/>
      <c r="Q23" s="13"/>
      <c r="R23" s="13"/>
      <c r="S23" s="13"/>
      <c r="T23" s="13"/>
      <c r="U23" s="13"/>
      <c r="V23" s="13"/>
      <c r="W23" s="13"/>
      <c r="X23" s="13"/>
    </row>
    <row r="24" ht="12.0" customHeight="1">
      <c r="A24" s="13"/>
      <c r="B24" s="13"/>
      <c r="C24" s="13"/>
      <c r="D24" s="13"/>
      <c r="E24" s="13"/>
      <c r="F24" s="13"/>
      <c r="G24" s="13"/>
      <c r="H24" s="13"/>
      <c r="I24" s="45"/>
      <c r="J24" s="45"/>
      <c r="K24" s="13"/>
      <c r="L24" s="13"/>
      <c r="M24" s="13"/>
      <c r="N24" s="13"/>
      <c r="O24" s="13"/>
      <c r="P24" s="13"/>
      <c r="Q24" s="13"/>
      <c r="R24" s="13"/>
      <c r="S24" s="13"/>
      <c r="T24" s="13"/>
      <c r="U24" s="13"/>
      <c r="V24" s="13"/>
      <c r="W24" s="13"/>
      <c r="X24" s="13"/>
    </row>
    <row r="25" ht="12.0" customHeight="1">
      <c r="A25" s="13"/>
      <c r="B25" s="13"/>
      <c r="C25" s="13"/>
      <c r="D25" s="13"/>
      <c r="E25" s="13"/>
      <c r="F25" s="13"/>
      <c r="G25" s="13"/>
      <c r="H25" s="13"/>
      <c r="I25" s="45"/>
      <c r="J25" s="45"/>
      <c r="K25" s="13"/>
      <c r="L25" s="13"/>
      <c r="M25" s="13"/>
      <c r="N25" s="13"/>
      <c r="O25" s="13"/>
      <c r="P25" s="13"/>
      <c r="Q25" s="13"/>
      <c r="R25" s="13"/>
      <c r="S25" s="13"/>
      <c r="T25" s="13"/>
      <c r="U25" s="13"/>
      <c r="V25" s="13"/>
      <c r="W25" s="13"/>
      <c r="X25" s="13"/>
    </row>
    <row r="26" ht="12.0" customHeight="1">
      <c r="A26" s="13"/>
      <c r="B26" s="13"/>
      <c r="C26" s="13"/>
      <c r="D26" s="13"/>
      <c r="E26" s="13"/>
      <c r="F26" s="13"/>
      <c r="G26" s="13"/>
      <c r="H26" s="13"/>
      <c r="I26" s="45"/>
      <c r="J26" s="45"/>
      <c r="K26" s="13"/>
      <c r="L26" s="13"/>
      <c r="M26" s="13"/>
      <c r="N26" s="13"/>
      <c r="O26" s="13"/>
      <c r="P26" s="13"/>
      <c r="Q26" s="13"/>
      <c r="R26" s="13"/>
      <c r="S26" s="13"/>
      <c r="T26" s="13"/>
      <c r="U26" s="13"/>
      <c r="V26" s="13"/>
      <c r="W26" s="13"/>
      <c r="X26" s="13"/>
    </row>
    <row r="27" ht="12.0" customHeight="1">
      <c r="A27" s="13"/>
      <c r="B27" s="13"/>
      <c r="C27" s="13"/>
      <c r="D27" s="13"/>
      <c r="E27" s="13"/>
      <c r="F27" s="13"/>
      <c r="G27" s="13"/>
      <c r="H27" s="13"/>
      <c r="I27" s="45"/>
      <c r="J27" s="45"/>
      <c r="K27" s="13"/>
      <c r="L27" s="13"/>
      <c r="M27" s="13"/>
      <c r="N27" s="13"/>
      <c r="O27" s="13"/>
      <c r="P27" s="13"/>
      <c r="Q27" s="13"/>
      <c r="R27" s="13"/>
      <c r="S27" s="13"/>
      <c r="T27" s="13"/>
      <c r="U27" s="13"/>
      <c r="V27" s="13"/>
      <c r="W27" s="13"/>
      <c r="X27" s="13"/>
    </row>
    <row r="28" ht="12.0" customHeight="1">
      <c r="A28" s="13"/>
      <c r="B28" s="13"/>
      <c r="C28" s="13"/>
      <c r="D28" s="13"/>
      <c r="E28" s="13"/>
      <c r="F28" s="13"/>
      <c r="G28" s="13"/>
      <c r="H28" s="13"/>
      <c r="I28" s="45"/>
      <c r="J28" s="45"/>
      <c r="K28" s="13"/>
      <c r="L28" s="13"/>
      <c r="M28" s="13"/>
      <c r="N28" s="13"/>
      <c r="O28" s="13"/>
      <c r="P28" s="13"/>
      <c r="Q28" s="13"/>
      <c r="R28" s="13"/>
      <c r="S28" s="13"/>
      <c r="T28" s="13"/>
      <c r="U28" s="13"/>
      <c r="V28" s="13"/>
      <c r="W28" s="13"/>
      <c r="X28" s="13"/>
    </row>
    <row r="29" ht="12.0" customHeight="1">
      <c r="A29" s="13"/>
      <c r="B29" s="13"/>
      <c r="C29" s="13"/>
      <c r="D29" s="13"/>
      <c r="E29" s="13"/>
      <c r="F29" s="13"/>
      <c r="G29" s="13"/>
      <c r="H29" s="13"/>
      <c r="I29" s="45"/>
      <c r="J29" s="45"/>
      <c r="K29" s="13"/>
      <c r="L29" s="13"/>
      <c r="M29" s="13"/>
      <c r="N29" s="13"/>
      <c r="O29" s="13"/>
      <c r="P29" s="13"/>
      <c r="Q29" s="13"/>
      <c r="R29" s="13"/>
      <c r="S29" s="13"/>
      <c r="T29" s="13"/>
      <c r="U29" s="13"/>
      <c r="V29" s="13"/>
      <c r="W29" s="13"/>
      <c r="X29" s="13"/>
    </row>
    <row r="30" ht="12.0" customHeight="1">
      <c r="A30" s="13"/>
      <c r="B30" s="13"/>
      <c r="C30" s="13"/>
      <c r="D30" s="13"/>
      <c r="E30" s="13"/>
      <c r="F30" s="13"/>
      <c r="G30" s="13"/>
      <c r="H30" s="13"/>
      <c r="I30" s="45"/>
      <c r="J30" s="45"/>
      <c r="K30" s="13"/>
      <c r="L30" s="13"/>
      <c r="M30" s="13"/>
      <c r="N30" s="13"/>
      <c r="O30" s="13"/>
      <c r="P30" s="13"/>
      <c r="Q30" s="13"/>
      <c r="R30" s="13"/>
      <c r="S30" s="13"/>
      <c r="T30" s="13"/>
      <c r="U30" s="13"/>
      <c r="V30" s="13"/>
      <c r="W30" s="13"/>
      <c r="X30" s="13"/>
    </row>
    <row r="31" ht="12.0" customHeight="1">
      <c r="A31" s="13"/>
      <c r="B31" s="13"/>
      <c r="C31" s="13"/>
      <c r="D31" s="13"/>
      <c r="E31" s="13"/>
      <c r="F31" s="13"/>
      <c r="G31" s="13"/>
      <c r="H31" s="13"/>
      <c r="I31" s="45"/>
      <c r="J31" s="45"/>
      <c r="K31" s="13"/>
      <c r="L31" s="13"/>
      <c r="M31" s="13"/>
      <c r="N31" s="13"/>
      <c r="O31" s="13"/>
      <c r="P31" s="13"/>
      <c r="Q31" s="13"/>
      <c r="R31" s="13"/>
      <c r="S31" s="13"/>
      <c r="T31" s="13"/>
      <c r="U31" s="13"/>
      <c r="V31" s="13"/>
      <c r="W31" s="13"/>
      <c r="X31" s="13"/>
    </row>
    <row r="32" ht="12.0" customHeight="1">
      <c r="A32" s="13"/>
      <c r="B32" s="13"/>
      <c r="C32" s="13"/>
      <c r="D32" s="13"/>
      <c r="E32" s="13"/>
      <c r="F32" s="13"/>
      <c r="G32" s="13"/>
      <c r="H32" s="13"/>
      <c r="I32" s="45"/>
      <c r="J32" s="45"/>
      <c r="K32" s="13"/>
      <c r="L32" s="13"/>
      <c r="M32" s="13"/>
      <c r="N32" s="13"/>
      <c r="O32" s="13"/>
      <c r="P32" s="13"/>
      <c r="Q32" s="13"/>
      <c r="R32" s="13"/>
      <c r="S32" s="13"/>
      <c r="T32" s="13"/>
      <c r="U32" s="13"/>
      <c r="V32" s="13"/>
      <c r="W32" s="13"/>
      <c r="X32" s="13"/>
    </row>
    <row r="33" ht="12.0" customHeight="1">
      <c r="A33" s="13"/>
      <c r="B33" s="13"/>
      <c r="C33" s="13"/>
      <c r="D33" s="13"/>
      <c r="E33" s="13"/>
      <c r="F33" s="13"/>
      <c r="G33" s="13"/>
      <c r="H33" s="13"/>
      <c r="I33" s="45"/>
      <c r="J33" s="45"/>
      <c r="K33" s="13"/>
      <c r="L33" s="13"/>
      <c r="M33" s="13"/>
      <c r="N33" s="13"/>
      <c r="O33" s="13"/>
      <c r="P33" s="13"/>
      <c r="Q33" s="13"/>
      <c r="R33" s="13"/>
      <c r="S33" s="13"/>
      <c r="T33" s="13"/>
      <c r="U33" s="13"/>
      <c r="V33" s="13"/>
      <c r="W33" s="13"/>
      <c r="X33" s="13"/>
    </row>
    <row r="34" ht="12.0" customHeight="1">
      <c r="A34" s="13"/>
      <c r="B34" s="13"/>
      <c r="C34" s="13"/>
      <c r="D34" s="13"/>
      <c r="E34" s="13"/>
      <c r="F34" s="13"/>
      <c r="G34" s="13"/>
      <c r="H34" s="13"/>
      <c r="I34" s="45"/>
      <c r="J34" s="45"/>
      <c r="K34" s="13"/>
      <c r="L34" s="13"/>
      <c r="M34" s="13"/>
      <c r="N34" s="13"/>
      <c r="O34" s="13"/>
      <c r="P34" s="13"/>
      <c r="Q34" s="13"/>
      <c r="R34" s="13"/>
      <c r="S34" s="13"/>
      <c r="T34" s="13"/>
      <c r="U34" s="13"/>
      <c r="V34" s="13"/>
      <c r="W34" s="13"/>
      <c r="X34" s="13"/>
    </row>
    <row r="35" ht="12.0" customHeight="1">
      <c r="A35" s="13"/>
      <c r="B35" s="13"/>
      <c r="C35" s="13"/>
      <c r="D35" s="13"/>
      <c r="E35" s="13"/>
      <c r="F35" s="13"/>
      <c r="G35" s="13"/>
      <c r="H35" s="13"/>
      <c r="I35" s="45"/>
      <c r="J35" s="45"/>
      <c r="K35" s="13"/>
      <c r="L35" s="13"/>
      <c r="M35" s="13"/>
      <c r="N35" s="13"/>
      <c r="O35" s="13"/>
      <c r="P35" s="13"/>
      <c r="Q35" s="13"/>
      <c r="R35" s="13"/>
      <c r="S35" s="13"/>
      <c r="T35" s="13"/>
      <c r="U35" s="13"/>
      <c r="V35" s="13"/>
      <c r="W35" s="13"/>
      <c r="X35" s="13"/>
    </row>
    <row r="36" ht="12.0" customHeight="1">
      <c r="A36" s="13"/>
      <c r="B36" s="13"/>
      <c r="C36" s="13"/>
      <c r="D36" s="13"/>
      <c r="E36" s="13"/>
      <c r="F36" s="13"/>
      <c r="G36" s="13"/>
      <c r="H36" s="13"/>
      <c r="I36" s="45"/>
      <c r="J36" s="45"/>
      <c r="K36" s="13"/>
      <c r="L36" s="13"/>
      <c r="M36" s="13"/>
      <c r="N36" s="13"/>
      <c r="O36" s="13"/>
      <c r="P36" s="13"/>
      <c r="Q36" s="13"/>
      <c r="R36" s="13"/>
      <c r="S36" s="13"/>
      <c r="T36" s="13"/>
      <c r="U36" s="13"/>
      <c r="V36" s="13"/>
      <c r="W36" s="13"/>
      <c r="X36" s="13"/>
    </row>
    <row r="37" ht="12.0" customHeight="1">
      <c r="A37" s="13"/>
      <c r="B37" s="13"/>
      <c r="C37" s="13"/>
      <c r="D37" s="13"/>
      <c r="E37" s="13"/>
      <c r="F37" s="13"/>
      <c r="G37" s="13"/>
      <c r="H37" s="13"/>
      <c r="I37" s="45"/>
      <c r="J37" s="45"/>
      <c r="K37" s="13"/>
      <c r="L37" s="13"/>
      <c r="M37" s="13"/>
      <c r="N37" s="13"/>
      <c r="O37" s="13"/>
      <c r="P37" s="13"/>
      <c r="Q37" s="13"/>
      <c r="R37" s="13"/>
      <c r="S37" s="13"/>
      <c r="T37" s="13"/>
      <c r="U37" s="13"/>
      <c r="V37" s="13"/>
      <c r="W37" s="13"/>
      <c r="X37" s="13"/>
    </row>
    <row r="38" ht="12.0" customHeight="1">
      <c r="A38" s="13"/>
      <c r="B38" s="13"/>
      <c r="C38" s="13"/>
      <c r="D38" s="13"/>
      <c r="E38" s="13"/>
      <c r="F38" s="13"/>
      <c r="G38" s="13"/>
      <c r="H38" s="13"/>
      <c r="I38" s="45"/>
      <c r="J38" s="45"/>
      <c r="K38" s="13"/>
      <c r="L38" s="13"/>
      <c r="M38" s="13"/>
      <c r="N38" s="13"/>
      <c r="O38" s="13"/>
      <c r="P38" s="13"/>
      <c r="Q38" s="13"/>
      <c r="R38" s="13"/>
      <c r="S38" s="13"/>
      <c r="T38" s="13"/>
      <c r="U38" s="13"/>
      <c r="V38" s="13"/>
      <c r="W38" s="13"/>
      <c r="X38" s="13"/>
    </row>
    <row r="39" ht="12.0" customHeight="1">
      <c r="A39" s="13"/>
      <c r="B39" s="13"/>
      <c r="C39" s="13"/>
      <c r="D39" s="13"/>
      <c r="E39" s="13"/>
      <c r="F39" s="13"/>
      <c r="G39" s="13"/>
      <c r="H39" s="13"/>
      <c r="I39" s="45"/>
      <c r="J39" s="45"/>
      <c r="K39" s="13"/>
      <c r="L39" s="13"/>
      <c r="M39" s="13"/>
      <c r="N39" s="13"/>
      <c r="O39" s="13"/>
      <c r="P39" s="13"/>
      <c r="Q39" s="13"/>
      <c r="R39" s="13"/>
      <c r="S39" s="13"/>
      <c r="T39" s="13"/>
      <c r="U39" s="13"/>
      <c r="V39" s="13"/>
      <c r="W39" s="13"/>
      <c r="X39" s="13"/>
    </row>
    <row r="40" ht="12.0" customHeight="1">
      <c r="A40" s="13"/>
      <c r="B40" s="13"/>
      <c r="C40" s="13"/>
      <c r="D40" s="13"/>
      <c r="E40" s="13"/>
      <c r="F40" s="13"/>
      <c r="G40" s="13"/>
      <c r="H40" s="13"/>
      <c r="I40" s="45"/>
      <c r="J40" s="45"/>
      <c r="K40" s="13"/>
      <c r="L40" s="13"/>
      <c r="M40" s="13"/>
      <c r="N40" s="13"/>
      <c r="O40" s="13"/>
      <c r="P40" s="13"/>
      <c r="Q40" s="13"/>
      <c r="R40" s="13"/>
      <c r="S40" s="13"/>
      <c r="T40" s="13"/>
      <c r="U40" s="13"/>
      <c r="V40" s="13"/>
      <c r="W40" s="13"/>
      <c r="X40" s="13"/>
    </row>
    <row r="41" ht="12.0" customHeight="1">
      <c r="A41" s="13"/>
      <c r="B41" s="13"/>
      <c r="C41" s="13"/>
      <c r="D41" s="13"/>
      <c r="E41" s="13"/>
      <c r="F41" s="13"/>
      <c r="G41" s="13"/>
      <c r="H41" s="13"/>
      <c r="I41" s="45"/>
      <c r="J41" s="45"/>
      <c r="K41" s="13"/>
      <c r="L41" s="13"/>
      <c r="M41" s="13"/>
      <c r="N41" s="13"/>
      <c r="O41" s="13"/>
      <c r="P41" s="13"/>
      <c r="Q41" s="13"/>
      <c r="R41" s="13"/>
      <c r="S41" s="13"/>
      <c r="T41" s="13"/>
      <c r="U41" s="13"/>
      <c r="V41" s="13"/>
      <c r="W41" s="13"/>
      <c r="X41" s="13"/>
    </row>
    <row r="42" ht="12.0" customHeight="1">
      <c r="A42" s="13"/>
      <c r="B42" s="13"/>
      <c r="C42" s="13"/>
      <c r="D42" s="13"/>
      <c r="E42" s="13"/>
      <c r="F42" s="13"/>
      <c r="G42" s="13"/>
      <c r="H42" s="13"/>
      <c r="I42" s="45"/>
      <c r="J42" s="45"/>
      <c r="K42" s="13"/>
      <c r="L42" s="13"/>
      <c r="M42" s="13"/>
      <c r="N42" s="13"/>
      <c r="O42" s="13"/>
      <c r="P42" s="13"/>
      <c r="Q42" s="13"/>
      <c r="R42" s="13"/>
      <c r="S42" s="13"/>
      <c r="T42" s="13"/>
      <c r="U42" s="13"/>
      <c r="V42" s="13"/>
      <c r="W42" s="13"/>
      <c r="X42" s="13"/>
    </row>
    <row r="43" ht="12.0" customHeight="1">
      <c r="A43" s="13"/>
      <c r="B43" s="13"/>
      <c r="C43" s="13"/>
      <c r="D43" s="13"/>
      <c r="E43" s="13"/>
      <c r="F43" s="13"/>
      <c r="G43" s="13"/>
      <c r="H43" s="13"/>
      <c r="I43" s="45"/>
      <c r="J43" s="45"/>
      <c r="K43" s="13"/>
      <c r="L43" s="13"/>
      <c r="M43" s="13"/>
      <c r="N43" s="13"/>
      <c r="O43" s="13"/>
      <c r="P43" s="13"/>
      <c r="Q43" s="13"/>
      <c r="R43" s="13"/>
      <c r="S43" s="13"/>
      <c r="T43" s="13"/>
      <c r="U43" s="13"/>
      <c r="V43" s="13"/>
      <c r="W43" s="13"/>
      <c r="X43" s="13"/>
    </row>
    <row r="44" ht="12.0" customHeight="1">
      <c r="A44" s="13"/>
      <c r="B44" s="13"/>
      <c r="C44" s="13"/>
      <c r="D44" s="13"/>
      <c r="E44" s="13"/>
      <c r="F44" s="13"/>
      <c r="G44" s="13"/>
      <c r="H44" s="13"/>
      <c r="I44" s="45"/>
      <c r="J44" s="45"/>
      <c r="K44" s="13"/>
      <c r="L44" s="13"/>
      <c r="M44" s="13"/>
      <c r="N44" s="13"/>
      <c r="O44" s="13"/>
      <c r="P44" s="13"/>
      <c r="Q44" s="13"/>
      <c r="R44" s="13"/>
      <c r="S44" s="13"/>
      <c r="T44" s="13"/>
      <c r="U44" s="13"/>
      <c r="V44" s="13"/>
      <c r="W44" s="13"/>
      <c r="X44" s="13"/>
    </row>
    <row r="45" ht="12.0" customHeight="1">
      <c r="A45" s="13"/>
      <c r="B45" s="13"/>
      <c r="C45" s="13"/>
      <c r="D45" s="13"/>
      <c r="E45" s="13"/>
      <c r="F45" s="13"/>
      <c r="G45" s="13"/>
      <c r="H45" s="13"/>
      <c r="I45" s="45"/>
      <c r="J45" s="45"/>
      <c r="K45" s="13"/>
      <c r="L45" s="13"/>
      <c r="M45" s="13"/>
      <c r="N45" s="13"/>
      <c r="O45" s="13"/>
      <c r="P45" s="13"/>
      <c r="Q45" s="13"/>
      <c r="R45" s="13"/>
      <c r="S45" s="13"/>
      <c r="T45" s="13"/>
      <c r="U45" s="13"/>
      <c r="V45" s="13"/>
      <c r="W45" s="13"/>
      <c r="X45" s="13"/>
    </row>
    <row r="46" ht="12.0" customHeight="1">
      <c r="A46" s="13"/>
      <c r="B46" s="13"/>
      <c r="C46" s="13"/>
      <c r="D46" s="13"/>
      <c r="E46" s="13"/>
      <c r="F46" s="13"/>
      <c r="G46" s="13"/>
      <c r="H46" s="13"/>
      <c r="I46" s="45"/>
      <c r="J46" s="45"/>
      <c r="K46" s="13"/>
      <c r="L46" s="13"/>
      <c r="M46" s="13"/>
      <c r="N46" s="13"/>
      <c r="O46" s="13"/>
      <c r="P46" s="13"/>
      <c r="Q46" s="13"/>
      <c r="R46" s="13"/>
      <c r="S46" s="13"/>
      <c r="T46" s="13"/>
      <c r="U46" s="13"/>
      <c r="V46" s="13"/>
      <c r="W46" s="13"/>
      <c r="X46" s="13"/>
    </row>
    <row r="47" ht="12.0" customHeight="1">
      <c r="A47" s="13"/>
      <c r="B47" s="13"/>
      <c r="C47" s="13"/>
      <c r="D47" s="13"/>
      <c r="E47" s="13"/>
      <c r="F47" s="13"/>
      <c r="G47" s="13"/>
      <c r="H47" s="13"/>
      <c r="I47" s="45"/>
      <c r="J47" s="45"/>
      <c r="K47" s="13"/>
      <c r="L47" s="13"/>
      <c r="M47" s="13"/>
      <c r="N47" s="13"/>
      <c r="O47" s="13"/>
      <c r="P47" s="13"/>
      <c r="Q47" s="13"/>
      <c r="R47" s="13"/>
      <c r="S47" s="13"/>
      <c r="T47" s="13"/>
      <c r="U47" s="13"/>
      <c r="V47" s="13"/>
      <c r="W47" s="13"/>
      <c r="X47" s="13"/>
    </row>
    <row r="48" ht="12.0" customHeight="1">
      <c r="A48" s="13"/>
      <c r="B48" s="13"/>
      <c r="C48" s="13"/>
      <c r="D48" s="13"/>
      <c r="E48" s="13"/>
      <c r="F48" s="13"/>
      <c r="G48" s="13"/>
      <c r="H48" s="13"/>
      <c r="I48" s="45"/>
      <c r="J48" s="45"/>
      <c r="K48" s="13"/>
      <c r="L48" s="13"/>
      <c r="M48" s="13"/>
      <c r="N48" s="13"/>
      <c r="O48" s="13"/>
      <c r="P48" s="13"/>
      <c r="Q48" s="13"/>
      <c r="R48" s="13"/>
      <c r="S48" s="13"/>
      <c r="T48" s="13"/>
      <c r="U48" s="13"/>
      <c r="V48" s="13"/>
      <c r="W48" s="13"/>
      <c r="X48" s="13"/>
    </row>
    <row r="49" ht="12.0" customHeight="1">
      <c r="A49" s="13"/>
      <c r="B49" s="13"/>
      <c r="C49" s="13"/>
      <c r="D49" s="13"/>
      <c r="E49" s="13"/>
      <c r="F49" s="13"/>
      <c r="G49" s="13"/>
      <c r="H49" s="13"/>
      <c r="I49" s="45"/>
      <c r="J49" s="45"/>
      <c r="K49" s="13"/>
      <c r="L49" s="13"/>
      <c r="M49" s="13"/>
      <c r="N49" s="13"/>
      <c r="O49" s="13"/>
      <c r="P49" s="13"/>
      <c r="Q49" s="13"/>
      <c r="R49" s="13"/>
      <c r="S49" s="13"/>
      <c r="T49" s="13"/>
      <c r="U49" s="13"/>
      <c r="V49" s="13"/>
      <c r="W49" s="13"/>
      <c r="X49" s="13"/>
    </row>
    <row r="50" ht="12.0" customHeight="1">
      <c r="A50" s="13"/>
      <c r="B50" s="13"/>
      <c r="C50" s="13"/>
      <c r="D50" s="13"/>
      <c r="E50" s="13"/>
      <c r="F50" s="13"/>
      <c r="G50" s="13"/>
      <c r="H50" s="13"/>
      <c r="I50" s="45"/>
      <c r="J50" s="45"/>
      <c r="K50" s="13"/>
      <c r="L50" s="13"/>
      <c r="M50" s="13"/>
      <c r="N50" s="13"/>
      <c r="O50" s="13"/>
      <c r="P50" s="13"/>
      <c r="Q50" s="13"/>
      <c r="R50" s="13"/>
      <c r="S50" s="13"/>
      <c r="T50" s="13"/>
      <c r="U50" s="13"/>
      <c r="V50" s="13"/>
      <c r="W50" s="13"/>
      <c r="X50" s="13"/>
    </row>
    <row r="51" ht="12.0" customHeight="1">
      <c r="A51" s="13"/>
      <c r="B51" s="13"/>
      <c r="C51" s="13"/>
      <c r="D51" s="13"/>
      <c r="E51" s="13"/>
      <c r="F51" s="13"/>
      <c r="G51" s="13"/>
      <c r="H51" s="13"/>
      <c r="I51" s="45"/>
      <c r="J51" s="45"/>
      <c r="K51" s="13"/>
      <c r="L51" s="13"/>
      <c r="M51" s="13"/>
      <c r="N51" s="13"/>
      <c r="O51" s="13"/>
      <c r="P51" s="13"/>
      <c r="Q51" s="13"/>
      <c r="R51" s="13"/>
      <c r="S51" s="13"/>
      <c r="T51" s="13"/>
      <c r="U51" s="13"/>
      <c r="V51" s="13"/>
      <c r="W51" s="13"/>
      <c r="X51" s="13"/>
    </row>
    <row r="52" ht="12.0" customHeight="1">
      <c r="A52" s="13"/>
      <c r="B52" s="13"/>
      <c r="C52" s="13"/>
      <c r="D52" s="13"/>
      <c r="E52" s="13"/>
      <c r="F52" s="13"/>
      <c r="G52" s="13"/>
      <c r="H52" s="13"/>
      <c r="I52" s="45"/>
      <c r="J52" s="45"/>
      <c r="K52" s="13"/>
      <c r="L52" s="13"/>
      <c r="M52" s="13"/>
      <c r="N52" s="13"/>
      <c r="O52" s="13"/>
      <c r="P52" s="13"/>
      <c r="Q52" s="13"/>
      <c r="R52" s="13"/>
      <c r="S52" s="13"/>
      <c r="T52" s="13"/>
      <c r="U52" s="13"/>
      <c r="V52" s="13"/>
      <c r="W52" s="13"/>
      <c r="X52" s="13"/>
    </row>
    <row r="53" ht="12.0" customHeight="1">
      <c r="A53" s="13"/>
      <c r="B53" s="13"/>
      <c r="C53" s="13"/>
      <c r="D53" s="13"/>
      <c r="E53" s="13"/>
      <c r="F53" s="13"/>
      <c r="G53" s="13"/>
      <c r="H53" s="13"/>
      <c r="I53" s="45"/>
      <c r="J53" s="45"/>
      <c r="K53" s="13"/>
      <c r="L53" s="13"/>
      <c r="M53" s="13"/>
      <c r="N53" s="13"/>
      <c r="O53" s="13"/>
      <c r="P53" s="13"/>
      <c r="Q53" s="13"/>
      <c r="R53" s="13"/>
      <c r="S53" s="13"/>
      <c r="T53" s="13"/>
      <c r="U53" s="13"/>
      <c r="V53" s="13"/>
      <c r="W53" s="13"/>
      <c r="X53" s="13"/>
    </row>
    <row r="54" ht="12.0" customHeight="1">
      <c r="A54" s="13"/>
      <c r="B54" s="13"/>
      <c r="C54" s="13"/>
      <c r="D54" s="13"/>
      <c r="E54" s="13"/>
      <c r="F54" s="13"/>
      <c r="G54" s="13"/>
      <c r="H54" s="13"/>
      <c r="I54" s="45"/>
      <c r="J54" s="45"/>
      <c r="K54" s="13"/>
      <c r="L54" s="13"/>
      <c r="M54" s="13"/>
      <c r="N54" s="13"/>
      <c r="O54" s="13"/>
      <c r="P54" s="13"/>
      <c r="Q54" s="13"/>
      <c r="R54" s="13"/>
      <c r="S54" s="13"/>
      <c r="T54" s="13"/>
      <c r="U54" s="13"/>
      <c r="V54" s="13"/>
      <c r="W54" s="13"/>
      <c r="X54" s="13"/>
    </row>
    <row r="55" ht="12.0" customHeight="1">
      <c r="A55" s="13"/>
      <c r="B55" s="13"/>
      <c r="C55" s="13"/>
      <c r="D55" s="13"/>
      <c r="E55" s="13"/>
      <c r="F55" s="13"/>
      <c r="G55" s="13"/>
      <c r="H55" s="13"/>
      <c r="I55" s="45"/>
      <c r="J55" s="45"/>
      <c r="K55" s="13"/>
      <c r="L55" s="13"/>
      <c r="M55" s="13"/>
      <c r="N55" s="13"/>
      <c r="O55" s="13"/>
      <c r="P55" s="13"/>
      <c r="Q55" s="13"/>
      <c r="R55" s="13"/>
      <c r="S55" s="13"/>
      <c r="T55" s="13"/>
      <c r="U55" s="13"/>
      <c r="V55" s="13"/>
      <c r="W55" s="13"/>
      <c r="X55" s="13"/>
    </row>
    <row r="56" ht="12.0" customHeight="1">
      <c r="A56" s="13"/>
      <c r="B56" s="13"/>
      <c r="C56" s="13"/>
      <c r="D56" s="13"/>
      <c r="E56" s="13"/>
      <c r="F56" s="13"/>
      <c r="G56" s="13"/>
      <c r="H56" s="13"/>
      <c r="I56" s="45"/>
      <c r="J56" s="45"/>
      <c r="K56" s="13"/>
      <c r="L56" s="13"/>
      <c r="M56" s="13"/>
      <c r="N56" s="13"/>
      <c r="O56" s="13"/>
      <c r="P56" s="13"/>
      <c r="Q56" s="13"/>
      <c r="R56" s="13"/>
      <c r="S56" s="13"/>
      <c r="T56" s="13"/>
      <c r="U56" s="13"/>
      <c r="V56" s="13"/>
      <c r="W56" s="13"/>
      <c r="X56" s="13"/>
    </row>
    <row r="57" ht="12.0" customHeight="1">
      <c r="A57" s="13"/>
      <c r="B57" s="13"/>
      <c r="C57" s="13"/>
      <c r="D57" s="13"/>
      <c r="E57" s="13"/>
      <c r="F57" s="13"/>
      <c r="G57" s="13"/>
      <c r="H57" s="13"/>
      <c r="I57" s="45"/>
      <c r="J57" s="45"/>
      <c r="K57" s="13"/>
      <c r="L57" s="13"/>
      <c r="M57" s="13"/>
      <c r="N57" s="13"/>
      <c r="O57" s="13"/>
      <c r="P57" s="13"/>
      <c r="Q57" s="13"/>
      <c r="R57" s="13"/>
      <c r="S57" s="13"/>
      <c r="T57" s="13"/>
      <c r="U57" s="13"/>
      <c r="V57" s="13"/>
      <c r="W57" s="13"/>
      <c r="X57" s="13"/>
    </row>
    <row r="58" ht="12.0" customHeight="1">
      <c r="A58" s="13"/>
      <c r="B58" s="13"/>
      <c r="C58" s="13"/>
      <c r="D58" s="13"/>
      <c r="E58" s="13"/>
      <c r="F58" s="13"/>
      <c r="G58" s="13"/>
      <c r="H58" s="13"/>
      <c r="I58" s="45"/>
      <c r="J58" s="45"/>
      <c r="K58" s="13"/>
      <c r="L58" s="13"/>
      <c r="M58" s="13"/>
      <c r="N58" s="13"/>
      <c r="O58" s="13"/>
      <c r="P58" s="13"/>
      <c r="Q58" s="13"/>
      <c r="R58" s="13"/>
      <c r="S58" s="13"/>
      <c r="T58" s="13"/>
      <c r="U58" s="13"/>
      <c r="V58" s="13"/>
      <c r="W58" s="13"/>
      <c r="X58" s="13"/>
    </row>
    <row r="59" ht="12.0" customHeight="1">
      <c r="A59" s="13"/>
      <c r="B59" s="13"/>
      <c r="C59" s="13"/>
      <c r="D59" s="13"/>
      <c r="E59" s="13"/>
      <c r="F59" s="13"/>
      <c r="G59" s="13"/>
      <c r="H59" s="13"/>
      <c r="I59" s="45"/>
      <c r="J59" s="45"/>
      <c r="K59" s="13"/>
      <c r="L59" s="13"/>
      <c r="M59" s="13"/>
      <c r="N59" s="13"/>
      <c r="O59" s="13"/>
      <c r="P59" s="13"/>
      <c r="Q59" s="13"/>
      <c r="R59" s="13"/>
      <c r="S59" s="13"/>
      <c r="T59" s="13"/>
      <c r="U59" s="13"/>
      <c r="V59" s="13"/>
      <c r="W59" s="13"/>
      <c r="X59" s="13"/>
    </row>
    <row r="60" ht="12.0" customHeight="1">
      <c r="A60" s="13"/>
      <c r="B60" s="13"/>
      <c r="C60" s="13"/>
      <c r="D60" s="13"/>
      <c r="E60" s="13"/>
      <c r="F60" s="13"/>
      <c r="G60" s="13"/>
      <c r="H60" s="13"/>
      <c r="I60" s="45"/>
      <c r="J60" s="45"/>
      <c r="K60" s="13"/>
      <c r="L60" s="13"/>
      <c r="M60" s="13"/>
      <c r="N60" s="13"/>
      <c r="O60" s="13"/>
      <c r="P60" s="13"/>
      <c r="Q60" s="13"/>
      <c r="R60" s="13"/>
      <c r="S60" s="13"/>
      <c r="T60" s="13"/>
      <c r="U60" s="13"/>
      <c r="V60" s="13"/>
      <c r="W60" s="13"/>
      <c r="X60" s="13"/>
    </row>
    <row r="61" ht="12.0" customHeight="1">
      <c r="A61" s="13"/>
      <c r="B61" s="13"/>
      <c r="C61" s="13"/>
      <c r="D61" s="13"/>
      <c r="E61" s="13"/>
      <c r="F61" s="13"/>
      <c r="G61" s="13"/>
      <c r="H61" s="13"/>
      <c r="I61" s="45"/>
      <c r="J61" s="45"/>
      <c r="K61" s="13"/>
      <c r="L61" s="13"/>
      <c r="M61" s="13"/>
      <c r="N61" s="13"/>
      <c r="O61" s="13"/>
      <c r="P61" s="13"/>
      <c r="Q61" s="13"/>
      <c r="R61" s="13"/>
      <c r="S61" s="13"/>
      <c r="T61" s="13"/>
      <c r="U61" s="13"/>
      <c r="V61" s="13"/>
      <c r="W61" s="13"/>
      <c r="X61" s="13"/>
    </row>
    <row r="62" ht="12.0" customHeight="1">
      <c r="A62" s="13"/>
      <c r="B62" s="13"/>
      <c r="C62" s="13"/>
      <c r="D62" s="13"/>
      <c r="E62" s="13"/>
      <c r="F62" s="13"/>
      <c r="G62" s="13"/>
      <c r="H62" s="13"/>
      <c r="I62" s="45"/>
      <c r="J62" s="45"/>
      <c r="K62" s="13"/>
      <c r="L62" s="13"/>
      <c r="M62" s="13"/>
      <c r="N62" s="13"/>
      <c r="O62" s="13"/>
      <c r="P62" s="13"/>
      <c r="Q62" s="13"/>
      <c r="R62" s="13"/>
      <c r="S62" s="13"/>
      <c r="T62" s="13"/>
      <c r="U62" s="13"/>
      <c r="V62" s="13"/>
      <c r="W62" s="13"/>
      <c r="X62" s="13"/>
    </row>
    <row r="63" ht="12.0" customHeight="1">
      <c r="A63" s="13"/>
      <c r="B63" s="13"/>
      <c r="C63" s="13"/>
      <c r="D63" s="13"/>
      <c r="E63" s="13"/>
      <c r="F63" s="13"/>
      <c r="G63" s="13"/>
      <c r="H63" s="13"/>
      <c r="I63" s="45"/>
      <c r="J63" s="45"/>
      <c r="K63" s="13"/>
      <c r="L63" s="13"/>
      <c r="M63" s="13"/>
      <c r="N63" s="13"/>
      <c r="O63" s="13"/>
      <c r="P63" s="13"/>
      <c r="Q63" s="13"/>
      <c r="R63" s="13"/>
      <c r="S63" s="13"/>
      <c r="T63" s="13"/>
      <c r="U63" s="13"/>
      <c r="V63" s="13"/>
      <c r="W63" s="13"/>
      <c r="X63" s="13"/>
    </row>
    <row r="64" ht="12.0" customHeight="1">
      <c r="A64" s="13"/>
      <c r="B64" s="13"/>
      <c r="C64" s="13"/>
      <c r="D64" s="13"/>
      <c r="E64" s="13"/>
      <c r="F64" s="13"/>
      <c r="G64" s="13"/>
      <c r="H64" s="13"/>
      <c r="I64" s="45"/>
      <c r="J64" s="45"/>
      <c r="K64" s="13"/>
      <c r="L64" s="13"/>
      <c r="M64" s="13"/>
      <c r="N64" s="13"/>
      <c r="O64" s="13"/>
      <c r="P64" s="13"/>
      <c r="Q64" s="13"/>
      <c r="R64" s="13"/>
      <c r="S64" s="13"/>
      <c r="T64" s="13"/>
      <c r="U64" s="13"/>
      <c r="V64" s="13"/>
      <c r="W64" s="13"/>
      <c r="X64" s="13"/>
    </row>
    <row r="65" ht="12.0" customHeight="1">
      <c r="A65" s="13"/>
      <c r="B65" s="13"/>
      <c r="C65" s="13"/>
      <c r="D65" s="13"/>
      <c r="E65" s="13"/>
      <c r="F65" s="13"/>
      <c r="G65" s="13"/>
      <c r="H65" s="13"/>
      <c r="I65" s="45"/>
      <c r="J65" s="45"/>
      <c r="K65" s="13"/>
      <c r="L65" s="13"/>
      <c r="M65" s="13"/>
      <c r="N65" s="13"/>
      <c r="O65" s="13"/>
      <c r="P65" s="13"/>
      <c r="Q65" s="13"/>
      <c r="R65" s="13"/>
      <c r="S65" s="13"/>
      <c r="T65" s="13"/>
      <c r="U65" s="13"/>
      <c r="V65" s="13"/>
      <c r="W65" s="13"/>
      <c r="X65" s="13"/>
    </row>
    <row r="66" ht="12.0" customHeight="1">
      <c r="A66" s="13"/>
      <c r="B66" s="13"/>
      <c r="C66" s="13"/>
      <c r="D66" s="13"/>
      <c r="E66" s="13"/>
      <c r="F66" s="13"/>
      <c r="G66" s="13"/>
      <c r="H66" s="13"/>
      <c r="I66" s="45"/>
      <c r="J66" s="45"/>
      <c r="K66" s="13"/>
      <c r="L66" s="13"/>
      <c r="M66" s="13"/>
      <c r="N66" s="13"/>
      <c r="O66" s="13"/>
      <c r="P66" s="13"/>
      <c r="Q66" s="13"/>
      <c r="R66" s="13"/>
      <c r="S66" s="13"/>
      <c r="T66" s="13"/>
      <c r="U66" s="13"/>
      <c r="V66" s="13"/>
      <c r="W66" s="13"/>
      <c r="X66" s="13"/>
    </row>
    <row r="67" ht="12.0" customHeight="1">
      <c r="A67" s="13"/>
      <c r="B67" s="13"/>
      <c r="C67" s="13"/>
      <c r="D67" s="13"/>
      <c r="E67" s="13"/>
      <c r="F67" s="13"/>
      <c r="G67" s="13"/>
      <c r="H67" s="13"/>
      <c r="I67" s="45"/>
      <c r="J67" s="45"/>
      <c r="K67" s="13"/>
      <c r="L67" s="13"/>
      <c r="M67" s="13"/>
      <c r="N67" s="13"/>
      <c r="O67" s="13"/>
      <c r="P67" s="13"/>
      <c r="Q67" s="13"/>
      <c r="R67" s="13"/>
      <c r="S67" s="13"/>
      <c r="T67" s="13"/>
      <c r="U67" s="13"/>
      <c r="V67" s="13"/>
      <c r="W67" s="13"/>
      <c r="X67" s="13"/>
    </row>
    <row r="68" ht="12.0" customHeight="1">
      <c r="A68" s="13"/>
      <c r="B68" s="13"/>
      <c r="C68" s="13"/>
      <c r="D68" s="13"/>
      <c r="E68" s="13"/>
      <c r="F68" s="13"/>
      <c r="G68" s="13"/>
      <c r="H68" s="13"/>
      <c r="I68" s="45"/>
      <c r="J68" s="45"/>
      <c r="K68" s="13"/>
      <c r="L68" s="13"/>
      <c r="M68" s="13"/>
      <c r="N68" s="13"/>
      <c r="O68" s="13"/>
      <c r="P68" s="13"/>
      <c r="Q68" s="13"/>
      <c r="R68" s="13"/>
      <c r="S68" s="13"/>
      <c r="T68" s="13"/>
      <c r="U68" s="13"/>
      <c r="V68" s="13"/>
      <c r="W68" s="13"/>
      <c r="X68" s="13"/>
    </row>
    <row r="69" ht="12.0" customHeight="1">
      <c r="A69" s="13"/>
      <c r="B69" s="13"/>
      <c r="C69" s="13"/>
      <c r="D69" s="13"/>
      <c r="E69" s="13"/>
      <c r="F69" s="13"/>
      <c r="G69" s="13"/>
      <c r="H69" s="13"/>
      <c r="I69" s="45"/>
      <c r="J69" s="45"/>
      <c r="K69" s="13"/>
      <c r="L69" s="13"/>
      <c r="M69" s="13"/>
      <c r="N69" s="13"/>
      <c r="O69" s="13"/>
      <c r="P69" s="13"/>
      <c r="Q69" s="13"/>
      <c r="R69" s="13"/>
      <c r="S69" s="13"/>
      <c r="T69" s="13"/>
      <c r="U69" s="13"/>
      <c r="V69" s="13"/>
      <c r="W69" s="13"/>
      <c r="X69" s="13"/>
    </row>
    <row r="70" ht="12.0" customHeight="1">
      <c r="A70" s="13"/>
      <c r="B70" s="13"/>
      <c r="C70" s="13"/>
      <c r="D70" s="13"/>
      <c r="E70" s="13"/>
      <c r="F70" s="13"/>
      <c r="G70" s="13"/>
      <c r="H70" s="13"/>
      <c r="I70" s="45"/>
      <c r="J70" s="45"/>
      <c r="K70" s="13"/>
      <c r="L70" s="13"/>
      <c r="M70" s="13"/>
      <c r="N70" s="13"/>
      <c r="O70" s="13"/>
      <c r="P70" s="13"/>
      <c r="Q70" s="13"/>
      <c r="R70" s="13"/>
      <c r="S70" s="13"/>
      <c r="T70" s="13"/>
      <c r="U70" s="13"/>
      <c r="V70" s="13"/>
      <c r="W70" s="13"/>
      <c r="X70" s="13"/>
    </row>
    <row r="71" ht="12.0" customHeight="1">
      <c r="A71" s="13"/>
      <c r="B71" s="13"/>
      <c r="C71" s="13"/>
      <c r="D71" s="13"/>
      <c r="E71" s="13"/>
      <c r="F71" s="13"/>
      <c r="G71" s="13"/>
      <c r="H71" s="13"/>
      <c r="I71" s="45"/>
      <c r="J71" s="45"/>
      <c r="K71" s="13"/>
      <c r="L71" s="13"/>
      <c r="M71" s="13"/>
      <c r="N71" s="13"/>
      <c r="O71" s="13"/>
      <c r="P71" s="13"/>
      <c r="Q71" s="13"/>
      <c r="R71" s="13"/>
      <c r="S71" s="13"/>
      <c r="T71" s="13"/>
      <c r="U71" s="13"/>
      <c r="V71" s="13"/>
      <c r="W71" s="13"/>
      <c r="X71" s="13"/>
    </row>
    <row r="72" ht="12.0" customHeight="1">
      <c r="A72" s="13"/>
      <c r="B72" s="13"/>
      <c r="C72" s="13"/>
      <c r="D72" s="13"/>
      <c r="E72" s="13"/>
      <c r="F72" s="13"/>
      <c r="G72" s="13"/>
      <c r="H72" s="13"/>
      <c r="I72" s="45"/>
      <c r="J72" s="45"/>
      <c r="K72" s="13"/>
      <c r="L72" s="13"/>
      <c r="M72" s="13"/>
      <c r="N72" s="13"/>
      <c r="O72" s="13"/>
      <c r="P72" s="13"/>
      <c r="Q72" s="13"/>
      <c r="R72" s="13"/>
      <c r="S72" s="13"/>
      <c r="T72" s="13"/>
      <c r="U72" s="13"/>
      <c r="V72" s="13"/>
      <c r="W72" s="13"/>
      <c r="X72" s="13"/>
    </row>
    <row r="73" ht="12.0" customHeight="1">
      <c r="A73" s="13"/>
      <c r="B73" s="13"/>
      <c r="C73" s="13"/>
      <c r="D73" s="13"/>
      <c r="E73" s="13"/>
      <c r="F73" s="13"/>
      <c r="G73" s="13"/>
      <c r="H73" s="13"/>
      <c r="I73" s="45"/>
      <c r="J73" s="45"/>
      <c r="K73" s="13"/>
      <c r="L73" s="13"/>
      <c r="M73" s="13"/>
      <c r="N73" s="13"/>
      <c r="O73" s="13"/>
      <c r="P73" s="13"/>
      <c r="Q73" s="13"/>
      <c r="R73" s="13"/>
      <c r="S73" s="13"/>
      <c r="T73" s="13"/>
      <c r="U73" s="13"/>
      <c r="V73" s="13"/>
      <c r="W73" s="13"/>
      <c r="X73" s="13"/>
    </row>
    <row r="74" ht="12.0" customHeight="1">
      <c r="A74" s="13"/>
      <c r="B74" s="13"/>
      <c r="C74" s="13"/>
      <c r="D74" s="13"/>
      <c r="E74" s="13"/>
      <c r="F74" s="13"/>
      <c r="G74" s="13"/>
      <c r="H74" s="13"/>
      <c r="I74" s="45"/>
      <c r="J74" s="45"/>
      <c r="K74" s="13"/>
      <c r="L74" s="13"/>
      <c r="M74" s="13"/>
      <c r="N74" s="13"/>
      <c r="O74" s="13"/>
      <c r="P74" s="13"/>
      <c r="Q74" s="13"/>
      <c r="R74" s="13"/>
      <c r="S74" s="13"/>
      <c r="T74" s="13"/>
      <c r="U74" s="13"/>
      <c r="V74" s="13"/>
      <c r="W74" s="13"/>
      <c r="X74" s="13"/>
    </row>
    <row r="75" ht="12.0" customHeight="1">
      <c r="A75" s="13"/>
      <c r="B75" s="13"/>
      <c r="C75" s="13"/>
      <c r="D75" s="13"/>
      <c r="E75" s="13"/>
      <c r="F75" s="13"/>
      <c r="G75" s="13"/>
      <c r="H75" s="13"/>
      <c r="I75" s="45"/>
      <c r="J75" s="45"/>
      <c r="K75" s="13"/>
      <c r="L75" s="13"/>
      <c r="M75" s="13"/>
      <c r="N75" s="13"/>
      <c r="O75" s="13"/>
      <c r="P75" s="13"/>
      <c r="Q75" s="13"/>
      <c r="R75" s="13"/>
      <c r="S75" s="13"/>
      <c r="T75" s="13"/>
      <c r="U75" s="13"/>
      <c r="V75" s="13"/>
      <c r="W75" s="13"/>
      <c r="X75" s="13"/>
    </row>
    <row r="76" ht="12.0" customHeight="1">
      <c r="A76" s="13"/>
      <c r="B76" s="13"/>
      <c r="C76" s="13"/>
      <c r="D76" s="13"/>
      <c r="E76" s="13"/>
      <c r="F76" s="13"/>
      <c r="G76" s="13"/>
      <c r="H76" s="13"/>
      <c r="I76" s="45"/>
      <c r="J76" s="45"/>
      <c r="K76" s="13"/>
      <c r="L76" s="13"/>
      <c r="M76" s="13"/>
      <c r="N76" s="13"/>
      <c r="O76" s="13"/>
      <c r="P76" s="13"/>
      <c r="Q76" s="13"/>
      <c r="R76" s="13"/>
      <c r="S76" s="13"/>
      <c r="T76" s="13"/>
      <c r="U76" s="13"/>
      <c r="V76" s="13"/>
      <c r="W76" s="13"/>
      <c r="X76" s="13"/>
    </row>
    <row r="77" ht="12.0" customHeight="1">
      <c r="A77" s="13"/>
      <c r="B77" s="13"/>
      <c r="C77" s="13"/>
      <c r="D77" s="13"/>
      <c r="E77" s="13"/>
      <c r="F77" s="13"/>
      <c r="G77" s="13"/>
      <c r="H77" s="13"/>
      <c r="I77" s="45"/>
      <c r="J77" s="45"/>
      <c r="K77" s="13"/>
      <c r="L77" s="13"/>
      <c r="M77" s="13"/>
      <c r="N77" s="13"/>
      <c r="O77" s="13"/>
      <c r="P77" s="13"/>
      <c r="Q77" s="13"/>
      <c r="R77" s="13"/>
      <c r="S77" s="13"/>
      <c r="T77" s="13"/>
      <c r="U77" s="13"/>
      <c r="V77" s="13"/>
      <c r="W77" s="13"/>
      <c r="X77" s="13"/>
    </row>
    <row r="78" ht="12.0" customHeight="1">
      <c r="A78" s="13"/>
      <c r="B78" s="13"/>
      <c r="C78" s="13"/>
      <c r="D78" s="13"/>
      <c r="E78" s="13"/>
      <c r="F78" s="13"/>
      <c r="G78" s="13"/>
      <c r="H78" s="13"/>
      <c r="I78" s="45"/>
      <c r="J78" s="45"/>
      <c r="K78" s="13"/>
      <c r="L78" s="13"/>
      <c r="M78" s="13"/>
      <c r="N78" s="13"/>
      <c r="O78" s="13"/>
      <c r="P78" s="13"/>
      <c r="Q78" s="13"/>
      <c r="R78" s="13"/>
      <c r="S78" s="13"/>
      <c r="T78" s="13"/>
      <c r="U78" s="13"/>
      <c r="V78" s="13"/>
      <c r="W78" s="13"/>
      <c r="X78" s="13"/>
    </row>
    <row r="79" ht="12.0" customHeight="1">
      <c r="A79" s="13"/>
      <c r="B79" s="13"/>
      <c r="C79" s="13"/>
      <c r="D79" s="13"/>
      <c r="E79" s="13"/>
      <c r="F79" s="13"/>
      <c r="G79" s="13"/>
      <c r="H79" s="13"/>
      <c r="I79" s="45"/>
      <c r="J79" s="45"/>
      <c r="K79" s="13"/>
      <c r="L79" s="13"/>
      <c r="M79" s="13"/>
      <c r="N79" s="13"/>
      <c r="O79" s="13"/>
      <c r="P79" s="13"/>
      <c r="Q79" s="13"/>
      <c r="R79" s="13"/>
      <c r="S79" s="13"/>
      <c r="T79" s="13"/>
      <c r="U79" s="13"/>
      <c r="V79" s="13"/>
      <c r="W79" s="13"/>
      <c r="X79" s="13"/>
    </row>
    <row r="80" ht="12.0" customHeight="1">
      <c r="A80" s="13"/>
      <c r="B80" s="13"/>
      <c r="C80" s="13"/>
      <c r="D80" s="13"/>
      <c r="E80" s="13"/>
      <c r="F80" s="13"/>
      <c r="G80" s="13"/>
      <c r="H80" s="13"/>
      <c r="I80" s="45"/>
      <c r="J80" s="45"/>
      <c r="K80" s="13"/>
      <c r="L80" s="13"/>
      <c r="M80" s="13"/>
      <c r="N80" s="13"/>
      <c r="O80" s="13"/>
      <c r="P80" s="13"/>
      <c r="Q80" s="13"/>
      <c r="R80" s="13"/>
      <c r="S80" s="13"/>
      <c r="T80" s="13"/>
      <c r="U80" s="13"/>
      <c r="V80" s="13"/>
      <c r="W80" s="13"/>
      <c r="X80" s="13"/>
    </row>
    <row r="81" ht="12.0" customHeight="1">
      <c r="A81" s="13"/>
      <c r="B81" s="13"/>
      <c r="C81" s="13"/>
      <c r="D81" s="13"/>
      <c r="E81" s="13"/>
      <c r="F81" s="13"/>
      <c r="G81" s="13"/>
      <c r="H81" s="13"/>
      <c r="I81" s="45"/>
      <c r="J81" s="45"/>
      <c r="K81" s="13"/>
      <c r="L81" s="13"/>
      <c r="M81" s="13"/>
      <c r="N81" s="13"/>
      <c r="O81" s="13"/>
      <c r="P81" s="13"/>
      <c r="Q81" s="13"/>
      <c r="R81" s="13"/>
      <c r="S81" s="13"/>
      <c r="T81" s="13"/>
      <c r="U81" s="13"/>
      <c r="V81" s="13"/>
      <c r="W81" s="13"/>
      <c r="X81" s="13"/>
    </row>
    <row r="82" ht="12.0" customHeight="1">
      <c r="A82" s="13"/>
      <c r="B82" s="13"/>
      <c r="C82" s="13"/>
      <c r="D82" s="13"/>
      <c r="E82" s="13"/>
      <c r="F82" s="13"/>
      <c r="G82" s="13"/>
      <c r="H82" s="13"/>
      <c r="I82" s="45"/>
      <c r="J82" s="45"/>
      <c r="K82" s="13"/>
      <c r="L82" s="13"/>
      <c r="M82" s="13"/>
      <c r="N82" s="13"/>
      <c r="O82" s="13"/>
      <c r="P82" s="13"/>
      <c r="Q82" s="13"/>
      <c r="R82" s="13"/>
      <c r="S82" s="13"/>
      <c r="T82" s="13"/>
      <c r="U82" s="13"/>
      <c r="V82" s="13"/>
      <c r="W82" s="13"/>
      <c r="X82" s="13"/>
    </row>
    <row r="83" ht="12.0" customHeight="1">
      <c r="A83" s="13"/>
      <c r="B83" s="13"/>
      <c r="C83" s="13"/>
      <c r="D83" s="13"/>
      <c r="E83" s="13"/>
      <c r="F83" s="13"/>
      <c r="G83" s="13"/>
      <c r="H83" s="13"/>
      <c r="I83" s="45"/>
      <c r="J83" s="45"/>
      <c r="K83" s="13"/>
      <c r="L83" s="13"/>
      <c r="M83" s="13"/>
      <c r="N83" s="13"/>
      <c r="O83" s="13"/>
      <c r="P83" s="13"/>
      <c r="Q83" s="13"/>
      <c r="R83" s="13"/>
      <c r="S83" s="13"/>
      <c r="T83" s="13"/>
      <c r="U83" s="13"/>
      <c r="V83" s="13"/>
      <c r="W83" s="13"/>
      <c r="X83" s="13"/>
    </row>
    <row r="84" ht="12.0" customHeight="1">
      <c r="A84" s="13"/>
      <c r="B84" s="13"/>
      <c r="C84" s="13"/>
      <c r="D84" s="13"/>
      <c r="E84" s="13"/>
      <c r="F84" s="13"/>
      <c r="G84" s="13"/>
      <c r="H84" s="13"/>
      <c r="I84" s="45"/>
      <c r="J84" s="45"/>
      <c r="K84" s="13"/>
      <c r="L84" s="13"/>
      <c r="M84" s="13"/>
      <c r="N84" s="13"/>
      <c r="O84" s="13"/>
      <c r="P84" s="13"/>
      <c r="Q84" s="13"/>
      <c r="R84" s="13"/>
      <c r="S84" s="13"/>
      <c r="T84" s="13"/>
      <c r="U84" s="13"/>
      <c r="V84" s="13"/>
      <c r="W84" s="13"/>
      <c r="X84" s="13"/>
    </row>
    <row r="85" ht="12.0" customHeight="1">
      <c r="A85" s="13"/>
      <c r="B85" s="13"/>
      <c r="C85" s="13"/>
      <c r="D85" s="13"/>
      <c r="E85" s="13"/>
      <c r="F85" s="13"/>
      <c r="G85" s="13"/>
      <c r="H85" s="13"/>
      <c r="I85" s="45"/>
      <c r="J85" s="45"/>
      <c r="K85" s="13"/>
      <c r="L85" s="13"/>
      <c r="M85" s="13"/>
      <c r="N85" s="13"/>
      <c r="O85" s="13"/>
      <c r="P85" s="13"/>
      <c r="Q85" s="13"/>
      <c r="R85" s="13"/>
      <c r="S85" s="13"/>
      <c r="T85" s="13"/>
      <c r="U85" s="13"/>
      <c r="V85" s="13"/>
      <c r="W85" s="13"/>
      <c r="X85" s="13"/>
    </row>
    <row r="86" ht="12.0" customHeight="1">
      <c r="A86" s="13"/>
      <c r="B86" s="13"/>
      <c r="C86" s="13"/>
      <c r="D86" s="13"/>
      <c r="E86" s="13"/>
      <c r="F86" s="13"/>
      <c r="G86" s="13"/>
      <c r="H86" s="13"/>
      <c r="I86" s="45"/>
      <c r="J86" s="45"/>
      <c r="K86" s="13"/>
      <c r="L86" s="13"/>
      <c r="M86" s="13"/>
      <c r="N86" s="13"/>
      <c r="O86" s="13"/>
      <c r="P86" s="13"/>
      <c r="Q86" s="13"/>
      <c r="R86" s="13"/>
      <c r="S86" s="13"/>
      <c r="T86" s="13"/>
      <c r="U86" s="13"/>
      <c r="V86" s="13"/>
      <c r="W86" s="13"/>
      <c r="X86" s="13"/>
    </row>
    <row r="87" ht="12.0" customHeight="1">
      <c r="A87" s="13"/>
      <c r="B87" s="13"/>
      <c r="C87" s="13"/>
      <c r="D87" s="13"/>
      <c r="E87" s="13"/>
      <c r="F87" s="13"/>
      <c r="G87" s="13"/>
      <c r="H87" s="13"/>
      <c r="I87" s="45"/>
      <c r="J87" s="45"/>
      <c r="K87" s="13"/>
      <c r="L87" s="13"/>
      <c r="M87" s="13"/>
      <c r="N87" s="13"/>
      <c r="O87" s="13"/>
      <c r="P87" s="13"/>
      <c r="Q87" s="13"/>
      <c r="R87" s="13"/>
      <c r="S87" s="13"/>
      <c r="T87" s="13"/>
      <c r="U87" s="13"/>
      <c r="V87" s="13"/>
      <c r="W87" s="13"/>
      <c r="X87" s="13"/>
    </row>
    <row r="88" ht="12.0" customHeight="1">
      <c r="A88" s="13"/>
      <c r="B88" s="13"/>
      <c r="C88" s="13"/>
      <c r="D88" s="13"/>
      <c r="E88" s="13"/>
      <c r="F88" s="13"/>
      <c r="G88" s="13"/>
      <c r="H88" s="13"/>
      <c r="I88" s="45"/>
      <c r="J88" s="45"/>
      <c r="K88" s="13"/>
      <c r="L88" s="13"/>
      <c r="M88" s="13"/>
      <c r="N88" s="13"/>
      <c r="O88" s="13"/>
      <c r="P88" s="13"/>
      <c r="Q88" s="13"/>
      <c r="R88" s="13"/>
      <c r="S88" s="13"/>
      <c r="T88" s="13"/>
      <c r="U88" s="13"/>
      <c r="V88" s="13"/>
      <c r="W88" s="13"/>
      <c r="X88" s="13"/>
    </row>
    <row r="89" ht="12.0" customHeight="1">
      <c r="A89" s="13"/>
      <c r="B89" s="13"/>
      <c r="C89" s="13"/>
      <c r="D89" s="13"/>
      <c r="E89" s="13"/>
      <c r="F89" s="13"/>
      <c r="G89" s="13"/>
      <c r="H89" s="13"/>
      <c r="I89" s="45"/>
      <c r="J89" s="45"/>
      <c r="K89" s="13"/>
      <c r="L89" s="13"/>
      <c r="M89" s="13"/>
      <c r="N89" s="13"/>
      <c r="O89" s="13"/>
      <c r="P89" s="13"/>
      <c r="Q89" s="13"/>
      <c r="R89" s="13"/>
      <c r="S89" s="13"/>
      <c r="T89" s="13"/>
      <c r="U89" s="13"/>
      <c r="V89" s="13"/>
      <c r="W89" s="13"/>
      <c r="X89" s="13"/>
    </row>
    <row r="90" ht="12.0" customHeight="1">
      <c r="A90" s="13"/>
      <c r="B90" s="13"/>
      <c r="C90" s="13"/>
      <c r="D90" s="13"/>
      <c r="E90" s="13"/>
      <c r="F90" s="13"/>
      <c r="G90" s="13"/>
      <c r="H90" s="13"/>
      <c r="I90" s="45"/>
      <c r="J90" s="45"/>
      <c r="K90" s="13"/>
      <c r="L90" s="13"/>
      <c r="M90" s="13"/>
      <c r="N90" s="13"/>
      <c r="O90" s="13"/>
      <c r="P90" s="13"/>
      <c r="Q90" s="13"/>
      <c r="R90" s="13"/>
      <c r="S90" s="13"/>
      <c r="T90" s="13"/>
      <c r="U90" s="13"/>
      <c r="V90" s="13"/>
      <c r="W90" s="13"/>
      <c r="X90" s="13"/>
    </row>
    <row r="91" ht="12.0" customHeight="1">
      <c r="A91" s="13"/>
      <c r="B91" s="13"/>
      <c r="C91" s="13"/>
      <c r="D91" s="13"/>
      <c r="E91" s="13"/>
      <c r="F91" s="13"/>
      <c r="G91" s="13"/>
      <c r="H91" s="13"/>
      <c r="I91" s="45"/>
      <c r="J91" s="45"/>
      <c r="K91" s="13"/>
      <c r="L91" s="13"/>
      <c r="M91" s="13"/>
      <c r="N91" s="13"/>
      <c r="O91" s="13"/>
      <c r="P91" s="13"/>
      <c r="Q91" s="13"/>
      <c r="R91" s="13"/>
      <c r="S91" s="13"/>
      <c r="T91" s="13"/>
      <c r="U91" s="13"/>
      <c r="V91" s="13"/>
      <c r="W91" s="13"/>
      <c r="X91" s="13"/>
    </row>
    <row r="92" ht="12.0" customHeight="1">
      <c r="A92" s="13"/>
      <c r="B92" s="13"/>
      <c r="C92" s="13"/>
      <c r="D92" s="13"/>
      <c r="E92" s="13"/>
      <c r="F92" s="13"/>
      <c r="G92" s="13"/>
      <c r="H92" s="13"/>
      <c r="I92" s="45"/>
      <c r="J92" s="45"/>
      <c r="K92" s="13"/>
      <c r="L92" s="13"/>
      <c r="M92" s="13"/>
      <c r="N92" s="13"/>
      <c r="O92" s="13"/>
      <c r="P92" s="13"/>
      <c r="Q92" s="13"/>
      <c r="R92" s="13"/>
      <c r="S92" s="13"/>
      <c r="T92" s="13"/>
      <c r="U92" s="13"/>
      <c r="V92" s="13"/>
      <c r="W92" s="13"/>
      <c r="X92" s="13"/>
    </row>
    <row r="93" ht="12.0" customHeight="1">
      <c r="A93" s="13"/>
      <c r="B93" s="13"/>
      <c r="C93" s="13"/>
      <c r="D93" s="13"/>
      <c r="E93" s="13"/>
      <c r="F93" s="13"/>
      <c r="G93" s="13"/>
      <c r="H93" s="13"/>
      <c r="I93" s="45"/>
      <c r="J93" s="45"/>
      <c r="K93" s="13"/>
      <c r="L93" s="13"/>
      <c r="M93" s="13"/>
      <c r="N93" s="13"/>
      <c r="O93" s="13"/>
      <c r="P93" s="13"/>
      <c r="Q93" s="13"/>
      <c r="R93" s="13"/>
      <c r="S93" s="13"/>
      <c r="T93" s="13"/>
      <c r="U93" s="13"/>
      <c r="V93" s="13"/>
      <c r="W93" s="13"/>
      <c r="X93" s="13"/>
    </row>
    <row r="94" ht="12.0" customHeight="1">
      <c r="A94" s="13"/>
      <c r="B94" s="13"/>
      <c r="C94" s="13"/>
      <c r="D94" s="13"/>
      <c r="E94" s="13"/>
      <c r="F94" s="13"/>
      <c r="G94" s="13"/>
      <c r="H94" s="13"/>
      <c r="I94" s="45"/>
      <c r="J94" s="45"/>
      <c r="K94" s="13"/>
      <c r="L94" s="13"/>
      <c r="M94" s="13"/>
      <c r="N94" s="13"/>
      <c r="O94" s="13"/>
      <c r="P94" s="13"/>
      <c r="Q94" s="13"/>
      <c r="R94" s="13"/>
      <c r="S94" s="13"/>
      <c r="T94" s="13"/>
      <c r="U94" s="13"/>
      <c r="V94" s="13"/>
      <c r="W94" s="13"/>
      <c r="X94" s="13"/>
    </row>
    <row r="95" ht="12.0" customHeight="1">
      <c r="A95" s="13"/>
      <c r="B95" s="13"/>
      <c r="C95" s="13"/>
      <c r="D95" s="13"/>
      <c r="E95" s="13"/>
      <c r="F95" s="13"/>
      <c r="G95" s="13"/>
      <c r="H95" s="13"/>
      <c r="I95" s="45"/>
      <c r="J95" s="45"/>
      <c r="K95" s="13"/>
      <c r="L95" s="13"/>
      <c r="M95" s="13"/>
      <c r="N95" s="13"/>
      <c r="O95" s="13"/>
      <c r="P95" s="13"/>
      <c r="Q95" s="13"/>
      <c r="R95" s="13"/>
      <c r="S95" s="13"/>
      <c r="T95" s="13"/>
      <c r="U95" s="13"/>
      <c r="V95" s="13"/>
      <c r="W95" s="13"/>
      <c r="X95" s="13"/>
    </row>
    <row r="96" ht="12.0" customHeight="1">
      <c r="A96" s="13"/>
      <c r="B96" s="13"/>
      <c r="C96" s="13"/>
      <c r="D96" s="13"/>
      <c r="E96" s="13"/>
      <c r="F96" s="13"/>
      <c r="G96" s="13"/>
      <c r="H96" s="13"/>
      <c r="I96" s="45"/>
      <c r="J96" s="45"/>
      <c r="K96" s="13"/>
      <c r="L96" s="13"/>
      <c r="M96" s="13"/>
      <c r="N96" s="13"/>
      <c r="O96" s="13"/>
      <c r="P96" s="13"/>
      <c r="Q96" s="13"/>
      <c r="R96" s="13"/>
      <c r="S96" s="13"/>
      <c r="T96" s="13"/>
      <c r="U96" s="13"/>
      <c r="V96" s="13"/>
      <c r="W96" s="13"/>
      <c r="X96" s="13"/>
    </row>
    <row r="97" ht="12.0" customHeight="1">
      <c r="A97" s="13"/>
      <c r="B97" s="13"/>
      <c r="C97" s="13"/>
      <c r="D97" s="13"/>
      <c r="E97" s="13"/>
      <c r="F97" s="13"/>
      <c r="G97" s="13"/>
      <c r="H97" s="13"/>
      <c r="I97" s="45"/>
      <c r="J97" s="45"/>
      <c r="K97" s="13"/>
      <c r="L97" s="13"/>
      <c r="M97" s="13"/>
      <c r="N97" s="13"/>
      <c r="O97" s="13"/>
      <c r="P97" s="13"/>
      <c r="Q97" s="13"/>
      <c r="R97" s="13"/>
      <c r="S97" s="13"/>
      <c r="T97" s="13"/>
      <c r="U97" s="13"/>
      <c r="V97" s="13"/>
      <c r="W97" s="13"/>
      <c r="X97" s="13"/>
    </row>
    <row r="98" ht="12.0" customHeight="1">
      <c r="A98" s="13"/>
      <c r="B98" s="13"/>
      <c r="C98" s="13"/>
      <c r="D98" s="13"/>
      <c r="E98" s="13"/>
      <c r="F98" s="13"/>
      <c r="G98" s="13"/>
      <c r="H98" s="13"/>
      <c r="I98" s="45"/>
      <c r="J98" s="45"/>
      <c r="K98" s="13"/>
      <c r="L98" s="13"/>
      <c r="M98" s="13"/>
      <c r="N98" s="13"/>
      <c r="O98" s="13"/>
      <c r="P98" s="13"/>
      <c r="Q98" s="13"/>
      <c r="R98" s="13"/>
      <c r="S98" s="13"/>
      <c r="T98" s="13"/>
      <c r="U98" s="13"/>
      <c r="V98" s="13"/>
      <c r="W98" s="13"/>
      <c r="X98" s="13"/>
    </row>
    <row r="99" ht="12.0" customHeight="1">
      <c r="A99" s="13"/>
      <c r="B99" s="13"/>
      <c r="C99" s="13"/>
      <c r="D99" s="13"/>
      <c r="E99" s="13"/>
      <c r="F99" s="13"/>
      <c r="G99" s="13"/>
      <c r="H99" s="13"/>
      <c r="I99" s="45"/>
      <c r="J99" s="45"/>
      <c r="K99" s="13"/>
      <c r="L99" s="13"/>
      <c r="M99" s="13"/>
      <c r="N99" s="13"/>
      <c r="O99" s="13"/>
      <c r="P99" s="13"/>
      <c r="Q99" s="13"/>
      <c r="R99" s="13"/>
      <c r="S99" s="13"/>
      <c r="T99" s="13"/>
      <c r="U99" s="13"/>
      <c r="V99" s="13"/>
      <c r="W99" s="13"/>
      <c r="X99" s="13"/>
    </row>
    <row r="100" ht="12.0" customHeight="1">
      <c r="A100" s="13"/>
      <c r="B100" s="13"/>
      <c r="C100" s="13"/>
      <c r="D100" s="13"/>
      <c r="E100" s="13"/>
      <c r="F100" s="13"/>
      <c r="G100" s="13"/>
      <c r="H100" s="13"/>
      <c r="I100" s="45"/>
      <c r="J100" s="45"/>
      <c r="K100" s="13"/>
      <c r="L100" s="13"/>
      <c r="M100" s="13"/>
      <c r="N100" s="13"/>
      <c r="O100" s="13"/>
      <c r="P100" s="13"/>
      <c r="Q100" s="13"/>
      <c r="R100" s="13"/>
      <c r="S100" s="13"/>
      <c r="T100" s="13"/>
      <c r="U100" s="13"/>
      <c r="V100" s="13"/>
      <c r="W100" s="13"/>
      <c r="X100" s="13"/>
    </row>
    <row r="101" ht="12.0" customHeight="1">
      <c r="A101" s="13"/>
      <c r="B101" s="13"/>
      <c r="C101" s="13"/>
      <c r="D101" s="13"/>
      <c r="E101" s="13"/>
      <c r="F101" s="13"/>
      <c r="G101" s="13"/>
      <c r="H101" s="13"/>
      <c r="I101" s="45"/>
      <c r="J101" s="45"/>
      <c r="K101" s="13"/>
      <c r="L101" s="13"/>
      <c r="M101" s="13"/>
      <c r="N101" s="13"/>
      <c r="O101" s="13"/>
      <c r="P101" s="13"/>
      <c r="Q101" s="13"/>
      <c r="R101" s="13"/>
      <c r="S101" s="13"/>
      <c r="T101" s="13"/>
      <c r="U101" s="13"/>
      <c r="V101" s="13"/>
      <c r="W101" s="13"/>
      <c r="X101" s="13"/>
    </row>
    <row r="102" ht="12.0" customHeight="1">
      <c r="A102" s="13"/>
      <c r="B102" s="13"/>
      <c r="C102" s="13"/>
      <c r="D102" s="13"/>
      <c r="E102" s="13"/>
      <c r="F102" s="13"/>
      <c r="G102" s="13"/>
      <c r="H102" s="13"/>
      <c r="I102" s="45"/>
      <c r="J102" s="45"/>
      <c r="K102" s="13"/>
      <c r="L102" s="13"/>
      <c r="M102" s="13"/>
      <c r="N102" s="13"/>
      <c r="O102" s="13"/>
      <c r="P102" s="13"/>
      <c r="Q102" s="13"/>
      <c r="R102" s="13"/>
      <c r="S102" s="13"/>
      <c r="T102" s="13"/>
      <c r="U102" s="13"/>
      <c r="V102" s="13"/>
      <c r="W102" s="13"/>
      <c r="X102" s="13"/>
    </row>
    <row r="103" ht="12.0" customHeight="1">
      <c r="A103" s="13"/>
      <c r="B103" s="13"/>
      <c r="C103" s="13"/>
      <c r="D103" s="13"/>
      <c r="E103" s="13"/>
      <c r="F103" s="13"/>
      <c r="G103" s="13"/>
      <c r="H103" s="13"/>
      <c r="I103" s="45"/>
      <c r="J103" s="45"/>
      <c r="K103" s="13"/>
      <c r="L103" s="13"/>
      <c r="M103" s="13"/>
      <c r="N103" s="13"/>
      <c r="O103" s="13"/>
      <c r="P103" s="13"/>
      <c r="Q103" s="13"/>
      <c r="R103" s="13"/>
      <c r="S103" s="13"/>
      <c r="T103" s="13"/>
      <c r="U103" s="13"/>
      <c r="V103" s="13"/>
      <c r="W103" s="13"/>
      <c r="X103" s="13"/>
    </row>
    <row r="104" ht="12.0" customHeight="1">
      <c r="A104" s="13"/>
      <c r="B104" s="13"/>
      <c r="C104" s="13"/>
      <c r="D104" s="13"/>
      <c r="E104" s="13"/>
      <c r="F104" s="13"/>
      <c r="G104" s="13"/>
      <c r="H104" s="13"/>
      <c r="I104" s="45"/>
      <c r="J104" s="45"/>
      <c r="K104" s="13"/>
      <c r="L104" s="13"/>
      <c r="M104" s="13"/>
      <c r="N104" s="13"/>
      <c r="O104" s="13"/>
      <c r="P104" s="13"/>
      <c r="Q104" s="13"/>
      <c r="R104" s="13"/>
      <c r="S104" s="13"/>
      <c r="T104" s="13"/>
      <c r="U104" s="13"/>
      <c r="V104" s="13"/>
      <c r="W104" s="13"/>
      <c r="X104" s="13"/>
    </row>
    <row r="105" ht="12.0" customHeight="1">
      <c r="A105" s="13"/>
      <c r="B105" s="13"/>
      <c r="C105" s="13"/>
      <c r="D105" s="13"/>
      <c r="E105" s="13"/>
      <c r="F105" s="13"/>
      <c r="G105" s="13"/>
      <c r="H105" s="13"/>
      <c r="I105" s="45"/>
      <c r="J105" s="45"/>
      <c r="K105" s="13"/>
      <c r="L105" s="13"/>
      <c r="M105" s="13"/>
      <c r="N105" s="13"/>
      <c r="O105" s="13"/>
      <c r="P105" s="13"/>
      <c r="Q105" s="13"/>
      <c r="R105" s="13"/>
      <c r="S105" s="13"/>
      <c r="T105" s="13"/>
      <c r="U105" s="13"/>
      <c r="V105" s="13"/>
      <c r="W105" s="13"/>
      <c r="X105" s="13"/>
    </row>
    <row r="106" ht="12.0" customHeight="1">
      <c r="A106" s="13"/>
      <c r="B106" s="13"/>
      <c r="C106" s="13"/>
      <c r="D106" s="13"/>
      <c r="E106" s="13"/>
      <c r="F106" s="13"/>
      <c r="G106" s="13"/>
      <c r="H106" s="13"/>
      <c r="I106" s="45"/>
      <c r="J106" s="45"/>
      <c r="K106" s="13"/>
      <c r="L106" s="13"/>
      <c r="M106" s="13"/>
      <c r="N106" s="13"/>
      <c r="O106" s="13"/>
      <c r="P106" s="13"/>
      <c r="Q106" s="13"/>
      <c r="R106" s="13"/>
      <c r="S106" s="13"/>
      <c r="T106" s="13"/>
      <c r="U106" s="13"/>
      <c r="V106" s="13"/>
      <c r="W106" s="13"/>
      <c r="X106" s="13"/>
    </row>
    <row r="107" ht="12.0" customHeight="1">
      <c r="A107" s="13"/>
      <c r="B107" s="13"/>
      <c r="C107" s="13"/>
      <c r="D107" s="13"/>
      <c r="E107" s="13"/>
      <c r="F107" s="13"/>
      <c r="G107" s="13"/>
      <c r="H107" s="13"/>
      <c r="I107" s="45"/>
      <c r="J107" s="45"/>
      <c r="K107" s="13"/>
      <c r="L107" s="13"/>
      <c r="M107" s="13"/>
      <c r="N107" s="13"/>
      <c r="O107" s="13"/>
      <c r="P107" s="13"/>
      <c r="Q107" s="13"/>
      <c r="R107" s="13"/>
      <c r="S107" s="13"/>
      <c r="T107" s="13"/>
      <c r="U107" s="13"/>
      <c r="V107" s="13"/>
      <c r="W107" s="13"/>
      <c r="X107" s="13"/>
    </row>
    <row r="108" ht="12.0" customHeight="1">
      <c r="A108" s="13"/>
      <c r="B108" s="13"/>
      <c r="C108" s="13"/>
      <c r="D108" s="13"/>
      <c r="E108" s="13"/>
      <c r="F108" s="13"/>
      <c r="G108" s="13"/>
      <c r="H108" s="13"/>
      <c r="I108" s="45"/>
      <c r="J108" s="45"/>
      <c r="K108" s="13"/>
      <c r="L108" s="13"/>
      <c r="M108" s="13"/>
      <c r="N108" s="13"/>
      <c r="O108" s="13"/>
      <c r="P108" s="13"/>
      <c r="Q108" s="13"/>
      <c r="R108" s="13"/>
      <c r="S108" s="13"/>
      <c r="T108" s="13"/>
      <c r="U108" s="13"/>
      <c r="V108" s="13"/>
      <c r="W108" s="13"/>
      <c r="X108" s="13"/>
    </row>
    <row r="109" ht="12.0" customHeight="1">
      <c r="A109" s="13"/>
      <c r="B109" s="13"/>
      <c r="C109" s="13"/>
      <c r="D109" s="13"/>
      <c r="E109" s="13"/>
      <c r="F109" s="13"/>
      <c r="G109" s="13"/>
      <c r="H109" s="13"/>
      <c r="I109" s="45"/>
      <c r="J109" s="45"/>
      <c r="K109" s="13"/>
      <c r="L109" s="13"/>
      <c r="M109" s="13"/>
      <c r="N109" s="13"/>
      <c r="O109" s="13"/>
      <c r="P109" s="13"/>
      <c r="Q109" s="13"/>
      <c r="R109" s="13"/>
      <c r="S109" s="13"/>
      <c r="T109" s="13"/>
      <c r="U109" s="13"/>
      <c r="V109" s="13"/>
      <c r="W109" s="13"/>
      <c r="X109" s="13"/>
    </row>
    <row r="110" ht="12.0" customHeight="1">
      <c r="A110" s="13"/>
      <c r="B110" s="13"/>
      <c r="C110" s="13"/>
      <c r="D110" s="13"/>
      <c r="E110" s="13"/>
      <c r="F110" s="13"/>
      <c r="G110" s="13"/>
      <c r="H110" s="13"/>
      <c r="I110" s="45"/>
      <c r="J110" s="45"/>
      <c r="K110" s="13"/>
      <c r="L110" s="13"/>
      <c r="M110" s="13"/>
      <c r="N110" s="13"/>
      <c r="O110" s="13"/>
      <c r="P110" s="13"/>
      <c r="Q110" s="13"/>
      <c r="R110" s="13"/>
      <c r="S110" s="13"/>
      <c r="T110" s="13"/>
      <c r="U110" s="13"/>
      <c r="V110" s="13"/>
      <c r="W110" s="13"/>
      <c r="X110" s="13"/>
    </row>
    <row r="111" ht="12.0" customHeight="1">
      <c r="A111" s="13"/>
      <c r="B111" s="13"/>
      <c r="C111" s="13"/>
      <c r="D111" s="13"/>
      <c r="E111" s="13"/>
      <c r="F111" s="13"/>
      <c r="G111" s="13"/>
      <c r="H111" s="13"/>
      <c r="I111" s="45"/>
      <c r="J111" s="45"/>
      <c r="K111" s="13"/>
      <c r="L111" s="13"/>
      <c r="M111" s="13"/>
      <c r="N111" s="13"/>
      <c r="O111" s="13"/>
      <c r="P111" s="13"/>
      <c r="Q111" s="13"/>
      <c r="R111" s="13"/>
      <c r="S111" s="13"/>
      <c r="T111" s="13"/>
      <c r="U111" s="13"/>
      <c r="V111" s="13"/>
      <c r="W111" s="13"/>
      <c r="X111" s="13"/>
    </row>
    <row r="112" ht="12.0" customHeight="1">
      <c r="A112" s="13"/>
      <c r="B112" s="13"/>
      <c r="C112" s="13"/>
      <c r="D112" s="13"/>
      <c r="E112" s="13"/>
      <c r="F112" s="13"/>
      <c r="G112" s="13"/>
      <c r="H112" s="13"/>
      <c r="I112" s="45"/>
      <c r="J112" s="45"/>
      <c r="K112" s="13"/>
      <c r="L112" s="13"/>
      <c r="M112" s="13"/>
      <c r="N112" s="13"/>
      <c r="O112" s="13"/>
      <c r="P112" s="13"/>
      <c r="Q112" s="13"/>
      <c r="R112" s="13"/>
      <c r="S112" s="13"/>
      <c r="T112" s="13"/>
      <c r="U112" s="13"/>
      <c r="V112" s="13"/>
      <c r="W112" s="13"/>
      <c r="X112" s="13"/>
    </row>
    <row r="113" ht="12.0" customHeight="1">
      <c r="A113" s="13"/>
      <c r="B113" s="13"/>
      <c r="C113" s="13"/>
      <c r="D113" s="13"/>
      <c r="E113" s="13"/>
      <c r="F113" s="13"/>
      <c r="G113" s="13"/>
      <c r="H113" s="13"/>
      <c r="I113" s="45"/>
      <c r="J113" s="45"/>
      <c r="K113" s="13"/>
      <c r="L113" s="13"/>
      <c r="M113" s="13"/>
      <c r="N113" s="13"/>
      <c r="O113" s="13"/>
      <c r="P113" s="13"/>
      <c r="Q113" s="13"/>
      <c r="R113" s="13"/>
      <c r="S113" s="13"/>
      <c r="T113" s="13"/>
      <c r="U113" s="13"/>
      <c r="V113" s="13"/>
      <c r="W113" s="13"/>
      <c r="X113" s="13"/>
    </row>
    <row r="114" ht="12.0" customHeight="1">
      <c r="A114" s="13"/>
      <c r="B114" s="13"/>
      <c r="C114" s="13"/>
      <c r="D114" s="13"/>
      <c r="E114" s="13"/>
      <c r="F114" s="13"/>
      <c r="G114" s="13"/>
      <c r="H114" s="13"/>
      <c r="I114" s="45"/>
      <c r="J114" s="45"/>
      <c r="K114" s="13"/>
      <c r="L114" s="13"/>
      <c r="M114" s="13"/>
      <c r="N114" s="13"/>
      <c r="O114" s="13"/>
      <c r="P114" s="13"/>
      <c r="Q114" s="13"/>
      <c r="R114" s="13"/>
      <c r="S114" s="13"/>
      <c r="T114" s="13"/>
      <c r="U114" s="13"/>
      <c r="V114" s="13"/>
      <c r="W114" s="13"/>
      <c r="X114" s="13"/>
    </row>
    <row r="115" ht="12.0" customHeight="1">
      <c r="A115" s="13"/>
      <c r="B115" s="13"/>
      <c r="C115" s="13"/>
      <c r="D115" s="13"/>
      <c r="E115" s="13"/>
      <c r="F115" s="13"/>
      <c r="G115" s="13"/>
      <c r="H115" s="13"/>
      <c r="I115" s="45"/>
      <c r="J115" s="45"/>
      <c r="K115" s="13"/>
      <c r="L115" s="13"/>
      <c r="M115" s="13"/>
      <c r="N115" s="13"/>
      <c r="O115" s="13"/>
      <c r="P115" s="13"/>
      <c r="Q115" s="13"/>
      <c r="R115" s="13"/>
      <c r="S115" s="13"/>
      <c r="T115" s="13"/>
      <c r="U115" s="13"/>
      <c r="V115" s="13"/>
      <c r="W115" s="13"/>
      <c r="X115" s="13"/>
    </row>
    <row r="116" ht="12.0" customHeight="1">
      <c r="A116" s="13"/>
      <c r="B116" s="13"/>
      <c r="C116" s="13"/>
      <c r="D116" s="13"/>
      <c r="E116" s="13"/>
      <c r="F116" s="13"/>
      <c r="G116" s="13"/>
      <c r="H116" s="13"/>
      <c r="I116" s="45"/>
      <c r="J116" s="45"/>
      <c r="K116" s="13"/>
      <c r="L116" s="13"/>
      <c r="M116" s="13"/>
      <c r="N116" s="13"/>
      <c r="O116" s="13"/>
      <c r="P116" s="13"/>
      <c r="Q116" s="13"/>
      <c r="R116" s="13"/>
      <c r="S116" s="13"/>
      <c r="T116" s="13"/>
      <c r="U116" s="13"/>
      <c r="V116" s="13"/>
      <c r="W116" s="13"/>
      <c r="X116" s="13"/>
    </row>
    <row r="117" ht="12.0" customHeight="1">
      <c r="A117" s="13"/>
      <c r="B117" s="13"/>
      <c r="C117" s="13"/>
      <c r="D117" s="13"/>
      <c r="E117" s="13"/>
      <c r="F117" s="13"/>
      <c r="G117" s="13"/>
      <c r="H117" s="13"/>
      <c r="I117" s="45"/>
      <c r="J117" s="45"/>
      <c r="K117" s="13"/>
      <c r="L117" s="13"/>
      <c r="M117" s="13"/>
      <c r="N117" s="13"/>
      <c r="O117" s="13"/>
      <c r="P117" s="13"/>
      <c r="Q117" s="13"/>
      <c r="R117" s="13"/>
      <c r="S117" s="13"/>
      <c r="T117" s="13"/>
      <c r="U117" s="13"/>
      <c r="V117" s="13"/>
      <c r="W117" s="13"/>
      <c r="X117" s="13"/>
    </row>
    <row r="118" ht="12.0" customHeight="1">
      <c r="A118" s="13"/>
      <c r="B118" s="13"/>
      <c r="C118" s="13"/>
      <c r="D118" s="13"/>
      <c r="E118" s="13"/>
      <c r="F118" s="13"/>
      <c r="G118" s="13"/>
      <c r="H118" s="13"/>
      <c r="I118" s="45"/>
      <c r="J118" s="45"/>
      <c r="K118" s="13"/>
      <c r="L118" s="13"/>
      <c r="M118" s="13"/>
      <c r="N118" s="13"/>
      <c r="O118" s="13"/>
      <c r="P118" s="13"/>
      <c r="Q118" s="13"/>
      <c r="R118" s="13"/>
      <c r="S118" s="13"/>
      <c r="T118" s="13"/>
      <c r="U118" s="13"/>
      <c r="V118" s="13"/>
      <c r="W118" s="13"/>
      <c r="X118" s="13"/>
    </row>
    <row r="119" ht="12.0" customHeight="1">
      <c r="A119" s="13"/>
      <c r="B119" s="13"/>
      <c r="C119" s="13"/>
      <c r="D119" s="13"/>
      <c r="E119" s="13"/>
      <c r="F119" s="13"/>
      <c r="G119" s="13"/>
      <c r="H119" s="13"/>
      <c r="I119" s="45"/>
      <c r="J119" s="45"/>
      <c r="K119" s="13"/>
      <c r="L119" s="13"/>
      <c r="M119" s="13"/>
      <c r="N119" s="13"/>
      <c r="O119" s="13"/>
      <c r="P119" s="13"/>
      <c r="Q119" s="13"/>
      <c r="R119" s="13"/>
      <c r="S119" s="13"/>
      <c r="T119" s="13"/>
      <c r="U119" s="13"/>
      <c r="V119" s="13"/>
      <c r="W119" s="13"/>
      <c r="X119" s="13"/>
    </row>
    <row r="120" ht="12.0" customHeight="1">
      <c r="A120" s="13"/>
      <c r="B120" s="13"/>
      <c r="C120" s="13"/>
      <c r="D120" s="13"/>
      <c r="E120" s="13"/>
      <c r="F120" s="13"/>
      <c r="G120" s="13"/>
      <c r="H120" s="13"/>
      <c r="I120" s="45"/>
      <c r="J120" s="45"/>
      <c r="K120" s="13"/>
      <c r="L120" s="13"/>
      <c r="M120" s="13"/>
      <c r="N120" s="13"/>
      <c r="O120" s="13"/>
      <c r="P120" s="13"/>
      <c r="Q120" s="13"/>
      <c r="R120" s="13"/>
      <c r="S120" s="13"/>
      <c r="T120" s="13"/>
      <c r="U120" s="13"/>
      <c r="V120" s="13"/>
      <c r="W120" s="13"/>
      <c r="X120" s="13"/>
    </row>
    <row r="121" ht="12.0" customHeight="1">
      <c r="A121" s="13"/>
      <c r="B121" s="13"/>
      <c r="C121" s="13"/>
      <c r="D121" s="13"/>
      <c r="E121" s="13"/>
      <c r="F121" s="13"/>
      <c r="G121" s="13"/>
      <c r="H121" s="13"/>
      <c r="I121" s="45"/>
      <c r="J121" s="45"/>
      <c r="K121" s="13"/>
      <c r="L121" s="13"/>
      <c r="M121" s="13"/>
      <c r="N121" s="13"/>
      <c r="O121" s="13"/>
      <c r="P121" s="13"/>
      <c r="Q121" s="13"/>
      <c r="R121" s="13"/>
      <c r="S121" s="13"/>
      <c r="T121" s="13"/>
      <c r="U121" s="13"/>
      <c r="V121" s="13"/>
      <c r="W121" s="13"/>
      <c r="X121" s="13"/>
    </row>
    <row r="122" ht="12.0" customHeight="1">
      <c r="A122" s="13"/>
      <c r="B122" s="13"/>
      <c r="C122" s="13"/>
      <c r="D122" s="13"/>
      <c r="E122" s="13"/>
      <c r="F122" s="13"/>
      <c r="G122" s="13"/>
      <c r="H122" s="13"/>
      <c r="I122" s="45"/>
      <c r="J122" s="45"/>
      <c r="K122" s="13"/>
      <c r="L122" s="13"/>
      <c r="M122" s="13"/>
      <c r="N122" s="13"/>
      <c r="O122" s="13"/>
      <c r="P122" s="13"/>
      <c r="Q122" s="13"/>
      <c r="R122" s="13"/>
      <c r="S122" s="13"/>
      <c r="T122" s="13"/>
      <c r="U122" s="13"/>
      <c r="V122" s="13"/>
      <c r="W122" s="13"/>
      <c r="X122" s="13"/>
    </row>
    <row r="123" ht="12.0" customHeight="1">
      <c r="A123" s="13"/>
      <c r="B123" s="13"/>
      <c r="C123" s="13"/>
      <c r="D123" s="13"/>
      <c r="E123" s="13"/>
      <c r="F123" s="13"/>
      <c r="G123" s="13"/>
      <c r="H123" s="13"/>
      <c r="I123" s="45"/>
      <c r="J123" s="45"/>
      <c r="K123" s="13"/>
      <c r="L123" s="13"/>
      <c r="M123" s="13"/>
      <c r="N123" s="13"/>
      <c r="O123" s="13"/>
      <c r="P123" s="13"/>
      <c r="Q123" s="13"/>
      <c r="R123" s="13"/>
      <c r="S123" s="13"/>
      <c r="T123" s="13"/>
      <c r="U123" s="13"/>
      <c r="V123" s="13"/>
      <c r="W123" s="13"/>
      <c r="X123" s="13"/>
    </row>
    <row r="124" ht="12.0" customHeight="1">
      <c r="A124" s="13"/>
      <c r="B124" s="13"/>
      <c r="C124" s="13"/>
      <c r="D124" s="13"/>
      <c r="E124" s="13"/>
      <c r="F124" s="13"/>
      <c r="G124" s="13"/>
      <c r="H124" s="13"/>
      <c r="I124" s="45"/>
      <c r="J124" s="45"/>
      <c r="K124" s="13"/>
      <c r="L124" s="13"/>
      <c r="M124" s="13"/>
      <c r="N124" s="13"/>
      <c r="O124" s="13"/>
      <c r="P124" s="13"/>
      <c r="Q124" s="13"/>
      <c r="R124" s="13"/>
      <c r="S124" s="13"/>
      <c r="T124" s="13"/>
      <c r="U124" s="13"/>
      <c r="V124" s="13"/>
      <c r="W124" s="13"/>
      <c r="X124" s="13"/>
    </row>
    <row r="125" ht="12.0" customHeight="1">
      <c r="A125" s="13"/>
      <c r="B125" s="13"/>
      <c r="C125" s="13"/>
      <c r="D125" s="13"/>
      <c r="E125" s="13"/>
      <c r="F125" s="13"/>
      <c r="G125" s="13"/>
      <c r="H125" s="13"/>
      <c r="I125" s="45"/>
      <c r="J125" s="45"/>
      <c r="K125" s="13"/>
      <c r="L125" s="13"/>
      <c r="M125" s="13"/>
      <c r="N125" s="13"/>
      <c r="O125" s="13"/>
      <c r="P125" s="13"/>
      <c r="Q125" s="13"/>
      <c r="R125" s="13"/>
      <c r="S125" s="13"/>
      <c r="T125" s="13"/>
      <c r="U125" s="13"/>
      <c r="V125" s="13"/>
      <c r="W125" s="13"/>
      <c r="X125" s="13"/>
    </row>
    <row r="126" ht="12.0" customHeight="1">
      <c r="A126" s="13"/>
      <c r="B126" s="13"/>
      <c r="C126" s="13"/>
      <c r="D126" s="13"/>
      <c r="E126" s="13"/>
      <c r="F126" s="13"/>
      <c r="G126" s="13"/>
      <c r="H126" s="13"/>
      <c r="I126" s="45"/>
      <c r="J126" s="45"/>
      <c r="K126" s="13"/>
      <c r="L126" s="13"/>
      <c r="M126" s="13"/>
      <c r="N126" s="13"/>
      <c r="O126" s="13"/>
      <c r="P126" s="13"/>
      <c r="Q126" s="13"/>
      <c r="R126" s="13"/>
      <c r="S126" s="13"/>
      <c r="T126" s="13"/>
      <c r="U126" s="13"/>
      <c r="V126" s="13"/>
      <c r="W126" s="13"/>
      <c r="X126" s="13"/>
    </row>
    <row r="127" ht="12.0" customHeight="1">
      <c r="A127" s="13"/>
      <c r="B127" s="13"/>
      <c r="C127" s="13"/>
      <c r="D127" s="13"/>
      <c r="E127" s="13"/>
      <c r="F127" s="13"/>
      <c r="G127" s="13"/>
      <c r="H127" s="13"/>
      <c r="I127" s="45"/>
      <c r="J127" s="45"/>
      <c r="K127" s="13"/>
      <c r="L127" s="13"/>
      <c r="M127" s="13"/>
      <c r="N127" s="13"/>
      <c r="O127" s="13"/>
      <c r="P127" s="13"/>
      <c r="Q127" s="13"/>
      <c r="R127" s="13"/>
      <c r="S127" s="13"/>
      <c r="T127" s="13"/>
      <c r="U127" s="13"/>
      <c r="V127" s="13"/>
      <c r="W127" s="13"/>
      <c r="X127" s="13"/>
    </row>
    <row r="128" ht="12.0" customHeight="1">
      <c r="A128" s="13"/>
      <c r="B128" s="13"/>
      <c r="C128" s="13"/>
      <c r="D128" s="13"/>
      <c r="E128" s="13"/>
      <c r="F128" s="13"/>
      <c r="G128" s="13"/>
      <c r="H128" s="13"/>
      <c r="I128" s="45"/>
      <c r="J128" s="45"/>
      <c r="K128" s="13"/>
      <c r="L128" s="13"/>
      <c r="M128" s="13"/>
      <c r="N128" s="13"/>
      <c r="O128" s="13"/>
      <c r="P128" s="13"/>
      <c r="Q128" s="13"/>
      <c r="R128" s="13"/>
      <c r="S128" s="13"/>
      <c r="T128" s="13"/>
      <c r="U128" s="13"/>
      <c r="V128" s="13"/>
      <c r="W128" s="13"/>
      <c r="X128" s="13"/>
    </row>
    <row r="129" ht="12.0" customHeight="1">
      <c r="A129" s="13"/>
      <c r="B129" s="13"/>
      <c r="C129" s="13"/>
      <c r="D129" s="13"/>
      <c r="E129" s="13"/>
      <c r="F129" s="13"/>
      <c r="G129" s="13"/>
      <c r="H129" s="13"/>
      <c r="I129" s="45"/>
      <c r="J129" s="45"/>
      <c r="K129" s="13"/>
      <c r="L129" s="13"/>
      <c r="M129" s="13"/>
      <c r="N129" s="13"/>
      <c r="O129" s="13"/>
      <c r="P129" s="13"/>
      <c r="Q129" s="13"/>
      <c r="R129" s="13"/>
      <c r="S129" s="13"/>
      <c r="T129" s="13"/>
      <c r="U129" s="13"/>
      <c r="V129" s="13"/>
      <c r="W129" s="13"/>
      <c r="X129" s="13"/>
    </row>
    <row r="130" ht="12.0" customHeight="1">
      <c r="A130" s="13"/>
      <c r="B130" s="13"/>
      <c r="C130" s="13"/>
      <c r="D130" s="13"/>
      <c r="E130" s="13"/>
      <c r="F130" s="13"/>
      <c r="G130" s="13"/>
      <c r="H130" s="13"/>
      <c r="I130" s="45"/>
      <c r="J130" s="45"/>
      <c r="K130" s="13"/>
      <c r="L130" s="13"/>
      <c r="M130" s="13"/>
      <c r="N130" s="13"/>
      <c r="O130" s="13"/>
      <c r="P130" s="13"/>
      <c r="Q130" s="13"/>
      <c r="R130" s="13"/>
      <c r="S130" s="13"/>
      <c r="T130" s="13"/>
      <c r="U130" s="13"/>
      <c r="V130" s="13"/>
      <c r="W130" s="13"/>
      <c r="X130" s="13"/>
    </row>
    <row r="131" ht="12.0" customHeight="1">
      <c r="A131" s="13"/>
      <c r="B131" s="13"/>
      <c r="C131" s="13"/>
      <c r="D131" s="13"/>
      <c r="E131" s="13"/>
      <c r="F131" s="13"/>
      <c r="G131" s="13"/>
      <c r="H131" s="13"/>
      <c r="I131" s="45"/>
      <c r="J131" s="45"/>
      <c r="K131" s="13"/>
      <c r="L131" s="13"/>
      <c r="M131" s="13"/>
      <c r="N131" s="13"/>
      <c r="O131" s="13"/>
      <c r="P131" s="13"/>
      <c r="Q131" s="13"/>
      <c r="R131" s="13"/>
      <c r="S131" s="13"/>
      <c r="T131" s="13"/>
      <c r="U131" s="13"/>
      <c r="V131" s="13"/>
      <c r="W131" s="13"/>
      <c r="X131" s="13"/>
    </row>
    <row r="132" ht="12.0" customHeight="1">
      <c r="A132" s="13"/>
      <c r="B132" s="13"/>
      <c r="C132" s="13"/>
      <c r="D132" s="13"/>
      <c r="E132" s="13"/>
      <c r="F132" s="13"/>
      <c r="G132" s="13"/>
      <c r="H132" s="13"/>
      <c r="I132" s="45"/>
      <c r="J132" s="45"/>
      <c r="K132" s="13"/>
      <c r="L132" s="13"/>
      <c r="M132" s="13"/>
      <c r="N132" s="13"/>
      <c r="O132" s="13"/>
      <c r="P132" s="13"/>
      <c r="Q132" s="13"/>
      <c r="R132" s="13"/>
      <c r="S132" s="13"/>
      <c r="T132" s="13"/>
      <c r="U132" s="13"/>
      <c r="V132" s="13"/>
      <c r="W132" s="13"/>
      <c r="X132" s="13"/>
    </row>
    <row r="133" ht="12.0" customHeight="1">
      <c r="A133" s="13"/>
      <c r="B133" s="13"/>
      <c r="C133" s="13"/>
      <c r="D133" s="13"/>
      <c r="E133" s="13"/>
      <c r="F133" s="13"/>
      <c r="G133" s="13"/>
      <c r="H133" s="13"/>
      <c r="I133" s="45"/>
      <c r="J133" s="45"/>
      <c r="K133" s="13"/>
      <c r="L133" s="13"/>
      <c r="M133" s="13"/>
      <c r="N133" s="13"/>
      <c r="O133" s="13"/>
      <c r="P133" s="13"/>
      <c r="Q133" s="13"/>
      <c r="R133" s="13"/>
      <c r="S133" s="13"/>
      <c r="T133" s="13"/>
      <c r="U133" s="13"/>
      <c r="V133" s="13"/>
      <c r="W133" s="13"/>
      <c r="X133" s="13"/>
    </row>
    <row r="134" ht="12.0" customHeight="1">
      <c r="A134" s="13"/>
      <c r="B134" s="13"/>
      <c r="C134" s="13"/>
      <c r="D134" s="13"/>
      <c r="E134" s="13"/>
      <c r="F134" s="13"/>
      <c r="G134" s="13"/>
      <c r="H134" s="13"/>
      <c r="I134" s="45"/>
      <c r="J134" s="45"/>
      <c r="K134" s="13"/>
      <c r="L134" s="13"/>
      <c r="M134" s="13"/>
      <c r="N134" s="13"/>
      <c r="O134" s="13"/>
      <c r="P134" s="13"/>
      <c r="Q134" s="13"/>
      <c r="R134" s="13"/>
      <c r="S134" s="13"/>
      <c r="T134" s="13"/>
      <c r="U134" s="13"/>
      <c r="V134" s="13"/>
      <c r="W134" s="13"/>
      <c r="X134" s="13"/>
    </row>
    <row r="135" ht="12.0" customHeight="1">
      <c r="A135" s="13"/>
      <c r="B135" s="13"/>
      <c r="C135" s="13"/>
      <c r="D135" s="13"/>
      <c r="E135" s="13"/>
      <c r="F135" s="13"/>
      <c r="G135" s="13"/>
      <c r="H135" s="13"/>
      <c r="I135" s="45"/>
      <c r="J135" s="45"/>
      <c r="K135" s="13"/>
      <c r="L135" s="13"/>
      <c r="M135" s="13"/>
      <c r="N135" s="13"/>
      <c r="O135" s="13"/>
      <c r="P135" s="13"/>
      <c r="Q135" s="13"/>
      <c r="R135" s="13"/>
      <c r="S135" s="13"/>
      <c r="T135" s="13"/>
      <c r="U135" s="13"/>
      <c r="V135" s="13"/>
      <c r="W135" s="13"/>
      <c r="X135" s="13"/>
    </row>
    <row r="136" ht="12.0" customHeight="1">
      <c r="A136" s="13"/>
      <c r="B136" s="13"/>
      <c r="C136" s="13"/>
      <c r="D136" s="13"/>
      <c r="E136" s="13"/>
      <c r="F136" s="13"/>
      <c r="G136" s="13"/>
      <c r="H136" s="13"/>
      <c r="I136" s="45"/>
      <c r="J136" s="45"/>
      <c r="K136" s="13"/>
      <c r="L136" s="13"/>
      <c r="M136" s="13"/>
      <c r="N136" s="13"/>
      <c r="O136" s="13"/>
      <c r="P136" s="13"/>
      <c r="Q136" s="13"/>
      <c r="R136" s="13"/>
      <c r="S136" s="13"/>
      <c r="T136" s="13"/>
      <c r="U136" s="13"/>
      <c r="V136" s="13"/>
      <c r="W136" s="13"/>
      <c r="X136" s="13"/>
    </row>
    <row r="137" ht="12.0" customHeight="1">
      <c r="A137" s="13"/>
      <c r="B137" s="13"/>
      <c r="C137" s="13"/>
      <c r="D137" s="13"/>
      <c r="E137" s="13"/>
      <c r="F137" s="13"/>
      <c r="G137" s="13"/>
      <c r="H137" s="13"/>
      <c r="I137" s="45"/>
      <c r="J137" s="45"/>
      <c r="K137" s="13"/>
      <c r="L137" s="13"/>
      <c r="M137" s="13"/>
      <c r="N137" s="13"/>
      <c r="O137" s="13"/>
      <c r="P137" s="13"/>
      <c r="Q137" s="13"/>
      <c r="R137" s="13"/>
      <c r="S137" s="13"/>
      <c r="T137" s="13"/>
      <c r="U137" s="13"/>
      <c r="V137" s="13"/>
      <c r="W137" s="13"/>
      <c r="X137" s="13"/>
    </row>
    <row r="138" ht="12.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ht="12.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ht="12.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ht="12.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ht="12.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ht="12.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ht="12.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ht="12.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ht="12.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ht="12.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ht="12.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ht="12.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ht="12.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ht="12.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ht="12.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ht="12.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ht="12.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ht="12.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ht="12.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ht="12.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ht="12.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ht="12.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ht="12.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ht="12.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ht="12.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ht="12.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ht="12.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ht="12.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ht="12.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ht="12.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ht="12.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ht="12.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ht="12.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ht="12.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ht="12.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ht="12.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ht="12.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ht="12.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ht="12.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ht="12.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ht="12.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ht="12.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ht="12.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ht="12.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ht="12.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ht="12.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ht="12.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ht="12.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ht="12.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ht="12.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ht="12.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ht="12.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ht="12.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ht="12.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ht="12.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ht="12.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ht="12.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ht="12.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ht="12.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ht="12.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ht="12.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ht="12.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ht="12.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ht="12.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ht="12.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ht="12.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ht="12.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ht="12.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ht="12.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ht="12.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ht="12.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ht="12.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ht="12.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ht="12.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ht="12.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ht="12.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ht="12.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ht="12.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ht="12.0"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ht="12.0"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ht="12.0"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ht="12.0"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7.0"/>
    <col customWidth="1" min="2" max="2" width="24.75"/>
    <col customWidth="1" hidden="1" min="3" max="3" width="25.75"/>
    <col customWidth="1" hidden="1" min="4" max="4" width="44.38"/>
    <col customWidth="1" min="5" max="5" width="41.0"/>
    <col customWidth="1" min="6" max="6" width="22.88"/>
    <col customWidth="1" hidden="1" min="7" max="7" width="9.88"/>
    <col customWidth="1" hidden="1" min="8" max="8" width="18.75"/>
    <col customWidth="1" min="9" max="9" width="25.25"/>
    <col customWidth="1" hidden="1" min="10" max="10" width="24.0"/>
    <col customWidth="1" hidden="1" min="11" max="11" width="32.63"/>
    <col customWidth="1" min="12" max="12" width="10.0"/>
    <col customWidth="1" min="13" max="13" width="7.63"/>
  </cols>
  <sheetData>
    <row r="1" ht="15.75" customHeight="1">
      <c r="A1" s="1" t="s">
        <v>0</v>
      </c>
      <c r="B1" s="107" t="s">
        <v>1</v>
      </c>
      <c r="C1" s="3" t="s">
        <v>2</v>
      </c>
      <c r="D1" s="71" t="s">
        <v>3</v>
      </c>
      <c r="E1" s="164"/>
      <c r="F1" s="107" t="s">
        <v>4</v>
      </c>
      <c r="G1" s="3" t="s">
        <v>5</v>
      </c>
      <c r="H1" s="3" t="s">
        <v>6</v>
      </c>
      <c r="I1" s="60" t="s">
        <v>7</v>
      </c>
      <c r="J1" s="7" t="s">
        <v>8</v>
      </c>
      <c r="K1" s="7" t="s">
        <v>9</v>
      </c>
      <c r="L1" s="61" t="s">
        <v>10</v>
      </c>
      <c r="M1" s="61" t="s">
        <v>428</v>
      </c>
      <c r="P1" s="69"/>
    </row>
    <row r="2" ht="75.0" customHeight="1">
      <c r="A2" s="29" t="s">
        <v>52</v>
      </c>
      <c r="B2" s="77" t="s">
        <v>429</v>
      </c>
      <c r="C2" s="16" t="str">
        <f>IFERROR(__xludf.DUMMYFUNCTION("GOOGLETRANSLATE(B2,""EN"",""FR"")"),"Finaliser les estimations nationales sur le VIH dans le spectre")</f>
        <v>Finaliser les estimations nationales sur le VIH dans le spectre</v>
      </c>
      <c r="D2" s="73" t="str">
        <f>IFERROR(__xludf.DUMMYFUNCTION("GOOGLETRANSLATE(B2,""EN"",""PT"")"),"Finalizar estimativas nacionais de HIV no espectro")</f>
        <v>Finalizar estimativas nacionais de HIV no espectro</v>
      </c>
      <c r="E2" s="165"/>
      <c r="F2" s="43" t="s">
        <v>430</v>
      </c>
      <c r="G2" s="16" t="str">
        <f>IFERROR(__xludf.DUMMYFUNCTION("GOOGLETRANSLATE(F2,""EN"",""FR"")"),"Dans ce jalon, vous finirez vos estimations nationales en utilisant un spectre. Pour les pays produisant des estimations de niveau provincial ou de niveau de l'État dans le spectre, les tâches doivent être remplies pour chacun de vos fichiers de spectre.")</f>
        <v>Dans ce jalon, vous finirez vos estimations nationales en utilisant un spectre. Pour les pays produisant des estimations de niveau provincial ou de niveau de l'État dans le spectre, les tâches doivent être remplies pour chacun de vos fichiers de spectre.</v>
      </c>
      <c r="H2" s="73" t="str">
        <f>IFERROR(__xludf.DUMMYFUNCTION("GOOGLETRANSLATE(F2,""EN"",""PT"")"),"Neste marco, você finalizará suas estimativas nacionais usando o espectro. Para os países que produzem estimativas provinciais ou de nível estatais no espectro, as tarefas devem ser concluídas para cada um dos seus arquivos de espectro.")</f>
        <v>Neste marco, você finalizará suas estimativas nacionais usando o espectro. Para os países que produzem estimativas provinciais ou de nível estatais no espectro, as tarefas devem ser concluídas para cada um dos seus arquivos de espectro.</v>
      </c>
      <c r="I2" s="166" t="s">
        <v>431</v>
      </c>
      <c r="J2" s="16" t="str">
        <f>IFERROR(__xludf.DUMMYFUNCTION("GOOGLETRANSLATE(I2,""EN"",""FR"")"),"Les jalons, 1, 2, 3, 4, 5 et 6 sont terminés")</f>
        <v>Les jalons, 1, 2, 3, 4, 5 et 6 sont terminés</v>
      </c>
      <c r="K2" s="73" t="str">
        <f>IFERROR(__xludf.DUMMYFUNCTION("GOOGLETRANSLATE(I2,""EN"",""PT"")"),"Marcos, 1, 2, 3, 4, 5 e 6 são concluídos")</f>
        <v>Marcos, 1, 2, 3, 4, 5 e 6 são concluídos</v>
      </c>
      <c r="L2" s="77">
        <v>0.2</v>
      </c>
      <c r="M2" s="62" t="s">
        <v>432</v>
      </c>
      <c r="P2" s="69"/>
    </row>
    <row r="3" ht="13.5" customHeight="1">
      <c r="I3" s="69"/>
    </row>
    <row r="4" ht="15.75" customHeight="1">
      <c r="A4" s="126" t="s">
        <v>0</v>
      </c>
      <c r="B4" s="126" t="s">
        <v>19</v>
      </c>
      <c r="C4" s="126" t="s">
        <v>20</v>
      </c>
      <c r="D4" s="126" t="s">
        <v>21</v>
      </c>
      <c r="E4" s="126" t="s">
        <v>22</v>
      </c>
      <c r="F4" s="126" t="s">
        <v>23</v>
      </c>
      <c r="G4" s="128" t="s">
        <v>191</v>
      </c>
      <c r="H4" s="128" t="s">
        <v>192</v>
      </c>
      <c r="I4" s="126" t="s">
        <v>24</v>
      </c>
      <c r="J4" s="126" t="s">
        <v>25</v>
      </c>
      <c r="K4" s="126" t="s">
        <v>26</v>
      </c>
      <c r="L4" s="126" t="s">
        <v>27</v>
      </c>
      <c r="M4" s="67" t="s">
        <v>29</v>
      </c>
      <c r="N4" s="67" t="s">
        <v>28</v>
      </c>
      <c r="O4" s="167" t="s">
        <v>230</v>
      </c>
      <c r="P4" s="126" t="s">
        <v>30</v>
      </c>
      <c r="Q4" s="90" t="s">
        <v>343</v>
      </c>
    </row>
    <row r="5" ht="19.5" customHeight="1">
      <c r="A5" s="39" t="s">
        <v>433</v>
      </c>
      <c r="B5" s="41" t="s">
        <v>434</v>
      </c>
      <c r="C5" s="16" t="str">
        <f>IFERROR(__xludf.DUMMYFUNCTION("GOOGLETRANSLATE(B5,""EN"",""FR"")"),"Confirmer les données du programme d'art adulte et les intrants de prévalence de l'ANC et de l'enquête n'ont pas changé depuis le début du processus PPE.")</f>
        <v>Confirmer les données du programme d'art adulte et les intrants de prévalence de l'ANC et de l'enquête n'ont pas changé depuis le début du processus PPE.</v>
      </c>
      <c r="D5" s="73" t="str">
        <f>IFERROR(__xludf.DUMMYFUNCTION("GOOGLETRANSLATE(B5,""EN"",""PT"")"),"Confirme os dados do programa de Arte Adult e os insumos de prevalência do ANC e da pesquisa não foram alterados desde o início do processo PPE")</f>
        <v>Confirme os dados do programa de Arte Adult e os insumos de prevalência do ANC e da pesquisa não foram alterados desde o início do processo PPE</v>
      </c>
      <c r="E5" s="41" t="s">
        <v>435</v>
      </c>
      <c r="F5" s="41" t="s">
        <v>436</v>
      </c>
      <c r="G5" s="16" t="str">
        <f>IFERROR(__xludf.DUMMYFUNCTION("GOOGLETRANSLATE(F5,""EN"",""FR"")"),"Si des données d'art ou de surveillance ont changé depuis que vous avez terminé la première partie du spectre, vous devez mettre à jour la saisie des données dans SPECTRUM, la courbe Rerun EPP s'adapte et mettez à jour les schémas de sexe / âge.")</f>
        <v>Si des données d'art ou de surveillance ont changé depuis que vous avez terminé la première partie du spectre, vous devez mettre à jour la saisie des données dans SPECTRUM, la courbe Rerun EPP s'adapte et mettez à jour les schémas de sexe / âge.</v>
      </c>
      <c r="H5" s="73" t="str">
        <f>IFERROR(__xludf.DUMMYFUNCTION("GOOGLETRANSLATE(F5,""EN"",""PT"")"),"Se os dados de arte ou vigilância tiverem sido alterados desde que você tenha concluído a primeira parte do espectro, você deve atualizar a entrada de dados no espectro, execute a curva de Rerun EPP e atualizar os padrões de sexo / idade.")</f>
        <v>Se os dados de arte ou vigilância tiverem sido alterados desde que você tenha concluído a primeira parte do espectro, você deve atualizar a entrada de dados no espectro, execute a curva de Rerun EPP e atualizar os padrões de sexo / idade.</v>
      </c>
      <c r="I5" s="39"/>
      <c r="J5" s="39"/>
      <c r="K5" s="39"/>
      <c r="L5" s="39"/>
      <c r="M5" s="39"/>
      <c r="N5" s="41" t="s">
        <v>437</v>
      </c>
      <c r="O5" s="168"/>
      <c r="P5" s="39" t="s">
        <v>438</v>
      </c>
      <c r="Q5" s="39"/>
    </row>
    <row r="6" ht="19.5" customHeight="1">
      <c r="A6" s="39" t="s">
        <v>439</v>
      </c>
      <c r="B6" s="39" t="s">
        <v>440</v>
      </c>
      <c r="C6" s="16" t="str">
        <f>IFERROR(__xludf.DUMMYFUNCTION("GOOGLETRANSLATE(B6,""EN"",""FR"")"),"Confirmer Aucune mises à jour n'a été apportée aux données du programme de test du VIH.")</f>
        <v>Confirmer Aucune mises à jour n'a été apportée aux données du programme de test du VIH.</v>
      </c>
      <c r="D6" s="73" t="str">
        <f>IFERROR(__xludf.DUMMYFUNCTION("GOOGLETRANSLATE(B6,""EN"",""PT"")"),"Confirmar nenhuma atualização foi feita aos dados do programa de teste do HIV")</f>
        <v>Confirmar nenhuma atualização foi feita aos dados do programa de teste do HIV</v>
      </c>
      <c r="E6" s="39" t="s">
        <v>441</v>
      </c>
      <c r="F6" s="39" t="s">
        <v>442</v>
      </c>
      <c r="G6" s="16" t="str">
        <f>IFERROR(__xludf.DUMMYFUNCTION("GOOGLETRANSLATE(F6,""EN"",""FR"")"),"Si des données de programme ou d'enquête sous-jacentes ont changé depuis que vous avez terminé le modèle Shiny 90, vous devez revenir au début du processus brillant 90 et répéter toutes les étapes avant de procéder aux phases finales du spectre.")</f>
        <v>Si des données de programme ou d'enquête sous-jacentes ont changé depuis que vous avez terminé le modèle Shiny 90, vous devez revenir au début du processus brillant 90 et répéter toutes les étapes avant de procéder aux phases finales du spectre.</v>
      </c>
      <c r="H6" s="73" t="str">
        <f>IFERROR(__xludf.DUMMYFUNCTION("GOOGLETRANSLATE(F6,""EN"",""PT"")"),"Se qualquer programa subjacente ou dados de pesquisa tiverem sido alterados, já que você completou o modelo brilhante 90, deverá retornar ao início do processo brilhante de 90 e repetir todas as etapas antes de prosseguir com os estágios finais do espectr"&amp;"o.")</f>
        <v>Se qualquer programa subjacente ou dados de pesquisa tiverem sido alterados, já que você completou o modelo brilhante 90, deverá retornar ao início do processo brilhante de 90 e repetir todas as etapas antes de prosseguir com os estágios finais do espectro.</v>
      </c>
      <c r="I6" s="39"/>
      <c r="J6" s="39"/>
      <c r="K6" s="39"/>
      <c r="L6" s="39"/>
      <c r="M6" s="39"/>
      <c r="N6" s="41" t="s">
        <v>443</v>
      </c>
      <c r="O6" s="168"/>
      <c r="P6" s="39" t="s">
        <v>444</v>
      </c>
      <c r="Q6" s="39"/>
    </row>
    <row r="7" ht="19.5" customHeight="1">
      <c r="A7" s="39" t="s">
        <v>445</v>
      </c>
      <c r="B7" s="39" t="s">
        <v>446</v>
      </c>
      <c r="C7" s="16" t="str">
        <f>IFERROR(__xludf.DUMMYFUNCTION("GOOGLETRANSLATE(B7,""EN"",""FR"")"),"Téléchargez un fichier Shiny 90 complété sur Spectrum ou entrez des estimations KOS dans un autre format")</f>
        <v>Téléchargez un fichier Shiny 90 complété sur Spectrum ou entrez des estimations KOS dans un autre format</v>
      </c>
      <c r="D7" s="73" t="str">
        <f>IFERROR(__xludf.DUMMYFUNCTION("GOOGLETRANSLATE(B7,""EN"",""PT"")"),"Carregar um arquivo 90 brilhante preenchido para espectro ou inserir estimativas de kos em outro formato")</f>
        <v>Carregar um arquivo 90 brilhante preenchido para espectro ou inserir estimativas de kos em outro formato</v>
      </c>
      <c r="E7" s="39" t="s">
        <v>447</v>
      </c>
      <c r="F7" s="39" t="s">
        <v>448</v>
      </c>
      <c r="G7" s="16" t="str">
        <f>IFERROR(__xludf.DUMMYFUNCTION("GOOGLETRANSLATE(F7,""EN"",""FR"")"),"Chacun de vos fichiers de spectre nécessite une connaissance mise à jour des éléments de données d'état pour une année estimation actuelle en utilisant l'une des options disponibles - entrée directe des rapports de cas, SHINY 90, CSAVR, ECDC, entrée manue"&amp;"lle. La plupart des pays utiliseront Shiny 90. Si vous avez utilisé Shiny 90, vous devez télécharger vos sorties de modèle Shiny 90 (AIM&gt; Statistiques de programme&gt; Connaissance de l'état&gt; Source de données = 90&gt; Données de charge).")</f>
        <v>Chacun de vos fichiers de spectre nécessite une connaissance mise à jour des éléments de données d'état pour une année estimation actuelle en utilisant l'une des options disponibles - entrée directe des rapports de cas, SHINY 90, CSAVR, ECDC, entrée manuelle. La plupart des pays utiliseront Shiny 90. Si vous avez utilisé Shiny 90, vous devez télécharger vos sorties de modèle Shiny 90 (AIM&gt; Statistiques de programme&gt; Connaissance de l'état&gt; Source de données = 90&gt; Données de charge).</v>
      </c>
      <c r="H7" s="73" t="str">
        <f>IFERROR(__xludf.DUMMYFUNCTION("GOOGLETRANSLATE(F7,""EN"",""PT"")"),"Cada um dos seus arquivos de espectro requer conhecimento atualizado de elementos de dados de status para as estimativas atuais ano usando uma das opções disponíveis - entrada direta de relatórios de casos, brilhante 90, CSAVR, ECDC, entrada manual. A mai"&amp;"oria dos países usará 90. Se você tiver usado 90 brilhante, você deve fazer o upload de suas saídas brilhantes de 90 modelos (Aponte&gt; Estatísticas do Programa&gt; Conhecimento de status&gt; Fonte de dados = Shiny 90&gt; Carregar dados).")</f>
        <v>Cada um dos seus arquivos de espectro requer conhecimento atualizado de elementos de dados de status para as estimativas atuais ano usando uma das opções disponíveis - entrada direta de relatórios de casos, brilhante 90, CSAVR, ECDC, entrada manual. A maioria dos países usará 90. Se você tiver usado 90 brilhante, você deve fazer o upload de suas saídas brilhantes de 90 modelos (Aponte&gt; Estatísticas do Programa&gt; Conhecimento de status&gt; Fonte de dados = Shiny 90&gt; Carregar dados).</v>
      </c>
      <c r="I7" s="39"/>
      <c r="J7" s="39"/>
      <c r="K7" s="39"/>
      <c r="L7" s="39">
        <v>1.0</v>
      </c>
      <c r="M7" s="39"/>
      <c r="N7" s="41" t="s">
        <v>449</v>
      </c>
      <c r="O7" s="168" t="s">
        <v>450</v>
      </c>
      <c r="P7" s="39" t="s">
        <v>451</v>
      </c>
      <c r="Q7" s="39"/>
      <c r="R7" s="169" t="s">
        <v>452</v>
      </c>
    </row>
    <row r="8" ht="19.5" customHeight="1">
      <c r="A8" s="39" t="s">
        <v>453</v>
      </c>
      <c r="B8" s="39" t="s">
        <v>454</v>
      </c>
      <c r="C8" s="16" t="str">
        <f>IFERROR(__xludf.DUMMYFUNCTION("GOOGLETRANSLATE(B8,""EN"",""FR"")"),"Confirmer les estimations d'incidence ont été complétées à l'aide de PPE")</f>
        <v>Confirmer les estimations d'incidence ont été complétées à l'aide de PPE</v>
      </c>
      <c r="D8" s="73" t="str">
        <f>IFERROR(__xludf.DUMMYFUNCTION("GOOGLETRANSLATE(B8,""EN"",""PT"")"),"Confirmar estimativas de incidência foram concluídas usando o EPP")</f>
        <v>Confirmar estimativas de incidência foram concluídas usando o EPP</v>
      </c>
      <c r="E8" s="39" t="s">
        <v>455</v>
      </c>
      <c r="F8" s="39" t="s">
        <v>456</v>
      </c>
      <c r="G8" s="16" t="str">
        <f>IFERROR(__xludf.DUMMYFUNCTION("GOOGLETRANSLATE(F8,""EN"",""FR"")"),"Votre fichier de spectre nécessite des estimations de l'incidence mises à jour pour l'année estimée actuelle. Pour 2022, seuls les pays ayant des épidémies généralisées utilisant EPP utilisent le navigateur estimé au VIH. Assurez-vous que vous avez termin"&amp;"é le processus PPE pour les épidémies généralisées avant de procéder au spectre. Si vous avez utilisé une autre méthode pour compléter vos estimations d'incidence, vous pouvez commercialiser cette tâche terminée.")</f>
        <v>Votre fichier de spectre nécessite des estimations de l'incidence mises à jour pour l'année estimée actuelle. Pour 2022, seuls les pays ayant des épidémies généralisées utilisant EPP utilisent le navigateur estimé au VIH. Assurez-vous que vous avez terminé le processus PPE pour les épidémies généralisées avant de procéder au spectre. Si vous avez utilisé une autre méthode pour compléter vos estimations d'incidence, vous pouvez commercialiser cette tâche terminée.</v>
      </c>
      <c r="H8" s="73" t="str">
        <f>IFERROR(__xludf.DUMMYFUNCTION("GOOGLETRANSLATE(F8,""EN"",""PT"")"),"Seu arquivo de espectro requer estimativas de incidência atualizada para as estimativas atuais ano. Para 2022, apenas países com epidemias generalizadas utilizando o EPP estão usando o Navigator Estimativa do HIV. Certifique-se de ter concluído o processo"&amp;" PPE para epidemias generalizadas antes de prosseguir no espectro. Se você usou outro método para concluir suas estimativas de incidência, você pode comercializar essa tarefa completa.")</f>
        <v>Seu arquivo de espectro requer estimativas de incidência atualizada para as estimativas atuais ano. Para 2022, apenas países com epidemias generalizadas utilizando o EPP estão usando o Navigator Estimativa do HIV. Certifique-se de ter concluído o processo PPE para epidemias generalizadas antes de prosseguir no espectro. Se você usou outro método para concluir suas estimativas de incidência, você pode comercializar essa tarefa completa.</v>
      </c>
      <c r="I8" s="39"/>
      <c r="J8" s="39"/>
      <c r="K8" s="39"/>
      <c r="L8" s="39">
        <v>1.0</v>
      </c>
      <c r="M8" s="39"/>
      <c r="N8" s="41" t="s">
        <v>457</v>
      </c>
      <c r="O8" s="168"/>
      <c r="P8" s="39" t="s">
        <v>458</v>
      </c>
      <c r="Q8" s="39"/>
    </row>
    <row r="9" ht="19.5" customHeight="1">
      <c r="A9" s="39" t="s">
        <v>459</v>
      </c>
      <c r="B9" s="39" t="s">
        <v>460</v>
      </c>
      <c r="C9" s="16" t="str">
        <f>IFERROR(__xludf.DUMMYFUNCTION("GOOGLETRANSLATE(B9,""EN"",""FR"")"),"Visualisez et validez vos résultats de votre spectre")</f>
        <v>Visualisez et validez vos résultats de votre spectre</v>
      </c>
      <c r="D9" s="73" t="str">
        <f>IFERROR(__xludf.DUMMYFUNCTION("GOOGLETRANSLATE(B9,""EN"",""PT"")"),"Visualize e valide seus resultados de espectro")</f>
        <v>Visualize e valide seus resultados de espectro</v>
      </c>
      <c r="E9" s="39" t="s">
        <v>461</v>
      </c>
      <c r="F9" s="39" t="s">
        <v>462</v>
      </c>
      <c r="G9" s="16" t="str">
        <f>IFERROR(__xludf.DUMMYFUNCTION("GOOGLETRANSLATE(F9,""EN"",""FR"")"),"Assurez-vous de voir et de valider les résultats de votre pays à l'aide de l'onglet Validation de spectre pour tous les fichiers Spectrum. Il existe un certain nombre d'options pour la validation de la projection de spectre contre les données sur l'onglet"&amp;" Validation. La prévalence par ordre d'âge comparera l'estimation du spectre de la prévalence par âge (ligne solide) contre les estimations de l'enquête de la même année. Vous pouvez sélectionner l'enquête dans le menu déroulant situé en haut pour retirer"&amp;" les données prépopulées de l'enquête. Généralement, la ligne de spectre devrait passer par les intervalles de confiance des estimations de l'enquête.
Si vous avez entré le nombre de personnes sur l'art par groupe d'âge dans les statistiques de programme"&amp;", vous pouvez comparer l'estimation du spectre (ligne solide) avec ces données.
Sous l'option Art, vous pouvez afficher un graphique montrant le nombre de personnes vivant avec le VIH mais pas sur l'art selon qu'ils n'ont jamais eu ou déjà été sur le trai"&amp;"tement. Dans de nombreux pays aujourd'hui, la majorité de ceux qui ne sont pas sur l'art étaient en traitement précédemment mais abandonnés. Les projections de ce tableau dépendent des hypothèses résumées au bas de cette page de la rétention annuelle sur "&amp;"l'art, sur la probabilité de re-initiation sur le traitement et si la mortalité tandis que de l'art est différente de ceux qui étaient auparavant sur le traitement par rapport à ceux qui étaient auparavant sont naïfs de traitement. Vous pouvez modifier l'"&amp;"une de ces hypothèses pour voir l'effet sur les courbes.
Enfin, dans l'onglet Validation, vous pouvez vérifier la complétude du fichier. Cela garantira que vous avez entré les données requises pour 2021, les paramètres sont mis à jour sur les dernières v"&amp;"aleurs par défaut et que vous disposez des fichiers supplémentaires requis. Veuillez faire ce dernier chèque avant de télécharger sur ADR.")</f>
        <v>Assurez-vous de voir et de valider les résultats de votre pays à l'aide de l'onglet Validation de spectre pour tous les fichiers Spectrum. Il existe un certain nombre d'options pour la validation de la projection de spectre contre les données sur l'onglet Validation. La prévalence par ordre d'âge comparera l'estimation du spectre de la prévalence par âge (ligne solide) contre les estimations de l'enquête de la même année. Vous pouvez sélectionner l'enquête dans le menu déroulant situé en haut pour retirer les données prépopulées de l'enquête. Généralement, la ligne de spectre devrait passer par les intervalles de confiance des estimations de l'enquête.
Si vous avez entré le nombre de personnes sur l'art par groupe d'âge dans les statistiques de programme, vous pouvez comparer l'estimation du spectre (ligne solide) avec ces données.
Sous l'option Art, vous pouvez afficher un graphique montrant le nombre de personnes vivant avec le VIH mais pas sur l'art selon qu'ils n'ont jamais eu ou déjà été sur le traitement. Dans de nombreux pays aujourd'hui, la majorité de ceux qui ne sont pas sur l'art étaient en traitement précédemment mais abandonnés. Les projections de ce tableau dépendent des hypothèses résumées au bas de cette page de la rétention annuelle sur l'art, sur la probabilité de re-initiation sur le traitement et si la mortalité tandis que de l'art est différente de ceux qui étaient auparavant sur le traitement par rapport à ceux qui étaient auparavant sont naïfs de traitement. Vous pouvez modifier l'une de ces hypothèses pour voir l'effet sur les courbes.
Enfin, dans l'onglet Validation, vous pouvez vérifier la complétude du fichier. Cela garantira que vous avez entré les données requises pour 2021, les paramètres sont mis à jour sur les dernières valeurs par défaut et que vous disposez des fichiers supplémentaires requis. Veuillez faire ce dernier chèque avant de télécharger sur ADR.</v>
      </c>
      <c r="H9" s="73" t="str">
        <f>IFERROR(__xludf.DUMMYFUNCTION("GOOGLETRANSLATE(F9,""EN"",""PT"")"),"Certifique-se de ter visto e validou os resultados do seu país usando a guia de validação de espectro para todos os arquivos de espectro. Há uma série de opções para validar a projeção do espectro contra dados na guia Validação. A prevalência pelo gráfico"&amp;" de idade comparará a estimativa do espectro de prevalência por idade (linha sólida) contra estimativas de pesquisa do mesmo ano. Você pode selecionar a pesquisa no menu suspenso na parte superior para puxar dados pré-opculados da pesquisa. Geralmente, a "&amp;"linha do espectro deve passar pelos intervalos de confiança das estimativas de pesquisa.
Se você inseriu o número de pessoas na arte por faixa etária em estatísticas do programa, você pode comparar a estimativa do espectro (linha sólida) com esses dados."&amp;"
Sob a opção de arte, você pode exibir um gráfico mostrando o número de pessoas que vivem com HIV, mas não na arte de acordo com se eles nunca foram ou anteriormente no tratamento. Em muitos países hoje, a maioria dos que não na arte estavam em tratamento"&amp;" anteriormente, mas desistiu. As projeções neste gráfico dependem dos pressupostos resumidos na parte inferior dessa página sobre a retenção anual sobre a arte, sobre a probabilidade de re-iniciação no tratamento e se a mortalidade enquanto fora da arte é"&amp;" diferente entre aqueles que anteriormente estavam no tratamento em comparação com aqueles que são tratamento ingênuo. Você pode alterar qualquer uma dessas suposições para ver o efeito nas curvas.
Finalmente na guia Validação, você pode verificar a inte"&amp;"gridade do arquivo. Isso garantirá que você tenha inserido os dados necessários para 2021, os parâmetros são atualizados para os padrões mais recentes, e que você tem os arquivos adicionais necessários. Por favor, faça esta verificação final antes de faze"&amp;"r o upload para ADR.")</f>
        <v>Certifique-se de ter visto e validou os resultados do seu país usando a guia de validação de espectro para todos os arquivos de espectro. Há uma série de opções para validar a projeção do espectro contra dados na guia Validação. A prevalência pelo gráfico de idade comparará a estimativa do espectro de prevalência por idade (linha sólida) contra estimativas de pesquisa do mesmo ano. Você pode selecionar a pesquisa no menu suspenso na parte superior para puxar dados pré-opculados da pesquisa. Geralmente, a linha do espectro deve passar pelos intervalos de confiança das estimativas de pesquisa.
Se você inseriu o número de pessoas na arte por faixa etária em estatísticas do programa, você pode comparar a estimativa do espectro (linha sólida) com esses dados.
Sob a opção de arte, você pode exibir um gráfico mostrando o número de pessoas que vivem com HIV, mas não na arte de acordo com se eles nunca foram ou anteriormente no tratamento. Em muitos países hoje, a maioria dos que não na arte estavam em tratamento anteriormente, mas desistiu. As projeções neste gráfico dependem dos pressupostos resumidos na parte inferior dessa página sobre a retenção anual sobre a arte, sobre a probabilidade de re-iniciação no tratamento e se a mortalidade enquanto fora da arte é diferente entre aqueles que anteriormente estavam no tratamento em comparação com aqueles que são tratamento ingênuo. Você pode alterar qualquer uma dessas suposições para ver o efeito nas curvas.
Finalmente na guia Validação, você pode verificar a integridade do arquivo. Isso garantirá que você tenha inserido os dados necessários para 2021, os parâmetros são atualizados para os padrões mais recentes, e que você tem os arquivos adicionais necessários. Por favor, faça esta verificação final antes de fazer o upload para ADR.</v>
      </c>
      <c r="I9" s="39"/>
      <c r="J9" s="39"/>
      <c r="K9" s="39"/>
      <c r="L9" s="39">
        <v>1.0</v>
      </c>
      <c r="M9" s="39"/>
      <c r="N9" s="41" t="s">
        <v>463</v>
      </c>
      <c r="O9" s="168"/>
      <c r="P9" s="39"/>
      <c r="Q9" s="39"/>
    </row>
    <row r="10" ht="19.5" customHeight="1">
      <c r="A10" s="39" t="s">
        <v>464</v>
      </c>
      <c r="B10" s="39" t="s">
        <v>465</v>
      </c>
      <c r="C10" s="16" t="str">
        <f>IFERROR(__xludf.DUMMYFUNCTION("GOOGLETRANSLATE(B10,""EN"",""FR"")"),"Confirmez que votre couverture d'art et de PMT ne dépasse pas 100%")</f>
        <v>Confirmez que votre couverture d'art et de PMT ne dépasse pas 100%</v>
      </c>
      <c r="D10" s="73" t="str">
        <f>IFERROR(__xludf.DUMMYFUNCTION("GOOGLETRANSLATE(B10,""EN"",""PT"")"),"Confirme sua cobertura de arte e PMTCT não exceda 100%")</f>
        <v>Confirme sua cobertura de arte e PMTCT não exceda 100%</v>
      </c>
      <c r="E10" s="39" t="s">
        <v>466</v>
      </c>
      <c r="F10" s="41" t="s">
        <v>467</v>
      </c>
      <c r="G10" s="16" t="str">
        <f>IFERROR(__xludf.DUMMYFUNCTION("GOOGLETRANSLATE(F10,""EN"",""FR"")"),"De temps en temps, le spectre produira une couverture de plus de 100% pour les services d'art ou de PMTCT. Il existe de multiples causes pour les résultats de couverture supérieurs à 100%. Si vos résultats sont supérieurs à 100%, l'ONUSIDA recommande de r"&amp;"ésoudre ce problème avant de procéder en consultant le facilitateur de votre estimation et / ou l'ONUSIDA afin de déterminer comment résoudre les problèmes de couverture de vos résultats de votre modèle.
Bien que ce soit une étape manuelle, Navigator vér"&amp;"ifiera également automatiquement pour que votre couverture ne soit pas supérieure à 100% lorsque vous téléchargez votre fichier de spectre à ADR plus loin dans le processus. Une fois que vous avez confirmé que votre couverture est de 100% ou moins, marque"&amp;"z cette tâche terminée et cliquez sur le ""Quoi de neuf?"" bouton.")</f>
        <v>De temps en temps, le spectre produira une couverture de plus de 100% pour les services d'art ou de PMTCT. Il existe de multiples causes pour les résultats de couverture supérieurs à 100%. Si vos résultats sont supérieurs à 100%, l'ONUSIDA recommande de résoudre ce problème avant de procéder en consultant le facilitateur de votre estimation et / ou l'ONUSIDA afin de déterminer comment résoudre les problèmes de couverture de vos résultats de votre modèle.
Bien que ce soit une étape manuelle, Navigator vérifiera également automatiquement pour que votre couverture ne soit pas supérieure à 100% lorsque vous téléchargez votre fichier de spectre à ADR plus loin dans le processus. Une fois que vous avez confirmé que votre couverture est de 100% ou moins, marquez cette tâche terminée et cliquez sur le "Quoi de neuf?" bouton.</v>
      </c>
      <c r="H10" s="73" t="str">
        <f>IFERROR(__xludf.DUMMYFUNCTION("GOOGLETRANSLATE(F10,""EN"",""PT"")"),"Ocasionalmente, o espectro produzirá cobertura de mais de 100% para serviços de arte ou PMTCT. Existem várias causas para resultados de cobertura mais de 100%. Se os seus resultados tiverem mais de 100%, a UNAIDS recomenda resolver esse problema antes de "&amp;"continuar consultando suas estimativas facilitador e / ou UNAIDS para determinar como lidar com problemas de cobertura em seus resultados do modelo.
Embora esta seja uma etapa manual, o Navigator também verificará automaticamente para garantir que sua co"&amp;"bertura não seja superior a 100% quando você carrega seu arquivo de espectro para ADR posteriormente no processo. Depois de confirmar sua cobertura é de 100% ou menos, marque esta tarefa completa e clique no ""O que vem a seguir?"" botão.")</f>
        <v>Ocasionalmente, o espectro produzirá cobertura de mais de 100% para serviços de arte ou PMTCT. Existem várias causas para resultados de cobertura mais de 100%. Se os seus resultados tiverem mais de 100%, a UNAIDS recomenda resolver esse problema antes de continuar consultando suas estimativas facilitador e / ou UNAIDS para determinar como lidar com problemas de cobertura em seus resultados do modelo.
Embora esta seja uma etapa manual, o Navigator também verificará automaticamente para garantir que sua cobertura não seja superior a 100% quando você carrega seu arquivo de espectro para ADR posteriormente no processo. Depois de confirmar sua cobertura é de 100% ou menos, marque esta tarefa completa e clique no "O que vem a seguir?" botão.</v>
      </c>
      <c r="I10" s="136"/>
      <c r="J10" s="39"/>
      <c r="K10" s="39"/>
      <c r="L10" s="39">
        <v>1.0</v>
      </c>
      <c r="M10" s="39"/>
      <c r="N10" s="41" t="s">
        <v>468</v>
      </c>
      <c r="O10" s="168" t="s">
        <v>469</v>
      </c>
      <c r="P10" s="39"/>
      <c r="Q10" s="39"/>
    </row>
    <row r="11" ht="19.5" customHeight="1">
      <c r="A11" s="39" t="s">
        <v>470</v>
      </c>
      <c r="B11" s="39" t="s">
        <v>471</v>
      </c>
      <c r="C11" s="16" t="str">
        <f>IFERROR(__xludf.DUMMYFUNCTION("GOOGLETRANSLATE(B11,""EN"",""FR"")"),"Comparez vos sorties de spectre vers les résultats de l'année dernière en lecture seule")</f>
        <v>Comparez vos sorties de spectre vers les résultats de l'année dernière en lecture seule</v>
      </c>
      <c r="D11" s="73" t="str">
        <f>IFERROR(__xludf.DUMMYFUNCTION("GOOGLETRANSLATE(B11,""EN"",""PT"")"),"Compare suas saídas de espectro para os resultados do ano passado em somente leitura")</f>
        <v>Compare suas saídas de espectro para os resultados do ano passado em somente leitura</v>
      </c>
      <c r="E11" s="39" t="s">
        <v>472</v>
      </c>
      <c r="F11" s="39" t="s">
        <v>473</v>
      </c>
      <c r="G11" s="16" t="str">
        <f>IFERROR(__xludf.DUMMYFUNCTION("GOOGLETRANSLATE(F11,""EN"",""FR"")"),"Enfin, vous pouvez comparer votre nouvelle estimation pour 2021 avec l'estimation 2020 préparée l'année dernière. Pour ce faire, choisissez ""Fichier"" dans le menu Horizontal supérieur, puis ""Lecture seule"". (Dans la version Web, allez à ""Bibliothèque"&amp;""", cliquez sur le menu ""..."" à côté du nom de fichier de l'année dernière et sélectionnez ""Lecture seule"".
Spectrum ouvrira la projection de l'année dernière en mode lecture seule, ce qui signifie que vous ne pourrez rien changer. Maintenant, lorsque"&amp;" vous affichez tout résultat, vous verrez la nouvelle estimation indiquée en rouge et l'estimation précédente indiquée en bleu.")</f>
        <v>Enfin, vous pouvez comparer votre nouvelle estimation pour 2021 avec l'estimation 2020 préparée l'année dernière. Pour ce faire, choisissez "Fichier" dans le menu Horizontal supérieur, puis "Lecture seule". (Dans la version Web, allez à "Bibliothèque", cliquez sur le menu "..." à côté du nom de fichier de l'année dernière et sélectionnez "Lecture seule".
Spectrum ouvrira la projection de l'année dernière en mode lecture seule, ce qui signifie que vous ne pourrez rien changer. Maintenant, lorsque vous affichez tout résultat, vous verrez la nouvelle estimation indiquée en rouge et l'estimation précédente indiquée en bleu.</v>
      </c>
      <c r="H11" s="73" t="str">
        <f>IFERROR(__xludf.DUMMYFUNCTION("GOOGLETRANSLATE(F11,""EN"",""PT"")"),"Como uma etapa final, você pode comparar sua nova estimativa para 2021 com a estimativa 2020 preparada no ano passado. Para fazer isso, escolha 'Arquivo' no menu superior horizontal e depois ""somente leitura"". (Na versão da Web vá para 'Biblioteca', cli"&amp;"que no menu '...' ao lado do nome do arquivo do ano passado e selecione 'Somente leitura'.
O espectro abrirá a projeção do ano passado no modo somente leitura, o que significa que você não poderá mudar nada. Agora, quando você exibir qualquer resultado, v"&amp;"ocê verá a nova estimativa mostrada em vermelho e a estimativa anterior mostrada em azul.")</f>
        <v>Como uma etapa final, você pode comparar sua nova estimativa para 2021 com a estimativa 2020 preparada no ano passado. Para fazer isso, escolha 'Arquivo' no menu superior horizontal e depois "somente leitura". (Na versão da Web vá para 'Biblioteca', clique no menu '...' ao lado do nome do arquivo do ano passado e selecione 'Somente leitura'.
O espectro abrirá a projeção do ano passado no modo somente leitura, o que significa que você não poderá mudar nada. Agora, quando você exibir qualquer resultado, você verá a nova estimativa mostrada em vermelho e a estimativa anterior mostrada em azul.</v>
      </c>
      <c r="I11" s="39"/>
      <c r="J11" s="39"/>
      <c r="K11" s="39"/>
      <c r="L11" s="39"/>
      <c r="M11" s="39"/>
      <c r="N11" s="41" t="s">
        <v>474</v>
      </c>
      <c r="O11" s="168"/>
      <c r="P11" s="39" t="s">
        <v>475</v>
      </c>
      <c r="Q11" s="39"/>
    </row>
    <row r="12" ht="19.5" customHeight="1">
      <c r="A12" s="39" t="s">
        <v>476</v>
      </c>
      <c r="B12" s="39" t="s">
        <v>477</v>
      </c>
      <c r="C12" s="16" t="str">
        <f>IFERROR(__xludf.DUMMYFUNCTION("GOOGLETRANSLATE(B12,""EN"",""FR"")"),"Exécuter une analyse d'incertitude")</f>
        <v>Exécuter une analyse d'incertitude</v>
      </c>
      <c r="D12" s="73" t="str">
        <f>IFERROR(__xludf.DUMMYFUNCTION("GOOGLETRANSLATE(B12,""EN"",""PT"")"),"Execute análise de incerteza")</f>
        <v>Execute análise de incerteza</v>
      </c>
      <c r="E12" s="39" t="s">
        <v>478</v>
      </c>
      <c r="F12" s="39" t="s">
        <v>479</v>
      </c>
      <c r="G12" s="16" t="str">
        <f>IFERROR(__xludf.DUMMYFUNCTION("GOOGLETRANSLATE(F12,""EN"",""FR"")"),"L'incertitude associée à chaque résultat peut être estimée à l'aide de l'outil d'analyse d'incertitude. Accédez à cet outil en choisissant «Outils» dans le menu Horizontal supérieur, puis «plus d'outils», puis «analyse d'incertitude».
Définissez l'année "&amp;"de capture de données globale à la dernière année des données et le «nombre d'itérations» à 300, puis cliquez sur le bouton 'Process'. Le modèle exécutera 300 simulations en choisissant des valeurs pour les paramètres épidémiologiques de leurs intervalles"&amp;" de confiance. Cette analyse peut prendre 10-30 minutes. Lorsqu'il est complet, cliquez sur le bouton 'Enregistrer'. Après avoir exécuté cette analyse, vous verrez des intervalles d'incertitude sur toutes les sorties (tant que vous n'avez qu'une seule pro"&amp;"jection dans Spectrum).")</f>
        <v>L'incertitude associée à chaque résultat peut être estimée à l'aide de l'outil d'analyse d'incertitude. Accédez à cet outil en choisissant «Outils» dans le menu Horizontal supérieur, puis «plus d'outils», puis «analyse d'incertitude».
Définissez l'année de capture de données globale à la dernière année des données et le «nombre d'itérations» à 300, puis cliquez sur le bouton 'Process'. Le modèle exécutera 300 simulations en choisissant des valeurs pour les paramètres épidémiologiques de leurs intervalles de confiance. Cette analyse peut prendre 10-30 minutes. Lorsqu'il est complet, cliquez sur le bouton 'Enregistrer'. Après avoir exécuté cette analyse, vous verrez des intervalles d'incertitude sur toutes les sorties (tant que vous n'avez qu'une seule projection dans Spectrum).</v>
      </c>
      <c r="H12" s="73" t="str">
        <f>IFERROR(__xludf.DUMMYFUNCTION("GOOGLETRANSLATE(F12,""EN"",""PT"")"),"A incerteza associada a cada resultado pode ser estimada usando a ferramenta de análise de incerteza. Acesse esta ferramenta, escolhendo 'Ferramentas' no menu Horizontal Top, então 'mais ferramentas', então 'Análise de Incerteza'.
Defina o ""Ano de Captu"&amp;"ra de Dados Agregados"" para o último ano de dados e o 'número de iterações' para 300 e clique no botão 'Processo'. O modelo executará 300 simulações escolhendo valores para os parâmetros epidemiológicos de dentro de seus intervalos de confiança. Esta aná"&amp;"lise pode levar de 10 a 30 minutos. Quando estiver concluído, clique no botão 'Salvar'. Depois de executar esta análise, você verá intervalos de incerteza em todas as saídas (contanto que você tenha apenas uma projeção aberta no espectro).")</f>
        <v>A incerteza associada a cada resultado pode ser estimada usando a ferramenta de análise de incerteza. Acesse esta ferramenta, escolhendo 'Ferramentas' no menu Horizontal Top, então 'mais ferramentas', então 'Análise de Incerteza'.
Defina o "Ano de Captura de Dados Agregados" para o último ano de dados e o 'número de iterações' para 300 e clique no botão 'Processo'. O modelo executará 300 simulações escolhendo valores para os parâmetros epidemiológicos de dentro de seus intervalos de confiança. Esta análise pode levar de 10 a 30 minutos. Quando estiver concluído, clique no botão 'Salvar'. Depois de executar esta análise, você verá intervalos de incerteza em todas as saídas (contanto que você tenha apenas uma projeção aberta no espectro).</v>
      </c>
      <c r="I12" s="39"/>
      <c r="J12" s="39"/>
      <c r="K12" s="39"/>
      <c r="L12" s="39">
        <v>1.0</v>
      </c>
      <c r="M12" s="39"/>
      <c r="N12" s="41" t="s">
        <v>480</v>
      </c>
      <c r="O12" s="168" t="s">
        <v>481</v>
      </c>
      <c r="P12" s="39"/>
      <c r="Q12" s="39"/>
    </row>
    <row r="13" ht="19.5" customHeight="1">
      <c r="A13" s="39" t="s">
        <v>482</v>
      </c>
      <c r="B13" s="39" t="s">
        <v>483</v>
      </c>
      <c r="C13" s="16" t="str">
        <f>IFERROR(__xludf.DUMMYFUNCTION("GOOGLETRANSLATE(B13,""EN"",""FR"")"),"Confirmer les résultats du spectre")</f>
        <v>Confirmer les résultats du spectre</v>
      </c>
      <c r="D13" s="73" t="str">
        <f>IFERROR(__xludf.DUMMYFUNCTION("GOOGLETRANSLATE(B13,""EN"",""PT"")"),"Confirme os resultados do espectro")</f>
        <v>Confirme os resultados do espectro</v>
      </c>
      <c r="E13" s="39" t="s">
        <v>484</v>
      </c>
      <c r="F13" s="39" t="s">
        <v>485</v>
      </c>
      <c r="G13" s="16" t="str">
        <f>IFERROR(__xludf.DUMMYFUNCTION("GOOGLETRANSLATE(F13,""EN"",""FR"")"),"Enquêter et corriger tout jeu de données sous-jacent ou modifier d'autres paramètres (par exemple, des habitudes de sexe / âge) et complétez toutes les étapes suivantes dans Spectrum pour chaque fichier de spectre affecté. Si des jeux de données sous-jace"&amp;"nts changent, toutes les étapes de spectre - y compris la connaissance des estimations de statut et d'incidence - doivent être répétées")</f>
        <v>Enquêter et corriger tout jeu de données sous-jacent ou modifier d'autres paramètres (par exemple, des habitudes de sexe / âge) et complétez toutes les étapes suivantes dans Spectrum pour chaque fichier de spectre affecté. Si des jeux de données sous-jacents changent, toutes les étapes de spectre - y compris la connaissance des estimations de statut et d'incidence - doivent être répétées</v>
      </c>
      <c r="H13" s="73" t="str">
        <f>IFERROR(__xludf.DUMMYFUNCTION("GOOGLETRANSLATE(F13,""EN"",""PT"")"),"Investigue e corrija qualquer conjunto de dados subjacente ou altere outros parâmetros (por exemplo, padrões de sexo / idade) e complete todas as etapas subseqüentes no espectro para cada arquivo de espectro afetado. Se as conjuntos de dados subjacentes m"&amp;"udarem, todas as etapas do espectro - incluindo conhecimentos de status e estimativas de incidência - devem ser repetidas")</f>
        <v>Investigue e corrija qualquer conjunto de dados subjacente ou altere outros parâmetros (por exemplo, padrões de sexo / idade) e complete todas as etapas subseqüentes no espectro para cada arquivo de espectro afetado. Se as conjuntos de dados subjacentes mudarem, todas as etapas do espectro - incluindo conhecimentos de status e estimativas de incidência - devem ser repetidas</v>
      </c>
      <c r="I13" s="39"/>
      <c r="J13" s="39"/>
      <c r="K13" s="39"/>
      <c r="L13" s="39"/>
      <c r="M13" s="39"/>
      <c r="N13" s="41" t="s">
        <v>486</v>
      </c>
      <c r="O13" s="168"/>
      <c r="P13" s="39"/>
      <c r="Q13" s="39"/>
    </row>
    <row r="14" ht="19.5" customHeight="1">
      <c r="A14" s="39" t="s">
        <v>487</v>
      </c>
      <c r="B14" s="39" t="s">
        <v>488</v>
      </c>
      <c r="C14" s="16" t="str">
        <f>IFERROR(__xludf.DUMMYFUNCTION("GOOGLETRANSLATE(B14,""EN"",""FR"")"),"Si vous utilisez plusieurs fichiers de spectre (par exemple, pour des estimations provinciales), visualisez les résultats globaux")</f>
        <v>Si vous utilisez plusieurs fichiers de spectre (par exemple, pour des estimations provinciales), visualisez les résultats globaux</v>
      </c>
      <c r="D14" s="73" t="str">
        <f>IFERROR(__xludf.DUMMYFUNCTION("GOOGLETRANSLATE(B14,""EN"",""PT"")"),"Se você estiver usando vários arquivos de espectro (por exemplo, para estimativas provinciais), visualize os resultados agregados")</f>
        <v>Se você estiver usando vários arquivos de espectro (por exemplo, para estimativas provinciais), visualize os resultados agregados</v>
      </c>
      <c r="E14" s="39" t="s">
        <v>489</v>
      </c>
      <c r="F14" s="39" t="s">
        <v>490</v>
      </c>
      <c r="G14" s="16" t="str">
        <f>IFERROR(__xludf.DUMMYFUNCTION("GOOGLETRANSLATE(F14,""EN"",""FR"")"),"Si vous avez plusieurs fichiers de spectre (par exemple, des fichiers provinciaux), vous devez utiliser la fonction globale pour afficher des estimations combinées au niveau national. Commencez par sauvegarder tous les fichiers de spectre à un seul emplac"&amp;"ement (par exemple, votre ordinateur ou votre lecteur de partage). Fermez tous les fichiers dans Spectrum, cliquez sur Outils&gt; Plus d'outils&gt; Agrégats. Choisissez les fichiers à ajouter et à traiter. Si vous ne produisez pas d'estimations sous-nationales "&amp;"dans Spectrum, marquez cette tâche terminée.")</f>
        <v>Si vous avez plusieurs fichiers de spectre (par exemple, des fichiers provinciaux), vous devez utiliser la fonction globale pour afficher des estimations combinées au niveau national. Commencez par sauvegarder tous les fichiers de spectre à un seul emplacement (par exemple, votre ordinateur ou votre lecteur de partage). Fermez tous les fichiers dans Spectrum, cliquez sur Outils&gt; Plus d'outils&gt; Agrégats. Choisissez les fichiers à ajouter et à traiter. Si vous ne produisez pas d'estimations sous-nationales dans Spectrum, marquez cette tâche terminée.</v>
      </c>
      <c r="H14" s="73" t="str">
        <f>IFERROR(__xludf.DUMMYFUNCTION("GOOGLETRANSLATE(F14,""EN"",""PT"")"),"Se você tiver vários arquivos de espectro (por exemplo, arquivos provinciais), deverá usar a função agregada para visualizar estimativas de nível nacional combinado. Comece salvando todos os arquivos de espectro para um único local (por exemplo, seu compu"&amp;"tador ou acionamento de ações). Feche todos os arquivos no espectro, clique em Ferramentas&gt; Mais ferramentas&gt; Agregado. Escolha os arquivos para adicionar e processar. Se você não estiver produzindo estimativas sub-nacionais no espectro, marque esta taref"&amp;"a completa.")</f>
        <v>Se você tiver vários arquivos de espectro (por exemplo, arquivos provinciais), deverá usar a função agregada para visualizar estimativas de nível nacional combinado. Comece salvando todos os arquivos de espectro para um único local (por exemplo, seu computador ou acionamento de ações). Feche todos os arquivos no espectro, clique em Ferramentas&gt; Mais ferramentas&gt; Agregado. Escolha os arquivos para adicionar e processar. Se você não estiver produzindo estimativas sub-nacionais no espectro, marque esta tarefa completa.</v>
      </c>
      <c r="I14" s="39"/>
      <c r="J14" s="39"/>
      <c r="K14" s="39"/>
      <c r="L14" s="39"/>
      <c r="M14" s="39"/>
      <c r="N14" s="41" t="s">
        <v>491</v>
      </c>
      <c r="O14" s="168"/>
      <c r="P14" s="39"/>
      <c r="Q14" s="39"/>
    </row>
    <row r="15" ht="19.5" customHeight="1">
      <c r="A15" s="39" t="s">
        <v>492</v>
      </c>
      <c r="B15" s="39" t="s">
        <v>493</v>
      </c>
      <c r="C15" s="16" t="str">
        <f>IFERROR(__xludf.DUMMYFUNCTION("GOOGLETRANSLATE(B15,""EN"",""FR"")"),"Téléchargez votre fichier Spectrum sur votre organisation sur ADR")</f>
        <v>Téléchargez votre fichier Spectrum sur votre organisation sur ADR</v>
      </c>
      <c r="D15" s="73" t="str">
        <f>IFERROR(__xludf.DUMMYFUNCTION("GOOGLETRANSLATE(B15,""EN"",""PT"")"),"Carregar seu arquivo de espectro para sua organização no ADR")</f>
        <v>Carregar seu arquivo de espectro para sua organização no ADR</v>
      </c>
      <c r="E15" s="39" t="s">
        <v>494</v>
      </c>
      <c r="F15" s="41" t="s">
        <v>495</v>
      </c>
      <c r="G15" s="16" t="str">
        <f>IFERROR(__xludf.DUMMYFUNCTION("GOOGLETRANSLATE(F15,""EN"",""FR"")"),"Avant de continuer, vous devez maintenant télécharger votre fichier de spectre final dans le référentiel de données d'aide (ADR.HivTools.org). Enregistrement de votre dossier à ADR prend en charge la gestion de la connaissance de la connaissance et permet"&amp;"tra à votre pays d'estimer l'équipe et les supporters de votre pays (par exemple, l'ONUSIDA) de voir les résultats. En outre, si vous rencontrez des estimations sous-nationales, Naomi nécessitera votre fichier de spectre. Naomi peut extraire votre fichier"&amp;" de spectre directement à partir de ADR. Pour télécharger votre fichier Spectrum en ADR, procédez à ADR.HivTools.org et trouvez votre organisation (c'est-à-dire pays). Dans la liste des données de votre pays, vous verrez l'ensemble de données de la périod"&amp;"e de référence.")</f>
        <v>Avant de continuer, vous devez maintenant télécharger votre fichier de spectre final dans le référentiel de données d'aide (ADR.HivTools.org). Enregistrement de votre dossier à ADR prend en charge la gestion de la connaissance de la connaissance et permettra à votre pays d'estimer l'équipe et les supporters de votre pays (par exemple, l'ONUSIDA) de voir les résultats. En outre, si vous rencontrez des estimations sous-nationales, Naomi nécessitera votre fichier de spectre. Naomi peut extraire votre fichier de spectre directement à partir de ADR. Pour télécharger votre fichier Spectrum en ADR, procédez à ADR.HivTools.org et trouvez votre organisation (c'est-à-dire pays). Dans la liste des données de votre pays, vous verrez l'ensemble de données de la période de référence.</v>
      </c>
      <c r="H15" s="73" t="str">
        <f>IFERROR(__xludf.DUMMYFUNCTION("GOOGLETRANSLATE(F15,""EN"",""PT"")"),"Antes de continuar, você deve fazer o upload do seu arquivo de espectro final para o repositório de dados de AIDS (adr.hivtools.org). Salvar seu arquivo para ADR suporta o Sound Knowledge Management e permitirá que o seu país estima equipe e apoiadores (p"&amp;"or exemplo, UNAIDS) para visualizar os resultados. Além disso, se você estiver procedendo com estimativas sub-nacionais, a Naomi exigirá seu arquivo de espectro. Naomi pode puxar seu arquivo de espectro diretamente de ADR. Para carregar seu arquivo de esp"&amp;"ectro para ADR, prossiga para adr.hivtools.org e encontrar sua organização (isto é, país). Na lista de dados do seu país, você verá o conjunto de dados para o período de relatório.")</f>
        <v>Antes de continuar, você deve fazer o upload do seu arquivo de espectro final para o repositório de dados de AIDS (adr.hivtools.org). Salvar seu arquivo para ADR suporta o Sound Knowledge Management e permitirá que o seu país estima equipe e apoiadores (por exemplo, UNAIDS) para visualizar os resultados. Além disso, se você estiver procedendo com estimativas sub-nacionais, a Naomi exigirá seu arquivo de espectro. Naomi pode puxar seu arquivo de espectro diretamente de ADR. Para carregar seu arquivo de espectro para ADR, prossiga para adr.hivtools.org e encontrar sua organização (isto é, país). Na lista de dados do seu país, você verá o conjunto de dados para o período de relatório.</v>
      </c>
      <c r="I15" s="132" t="s">
        <v>496</v>
      </c>
      <c r="J15" s="16" t="str">
        <f>IFERROR(__xludf.DUMMYFUNCTION("GOOGLETRANSLATE(I15,""EN"",""FR"")"),"Repositoire de données SIDA http://adr.hivtools.org")</f>
        <v>Repositoire de données SIDA http://adr.hivtools.org</v>
      </c>
      <c r="K15" s="73" t="str">
        <f>IFERROR(__xludf.DUMMYFUNCTION("GOOGLETRANSLATE(I15,""EN"",""PT"")"),"Repositório de dados de AIDS http://adr.hivtools.org")</f>
        <v>Repositório de dados de AIDS http://adr.hivtools.org</v>
      </c>
      <c r="L15" s="39">
        <v>1.0</v>
      </c>
      <c r="M15" s="39"/>
      <c r="N15" s="41" t="s">
        <v>497</v>
      </c>
      <c r="O15" s="168"/>
      <c r="P15" s="41" t="s">
        <v>498</v>
      </c>
      <c r="Q15" s="39"/>
    </row>
    <row r="16" ht="19.5" customHeight="1">
      <c r="A16" s="41" t="s">
        <v>499</v>
      </c>
      <c r="B16" s="41" t="s">
        <v>500</v>
      </c>
      <c r="C16" s="16" t="str">
        <f>IFERROR(__xludf.DUMMYFUNCTION("GOOGLETRANSLATE(B16,""EN"",""FR"")"),"Validation du spectre: Entrez les données PTME pour l'année de référence en cours dans Spectrum")</f>
        <v>Validation du spectre: Entrez les données PTME pour l'année de référence en cours dans Spectrum</v>
      </c>
      <c r="D16" s="73" t="str">
        <f>IFERROR(__xludf.DUMMYFUNCTION("GOOGLETRANSLATE(B16,""EN"",""PT"")"),"Validação do espectro: insira os dados do PMTCT para o ano de relatório atual no espectro")</f>
        <v>Validação do espectro: insira os dados do PMTCT para o ano de relatório atual no espectro</v>
      </c>
      <c r="E16" s="39" t="s">
        <v>258</v>
      </c>
      <c r="F16" s="131" t="s">
        <v>501</v>
      </c>
      <c r="G16" s="16" t="str">
        <f>IFERROR(__xludf.DUMMYFUNCTION("GOOGLETRANSLATE(F16,""EN"",""FR"")"),"** Navigator a détecté qu'il existe un problème avec votre fichier de spectre. Amateur
SPECTRUM nécessite des données de programme de PMT à jour pour la période de référence. Ces données sont nécessaires pour chaque fichier de spectre. Vous pouvez trouve"&amp;"r tous les éléments de données requis dans le guide 8, la qualité des données, la matrice d'élément indicateur. SPECTRUM fournit également des conseils spécifiques pour chaque régime dans la page de saisie de données PTMT. * Il est fortement recommandé de"&amp;" finaliser vos données de programme avant de commencer le processus de spectre. * Si les modifications apportées aux données du programme PMTC sont requises ultérieurement dans le processus, vous devrez revenir à cette étape. Pour les pays ayant des estim"&amp;"ations sous-normales de spectre (facultatif), cette étape s'applique à chaque fichier.
Veuillez vous assurer que vous corrigez cela dans votre fichier de spectre **, puis redupliquez le fichier à l'ADR ** afin de terminer cette tâche.")</f>
        <v>** Navigator a détecté qu'il existe un problème avec votre fichier de spectre. Amateur
SPECTRUM nécessite des données de programme de PMT à jour pour la période de référence. Ces données sont nécessaires pour chaque fichier de spectre. Vous pouvez trouver tous les éléments de données requis dans le guide 8, la qualité des données, la matrice d'élément indicateur. SPECTRUM fournit également des conseils spécifiques pour chaque régime dans la page de saisie de données PTMT. * Il est fortement recommandé de finaliser vos données de programme avant de commencer le processus de spectre. * Si les modifications apportées aux données du programme PMTC sont requises ultérieurement dans le processus, vous devrez revenir à cette étape. Pour les pays ayant des estimations sous-normales de spectre (facultatif), cette étape s'applique à chaque fichier.
Veuillez vous assurer que vous corrigez cela dans votre fichier de spectre **, puis redupliquez le fichier à l'ADR ** afin de terminer cette tâche.</v>
      </c>
      <c r="H16" s="73" t="str">
        <f>IFERROR(__xludf.DUMMYFUNCTION("GOOGLETRANSLATE(F16,""EN"",""PT"")"),"** O navegador detectou que há um problema com o seu arquivo de espectro. **
O espectro requer dados atualizados do programa PMTCT para o período de relatórios. Esses dados são necessários para cada arquivo de espectro. Você pode encontrar todos os eleme"&amp;"ntos de dados necessários no guia 8, qualidade de dados, matriz de elemento indicador. O espectro também fornece orientação específica para cada regime na página de entrada de dados do PMTCT. * É altamente recomendável que você finalize seus dados de prog"&amp;"rama antes de iniciar o processo de espectro. * Se as edições para os dados do programa PMTCT forem necessárias mais tarde no processo, você terá que retornar a esta etapa. Para países com estimativas de espectro sub-nacionais (opcional), esta etapa se ap"&amp;"lica a cada arquivo.
Por favor, certifique-se de corrigir isso no seu arquivo de espectro ** e, em seguida, reupload o arquivo para o ADR ** para concluir esta tarefa.")</f>
        <v>** O navegador detectou que há um problema com o seu arquivo de espectro. **
O espectro requer dados atualizados do programa PMTCT para o período de relatórios. Esses dados são necessários para cada arquivo de espectro. Você pode encontrar todos os elementos de dados necessários no guia 8, qualidade de dados, matriz de elemento indicador. O espectro também fornece orientação específica para cada regime na página de entrada de dados do PMTCT. * É altamente recomendável que você finalize seus dados de programa antes de iniciar o processo de espectro. * Se as edições para os dados do programa PMTCT forem necessárias mais tarde no processo, você terá que retornar a esta etapa. Para países com estimativas de espectro sub-nacionais (opcional), esta etapa se aplica a cada arquivo.
Por favor, certifique-se de corrigir isso no seu arquivo de espectro ** e, em seguida, reupload o arquivo para o ADR ** para concluir esta tarefa.</v>
      </c>
      <c r="I16" s="132" t="s">
        <v>502</v>
      </c>
      <c r="J16" s="16" t="str">
        <f>IFERROR(__xludf.DUMMYFUNCTION("GOOGLETRANSLATE(I16,""EN"",""FR"")"),"Guide 8, qualité des données, élément indicateur Matrix https://hivtools.unaids.org/hiv-estimates-training-Material-fr/")</f>
        <v>Guide 8, qualité des données, élément indicateur Matrix https://hivtools.unaids.org/hiv-estimates-training-Material-fr/</v>
      </c>
      <c r="K16" s="73" t="str">
        <f>IFERROR(__xludf.DUMMYFUNCTION("GOOGLETRANSLATE(I16,""EN"",""PT"")"),"Guia 8, Qualidade de Dados, Indicador Element Matrix https://hivtools.unaids.org/hiv-estimates-training-material-en/")</f>
        <v>Guia 8, Qualidade de Dados, Indicador Element Matrix https://hivtools.unaids.org/hiv-estimates-training-material-en/</v>
      </c>
      <c r="L16" s="39"/>
      <c r="M16" s="39"/>
      <c r="N16" s="41" t="s">
        <v>503</v>
      </c>
      <c r="O16" s="130" t="s">
        <v>256</v>
      </c>
      <c r="P16" s="39"/>
      <c r="Q16" s="41" t="s">
        <v>503</v>
      </c>
    </row>
    <row r="17" ht="19.5" customHeight="1">
      <c r="A17" s="41" t="s">
        <v>504</v>
      </c>
      <c r="B17" s="41" t="s">
        <v>505</v>
      </c>
      <c r="C17" s="16" t="str">
        <f>IFERROR(__xludf.DUMMYFUNCTION("GOOGLETRANSLATE(B17,""EN"",""FR"")"),"Validation du spectre: mise à jour des données d'art adulte dans le spectre")</f>
        <v>Validation du spectre: mise à jour des données d'art adulte dans le spectre</v>
      </c>
      <c r="D17" s="73" t="str">
        <f>IFERROR(__xludf.DUMMYFUNCTION("GOOGLETRANSLATE(B17,""EN"",""PT"")"),"Validação do espectro: Atualizar dados de arte adulta no espectro")</f>
        <v>Validação do espectro: Atualizar dados de arte adulta no espectro</v>
      </c>
      <c r="E17" s="39" t="s">
        <v>277</v>
      </c>
      <c r="F17" s="131" t="s">
        <v>506</v>
      </c>
      <c r="G17" s="16" t="str">
        <f>IFERROR(__xludf.DUMMYFUNCTION("GOOGLETRANSLATE(F17,""EN"",""FR"")"),"** Navigator a détecté qu'il existe un problème avec votre fichier de spectre. Amateur
Spectrum exige des données de programme d'art adultes à jour pour la période de déclaration d'estimation de la couverture du traitement et d'estimation de l'incidence."&amp;" Vous devez mettre à jour les données d'art avant d'exécuter votre courbe d'incidence. Les données sur le nombre nouvellement initié sur l'art et perdues pour le suivi peuvent améliorer la précision de certaines des sorties du spectre. Si ces données sont"&amp;" disponibles, veillez à les inclure. Vous pouvez trouver tous les éléments de données requis dans le guide 8, la qualité des données, la matrice d'élément indicateur. Si les modifications apportées aux données du programme d'art sont requises ultérieureme"&amp;"nt dans le processus, vous devrez respecter votre adaptation de la courbe d'incidence.
Veuillez vous assurer que vous corrigez cela dans votre fichier de spectre **, puis redupliquez le fichier à l'ADR ** afin de terminer cette tâche.")</f>
        <v>** Navigator a détecté qu'il existe un problème avec votre fichier de spectre. Amateur
Spectrum exige des données de programme d'art adultes à jour pour la période de déclaration d'estimation de la couverture du traitement et d'estimation de l'incidence. Vous devez mettre à jour les données d'art avant d'exécuter votre courbe d'incidence. Les données sur le nombre nouvellement initié sur l'art et perdues pour le suivi peuvent améliorer la précision de certaines des sorties du spectre. Si ces données sont disponibles, veillez à les inclure. Vous pouvez trouver tous les éléments de données requis dans le guide 8, la qualité des données, la matrice d'élément indicateur. Si les modifications apportées aux données du programme d'art sont requises ultérieurement dans le processus, vous devrez respecter votre adaptation de la courbe d'incidence.
Veuillez vous assurer que vous corrigez cela dans votre fichier de spectre **, puis redupliquez le fichier à l'ADR ** afin de terminer cette tâche.</v>
      </c>
      <c r="H17" s="73" t="str">
        <f>IFERROR(__xludf.DUMMYFUNCTION("GOOGLETRANSLATE(F17,""EN"",""PT"")"),"** O navegador detectou que há um problema com o seu arquivo de espectro. **
O espectro exige dados de programas de arte adultos atualizados para o período de relatório para estimar a cobertura do tratamento e para estimar a incidência. Você deve atualiz"&amp;"ar os dados da arte antes de executar sua curva de incidência. Os dados no número recentemente iniciado na arte e perdidos para acompanhamento podem melhorar a precisão de algumas das saídas do espectro. Se esses dados estiverem disponíveis, não deixe de "&amp;"incluí-los. Você pode encontrar todos os elementos de dados necessários no guia 8, qualidade de dados, matriz de elemento indicador. Se as edições para os dados do programa de arte forem necessárias posteriormente no processo, você terá que executar execu"&amp;"te seu encaixe de curva de incidência.
Por favor, certifique-se de corrigir isso no seu arquivo de espectro ** e, em seguida, reupload o arquivo para o ADR ** para concluir esta tarefa.")</f>
        <v>** O navegador detectou que há um problema com o seu arquivo de espectro. **
O espectro exige dados de programas de arte adultos atualizados para o período de relatório para estimar a cobertura do tratamento e para estimar a incidência. Você deve atualizar os dados da arte antes de executar sua curva de incidência. Os dados no número recentemente iniciado na arte e perdidos para acompanhamento podem melhorar a precisão de algumas das saídas do espectro. Se esses dados estiverem disponíveis, não deixe de incluí-los. Você pode encontrar todos os elementos de dados necessários no guia 8, qualidade de dados, matriz de elemento indicador. Se as edições para os dados do programa de arte forem necessárias posteriormente no processo, você terá que executar execute seu encaixe de curva de incidência.
Por favor, certifique-se de corrigir isso no seu arquivo de espectro ** e, em seguida, reupload o arquivo para o ADR ** para concluir esta tarefa.</v>
      </c>
      <c r="I17" s="39" t="s">
        <v>272</v>
      </c>
      <c r="J17" s="16" t="str">
        <f>IFERROR(__xludf.DUMMYFUNCTION("GOOGLETRANSLATE(I17,""EN"",""FR"")"),"Guide 8, qualité des données, élément indicateur Matrix https://hivtools.unaids.org/hiv-estimates-training-Material-fr/")</f>
        <v>Guide 8, qualité des données, élément indicateur Matrix https://hivtools.unaids.org/hiv-estimates-training-Material-fr/</v>
      </c>
      <c r="K17" s="73" t="str">
        <f>IFERROR(__xludf.DUMMYFUNCTION("GOOGLETRANSLATE(I17,""EN"",""PT"")"),"Guia 8, Qualidade de Dados, Indicador Element Matrix https://hivtools.unaids.org/hiv-estimates-training-material-en/")</f>
        <v>Guia 8, Qualidade de Dados, Indicador Element Matrix https://hivtools.unaids.org/hiv-estimates-training-material-en/</v>
      </c>
      <c r="L17" s="39"/>
      <c r="M17" s="39"/>
      <c r="N17" s="170" t="s">
        <v>507</v>
      </c>
      <c r="O17" s="130" t="s">
        <v>275</v>
      </c>
      <c r="P17" s="39"/>
      <c r="Q17" s="41" t="s">
        <v>508</v>
      </c>
    </row>
    <row r="18" ht="19.5" customHeight="1">
      <c r="A18" s="41" t="s">
        <v>509</v>
      </c>
      <c r="B18" s="41" t="s">
        <v>510</v>
      </c>
      <c r="C18" s="16" t="str">
        <f>IFERROR(__xludf.DUMMYFUNCTION("GOOGLETRANSLATE(B18,""EN"",""FR"")"),"Validation du spectre: mise à jour des données d'art pédiatrique dans Spectrum pour la période de rapport en cours")</f>
        <v>Validation du spectre: mise à jour des données d'art pédiatrique dans Spectrum pour la période de rapport en cours</v>
      </c>
      <c r="D18" s="73" t="str">
        <f>IFERROR(__xludf.DUMMYFUNCTION("GOOGLETRANSLATE(B18,""EN"",""PT"")"),"Validação do espectro: Atualize dados de arte pediátrica no espectro para o período atual de relatórios")</f>
        <v>Validação do espectro: Atualize dados de arte pediátrica no espectro para o período atual de relatórios</v>
      </c>
      <c r="E18" s="39" t="s">
        <v>289</v>
      </c>
      <c r="F18" s="131" t="s">
        <v>511</v>
      </c>
      <c r="G18" s="16" t="str">
        <f>IFERROR(__xludf.DUMMYFUNCTION("GOOGLETRANSLATE(F18,""EN"",""FR"")"),"** Navigator a détecté qu'il existe un problème avec votre fichier de spectre. Amateur
Spectrum exige des données de programme d'art pédiatrique à jour pour la période de référence. Vous pouvez trouver tous les éléments de données requis dans le guide 8,"&amp;" la qualité des données, la matrice d'élément indicateur. Il est fortement recommandé de finaliser vos données de programme avant de commencer le processus de spectre. Si les modifications des données du programme d'art sont nécessaires ultérieurement dan"&amp;"s le processus, vous devrez revenir à cette étape.
Veuillez vous assurer que vous corrigez cela dans votre fichier de spectre **, puis redupliquez le fichier à l'ADR ** afin de terminer cette tâche.")</f>
        <v>** Navigator a détecté qu'il existe un problème avec votre fichier de spectre. Amateur
Spectrum exige des données de programme d'art pédiatrique à jour pour la période de référence. Vous pouvez trouver tous les éléments de données requis dans le guide 8, la qualité des données, la matrice d'élément indicateur. Il est fortement recommandé de finaliser vos données de programme avant de commencer le processus de spectre. Si les modifications des données du programme d'art sont nécessaires ultérieurement dans le processus, vous devrez revenir à cette étape.
Veuillez vous assurer que vous corrigez cela dans votre fichier de spectre **, puis redupliquez le fichier à l'ADR ** afin de terminer cette tâche.</v>
      </c>
      <c r="H18" s="73" t="str">
        <f>IFERROR(__xludf.DUMMYFUNCTION("GOOGLETRANSLATE(F18,""EN"",""PT"")"),"** O navegador detectou que há um problema com o seu arquivo de espectro. **
O espectro requer dados de programas de arte pediátricos atualizados para o período de relatório. Você pode encontrar todos os elementos de dados necessários no guia 8, qualidad"&amp;"e de dados, matriz de elemento indicador. É altamente recomendável que você finalize seus dados do programa antes de iniciar o processo de espectro. Se as edições para os dados do programa de arte forem necessárias mais adiante no processo, você terá que "&amp;"retornar a esta etapa.
Por favor, certifique-se de corrigir isso no seu arquivo de espectro ** e, em seguida, reupload o arquivo para o ADR ** para concluir esta tarefa.")</f>
        <v>** O navegador detectou que há um problema com o seu arquivo de espectro. **
O espectro requer dados de programas de arte pediátricos atualizados para o período de relatório. Você pode encontrar todos os elementos de dados necessários no guia 8, qualidade de dados, matriz de elemento indicador. É altamente recomendável que você finalize seus dados do programa antes de iniciar o processo de espectro. Se as edições para os dados do programa de arte forem necessárias mais adiante no processo, você terá que retornar a esta etapa.
Por favor, certifique-se de corrigir isso no seu arquivo de espectro ** e, em seguida, reupload o arquivo para o ADR ** para concluir esta tarefa.</v>
      </c>
      <c r="I18" s="39" t="s">
        <v>272</v>
      </c>
      <c r="J18" s="16" t="str">
        <f>IFERROR(__xludf.DUMMYFUNCTION("GOOGLETRANSLATE(I18,""EN"",""FR"")"),"Guide 8, qualité des données, élément indicateur Matrix https://hivtools.unaids.org/hiv-estimates-training-Material-fr/")</f>
        <v>Guide 8, qualité des données, élément indicateur Matrix https://hivtools.unaids.org/hiv-estimates-training-Material-fr/</v>
      </c>
      <c r="K18" s="73" t="str">
        <f>IFERROR(__xludf.DUMMYFUNCTION("GOOGLETRANSLATE(I18,""EN"",""PT"")"),"Guia 8, Qualidade de Dados, Indicador Element Matrix https://hivtools.unaids.org/hiv-estimates-training-material-en/")</f>
        <v>Guia 8, Qualidade de Dados, Indicador Element Matrix https://hivtools.unaids.org/hiv-estimates-training-material-en/</v>
      </c>
      <c r="L18" s="39"/>
      <c r="M18" s="39"/>
      <c r="N18" s="170" t="s">
        <v>512</v>
      </c>
      <c r="O18" s="130" t="s">
        <v>287</v>
      </c>
      <c r="P18" s="39"/>
      <c r="Q18" s="39"/>
    </row>
    <row r="19" ht="19.5" customHeight="1">
      <c r="A19" s="41" t="s">
        <v>513</v>
      </c>
      <c r="B19" s="41" t="s">
        <v>514</v>
      </c>
      <c r="C19" s="16" t="str">
        <f>IFERROR(__xludf.DUMMYFUNCTION("GOOGLETRANSLATE(B19,""EN"",""FR"")"),"Validation du spectre: mise à jour des données de suppression de la charge virale dans le spectre pour la période de reporting actuelle des femmes adultes et des hommes et des populations pédiatriques")</f>
        <v>Validation du spectre: mise à jour des données de suppression de la charge virale dans le spectre pour la période de reporting actuelle des femmes adultes et des hommes et des populations pédiatriques</v>
      </c>
      <c r="D19" s="73" t="str">
        <f>IFERROR(__xludf.DUMMYFUNCTION("GOOGLETRANSLATE(B19,""EN"",""PT"")"),"Validação do espectro: Atualizar dados de supressão de carga viral no espectro para o período atual de relatórios para fêmeas adultas e homens e populações pediátricas")</f>
        <v>Validação do espectro: Atualizar dados de supressão de carga viral no espectro para o período atual de relatórios para fêmeas adultas e homens e populações pediátricas</v>
      </c>
      <c r="E19" s="39" t="s">
        <v>515</v>
      </c>
      <c r="F19" s="131" t="s">
        <v>516</v>
      </c>
      <c r="G19" s="16" t="str">
        <f>IFERROR(__xludf.DUMMYFUNCTION("GOOGLETRANSLATE(F19,""EN"",""FR"")"),"** Navigator a détecté qu'il existe un problème avec votre fichier de spectre. Amateur
Spectrum exige des données de programme de suppression de la charge virale des adultes et de la pédiatrie à jour pour la période de référence. Vous pouvez trouver tous"&amp;" les éléments de données requis dans le guide 8, la qualité des données, la matrice d'élément indicateur. Il est fortement recommandé de finaliser vos données de programme avant de commencer le processus de spectre. Entrez les meilleures données de suppre"&amp;"ssion de charge virale les plus récentes que vous avez pour les populations adultes pour femmes, hommes adultes et pédiatriques.
Veuillez vous assurer que vous corrigez cela dans votre fichier de spectre **, puis redupliquez le fichier à l'ADR ** afin de"&amp;" terminer cette tâche.")</f>
        <v>** Navigator a détecté qu'il existe un problème avec votre fichier de spectre. Amateur
Spectrum exige des données de programme de suppression de la charge virale des adultes et de la pédiatrie à jour pour la période de référence. Vous pouvez trouver tous les éléments de données requis dans le guide 8, la qualité des données, la matrice d'élément indicateur. Il est fortement recommandé de finaliser vos données de programme avant de commencer le processus de spectre. Entrez les meilleures données de suppression de charge virale les plus récentes que vous avez pour les populations adultes pour femmes, hommes adultes et pédiatriques.
Veuillez vous assurer que vous corrigez cela dans votre fichier de spectre **, puis redupliquez le fichier à l'ADR ** afin de terminer cette tâche.</v>
      </c>
      <c r="H19" s="73" t="str">
        <f>IFERROR(__xludf.DUMMYFUNCTION("GOOGLETRANSLATE(F19,""EN"",""PT"")"),"** O navegador detectou que há um problema com o seu arquivo de espectro. **
O espectro requer dados de programação de supressão de carga viral adulta e pediátrica atualizada para o período de relatórios. Você pode encontrar todos os elementos de dados n"&amp;"ecessários no guia 8, qualidade de dados, matriz de elemento indicador. É altamente recomendável que você finalize seus dados do programa antes de iniciar o processo de espectro. Digite os melhores dados de supressão de carga virais mais atualizado que vo"&amp;"cê tem para populações adultas, machos adultos e pediátricas.
Por favor, certifique-se de corrigir isso no seu arquivo de espectro ** e, em seguida, reupload o arquivo para o ADR ** para concluir esta tarefa.")</f>
        <v>** O navegador detectou que há um problema com o seu arquivo de espectro. **
O espectro requer dados de programação de supressão de carga viral adulta e pediátrica atualizada para o período de relatórios. Você pode encontrar todos os elementos de dados necessários no guia 8, qualidade de dados, matriz de elemento indicador. É altamente recomendável que você finalize seus dados do programa antes de iniciar o processo de espectro. Digite os melhores dados de supressão de carga virais mais atualizado que você tem para populações adultas, machos adultos e pediátricas.
Por favor, certifique-se de corrigir isso no seu arquivo de espectro ** e, em seguida, reupload o arquivo para o ADR ** para concluir esta tarefa.</v>
      </c>
      <c r="I19" s="39"/>
      <c r="J19" s="39"/>
      <c r="K19" s="39"/>
      <c r="L19" s="39"/>
      <c r="M19" s="39"/>
      <c r="N19" s="170" t="s">
        <v>517</v>
      </c>
      <c r="O19" s="130" t="s">
        <v>293</v>
      </c>
      <c r="P19" s="39"/>
      <c r="Q19" s="39"/>
    </row>
    <row r="20" ht="19.5" customHeight="1">
      <c r="A20" s="41" t="s">
        <v>518</v>
      </c>
      <c r="B20" s="171" t="s">
        <v>519</v>
      </c>
      <c r="C20" s="16" t="str">
        <f>IFERROR(__xludf.DUMMYFUNCTION("GOOGLETRANSLATE(B20,""EN"",""FR"")"),"Validation du spectre: confirmez les valeurs par défaut des paramètres d'adultes sous Options avancées")</f>
        <v>Validation du spectre: confirmez les valeurs par défaut des paramètres d'adultes sous Options avancées</v>
      </c>
      <c r="D20" s="73" t="str">
        <f>IFERROR(__xludf.DUMMYFUNCTION("GOOGLETRANSLATE(B20,""EN"",""PT"")"),"Validação do espectro: Confirme os valores padrão para parâmetros adultos em opções avançadas")</f>
        <v>Validação do espectro: Confirme os valores padrão para parâmetros adultos em opções avançadas</v>
      </c>
      <c r="E20" s="141" t="s">
        <v>306</v>
      </c>
      <c r="F20" s="142" t="s">
        <v>520</v>
      </c>
      <c r="G20" s="16" t="str">
        <f>IFERROR(__xludf.DUMMYFUNCTION("GOOGLETRANSLATE(F20,""EN"",""FR"")"),"** Navigator a détecté qu'il existe un problème avec votre fichier de spectre. Amateur
Pour produire des estimations précises, Spectrum repose sur un certain nombre d'hypothèses résumées sous des options avancées. Ces paramètres sont mis à jour chaque an"&amp;"née car de nouvelles recherches et des preuves sont disponibles sur ces paramètres. Pour Spectrum sur le bureau Mettre à jour les paramètres en sélectionnant des options avancées&gt; Paramètres d'adultes&gt; Restauration par défaut. Pour Spectrum sur le Web: En"&amp;"trez des options avancées et confirmez les sélections par défaut pour les paramètres d'adultes. Si vous voyez des valeurs de la police rouge, les paramètres n'ont pas été mis à jour. Pour en savoir plus sur les options avancées, voir le matériel de format"&amp;"ion du spectre.
Veuillez vous assurer que vous corrigez cela dans votre fichier de spectre **, puis redupliquez le fichier à l'ADR ** afin de terminer cette tâche.")</f>
        <v>** Navigator a détecté qu'il existe un problème avec votre fichier de spectre. Amateur
Pour produire des estimations précises, Spectrum repose sur un certain nombre d'hypothèses résumées sous des options avancées. Ces paramètres sont mis à jour chaque année car de nouvelles recherches et des preuves sont disponibles sur ces paramètres. Pour Spectrum sur le bureau Mettre à jour les paramètres en sélectionnant des options avancées&gt; Paramètres d'adultes&gt; Restauration par défaut. Pour Spectrum sur le Web: Entrez des options avancées et confirmez les sélections par défaut pour les paramètres d'adultes. Si vous voyez des valeurs de la police rouge, les paramètres n'ont pas été mis à jour. Pour en savoir plus sur les options avancées, voir le matériel de formation du spectre.
Veuillez vous assurer que vous corrigez cela dans votre fichier de spectre **, puis redupliquez le fichier à l'ADR ** afin de terminer cette tâche.</v>
      </c>
      <c r="H20" s="73" t="str">
        <f>IFERROR(__xludf.DUMMYFUNCTION("GOOGLETRANSLATE(F20,""EN"",""PT"")"),"** O navegador detectou que há um problema com o seu arquivo de espectro. **
Para produzir estimativas precisas, o espectro depende de várias suposições resumidas em opções avançadas. Esses parâmetros são atualizados todos os anos, à medida que novas pes"&amp;"quisas e evidências estão disponíveis nesses parâmetros. Para o espectro no Desktop Atualizar os parâmetros selecionando opções avançadas&gt; Parâmetros adultos&gt; Restaurar padrões. Para o espectro na Web: Digite opções avançadas e confirme as seleções padrão"&amp;" para parâmetros adultos. Se você vir valores na fonte vermelha, os parâmetros não foram atualizados. Para saber mais sobre as opções avançadas, consulte os materiais de treinamento do espectro.
Por favor, certifique-se de corrigir isso no seu arquivo de"&amp;" espectro ** e, em seguida, reupload o arquivo para o ADR ** para concluir esta tarefa.")</f>
        <v>** O navegador detectou que há um problema com o seu arquivo de espectro. **
Para produzir estimativas precisas, o espectro depende de várias suposições resumidas em opções avançadas. Esses parâmetros são atualizados todos os anos, à medida que novas pesquisas e evidências estão disponíveis nesses parâmetros. Para o espectro no Desktop Atualizar os parâmetros selecionando opções avançadas&gt; Parâmetros adultos&gt; Restaurar padrões. Para o espectro na Web: Digite opções avançadas e confirme as seleções padrão para parâmetros adultos. Se você vir valores na fonte vermelha, os parâmetros não foram atualizados. Para saber mais sobre as opções avançadas, consulte os materiais de treinamento do espectro.
Por favor, certifique-se de corrigir isso no seu arquivo de espectro ** e, em seguida, reupload o arquivo para o ADR ** para concluir esta tarefa.</v>
      </c>
      <c r="I20" s="143" t="s">
        <v>308</v>
      </c>
      <c r="J20" s="16" t="str">
        <f>IFERROR(__xludf.DUMMYFUNCTION("GOOGLETRANSLATE(I20,""EN"",""FR"")"),"Matériel de formation spectre https://hivtools.unaids.org/hiv-estimates-training-Material-fr/")</f>
        <v>Matériel de formation spectre https://hivtools.unaids.org/hiv-estimates-training-Material-fr/</v>
      </c>
      <c r="K20" s="73" t="str">
        <f>IFERROR(__xludf.DUMMYFUNCTION("GOOGLETRANSLATE(I20,""EN"",""PT"")"),"Materiais de treinamento de espectro https://hivtools.unaids.org/hiv-estimates-training-material-en/")</f>
        <v>Materiais de treinamento de espectro https://hivtools.unaids.org/hiv-estimates-training-material-en/</v>
      </c>
      <c r="L20" s="39"/>
      <c r="M20" s="39"/>
      <c r="N20" s="170" t="s">
        <v>521</v>
      </c>
      <c r="O20" s="130"/>
      <c r="P20" s="39"/>
      <c r="Q20" s="39"/>
    </row>
    <row r="21" ht="19.5" customHeight="1">
      <c r="A21" s="41" t="s">
        <v>522</v>
      </c>
      <c r="B21" s="171" t="s">
        <v>523</v>
      </c>
      <c r="C21" s="16" t="str">
        <f>IFERROR(__xludf.DUMMYFUNCTION("GOOGLETRANSLATE(B21,""EN"",""FR"")"),"Validation du spectre: confirmez les valeurs par défaut pour les paramètres pédiatriques sous Options avancées")</f>
        <v>Validation du spectre: confirmez les valeurs par défaut pour les paramètres pédiatriques sous Options avancées</v>
      </c>
      <c r="D21" s="73" t="str">
        <f>IFERROR(__xludf.DUMMYFUNCTION("GOOGLETRANSLATE(B21,""EN"",""PT"")"),"Validação do espectro: Confirme os valores padrão para parâmetros pediátricos em opções avançadas")</f>
        <v>Validação do espectro: Confirme os valores padrão para parâmetros pediátricos em opções avançadas</v>
      </c>
      <c r="E21" s="141" t="s">
        <v>313</v>
      </c>
      <c r="F21" s="142" t="s">
        <v>524</v>
      </c>
      <c r="G21" s="16" t="str">
        <f>IFERROR(__xludf.DUMMYFUNCTION("GOOGLETRANSLATE(F21,""EN"",""FR"")"),"** Navigator a détecté qu'il existe un problème avec votre fichier de spectre. Amateur
Pour produire des estimations précises, Spectrum repose sur un certain nombre d'hypothèses résumées sous des options avancées. Ces paramètres sont mis à jour chaque an"&amp;"née car de nouvelles recherches et des preuves sont disponibles sur ces paramètres. Pour Spectrum sur la mise à jour du bureau, les paramètres en sélectionnant des options avancées&gt; Paramètres pédiatriques&gt; Restaurer les valeurs par défaut. Pour Spectrum "&amp;"sur le Web: Entrez des options avancées et confirmez les sélections par défaut pour les paramètres pédiatriques. Si vous voyez des valeurs de la police rouge, les paramètres n'ont pas été mis à jour. Pour en savoir plus sur les options avancées, voir le m"&amp;"atériel de formation du spectre.
Veuillez vous assurer que vous corrigez cela dans votre fichier de spectre **, puis redupliquez le fichier à l'ADR ** afin de terminer cette tâche.")</f>
        <v>** Navigator a détecté qu'il existe un problème avec votre fichier de spectre. Amateur
Pour produire des estimations précises, Spectrum repose sur un certain nombre d'hypothèses résumées sous des options avancées. Ces paramètres sont mis à jour chaque année car de nouvelles recherches et des preuves sont disponibles sur ces paramètres. Pour Spectrum sur la mise à jour du bureau, les paramètres en sélectionnant des options avancées&gt; Paramètres pédiatriques&gt; Restaurer les valeurs par défaut. Pour Spectrum sur le Web: Entrez des options avancées et confirmez les sélections par défaut pour les paramètres pédiatriques. Si vous voyez des valeurs de la police rouge, les paramètres n'ont pas été mis à jour. Pour en savoir plus sur les options avancées, voir le matériel de formation du spectre.
Veuillez vous assurer que vous corrigez cela dans votre fichier de spectre **, puis redupliquez le fichier à l'ADR ** afin de terminer cette tâche.</v>
      </c>
      <c r="H21" s="73" t="str">
        <f>IFERROR(__xludf.DUMMYFUNCTION("GOOGLETRANSLATE(F21,""EN"",""PT"")"),"** O navegador detectou que há um problema com o seu arquivo de espectro. **
Para produzir estimativas precisas, o espectro depende de várias suposições resumidas em opções avançadas. Esses parâmetros são atualizados todos os anos, à medida que novas pes"&amp;"quisas e evidências estão disponíveis nesses parâmetros. Para o espectro no Desktop Atualizar os parâmetros selecionando Opções avançadas&gt; Parâmetros pediátricos&gt; Restaurar padrões. Para o espectro na Web: Digite opções avançadas e confirme as seleções pa"&amp;"drão para parâmetros pediátricos. Se você vir valores na fonte vermelha, os parâmetros não foram atualizados. Para saber mais sobre as opções avançadas, consulte os materiais de treinamento do espectro.
Por favor, certifique-se de corrigir isso no seu ar"&amp;"quivo de espectro ** e, em seguida, reupload o arquivo para o ADR ** para concluir esta tarefa.")</f>
        <v>** O navegador detectou que há um problema com o seu arquivo de espectro. **
Para produzir estimativas precisas, o espectro depende de várias suposições resumidas em opções avançadas. Esses parâmetros são atualizados todos os anos, à medida que novas pesquisas e evidências estão disponíveis nesses parâmetros. Para o espectro no Desktop Atualizar os parâmetros selecionando Opções avançadas&gt; Parâmetros pediátricos&gt; Restaurar padrões. Para o espectro na Web: Digite opções avançadas e confirme as seleções padrão para parâmetros pediátricos. Se você vir valores na fonte vermelha, os parâmetros não foram atualizados. Para saber mais sobre as opções avançadas, consulte os materiais de treinamento do espectro.
Por favor, certifique-se de corrigir isso no seu arquivo de espectro ** e, em seguida, reupload o arquivo para o ADR ** para concluir esta tarefa.</v>
      </c>
      <c r="I21" s="143" t="s">
        <v>308</v>
      </c>
      <c r="J21" s="16" t="str">
        <f>IFERROR(__xludf.DUMMYFUNCTION("GOOGLETRANSLATE(I21,""EN"",""FR"")"),"Matériel de formation spectre https://hivtools.unaids.org/hiv-estimates-training-Material-fr/")</f>
        <v>Matériel de formation spectre https://hivtools.unaids.org/hiv-estimates-training-Material-fr/</v>
      </c>
      <c r="K21" s="73" t="str">
        <f>IFERROR(__xludf.DUMMYFUNCTION("GOOGLETRANSLATE(I21,""EN"",""PT"")"),"Materiais de treinamento de espectro https://hivtools.unaids.org/hiv-estimates-training-material-en/")</f>
        <v>Materiais de treinamento de espectro https://hivtools.unaids.org/hiv-estimates-training-material-en/</v>
      </c>
      <c r="L21" s="39"/>
      <c r="M21" s="39"/>
      <c r="N21" s="170" t="s">
        <v>525</v>
      </c>
      <c r="O21" s="130" t="s">
        <v>311</v>
      </c>
      <c r="P21" s="39"/>
      <c r="Q21" s="39"/>
    </row>
    <row r="22" ht="19.5" customHeight="1">
      <c r="A22" s="41" t="s">
        <v>526</v>
      </c>
      <c r="B22" s="41" t="s">
        <v>527</v>
      </c>
      <c r="C22" s="16" t="str">
        <f>IFERROR(__xludf.DUMMYFUNCTION("GOOGLETRANSLATE(B22,""EN"",""FR"")"),"Validation du spectre: confirmer les valeurs par défaut des ratios de taux de fertilité sous Options avancées")</f>
        <v>Validation du spectre: confirmer les valeurs par défaut des ratios de taux de fertilité sous Options avancées</v>
      </c>
      <c r="D22" s="73" t="str">
        <f>IFERROR(__xludf.DUMMYFUNCTION("GOOGLETRANSLATE(B22,""EN"",""PT"")"),"Validação do espectro: Confirme os valores padrão para rácios da taxa de fertilidade em opções avançadas")</f>
        <v>Validação do espectro: Confirme os valores padrão para rácios da taxa de fertilidade em opções avançadas</v>
      </c>
      <c r="E22" s="39" t="s">
        <v>528</v>
      </c>
      <c r="F22" s="131" t="s">
        <v>529</v>
      </c>
      <c r="G22" s="16" t="str">
        <f>IFERROR(__xludf.DUMMYFUNCTION("GOOGLETRANSLATE(F22,""EN"",""FR"")"),"** Navigator a détecté qu'il existe un problème avec votre fichier de spectre. Amateur
Pour produire des estimations précises, le spectre nécessite que les options correctes sont sélectionnées sous des options avancées. Entrez des options avancées dans S"&amp;"pectrum Web et confirmez que les sélections par défaut des «réductions de fertilité liées au VIH» sont correctes pour votre pays. Ils doivent être confirmés pour CD4, sur l'art et hors de l'art. Pour en savoir plus sur les options avancées, voir le matéri"&amp;"el de formation du spectre.
Veuillez vous assurer que vous corrigez cela dans votre fichier de spectre **, puis redupliquez le fichier à l'ADR ** afin de terminer cette tâche.")</f>
        <v>** Navigator a détecté qu'il existe un problème avec votre fichier de spectre. Amateur
Pour produire des estimations précises, le spectre nécessite que les options correctes sont sélectionnées sous des options avancées. Entrez des options avancées dans Spectrum Web et confirmez que les sélections par défaut des «réductions de fertilité liées au VIH» sont correctes pour votre pays. Ils doivent être confirmés pour CD4, sur l'art et hors de l'art. Pour en savoir plus sur les options avancées, voir le matériel de formation du spectre.
Veuillez vous assurer que vous corrigez cela dans votre fichier de spectre **, puis redupliquez le fichier à l'ADR ** afin de terminer cette tâche.</v>
      </c>
      <c r="H22" s="73" t="str">
        <f>IFERROR(__xludf.DUMMYFUNCTION("GOOGLETRANSLATE(F22,""EN"",""PT"")"),"** O navegador detectou que há um problema com o seu arquivo de espectro. **
Para produzir estimativas precisas, o espectro requer que as opções corretas são selecionadas em opções avançadas. Digite opções avançadas no Spectrum Web e confirme as seleções"&amp;" padrão para as ""reduções de fertilidade relacionadas ao HIV"" estão corretas para o seu país. Eles devem ser confirmados para CD4, na arte e fora da arte. Para saber mais sobre as opções avançadas, consulte os materiais de treinamento do espectro.
Por "&amp;"favor, certifique-se de corrigir isso no seu arquivo de espectro ** e, em seguida, reupload o arquivo para o ADR ** para concluir esta tarefa.")</f>
        <v>** O navegador detectou que há um problema com o seu arquivo de espectro. **
Para produzir estimativas precisas, o espectro requer que as opções corretas são selecionadas em opções avançadas. Digite opções avançadas no Spectrum Web e confirme as seleções padrão para as "reduções de fertilidade relacionadas ao HIV" estão corretas para o seu país. Eles devem ser confirmados para CD4, na arte e fora da arte. Para saber mais sobre as opções avançadas, consulte os materiais de treinamento do espectro.
Por favor, certifique-se de corrigir isso no seu arquivo de espectro ** e, em seguida, reupload o arquivo para o ADR ** para concluir esta tarefa.</v>
      </c>
      <c r="I22" s="145" t="s">
        <v>308</v>
      </c>
      <c r="J22" s="16" t="str">
        <f>IFERROR(__xludf.DUMMYFUNCTION("GOOGLETRANSLATE(I22,""EN"",""FR"")"),"Matériel de formation spectre https://hivtools.unaids.org/hiv-estimates-training-Material-fr/")</f>
        <v>Matériel de formation spectre https://hivtools.unaids.org/hiv-estimates-training-Material-fr/</v>
      </c>
      <c r="K22" s="73" t="str">
        <f>IFERROR(__xludf.DUMMYFUNCTION("GOOGLETRANSLATE(I22,""EN"",""PT"")"),"Materiais de treinamento de espectro https://hivtools.unaids.org/hiv-estimates-training-material-en/")</f>
        <v>Materiais de treinamento de espectro https://hivtools.unaids.org/hiv-estimates-training-material-en/</v>
      </c>
      <c r="L22" s="39"/>
      <c r="M22" s="39"/>
      <c r="N22" s="170" t="s">
        <v>530</v>
      </c>
      <c r="O22" s="130"/>
      <c r="P22" s="39"/>
      <c r="Q22" s="39"/>
    </row>
    <row r="23" ht="19.5" customHeight="1">
      <c r="A23" s="41" t="s">
        <v>531</v>
      </c>
      <c r="B23" s="41" t="s">
        <v>532</v>
      </c>
      <c r="C23" s="16" t="str">
        <f>IFERROR(__xludf.DUMMYFUNCTION("GOOGLETRANSLATE(B23,""EN"",""FR"")"),"Validation du spectre: confirmez les valeurs par défaut pour les probabilités de MTCT sous Options avancées")</f>
        <v>Validation du spectre: confirmez les valeurs par défaut pour les probabilités de MTCT sous Options avancées</v>
      </c>
      <c r="D23" s="73" t="str">
        <f>IFERROR(__xludf.DUMMYFUNCTION("GOOGLETRANSLATE(B23,""EN"",""PT"")"),"Validação do espectro: Confirme os valores padrão para probabilidades do MTCT em Opções Avançadas")</f>
        <v>Validação do espectro: Confirme os valores padrão para probabilidades do MTCT em Opções Avançadas</v>
      </c>
      <c r="E23" s="39" t="s">
        <v>325</v>
      </c>
      <c r="F23" s="131" t="s">
        <v>533</v>
      </c>
      <c r="G23" s="16" t="str">
        <f>IFERROR(__xludf.DUMMYFUNCTION("GOOGLETRANSLATE(F23,""EN"",""FR"")"),"** Navigator a détecté qu'il existe un problème avec votre fichier de spectre. Amateur
Pour produire des estimations précises, le spectre nécessite que les options correctes sont sélectionnées sous des options avancées. Entrez des options avancées dans S"&amp;"pectrum Web et confirmez que les sélections par défaut des «probabilités de transmission de la MTCT» sont correctes pour votre pays. Pour en savoir plus sur les options avancées, voir le matériel de formation du spectre.
Veuillez vous assurer que vous co"&amp;"rrigez cela dans votre fichier de spectre **, puis redupliquez le fichier à l'ADR ** afin de terminer cette tâche.")</f>
        <v>** Navigator a détecté qu'il existe un problème avec votre fichier de spectre. Amateur
Pour produire des estimations précises, le spectre nécessite que les options correctes sont sélectionnées sous des options avancées. Entrez des options avancées dans Spectrum Web et confirmez que les sélections par défaut des «probabilités de transmission de la MTCT» sont correctes pour votre pays. Pour en savoir plus sur les options avancées, voir le matériel de formation du spectre.
Veuillez vous assurer que vous corrigez cela dans votre fichier de spectre **, puis redupliquez le fichier à l'ADR ** afin de terminer cette tâche.</v>
      </c>
      <c r="H23" s="73" t="str">
        <f>IFERROR(__xludf.DUMMYFUNCTION("GOOGLETRANSLATE(F23,""EN"",""PT"")"),"** O navegador detectou que há um problema com o seu arquivo de espectro. **
Para produzir estimativas precisas, o espectro requer que as opções corretas são selecionadas em opções avançadas. Digite opções avançadas no Spectrum Web e confirme as seleções"&amp;" padrão para as ""Probabilidades de transmissão da MTCT"" estão corretas para o seu país. Para saber mais sobre as opções avançadas, consulte os materiais de treinamento do espectro.
Por favor, certifique-se de corrigir isso no seu arquivo de espectro **"&amp;" e, em seguida, reupload o arquivo para o ADR ** para concluir esta tarefa.")</f>
        <v>** O navegador detectou que há um problema com o seu arquivo de espectro. **
Para produzir estimativas precisas, o espectro requer que as opções corretas são selecionadas em opções avançadas. Digite opções avançadas no Spectrum Web e confirme as seleções padrão para as "Probabilidades de transmissão da MTCT" estão corretas para o seu país. Para saber mais sobre as opções avançadas, consulte os materiais de treinamento do espectro.
Por favor, certifique-se de corrigir isso no seu arquivo de espectro ** e, em seguida, reupload o arquivo para o ADR ** para concluir esta tarefa.</v>
      </c>
      <c r="I23" s="145" t="s">
        <v>327</v>
      </c>
      <c r="J23" s="16" t="str">
        <f>IFERROR(__xludf.DUMMYFUNCTION("GOOGLETRANSLATE(I23,""EN"",""FR"")"),"Matériel de formation spectre https://hivtools.unaids.org/hiv-estimates-training-Material-fr/")</f>
        <v>Matériel de formation spectre https://hivtools.unaids.org/hiv-estimates-training-Material-fr/</v>
      </c>
      <c r="K23" s="73" t="str">
        <f>IFERROR(__xludf.DUMMYFUNCTION("GOOGLETRANSLATE(I23,""EN"",""PT"")"),"Materiais de treinamento de espectro https://hivtools.unaids.org/hiv-estimates-training-material-en/")</f>
        <v>Materiais de treinamento de espectro https://hivtools.unaids.org/hiv-estimates-training-material-en/</v>
      </c>
      <c r="L23" s="39"/>
      <c r="M23" s="39"/>
      <c r="N23" s="170" t="s">
        <v>534</v>
      </c>
      <c r="O23" s="130"/>
      <c r="P23" s="39"/>
      <c r="Q23" s="39"/>
    </row>
    <row r="24" ht="19.5" customHeight="1">
      <c r="A24" s="41" t="s">
        <v>535</v>
      </c>
      <c r="B24" s="41" t="s">
        <v>536</v>
      </c>
      <c r="C24" s="16" t="str">
        <f>IFERROR(__xludf.DUMMYFUNCTION("GOOGLETRANSLATE(B24,""EN"",""FR"")"),"Validation du spectre: confirmez les valeurs par défaut pour la nouvelle méthode d'allocation d'art sous Options avancées")</f>
        <v>Validation du spectre: confirmez les valeurs par défaut pour la nouvelle méthode d'allocation d'art sous Options avancées</v>
      </c>
      <c r="D24" s="73" t="str">
        <f>IFERROR(__xludf.DUMMYFUNCTION("GOOGLETRANSLATE(B24,""EN"",""PT"")"),"Validação do espectro: Confirme os valores padrão para o novo método de alocação de arte em opções avançadas")</f>
        <v>Validação do espectro: Confirme os valores padrão para o novo método de alocação de arte em opções avançadas</v>
      </c>
      <c r="E24" s="39" t="s">
        <v>332</v>
      </c>
      <c r="F24" s="131" t="s">
        <v>537</v>
      </c>
      <c r="G24" s="16" t="str">
        <f>IFERROR(__xludf.DUMMYFUNCTION("GOOGLETRANSLATE(F24,""EN"",""FR"")"),"** Navigator a détecté qu'il existe un problème avec votre fichier de spectre. Amateur
Pour produire des estimations précises, le spectre nécessite que les options correctes sont sélectionnées sous des options avancées. Entrez des options avancées dans S"&amp;"pectrum Web et confirmez la sélection par défaut pour la «méthode d'allocation pour les nouveaux patients d'art» est correcte pour votre pays. Pour en savoir plus sur les options avancées, voir le matériel de formation du spectre.
Veuillez vous assurer q"&amp;"ue vous corrigez cela dans votre fichier de spectre **, puis redupliquez le fichier à l'ADR ** afin de terminer cette tâche.")</f>
        <v>** Navigator a détecté qu'il existe un problème avec votre fichier de spectre. Amateur
Pour produire des estimations précises, le spectre nécessite que les options correctes sont sélectionnées sous des options avancées. Entrez des options avancées dans Spectrum Web et confirmez la sélection par défaut pour la «méthode d'allocation pour les nouveaux patients d'art» est correcte pour votre pays. Pour en savoir plus sur les options avancées, voir le matériel de formation du spectre.
Veuillez vous assurer que vous corrigez cela dans votre fichier de spectre **, puis redupliquez le fichier à l'ADR ** afin de terminer cette tâche.</v>
      </c>
      <c r="H24" s="73" t="str">
        <f>IFERROR(__xludf.DUMMYFUNCTION("GOOGLETRANSLATE(F24,""EN"",""PT"")"),"** O navegador detectou que há um problema com o seu arquivo de espectro. **
Para produzir estimativas precisas, o espectro requer que as opções corretas são selecionadas em opções avançadas. Digite opções avançadas no Spectrum Web e confirme a seleção p"&amp;"adrão para o ""método de alocação para novos pacientes com arte"" é correta para o seu país. Para saber mais sobre as opções avançadas, consulte os materiais de treinamento do espectro.
Por favor, certifique-se de corrigir isso no seu arquivo de espectro"&amp;" ** e, em seguida, reupload o arquivo para o ADR ** para concluir esta tarefa.")</f>
        <v>** O navegador detectou que há um problema com o seu arquivo de espectro. **
Para produzir estimativas precisas, o espectro requer que as opções corretas são selecionadas em opções avançadas. Digite opções avançadas no Spectrum Web e confirme a seleção padrão para o "método de alocação para novos pacientes com arte" é correta para o seu país. Para saber mais sobre as opções avançadas, consulte os materiais de treinamento do espectro.
Por favor, certifique-se de corrigir isso no seu arquivo de espectro ** e, em seguida, reupload o arquivo para o ADR ** para concluir esta tarefa.</v>
      </c>
      <c r="I24" s="145" t="s">
        <v>308</v>
      </c>
      <c r="J24" s="16" t="str">
        <f>IFERROR(__xludf.DUMMYFUNCTION("GOOGLETRANSLATE(I24,""EN"",""FR"")"),"Matériel de formation spectre https://hivtools.unaids.org/hiv-estimates-training-Material-fr/")</f>
        <v>Matériel de formation spectre https://hivtools.unaids.org/hiv-estimates-training-Material-fr/</v>
      </c>
      <c r="K24" s="73" t="str">
        <f>IFERROR(__xludf.DUMMYFUNCTION("GOOGLETRANSLATE(I24,""EN"",""PT"")"),"Materiais de treinamento de espectro https://hivtools.unaids.org/hiv-estimates-training-material-en/")</f>
        <v>Materiais de treinamento de espectro https://hivtools.unaids.org/hiv-estimates-training-material-en/</v>
      </c>
      <c r="L24" s="39"/>
      <c r="M24" s="39"/>
      <c r="N24" s="170" t="s">
        <v>538</v>
      </c>
      <c r="O24" s="130" t="s">
        <v>330</v>
      </c>
      <c r="P24" s="39"/>
      <c r="Q24" s="39"/>
    </row>
    <row r="25" ht="19.5" customHeight="1">
      <c r="A25" s="41" t="s">
        <v>539</v>
      </c>
      <c r="B25" s="41" t="s">
        <v>540</v>
      </c>
      <c r="C25" s="16" t="str">
        <f>IFERROR(__xludf.DUMMYFUNCTION("GOOGLETRANSLATE(B25,""EN"",""FR"")"),"Validation du spectre: Téléchargez un fichier Shiny 90 complété sur Spectrum ou entrez des estimations KOS dans un autre format")</f>
        <v>Validation du spectre: Téléchargez un fichier Shiny 90 complété sur Spectrum ou entrez des estimations KOS dans un autre format</v>
      </c>
      <c r="D25" s="73" t="str">
        <f>IFERROR(__xludf.DUMMYFUNCTION("GOOGLETRANSLATE(B25,""EN"",""PT"")"),"Validação do espectro: faça upload de um arquivo 90 brilhante completo para espectro ou insira as estimativas KOS em outro formato")</f>
        <v>Validação do espectro: faça upload de um arquivo 90 brilhante completo para espectro ou insira as estimativas KOS em outro formato</v>
      </c>
      <c r="E25" s="39" t="s">
        <v>447</v>
      </c>
      <c r="F25" s="41" t="s">
        <v>541</v>
      </c>
      <c r="G25" s="16" t="str">
        <f>IFERROR(__xludf.DUMMYFUNCTION("GOOGLETRANSLATE(F25,""EN"",""FR"")"),"** Navigator a détecté qu'il existe un problème avec votre fichier de spectre. Amateur
Chacun de vos fichiers de spectre nécessite une connaissance mise à jour des éléments de données d'état pour une année estimation actuelle en utilisant l'une des optio"&amp;"ns disponibles - entrée directe des rapports de cas, SHINY 90, CSAVR, ECDC, entrée manuelle. La plupart des pays utiliseront Shiny 90. Si vous avez utilisé Shiny 90, vous devez télécharger vos sorties de modèle Shiny 90 (AIM&gt; Statistiques de programme&gt; Co"&amp;"nnaissance de l'état&gt; Source de données = 90&gt; Données de charge).
Veuillez vous assurer que vous corrigez cela dans votre fichier de spectre **, puis redupliquez le fichier à l'ADR ** afin de terminer cette tâche.")</f>
        <v>** Navigator a détecté qu'il existe un problème avec votre fichier de spectre. Amateur
Chacun de vos fichiers de spectre nécessite une connaissance mise à jour des éléments de données d'état pour une année estimation actuelle en utilisant l'une des options disponibles - entrée directe des rapports de cas, SHINY 90, CSAVR, ECDC, entrée manuelle. La plupart des pays utiliseront Shiny 90. Si vous avez utilisé Shiny 90, vous devez télécharger vos sorties de modèle Shiny 90 (AIM&gt; Statistiques de programme&gt; Connaissance de l'état&gt; Source de données = 90&gt; Données de charge).
Veuillez vous assurer que vous corrigez cela dans votre fichier de spectre **, puis redupliquez le fichier à l'ADR ** afin de terminer cette tâche.</v>
      </c>
      <c r="H25" s="73" t="str">
        <f>IFERROR(__xludf.DUMMYFUNCTION("GOOGLETRANSLATE(F25,""EN"",""PT"")"),"** O navegador detectou que há um problema com o seu arquivo de espectro. **
Cada um dos seus arquivos de espectro requer conhecimento atualizado de elementos de dados de status para as estimativas atuais ano usando uma das opções disponíveis - entrada d"&amp;"ireta de relatórios de casos, brilhante 90, CSAVR, ECDC, entrada manual. A maioria dos países usará 90. Se você tiver usado 90 brilhante, você deve fazer o upload de suas saídas brilhantes de 90 modelos (Aponte&gt; Estatísticas do Programa&gt; Conhecimento de s"&amp;"tatus&gt; Fonte de dados = Shiny 90&gt; Carregar dados).
Por favor, certifique-se de corrigir isso no seu arquivo de espectro ** e, em seguida, reupload o arquivo para o ADR ** para concluir esta tarefa.")</f>
        <v>** O navegador detectou que há um problema com o seu arquivo de espectro. **
Cada um dos seus arquivos de espectro requer conhecimento atualizado de elementos de dados de status para as estimativas atuais ano usando uma das opções disponíveis - entrada direta de relatórios de casos, brilhante 90, CSAVR, ECDC, entrada manual. A maioria dos países usará 90. Se você tiver usado 90 brilhante, você deve fazer o upload de suas saídas brilhantes de 90 modelos (Aponte&gt; Estatísticas do Programa&gt; Conhecimento de status&gt; Fonte de dados = Shiny 90&gt; Carregar dados).
Por favor, certifique-se de corrigir isso no seu arquivo de espectro ** e, em seguida, reupload o arquivo para o ADR ** para concluir esta tarefa.</v>
      </c>
      <c r="I25" s="39"/>
      <c r="J25" s="39"/>
      <c r="K25" s="39"/>
      <c r="L25" s="39"/>
      <c r="M25" s="39"/>
      <c r="N25" s="170" t="s">
        <v>542</v>
      </c>
      <c r="O25" s="168" t="s">
        <v>450</v>
      </c>
      <c r="P25" s="39"/>
      <c r="Q25" s="39"/>
    </row>
    <row r="26" ht="19.5" customHeight="1">
      <c r="A26" s="41" t="s">
        <v>543</v>
      </c>
      <c r="B26" s="41" t="s">
        <v>544</v>
      </c>
      <c r="C26" s="16" t="str">
        <f>IFERROR(__xludf.DUMMYFUNCTION("GOOGLETRANSLATE(B26,""EN"",""FR"")"),"Validation du spectre: confirmez votre couverture d'art et de PMT ne dépasse pas 100%")</f>
        <v>Validation du spectre: confirmez votre couverture d'art et de PMT ne dépasse pas 100%</v>
      </c>
      <c r="D26" s="73" t="str">
        <f>IFERROR(__xludf.DUMMYFUNCTION("GOOGLETRANSLATE(B26,""EN"",""PT"")"),"Validação do espectro: Confirme sua arte e cobertura do PMTCT não exceda 100%")</f>
        <v>Validação do espectro: Confirme sua arte e cobertura do PMTCT não exceda 100%</v>
      </c>
      <c r="E26" s="39" t="s">
        <v>545</v>
      </c>
      <c r="F26" s="41" t="s">
        <v>546</v>
      </c>
      <c r="G26" s="16" t="str">
        <f>IFERROR(__xludf.DUMMYFUNCTION("GOOGLETRANSLATE(F26,""EN"",""FR"")"),"** Navigator a détecté qu'il existe un problème avec votre fichier de spectre. Amateur
De temps en temps, le spectre produira une couverture de plus de 100% pour les services d'art ou de PMTCT. Il existe de multiples causes pour les résultats de couvertu"&amp;"re supérieurs à 100%. L'ONUSIDA recommande de consulter votre responsable des estimations et / ou de l'ONUSIDA afin de déterminer comment résoudre les problèmes de couverture dans vos résultats du modèle.
Veuillez vous assurer que vous corrigez cela dans"&amp;" votre fichier de spectre **, puis redupliquez le fichier à l'ADR ** afin de terminer cette tâche.")</f>
        <v>** Navigator a détecté qu'il existe un problème avec votre fichier de spectre. Amateur
De temps en temps, le spectre produira une couverture de plus de 100% pour les services d'art ou de PMTCT. Il existe de multiples causes pour les résultats de couverture supérieurs à 100%. L'ONUSIDA recommande de consulter votre responsable des estimations et / ou de l'ONUSIDA afin de déterminer comment résoudre les problèmes de couverture dans vos résultats du modèle.
Veuillez vous assurer que vous corrigez cela dans votre fichier de spectre **, puis redupliquez le fichier à l'ADR ** afin de terminer cette tâche.</v>
      </c>
      <c r="H26" s="73" t="str">
        <f>IFERROR(__xludf.DUMMYFUNCTION("GOOGLETRANSLATE(F26,""EN"",""PT"")"),"** O navegador detectou que há um problema com o seu arquivo de espectro. **
Ocasionalmente, o espectro produzirá cobertura de mais de 100% para serviços de arte ou PMTCT. Existem várias causas para resultados de cobertura mais de 100%. A UNAIDS recomend"&amp;"a consultar suas estimativas Facilitador e / ou UNAIDS para determinar como lidar com problemas de cobertura em seus resultados do modelo.
Por favor, certifique-se de corrigir isso no seu arquivo de espectro ** e, em seguida, reupload o arquivo para o AD"&amp;"R ** para concluir esta tarefa.")</f>
        <v>** O navegador detectou que há um problema com o seu arquivo de espectro. **
Ocasionalmente, o espectro produzirá cobertura de mais de 100% para serviços de arte ou PMTCT. Existem várias causas para resultados de cobertura mais de 100%. A UNAIDS recomenda consultar suas estimativas Facilitador e / ou UNAIDS para determinar como lidar com problemas de cobertura em seus resultados do modelo.
Por favor, certifique-se de corrigir isso no seu arquivo de espectro ** e, em seguida, reupload o arquivo para o ADR ** para concluir esta tarefa.</v>
      </c>
      <c r="I26" s="39"/>
      <c r="J26" s="39"/>
      <c r="K26" s="39"/>
      <c r="L26" s="39"/>
      <c r="M26" s="39"/>
      <c r="N26" s="41" t="s">
        <v>547</v>
      </c>
      <c r="O26" s="168" t="s">
        <v>469</v>
      </c>
      <c r="P26" s="39"/>
      <c r="Q26" s="39"/>
    </row>
    <row r="27" ht="19.5" customHeight="1">
      <c r="A27" s="41" t="s">
        <v>548</v>
      </c>
      <c r="B27" s="41" t="s">
        <v>549</v>
      </c>
      <c r="C27" s="16" t="str">
        <f>IFERROR(__xludf.DUMMYFUNCTION("GOOGLETRANSLATE(B27,""EN"",""FR"")"),"Validation du spectre: analyse d'incertitude")</f>
        <v>Validation du spectre: analyse d'incertitude</v>
      </c>
      <c r="D27" s="73" t="str">
        <f>IFERROR(__xludf.DUMMYFUNCTION("GOOGLETRANSLATE(B27,""EN"",""PT"")"),"Validação do espectro: Execute análise de incerteza")</f>
        <v>Validação do espectro: Execute análise de incerteza</v>
      </c>
      <c r="E27" s="39" t="s">
        <v>478</v>
      </c>
      <c r="F27" s="41" t="s">
        <v>550</v>
      </c>
      <c r="G27" s="16" t="str">
        <f>IFERROR(__xludf.DUMMYFUNCTION("GOOGLETRANSLATE(F27,""EN"",""FR"")"),"** Navigator a détecté qu'il existe un problème avec votre fichier de spectre. Amateur
L'incertitude associée à chaque résultat peut être estimée à l'aide de l'outil d'analyse d'incertitude. Accédez à cet outil en choisissant «Outils» dans le menu Horizo"&amp;"ntal supérieur, puis «plus d'outils», puis «analyse d'incertitude».
Définissez l'année de capture de données globale à la dernière année des données et le «nombre d'itérations» à 300, puis cliquez sur le bouton 'Process'. Le modèle exécutera 300 simulati"&amp;"ons en choisissant des valeurs pour les paramètres épidémiologiques de leurs intervalles de confiance. Cette analyse peut prendre 10-30 minutes. Lorsqu'il est complet, cliquez sur le bouton 'Enregistrer'. Après avoir exécuté cette analyse, vous verrez des"&amp;" intervalles d'incertitude sur toutes les sorties (tant que vous n'avez qu'une seule projection dans Spectrum).
Veuillez vous assurer que vous corrigez cela dans votre fichier de spectre **, puis redupliquez le fichier à l'ADR ** afin de terminer cette t"&amp;"âche.")</f>
        <v>** Navigator a détecté qu'il existe un problème avec votre fichier de spectre. Amateur
L'incertitude associée à chaque résultat peut être estimée à l'aide de l'outil d'analyse d'incertitude. Accédez à cet outil en choisissant «Outils» dans le menu Horizontal supérieur, puis «plus d'outils», puis «analyse d'incertitude».
Définissez l'année de capture de données globale à la dernière année des données et le «nombre d'itérations» à 300, puis cliquez sur le bouton 'Process'. Le modèle exécutera 300 simulations en choisissant des valeurs pour les paramètres épidémiologiques de leurs intervalles de confiance. Cette analyse peut prendre 10-30 minutes. Lorsqu'il est complet, cliquez sur le bouton 'Enregistrer'. Après avoir exécuté cette analyse, vous verrez des intervalles d'incertitude sur toutes les sorties (tant que vous n'avez qu'une seule projection dans Spectrum).
Veuillez vous assurer que vous corrigez cela dans votre fichier de spectre **, puis redupliquez le fichier à l'ADR ** afin de terminer cette tâche.</v>
      </c>
      <c r="H27" s="73" t="str">
        <f>IFERROR(__xludf.DUMMYFUNCTION("GOOGLETRANSLATE(F27,""EN"",""PT"")"),"** O navegador detectou que há um problema com o seu arquivo de espectro. **
A incerteza associada a cada resultado pode ser estimada usando a ferramenta de análise de incerteza. Acesse esta ferramenta, escolhendo 'Ferramentas' no menu Horizontal Top, en"&amp;"tão 'mais ferramentas', então 'Análise de Incerteza'.
Defina o ""Ano de Captura de Dados Agregados"" para o último ano de dados e o 'número de iterações' para 300 e clique no botão 'Processo'. O modelo executará 300 simulações escolhendo valores para os "&amp;"parâmetros epidemiológicos de dentro de seus intervalos de confiança. Esta análise pode levar de 10 a 30 minutos. Quando estiver concluído, clique no botão 'Salvar'. Depois de executar esta análise, você verá intervalos de incerteza em todas as saídas (co"&amp;"ntanto que você tenha apenas uma projeção aberta no espectro).
Por favor, certifique-se de corrigir isso no seu arquivo de espectro ** e, em seguida, reupload o arquivo para o ADR ** para concluir esta tarefa.")</f>
        <v>** O navegador detectou que há um problema com o seu arquivo de espectro. **
A incerteza associada a cada resultado pode ser estimada usando a ferramenta de análise de incerteza. Acesse esta ferramenta, escolhendo 'Ferramentas' no menu Horizontal Top, então 'mais ferramentas', então 'Análise de Incerteza'.
Defina o "Ano de Captura de Dados Agregados" para o último ano de dados e o 'número de iterações' para 300 e clique no botão 'Processo'. O modelo executará 300 simulações escolhendo valores para os parâmetros epidemiológicos de dentro de seus intervalos de confiança. Esta análise pode levar de 10 a 30 minutos. Quando estiver concluído, clique no botão 'Salvar'. Depois de executar esta análise, você verá intervalos de incerteza em todas as saídas (contanto que você tenha apenas uma projeção aberta no espectro).
Por favor, certifique-se de corrigir isso no seu arquivo de espectro ** e, em seguida, reupload o arquivo para o ADR ** para concluir esta tarefa.</v>
      </c>
      <c r="I27" s="39"/>
      <c r="J27" s="39"/>
      <c r="K27" s="39"/>
      <c r="L27" s="39"/>
      <c r="M27" s="39"/>
      <c r="N27" s="170" t="s">
        <v>551</v>
      </c>
      <c r="O27" s="168" t="s">
        <v>481</v>
      </c>
      <c r="P27" s="39"/>
      <c r="Q27" s="39"/>
    </row>
    <row r="28" ht="19.5" customHeight="1">
      <c r="A28" s="41" t="s">
        <v>552</v>
      </c>
      <c r="B28" s="41" t="s">
        <v>553</v>
      </c>
      <c r="C28" s="16" t="str">
        <f>IFERROR(__xludf.DUMMYFUNCTION("GOOGLETRANSLATE(B28,""EN"",""FR"")"),"Télécharger un classeur KP dans Spectrum")</f>
        <v>Télécharger un classeur KP dans Spectrum</v>
      </c>
      <c r="D28" s="73" t="str">
        <f>IFERROR(__xludf.DUMMYFUNCTION("GOOGLETRANSLATE(B28,""EN"",""PT"")"),"Carregar pasta de trabalho KP em espectro")</f>
        <v>Carregar pasta de trabalho KP em espectro</v>
      </c>
      <c r="E28" s="41" t="s">
        <v>554</v>
      </c>
      <c r="F28" s="41" t="s">
        <v>555</v>
      </c>
      <c r="G28" s="16" t="str">
        <f>IFERROR(__xludf.DUMMYFUNCTION("GOOGLETRANSLATE(F28,""EN"",""FR"")"),"Une nouvelle fonctionnalité ajoutée en 2022 était l'examen des données de la population clés disponibles. Ces données seront utilisées dans les années à venir pour améliorer les modèles. En 2022, il n'a pas d'impact sur le modèle. Vous trouverez une fiche"&amp;" de données KP prépopulée sur ADR dans votre Set d'estimation du VIH 2022.
Cette tâche nécessite d'examiner les données de la population clés prépopulées, de mettre à jour toutes les données manquantes et de créer des estimations au niveau national de la"&amp;" taille de KP, de la prévalence du VIH et de nouvelles infections à VIH.
Une fois que vous êtes terminé, vous devez télécharger le fichier dans Spectrum dans les statistiques de programme&gt; Populations clés. N'oubliez pas que cette étape n'a aucun impact "&amp;"sur vos estimations de spectre.")</f>
        <v>Une nouvelle fonctionnalité ajoutée en 2022 était l'examen des données de la population clés disponibles. Ces données seront utilisées dans les années à venir pour améliorer les modèles. En 2022, il n'a pas d'impact sur le modèle. Vous trouverez une fiche de données KP prépopulée sur ADR dans votre Set d'estimation du VIH 2022.
Cette tâche nécessite d'examiner les données de la population clés prépopulées, de mettre à jour toutes les données manquantes et de créer des estimations au niveau national de la taille de KP, de la prévalence du VIH et de nouvelles infections à VIH.
Une fois que vous êtes terminé, vous devez télécharger le fichier dans Spectrum dans les statistiques de programme&gt; Populations clés. N'oubliez pas que cette étape n'a aucun impact sur vos estimations de spectre.</v>
      </c>
      <c r="H28" s="73" t="str">
        <f>IFERROR(__xludf.DUMMYFUNCTION("GOOGLETRANSLATE(F28,""EN"",""PT"")"),"Um novo recurso adicionado em 2022 foi a revisão dos dados de população chave disponível. Esses dados serão usados ​​em anos futuros para melhorar os modelos. Em 2022 não afetará o modelo. Você encontrará uma folha de dados de KP pré-priorulada no ADR den"&amp;"tro de suas estimativas de HIV 2022 Conjunto de dados do país.
Esta tarefa requer que você revise os dados de população chave pré-opculada, atualize com quaisquer dados ausentes e crie estimativas nacionais de nível nacional do tamanho da KP, prevalência"&amp;" do HIV e novas infecções pelo HIV.
Depois de concluir, você deve fazer o upload do arquivo no espectro em Estatísticas do Programa&gt; POPULAMENTOS-CHAVE. Lembre-se de que esta etapa não tem impacto em suas estimativas de espectro.")</f>
        <v>Um novo recurso adicionado em 2022 foi a revisão dos dados de população chave disponível. Esses dados serão usados ​​em anos futuros para melhorar os modelos. Em 2022 não afetará o modelo. Você encontrará uma folha de dados de KP pré-priorulada no ADR dentro de suas estimativas de HIV 2022 Conjunto de dados do país.
Esta tarefa requer que você revise os dados de população chave pré-opculada, atualize com quaisquer dados ausentes e crie estimativas nacionais de nível nacional do tamanho da KP, prevalência do HIV e novas infecções pelo HIV.
Depois de concluir, você deve fazer o upload do arquivo no espectro em Estatísticas do Programa&gt; POPULAMENTOS-CHAVE. Lembre-se de que esta etapa não tem impacto em suas estimativas de espectro.</v>
      </c>
      <c r="I28" s="145" t="s">
        <v>308</v>
      </c>
      <c r="J28" s="16" t="str">
        <f>IFERROR(__xludf.DUMMYFUNCTION("GOOGLETRANSLATE(I28,""EN"",""FR"")"),"Matériel de formation spectre https://hivtools.unaids.org/hiv-estimates-training-Material-fr/")</f>
        <v>Matériel de formation spectre https://hivtools.unaids.org/hiv-estimates-training-Material-fr/</v>
      </c>
      <c r="K28" s="73" t="str">
        <f>IFERROR(__xludf.DUMMYFUNCTION("GOOGLETRANSLATE(I28,""EN"",""PT"")"),"Materiais de treinamento de espectro https://hivtools.unaids.org/hiv-estimates-training-material-en/")</f>
        <v>Materiais de treinamento de espectro https://hivtools.unaids.org/hiv-estimates-training-material-en/</v>
      </c>
      <c r="L28" s="39"/>
      <c r="M28" s="39"/>
      <c r="N28" s="41" t="s">
        <v>556</v>
      </c>
      <c r="O28" s="168"/>
      <c r="P28" s="39"/>
      <c r="Q28" s="39"/>
    </row>
    <row r="29" ht="19.5" customHeight="1">
      <c r="A29" s="41" t="s">
        <v>557</v>
      </c>
      <c r="B29" s="39" t="s">
        <v>558</v>
      </c>
      <c r="C29" s="16" t="str">
        <f>IFERROR(__xludf.DUMMYFUNCTION("GOOGLETRANSLATE(B29,""EN"",""FR"")"),"ALERTE ONUSIDA que votre fichier Spectrum est prêt pour examen")</f>
        <v>ALERTE ONUSIDA que votre fichier Spectrum est prêt pour examen</v>
      </c>
      <c r="D29" s="73" t="str">
        <f>IFERROR(__xludf.DUMMYFUNCTION("GOOGLETRANSLATE(B29,""EN"",""PT"")"),"ALERT UNAIDS que seu arquivo de espectro está pronto para revisão")</f>
        <v>ALERT UNAIDS que seu arquivo de espectro está pronto para revisão</v>
      </c>
      <c r="E29" s="39" t="s">
        <v>559</v>
      </c>
      <c r="F29" s="39" t="s">
        <v>560</v>
      </c>
      <c r="G29" s="16" t="str">
        <f>IFERROR(__xludf.DUMMYFUNCTION("GOOGLETRANSLATE(F29,""EN"",""FR"")"),"Félicitations pour atteindre ce point dans le processus d'estimation! Veuillez alerter votre point focal de l'ONUSIDA que le fichier est prêt à être examiné et est disponible sur ADR.")</f>
        <v>Félicitations pour atteindre ce point dans le processus d'estimation! Veuillez alerter votre point focal de l'ONUSIDA que le fichier est prêt à être examiné et est disponible sur ADR.</v>
      </c>
      <c r="H29" s="73" t="str">
        <f>IFERROR(__xludf.DUMMYFUNCTION("GOOGLETRANSLATE(F29,""EN"",""PT"")"),"Parabéns por alcançar este ponto no processo de estimativas! Por favor, alerte seu ponto focal da UNAIDS que o arquivo está pronto para revisão e está disponível no ADR.")</f>
        <v>Parabéns por alcançar este ponto no processo de estimativas! Por favor, alerte seu ponto focal da UNAIDS que o arquivo está pronto para revisão e está disponível no ADR.</v>
      </c>
      <c r="I29" s="39"/>
      <c r="J29" s="39"/>
      <c r="K29" s="39"/>
      <c r="L29" s="39"/>
      <c r="M29" s="39"/>
      <c r="N29" s="41" t="s">
        <v>561</v>
      </c>
      <c r="O29" s="168"/>
      <c r="P29" s="39" t="s">
        <v>562</v>
      </c>
      <c r="Q29" s="39"/>
    </row>
    <row r="30" ht="19.5" customHeight="1">
      <c r="A30" s="41" t="s">
        <v>563</v>
      </c>
      <c r="B30" s="39" t="s">
        <v>564</v>
      </c>
      <c r="C30" s="16" t="str">
        <f>IFERROR(__xludf.DUMMYFUNCTION("GOOGLETRANSLATE(B30,""EN"",""FR"")"),"Déterminez si vous produirez des estimations au niveau du district")</f>
        <v>Déterminez si vous produirez des estimations au niveau du district</v>
      </c>
      <c r="D30" s="73" t="str">
        <f>IFERROR(__xludf.DUMMYFUNCTION("GOOGLETRANSLATE(B30,""EN"",""PT"")"),"Determine se você produzirá estimativas de nível distrital")</f>
        <v>Determine se você produzirá estimativas de nível distrital</v>
      </c>
      <c r="E30" s="39" t="s">
        <v>565</v>
      </c>
      <c r="F30" s="41" t="s">
        <v>566</v>
      </c>
      <c r="G30" s="16" t="str">
        <f>IFERROR(__xludf.DUMMYFUNCTION("GOOGLETRANSLATE(F30,""EN"",""FR"")"),"Si vous ne produisez pas des estimations au niveau du district, félicitations, vous avez terminé le processus de budget des dépenses. Vous pouvez utiliser des résultats pour des rapports nationaux ou d'autres besoins.
* Si vous souhaitez que des estimati"&amp;"ons informent votre pack de données PEPFAR ou votre DMPPT, vous devez produire des estimations au niveau du district utilisant Naomi. *
Si vous envisagez de produire des estimations au niveau de district, marquez cette tâche complète et cliquez sur le """&amp;"Quoi de neuf?"" bouton pour passer à la jalon Naomi.")</f>
        <v>Si vous ne produisez pas des estimations au niveau du district, félicitations, vous avez terminé le processus de budget des dépenses. Vous pouvez utiliser des résultats pour des rapports nationaux ou d'autres besoins.
* Si vous souhaitez que des estimations informent votre pack de données PEPFAR ou votre DMPPT, vous devez produire des estimations au niveau du district utilisant Naomi. *
Si vous envisagez de produire des estimations au niveau de district, marquez cette tâche complète et cliquez sur le "Quoi de neuf?" bouton pour passer à la jalon Naomi.</v>
      </c>
      <c r="H30" s="73" t="str">
        <f>IFERROR(__xludf.DUMMYFUNCTION("GOOGLETRANSLATE(F30,""EN"",""PT"")"),"Se você não estiver produzindo estimativas de nível distrital, parabéns, você concluiu o processo de estimativas. Você pode usar resultados para relatórios nacionais ou outras necessidades.
* Se você precisar de estimativas para informar o seu PEPFAR DAD"&amp;"OS PACK ou DMPPT, você deve fornecer estimativas de nível do distrito de produtos usando Naomi. *
Se você está planejando produzir estimativas de nível distrital, marque esta tarefa completa e clique no ""O que vem a seguir?"" botão para prosseguir para "&amp;"o marco naomi.")</f>
        <v>Se você não estiver produzindo estimativas de nível distrital, parabéns, você concluiu o processo de estimativas. Você pode usar resultados para relatórios nacionais ou outras necessidades.
* Se você precisar de estimativas para informar o seu PEPFAR DADOS PACK ou DMPPT, você deve fornecer estimativas de nível do distrito de produtos usando Naomi. *
Se você está planejando produzir estimativas de nível distrital, marque esta tarefa completa e clique no "O que vem a seguir?" botão para prosseguir para o marco naomi.</v>
      </c>
      <c r="I30" s="39"/>
      <c r="J30" s="39"/>
      <c r="K30" s="39"/>
      <c r="L30" s="39">
        <v>1.0</v>
      </c>
      <c r="M30" s="39"/>
      <c r="N30" s="41" t="s">
        <v>567</v>
      </c>
      <c r="O30" s="168"/>
      <c r="P30" s="39"/>
      <c r="Q30" s="39"/>
    </row>
    <row r="31" ht="13.5" customHeight="1">
      <c r="I31" s="69"/>
    </row>
    <row r="32" ht="13.5" customHeight="1">
      <c r="I32" s="69"/>
    </row>
    <row r="33" ht="13.5" customHeight="1">
      <c r="I33" s="69"/>
    </row>
    <row r="34" ht="13.5" customHeight="1">
      <c r="I34" s="69"/>
    </row>
    <row r="35" ht="13.5" customHeight="1">
      <c r="I35" s="69"/>
    </row>
    <row r="36" ht="13.5" customHeight="1">
      <c r="I36" s="69"/>
    </row>
    <row r="37" ht="13.5" customHeight="1">
      <c r="I37" s="69"/>
    </row>
    <row r="38" ht="13.5" customHeight="1">
      <c r="I38" s="69"/>
    </row>
    <row r="39" ht="13.5" customHeight="1">
      <c r="I39" s="69"/>
    </row>
    <row r="40" ht="13.5" customHeight="1">
      <c r="I40" s="69"/>
    </row>
    <row r="41" ht="13.5" customHeight="1">
      <c r="I41" s="69"/>
    </row>
    <row r="42" ht="13.5" customHeight="1">
      <c r="I42" s="69"/>
    </row>
    <row r="43" ht="13.5" customHeight="1">
      <c r="I43" s="69"/>
    </row>
    <row r="44" ht="13.5" customHeight="1">
      <c r="I44" s="69"/>
    </row>
    <row r="45" ht="13.5" customHeight="1">
      <c r="I45" s="69"/>
    </row>
    <row r="46" ht="13.5" customHeight="1">
      <c r="I46" s="69"/>
    </row>
    <row r="47" ht="13.5" customHeight="1">
      <c r="I47" s="69"/>
    </row>
    <row r="48" ht="13.5" customHeight="1">
      <c r="I48" s="69"/>
    </row>
    <row r="49" ht="13.5" customHeight="1">
      <c r="I49" s="69"/>
    </row>
    <row r="50" ht="13.5" customHeight="1">
      <c r="I50" s="69"/>
    </row>
    <row r="51" ht="13.5" customHeight="1">
      <c r="I51" s="69"/>
    </row>
    <row r="52" ht="13.5" customHeight="1">
      <c r="I52" s="69"/>
    </row>
    <row r="53" ht="13.5" customHeight="1">
      <c r="I53" s="69"/>
    </row>
    <row r="54" ht="13.5" customHeight="1">
      <c r="I54" s="69"/>
    </row>
    <row r="55" ht="13.5" customHeight="1">
      <c r="I55" s="69"/>
    </row>
    <row r="56" ht="13.5" customHeight="1">
      <c r="I56" s="69"/>
    </row>
    <row r="57" ht="13.5" customHeight="1">
      <c r="I57" s="69"/>
    </row>
    <row r="58" ht="13.5" customHeight="1">
      <c r="I58" s="69"/>
    </row>
    <row r="59" ht="13.5" customHeight="1">
      <c r="I59" s="69"/>
    </row>
    <row r="60" ht="13.5" customHeight="1">
      <c r="I60" s="69"/>
    </row>
    <row r="61" ht="13.5" customHeight="1">
      <c r="I61" s="69"/>
    </row>
    <row r="62" ht="13.5" customHeight="1">
      <c r="I62" s="69"/>
    </row>
    <row r="63" ht="13.5" customHeight="1">
      <c r="I63" s="69"/>
    </row>
    <row r="64" ht="13.5" customHeight="1">
      <c r="I64" s="69"/>
    </row>
    <row r="65" ht="13.5" customHeight="1">
      <c r="I65" s="69"/>
    </row>
    <row r="66" ht="13.5" customHeight="1">
      <c r="I66" s="69"/>
    </row>
    <row r="67" ht="13.5" customHeight="1">
      <c r="I67" s="69"/>
    </row>
    <row r="68" ht="13.5" customHeight="1">
      <c r="I68" s="69"/>
    </row>
    <row r="69" ht="13.5" customHeight="1">
      <c r="I69" s="69"/>
    </row>
    <row r="70" ht="13.5" customHeight="1">
      <c r="I70" s="69"/>
    </row>
    <row r="71" ht="13.5" customHeight="1">
      <c r="I71" s="69"/>
    </row>
    <row r="72" ht="13.5" customHeight="1">
      <c r="I72" s="69"/>
    </row>
    <row r="73" ht="13.5" customHeight="1">
      <c r="I73" s="69"/>
    </row>
    <row r="74" ht="13.5" customHeight="1">
      <c r="I74" s="69"/>
    </row>
    <row r="75" ht="13.5" customHeight="1">
      <c r="I75" s="69"/>
    </row>
    <row r="76" ht="13.5" customHeight="1">
      <c r="I76" s="69"/>
    </row>
    <row r="77" ht="13.5" customHeight="1">
      <c r="I77" s="69"/>
    </row>
    <row r="78" ht="13.5" customHeight="1">
      <c r="I78" s="69"/>
    </row>
    <row r="79" ht="13.5" customHeight="1">
      <c r="I79" s="69"/>
    </row>
    <row r="80" ht="13.5" customHeight="1">
      <c r="I80" s="69"/>
    </row>
    <row r="81" ht="13.5" customHeight="1">
      <c r="I81" s="69"/>
    </row>
    <row r="82" ht="13.5" customHeight="1">
      <c r="I82" s="69"/>
    </row>
    <row r="83" ht="13.5" customHeight="1">
      <c r="I83" s="69"/>
    </row>
    <row r="84" ht="13.5" customHeight="1">
      <c r="I84" s="69"/>
    </row>
    <row r="85" ht="13.5" customHeight="1">
      <c r="I85" s="69"/>
    </row>
    <row r="86" ht="13.5" customHeight="1">
      <c r="I86" s="69"/>
    </row>
    <row r="87" ht="13.5" customHeight="1">
      <c r="I87" s="69"/>
    </row>
    <row r="88" ht="13.5" customHeight="1">
      <c r="I88" s="69"/>
    </row>
    <row r="89" ht="13.5" customHeight="1">
      <c r="I89" s="69"/>
    </row>
    <row r="90" ht="13.5" customHeight="1">
      <c r="I90" s="69"/>
    </row>
    <row r="91" ht="13.5" customHeight="1">
      <c r="I91" s="69"/>
    </row>
    <row r="92" ht="13.5" customHeight="1">
      <c r="I92" s="69"/>
    </row>
    <row r="93" ht="13.5" customHeight="1">
      <c r="I93" s="69"/>
    </row>
    <row r="94" ht="13.5" customHeight="1">
      <c r="I94" s="69"/>
    </row>
    <row r="95" ht="13.5" customHeight="1">
      <c r="I95" s="69"/>
    </row>
    <row r="96" ht="13.5" customHeight="1">
      <c r="I96" s="69"/>
    </row>
    <row r="97" ht="13.5" customHeight="1">
      <c r="I97" s="69"/>
    </row>
    <row r="98" ht="13.5" customHeight="1">
      <c r="I98" s="69"/>
    </row>
    <row r="99" ht="13.5" customHeight="1">
      <c r="I99" s="69"/>
    </row>
    <row r="100" ht="13.5" customHeight="1">
      <c r="I100" s="69"/>
    </row>
    <row r="101" ht="13.5" customHeight="1">
      <c r="I101" s="69"/>
    </row>
    <row r="102" ht="13.5" customHeight="1">
      <c r="I102" s="69"/>
    </row>
    <row r="103" ht="13.5" customHeight="1">
      <c r="I103" s="69"/>
    </row>
    <row r="104" ht="13.5" customHeight="1">
      <c r="I104" s="69"/>
    </row>
    <row r="105" ht="13.5" customHeight="1">
      <c r="I105" s="69"/>
    </row>
    <row r="106" ht="13.5" customHeight="1">
      <c r="I106" s="69"/>
    </row>
    <row r="107" ht="13.5" customHeight="1">
      <c r="I107" s="69"/>
    </row>
    <row r="108" ht="13.5" customHeight="1">
      <c r="I108" s="69"/>
    </row>
    <row r="109" ht="13.5" customHeight="1">
      <c r="I109" s="69"/>
    </row>
    <row r="110" ht="13.5" customHeight="1">
      <c r="I110" s="69"/>
    </row>
    <row r="111" ht="13.5" customHeight="1">
      <c r="I111" s="69"/>
    </row>
    <row r="112" ht="13.5" customHeight="1">
      <c r="I112" s="69"/>
    </row>
    <row r="113" ht="13.5" customHeight="1">
      <c r="I113" s="69"/>
    </row>
    <row r="114" ht="13.5" customHeight="1">
      <c r="I114" s="69"/>
    </row>
    <row r="115" ht="13.5" customHeight="1">
      <c r="I115" s="69"/>
    </row>
    <row r="116" ht="13.5" customHeight="1">
      <c r="I116" s="69"/>
    </row>
    <row r="117" ht="13.5" customHeight="1">
      <c r="I117" s="69"/>
    </row>
    <row r="118" ht="13.5" customHeight="1">
      <c r="I118" s="69"/>
    </row>
    <row r="119" ht="13.5" customHeight="1">
      <c r="I119" s="69"/>
    </row>
    <row r="120" ht="13.5" customHeight="1">
      <c r="I120" s="69"/>
    </row>
    <row r="121" ht="13.5" customHeight="1">
      <c r="I121" s="69"/>
    </row>
    <row r="122" ht="13.5" customHeight="1">
      <c r="I122" s="69"/>
    </row>
    <row r="123" ht="13.5" customHeight="1">
      <c r="I123" s="69"/>
    </row>
    <row r="124" ht="13.5" customHeight="1">
      <c r="I124" s="69"/>
    </row>
    <row r="125" ht="13.5" customHeight="1">
      <c r="I125" s="69"/>
    </row>
    <row r="126" ht="13.5" customHeight="1">
      <c r="I126" s="69"/>
    </row>
    <row r="127" ht="13.5" customHeight="1">
      <c r="I127" s="69"/>
    </row>
    <row r="128" ht="13.5" customHeight="1">
      <c r="I128" s="69"/>
    </row>
    <row r="129" ht="13.5" customHeight="1">
      <c r="I129" s="69"/>
    </row>
    <row r="130" ht="13.5" customHeight="1">
      <c r="I130" s="69"/>
    </row>
    <row r="131" ht="13.5" customHeight="1">
      <c r="I131" s="69"/>
    </row>
    <row r="132" ht="13.5" customHeight="1">
      <c r="I132" s="69"/>
    </row>
    <row r="133" ht="13.5" customHeight="1">
      <c r="I133" s="69"/>
    </row>
    <row r="134" ht="13.5" customHeight="1">
      <c r="I134" s="69"/>
    </row>
    <row r="135" ht="13.5" customHeight="1">
      <c r="I135" s="69"/>
    </row>
    <row r="136" ht="13.5" customHeight="1">
      <c r="I136" s="69"/>
    </row>
    <row r="137" ht="13.5" customHeight="1">
      <c r="I137" s="69"/>
    </row>
    <row r="138" ht="13.5" customHeight="1">
      <c r="I138" s="69"/>
    </row>
    <row r="139" ht="13.5" customHeight="1">
      <c r="I139" s="69"/>
    </row>
    <row r="140" ht="13.5" customHeight="1">
      <c r="I140" s="69"/>
    </row>
    <row r="141" ht="13.5" customHeight="1">
      <c r="I141" s="69"/>
    </row>
    <row r="142" ht="13.5" customHeight="1">
      <c r="I142" s="69"/>
    </row>
    <row r="143" ht="13.5" customHeight="1">
      <c r="I143" s="69"/>
    </row>
    <row r="144" ht="13.5" customHeight="1">
      <c r="I144" s="69"/>
    </row>
    <row r="145" ht="13.5" customHeight="1">
      <c r="I145" s="69"/>
    </row>
    <row r="146" ht="13.5" customHeight="1">
      <c r="I146" s="69"/>
    </row>
    <row r="147" ht="13.5" customHeight="1">
      <c r="I147" s="69"/>
    </row>
    <row r="148" ht="13.5" customHeight="1">
      <c r="I148" s="69"/>
    </row>
    <row r="149" ht="13.5" customHeight="1">
      <c r="I149" s="69"/>
    </row>
    <row r="150" ht="13.5" customHeight="1">
      <c r="I150" s="69"/>
    </row>
    <row r="151" ht="13.5" customHeight="1">
      <c r="I151" s="69"/>
    </row>
    <row r="152" ht="13.5" customHeight="1">
      <c r="I152" s="69"/>
    </row>
    <row r="153" ht="13.5" customHeight="1">
      <c r="I153" s="69"/>
    </row>
    <row r="154" ht="13.5" customHeight="1">
      <c r="I154" s="69"/>
    </row>
    <row r="155" ht="13.5" customHeight="1">
      <c r="I155" s="69"/>
    </row>
    <row r="156" ht="13.5" customHeight="1">
      <c r="I156" s="69"/>
    </row>
    <row r="157" ht="13.5" customHeight="1">
      <c r="I157" s="69"/>
    </row>
    <row r="158" ht="13.5" customHeight="1">
      <c r="I158" s="69"/>
    </row>
    <row r="159" ht="13.5" customHeight="1">
      <c r="I159" s="69"/>
    </row>
    <row r="160" ht="13.5" customHeight="1">
      <c r="I160" s="69"/>
    </row>
    <row r="161" ht="13.5" customHeight="1">
      <c r="I161" s="69"/>
    </row>
    <row r="162" ht="13.5" customHeight="1">
      <c r="I162" s="69"/>
    </row>
    <row r="163" ht="13.5" customHeight="1">
      <c r="I163" s="69"/>
    </row>
    <row r="164" ht="13.5" customHeight="1">
      <c r="I164" s="69"/>
    </row>
    <row r="165" ht="13.5" customHeight="1">
      <c r="I165" s="69"/>
    </row>
    <row r="166" ht="13.5" customHeight="1">
      <c r="I166" s="69"/>
    </row>
    <row r="167" ht="13.5" customHeight="1">
      <c r="I167" s="69"/>
    </row>
    <row r="168" ht="13.5" customHeight="1">
      <c r="I168" s="69"/>
    </row>
    <row r="169" ht="13.5" customHeight="1">
      <c r="I169" s="69"/>
    </row>
    <row r="170" ht="13.5" customHeight="1">
      <c r="I170" s="69"/>
    </row>
    <row r="171" ht="13.5" customHeight="1">
      <c r="I171" s="69"/>
    </row>
    <row r="172" ht="13.5" customHeight="1">
      <c r="I172" s="69"/>
    </row>
    <row r="173" ht="13.5" customHeight="1">
      <c r="I173" s="69"/>
    </row>
    <row r="174" ht="13.5" customHeight="1">
      <c r="I174" s="69"/>
    </row>
    <row r="175" ht="13.5" customHeight="1">
      <c r="I175" s="69"/>
    </row>
    <row r="176" ht="13.5" customHeight="1">
      <c r="I176" s="69"/>
    </row>
    <row r="177" ht="13.5" customHeight="1">
      <c r="I177" s="69"/>
    </row>
    <row r="178" ht="13.5" customHeight="1">
      <c r="I178" s="69"/>
    </row>
    <row r="179" ht="13.5" customHeight="1">
      <c r="I179" s="69"/>
    </row>
    <row r="180" ht="13.5" customHeight="1">
      <c r="I180" s="69"/>
    </row>
    <row r="181" ht="13.5" customHeight="1">
      <c r="I181" s="69"/>
    </row>
    <row r="182" ht="13.5" customHeight="1">
      <c r="I182" s="69"/>
    </row>
    <row r="183" ht="13.5" customHeight="1">
      <c r="I183" s="69"/>
    </row>
    <row r="184" ht="13.5" customHeight="1">
      <c r="I184" s="69"/>
    </row>
    <row r="185" ht="13.5" customHeight="1">
      <c r="I185" s="69"/>
    </row>
    <row r="186" ht="13.5" customHeight="1">
      <c r="I186" s="69"/>
    </row>
    <row r="187" ht="13.5" customHeight="1">
      <c r="I187" s="69"/>
    </row>
    <row r="188" ht="13.5" customHeight="1">
      <c r="I188" s="69"/>
    </row>
    <row r="189" ht="13.5" customHeight="1">
      <c r="I189" s="69"/>
    </row>
    <row r="190" ht="13.5" customHeight="1">
      <c r="I190" s="69"/>
    </row>
    <row r="191" ht="13.5" customHeight="1">
      <c r="I191" s="69"/>
    </row>
    <row r="192" ht="13.5" customHeight="1">
      <c r="I192" s="69"/>
    </row>
    <row r="193" ht="13.5" customHeight="1">
      <c r="I193" s="69"/>
    </row>
    <row r="194" ht="13.5" customHeight="1">
      <c r="I194" s="69"/>
    </row>
    <row r="195" ht="13.5" customHeight="1">
      <c r="I195" s="69"/>
    </row>
    <row r="196" ht="13.5" customHeight="1">
      <c r="I196" s="69"/>
    </row>
    <row r="197" ht="13.5" customHeight="1">
      <c r="I197" s="69"/>
    </row>
    <row r="198" ht="13.5" customHeight="1">
      <c r="I198" s="69"/>
    </row>
    <row r="199" ht="13.5" customHeight="1">
      <c r="I199" s="69"/>
    </row>
    <row r="200" ht="13.5" customHeight="1">
      <c r="I200" s="69"/>
    </row>
    <row r="201" ht="13.5" customHeight="1">
      <c r="I201" s="69"/>
    </row>
    <row r="202" ht="13.5" customHeight="1">
      <c r="I202" s="69"/>
    </row>
    <row r="203" ht="13.5" customHeight="1">
      <c r="I203" s="69"/>
    </row>
    <row r="204" ht="13.5" customHeight="1">
      <c r="I204" s="69"/>
    </row>
    <row r="205" ht="13.5" customHeight="1">
      <c r="I205" s="69"/>
    </row>
    <row r="206" ht="13.5" customHeight="1">
      <c r="I206" s="69"/>
    </row>
    <row r="207" ht="13.5" customHeight="1">
      <c r="I207" s="69"/>
    </row>
    <row r="208" ht="13.5" customHeight="1">
      <c r="I208" s="69"/>
    </row>
    <row r="209" ht="13.5" customHeight="1">
      <c r="I209" s="69"/>
    </row>
    <row r="210" ht="13.5" customHeight="1">
      <c r="I210" s="69"/>
    </row>
    <row r="211" ht="13.5" customHeight="1">
      <c r="I211" s="69"/>
    </row>
    <row r="212" ht="13.5" customHeight="1">
      <c r="I212" s="69"/>
    </row>
    <row r="213" ht="13.5" customHeight="1">
      <c r="I213" s="69"/>
    </row>
    <row r="214" ht="13.5" customHeight="1">
      <c r="I214" s="69"/>
    </row>
    <row r="215" ht="13.5" customHeight="1">
      <c r="I215" s="69"/>
    </row>
    <row r="216" ht="13.5" customHeight="1">
      <c r="I216" s="69"/>
    </row>
    <row r="217" ht="13.5" customHeight="1">
      <c r="I217" s="69"/>
    </row>
    <row r="218" ht="13.5" customHeight="1">
      <c r="I218" s="69"/>
    </row>
    <row r="219" ht="13.5" customHeight="1">
      <c r="I219" s="69"/>
    </row>
    <row r="220" ht="13.5" customHeight="1">
      <c r="I220" s="69"/>
    </row>
    <row r="221" ht="13.5" customHeight="1">
      <c r="I221" s="69"/>
    </row>
    <row r="222" ht="13.5" customHeight="1">
      <c r="I222" s="69"/>
    </row>
    <row r="223" ht="13.5" customHeight="1">
      <c r="I223" s="69"/>
    </row>
    <row r="224" ht="13.5" customHeight="1">
      <c r="I224" s="69"/>
    </row>
    <row r="225" ht="13.5" customHeight="1">
      <c r="I225" s="69"/>
    </row>
    <row r="226" ht="13.5" customHeight="1">
      <c r="I226" s="69"/>
    </row>
    <row r="227" ht="13.5" customHeight="1">
      <c r="I227" s="69"/>
    </row>
    <row r="228" ht="13.5" customHeight="1">
      <c r="I228" s="69"/>
    </row>
    <row r="229" ht="13.5" customHeight="1">
      <c r="I229" s="69"/>
    </row>
    <row r="230" ht="13.5" customHeight="1">
      <c r="I230" s="69"/>
    </row>
    <row r="231" ht="13.5" customHeight="1">
      <c r="I231" s="69"/>
    </row>
    <row r="232" ht="15.75" customHeight="1">
      <c r="I232" s="69"/>
    </row>
    <row r="233" ht="15.75" customHeight="1">
      <c r="I233" s="69"/>
    </row>
    <row r="234" ht="15.75" customHeight="1">
      <c r="I234" s="69"/>
    </row>
    <row r="235" ht="15.75" customHeight="1">
      <c r="I235" s="69"/>
    </row>
    <row r="236" ht="15.75" customHeight="1">
      <c r="I236" s="69"/>
    </row>
    <row r="237" ht="15.75" customHeight="1">
      <c r="I237" s="69"/>
    </row>
    <row r="238" ht="15.75" customHeight="1">
      <c r="I238" s="69"/>
    </row>
    <row r="239" ht="15.75" customHeight="1">
      <c r="I239" s="69"/>
    </row>
    <row r="240" ht="15.75" customHeight="1">
      <c r="I240" s="69"/>
    </row>
    <row r="241" ht="15.75" customHeight="1">
      <c r="I241" s="69"/>
    </row>
    <row r="242" ht="15.75" customHeight="1">
      <c r="I242" s="69"/>
    </row>
    <row r="243" ht="15.75" customHeight="1">
      <c r="I243" s="69"/>
    </row>
    <row r="244" ht="15.75" customHeight="1">
      <c r="I244" s="69"/>
    </row>
    <row r="245" ht="15.75" customHeight="1">
      <c r="I245" s="69"/>
    </row>
    <row r="246" ht="15.75" customHeight="1">
      <c r="I246" s="69"/>
    </row>
    <row r="247" ht="15.75" customHeight="1">
      <c r="I247" s="69"/>
    </row>
    <row r="248" ht="15.75" customHeight="1">
      <c r="I248" s="69"/>
    </row>
    <row r="249" ht="15.75" customHeight="1">
      <c r="I249" s="69"/>
    </row>
    <row r="250" ht="15.75" customHeight="1">
      <c r="I250" s="69"/>
    </row>
    <row r="251" ht="15.75" customHeight="1">
      <c r="I251" s="69"/>
    </row>
    <row r="252" ht="15.75" customHeight="1">
      <c r="I252" s="69"/>
    </row>
    <row r="253" ht="15.75" customHeight="1">
      <c r="I253" s="69"/>
    </row>
    <row r="254" ht="15.75" customHeight="1">
      <c r="I254" s="69"/>
    </row>
    <row r="255" ht="15.75" customHeight="1">
      <c r="I255" s="69"/>
    </row>
    <row r="256" ht="15.75" customHeight="1">
      <c r="I256" s="69"/>
    </row>
    <row r="257" ht="15.75" customHeight="1">
      <c r="I257" s="69"/>
    </row>
    <row r="258" ht="15.75" customHeight="1">
      <c r="I258" s="69"/>
    </row>
    <row r="259" ht="15.75" customHeight="1">
      <c r="I259" s="69"/>
    </row>
    <row r="260" ht="15.75" customHeight="1">
      <c r="I260" s="69"/>
    </row>
    <row r="261" ht="15.75" customHeight="1">
      <c r="I261" s="69"/>
    </row>
    <row r="262" ht="15.75" customHeight="1">
      <c r="I262" s="69"/>
    </row>
    <row r="263" ht="15.75" customHeight="1">
      <c r="I263" s="69"/>
    </row>
    <row r="264" ht="15.75" customHeight="1">
      <c r="I264" s="69"/>
    </row>
    <row r="265" ht="15.75" customHeight="1">
      <c r="I265" s="69"/>
    </row>
    <row r="266" ht="15.75" customHeight="1">
      <c r="I266" s="69"/>
    </row>
    <row r="267" ht="15.75" customHeight="1">
      <c r="I267" s="69"/>
    </row>
    <row r="268" ht="15.75" customHeight="1">
      <c r="I268" s="69"/>
    </row>
    <row r="269" ht="15.75" customHeight="1">
      <c r="I269" s="69"/>
    </row>
    <row r="270" ht="15.75" customHeight="1">
      <c r="I270" s="69"/>
    </row>
    <row r="271" ht="15.75" customHeight="1">
      <c r="I271" s="69"/>
    </row>
    <row r="272" ht="15.75" customHeight="1">
      <c r="I272" s="69"/>
    </row>
    <row r="273" ht="15.75" customHeight="1">
      <c r="I273" s="69"/>
    </row>
    <row r="274" ht="15.75" customHeight="1">
      <c r="I274" s="69"/>
    </row>
    <row r="275" ht="15.75" customHeight="1">
      <c r="I275" s="69"/>
    </row>
    <row r="276" ht="15.75" customHeight="1">
      <c r="I276" s="69"/>
    </row>
    <row r="277" ht="15.75" customHeight="1">
      <c r="I277" s="69"/>
    </row>
    <row r="278" ht="15.75" customHeight="1">
      <c r="I278" s="69"/>
    </row>
    <row r="279" ht="15.75" customHeight="1">
      <c r="I279" s="69"/>
    </row>
    <row r="280" ht="15.75" customHeight="1">
      <c r="I280" s="69"/>
    </row>
    <row r="281" ht="15.75" customHeight="1">
      <c r="I281" s="69"/>
    </row>
    <row r="282" ht="15.75" customHeight="1">
      <c r="I282" s="69"/>
    </row>
    <row r="283" ht="15.75" customHeight="1">
      <c r="I283" s="69"/>
    </row>
    <row r="284" ht="15.75" customHeight="1">
      <c r="I284" s="69"/>
    </row>
    <row r="285" ht="15.75" customHeight="1">
      <c r="I285" s="69"/>
    </row>
    <row r="286" ht="15.75" customHeight="1">
      <c r="I286" s="69"/>
    </row>
    <row r="287" ht="15.75" customHeight="1">
      <c r="I287" s="69"/>
    </row>
    <row r="288" ht="15.75" customHeight="1">
      <c r="I288" s="69"/>
    </row>
    <row r="289" ht="15.75" customHeight="1">
      <c r="I289" s="69"/>
    </row>
    <row r="290" ht="15.75" customHeight="1">
      <c r="I290" s="69"/>
    </row>
    <row r="291" ht="15.75" customHeight="1">
      <c r="I291" s="69"/>
    </row>
    <row r="292" ht="15.75" customHeight="1">
      <c r="I292" s="69"/>
    </row>
    <row r="293" ht="15.75" customHeight="1">
      <c r="I293" s="69"/>
    </row>
    <row r="294" ht="15.75" customHeight="1">
      <c r="I294" s="69"/>
    </row>
    <row r="295" ht="15.75" customHeight="1">
      <c r="I295" s="69"/>
    </row>
    <row r="296" ht="15.75" customHeight="1">
      <c r="I296" s="69"/>
    </row>
    <row r="297" ht="15.75" customHeight="1">
      <c r="I297" s="69"/>
    </row>
    <row r="298" ht="15.75" customHeight="1">
      <c r="I298" s="69"/>
    </row>
    <row r="299" ht="15.75" customHeight="1">
      <c r="I299" s="69"/>
    </row>
    <row r="300" ht="15.75" customHeight="1">
      <c r="I300" s="69"/>
    </row>
    <row r="301" ht="15.75" customHeight="1">
      <c r="I301" s="69"/>
    </row>
    <row r="302" ht="15.75" customHeight="1">
      <c r="I302" s="69"/>
    </row>
    <row r="303" ht="15.75" customHeight="1">
      <c r="I303" s="69"/>
    </row>
    <row r="304" ht="15.75" customHeight="1">
      <c r="I304" s="69"/>
    </row>
    <row r="305" ht="15.75" customHeight="1">
      <c r="I305" s="69"/>
    </row>
    <row r="306" ht="15.75" customHeight="1">
      <c r="I306" s="69"/>
    </row>
    <row r="307" ht="15.75" customHeight="1">
      <c r="I307" s="69"/>
    </row>
    <row r="308" ht="15.75" customHeight="1">
      <c r="I308" s="69"/>
    </row>
    <row r="309" ht="15.75" customHeight="1">
      <c r="I309" s="69"/>
    </row>
    <row r="310" ht="15.75" customHeight="1">
      <c r="I310" s="69"/>
    </row>
    <row r="311" ht="15.75" customHeight="1">
      <c r="I311" s="69"/>
    </row>
    <row r="312" ht="15.75" customHeight="1">
      <c r="I312" s="69"/>
    </row>
    <row r="313" ht="15.75" customHeight="1">
      <c r="I313" s="69"/>
    </row>
    <row r="314" ht="15.75" customHeight="1">
      <c r="I314" s="69"/>
    </row>
    <row r="315" ht="15.75" customHeight="1">
      <c r="I315" s="69"/>
    </row>
    <row r="316" ht="15.75" customHeight="1">
      <c r="I316" s="69"/>
    </row>
    <row r="317" ht="15.75" customHeight="1">
      <c r="I317" s="69"/>
    </row>
    <row r="318" ht="15.75" customHeight="1">
      <c r="I318" s="69"/>
    </row>
    <row r="319" ht="15.75" customHeight="1">
      <c r="I319" s="69"/>
    </row>
    <row r="320" ht="15.75" customHeight="1">
      <c r="I320" s="69"/>
    </row>
    <row r="321" ht="15.75" customHeight="1">
      <c r="I321" s="69"/>
    </row>
    <row r="322" ht="15.75" customHeight="1">
      <c r="I322" s="69"/>
    </row>
    <row r="323" ht="15.75" customHeight="1">
      <c r="I323" s="69"/>
    </row>
    <row r="324" ht="15.75" customHeight="1">
      <c r="I324" s="69"/>
    </row>
    <row r="325" ht="15.75" customHeight="1">
      <c r="I325" s="69"/>
    </row>
    <row r="326" ht="15.75" customHeight="1">
      <c r="I326" s="69"/>
    </row>
    <row r="327" ht="15.75" customHeight="1">
      <c r="I327" s="69"/>
    </row>
    <row r="328" ht="15.75" customHeight="1">
      <c r="I328" s="69"/>
    </row>
    <row r="329" ht="15.75" customHeight="1">
      <c r="I329" s="69"/>
    </row>
    <row r="330" ht="15.75" customHeight="1">
      <c r="I330" s="69"/>
    </row>
    <row r="331" ht="15.75" customHeight="1">
      <c r="I331" s="69"/>
    </row>
    <row r="332" ht="15.75" customHeight="1">
      <c r="I332" s="69"/>
    </row>
    <row r="333" ht="15.75" customHeight="1">
      <c r="I333" s="69"/>
    </row>
    <row r="334" ht="15.75" customHeight="1">
      <c r="I334" s="69"/>
    </row>
    <row r="335" ht="15.75" customHeight="1">
      <c r="I335" s="69"/>
    </row>
    <row r="336" ht="15.75" customHeight="1">
      <c r="I336" s="69"/>
    </row>
    <row r="337" ht="15.75" customHeight="1">
      <c r="I337" s="69"/>
    </row>
    <row r="338" ht="15.75" customHeight="1">
      <c r="I338" s="69"/>
    </row>
    <row r="339" ht="15.75" customHeight="1">
      <c r="I339" s="69"/>
    </row>
    <row r="340" ht="15.75" customHeight="1">
      <c r="I340" s="69"/>
    </row>
    <row r="341" ht="15.75" customHeight="1">
      <c r="I341" s="69"/>
    </row>
    <row r="342" ht="15.75" customHeight="1">
      <c r="I342" s="69"/>
    </row>
    <row r="343" ht="15.75" customHeight="1">
      <c r="I343" s="69"/>
    </row>
    <row r="344" ht="15.75" customHeight="1">
      <c r="I344" s="69"/>
    </row>
    <row r="345" ht="15.75" customHeight="1">
      <c r="I345" s="69"/>
    </row>
    <row r="346" ht="15.75" customHeight="1">
      <c r="I346" s="69"/>
    </row>
    <row r="347" ht="15.75" customHeight="1">
      <c r="I347" s="69"/>
    </row>
    <row r="348" ht="15.75" customHeight="1">
      <c r="I348" s="69"/>
    </row>
    <row r="349" ht="15.75" customHeight="1">
      <c r="I349" s="69"/>
    </row>
    <row r="350" ht="15.75" customHeight="1">
      <c r="I350" s="69"/>
    </row>
    <row r="351" ht="15.75" customHeight="1">
      <c r="I351" s="69"/>
    </row>
    <row r="352" ht="15.75" customHeight="1">
      <c r="I352" s="69"/>
    </row>
    <row r="353" ht="15.75" customHeight="1">
      <c r="I353" s="69"/>
    </row>
    <row r="354" ht="15.75" customHeight="1">
      <c r="I354" s="69"/>
    </row>
    <row r="355" ht="15.75" customHeight="1">
      <c r="I355" s="69"/>
    </row>
    <row r="356" ht="15.75" customHeight="1">
      <c r="I356" s="69"/>
    </row>
    <row r="357" ht="15.75" customHeight="1">
      <c r="I357" s="69"/>
    </row>
    <row r="358" ht="15.75" customHeight="1">
      <c r="I358" s="69"/>
    </row>
    <row r="359" ht="15.75" customHeight="1">
      <c r="I359" s="69"/>
    </row>
    <row r="360" ht="15.75" customHeight="1">
      <c r="I360" s="69"/>
    </row>
    <row r="361" ht="15.75" customHeight="1">
      <c r="I361" s="69"/>
    </row>
    <row r="362" ht="15.75" customHeight="1">
      <c r="I362" s="69"/>
    </row>
    <row r="363" ht="15.75" customHeight="1">
      <c r="I363" s="69"/>
    </row>
    <row r="364" ht="15.75" customHeight="1">
      <c r="I364" s="69"/>
    </row>
    <row r="365" ht="15.75" customHeight="1">
      <c r="I365" s="69"/>
    </row>
    <row r="366" ht="15.75" customHeight="1">
      <c r="I366" s="69"/>
    </row>
    <row r="367" ht="15.75" customHeight="1">
      <c r="I367" s="69"/>
    </row>
    <row r="368" ht="15.75" customHeight="1">
      <c r="I368" s="69"/>
    </row>
    <row r="369" ht="15.75" customHeight="1">
      <c r="I369" s="69"/>
    </row>
    <row r="370" ht="15.75" customHeight="1">
      <c r="I370" s="69"/>
    </row>
    <row r="371" ht="15.75" customHeight="1">
      <c r="I371" s="69"/>
    </row>
    <row r="372" ht="15.75" customHeight="1">
      <c r="I372" s="69"/>
    </row>
    <row r="373" ht="15.75" customHeight="1">
      <c r="I373" s="69"/>
    </row>
    <row r="374" ht="15.75" customHeight="1">
      <c r="I374" s="69"/>
    </row>
    <row r="375" ht="15.75" customHeight="1">
      <c r="I375" s="69"/>
    </row>
    <row r="376" ht="15.75" customHeight="1">
      <c r="I376" s="69"/>
    </row>
    <row r="377" ht="15.75" customHeight="1">
      <c r="I377" s="69"/>
    </row>
    <row r="378" ht="15.75" customHeight="1">
      <c r="I378" s="69"/>
    </row>
    <row r="379" ht="15.75" customHeight="1">
      <c r="I379" s="69"/>
    </row>
    <row r="380" ht="15.75" customHeight="1">
      <c r="I380" s="69"/>
    </row>
    <row r="381" ht="15.75" customHeight="1">
      <c r="I381" s="69"/>
    </row>
    <row r="382" ht="15.75" customHeight="1">
      <c r="I382" s="69"/>
    </row>
    <row r="383" ht="15.75" customHeight="1">
      <c r="I383" s="69"/>
    </row>
    <row r="384" ht="15.75" customHeight="1">
      <c r="I384" s="69"/>
    </row>
    <row r="385" ht="15.75" customHeight="1">
      <c r="I385" s="69"/>
    </row>
    <row r="386" ht="15.75" customHeight="1">
      <c r="I386" s="69"/>
    </row>
    <row r="387" ht="15.75" customHeight="1">
      <c r="I387" s="69"/>
    </row>
    <row r="388" ht="15.75" customHeight="1">
      <c r="I388" s="69"/>
    </row>
    <row r="389" ht="15.75" customHeight="1">
      <c r="I389" s="69"/>
    </row>
    <row r="390" ht="15.75" customHeight="1">
      <c r="I390" s="69"/>
    </row>
    <row r="391" ht="15.75" customHeight="1">
      <c r="I391" s="69"/>
    </row>
    <row r="392" ht="15.75" customHeight="1">
      <c r="I392" s="69"/>
    </row>
    <row r="393" ht="15.75" customHeight="1">
      <c r="I393" s="69"/>
    </row>
    <row r="394" ht="15.75" customHeight="1">
      <c r="I394" s="69"/>
    </row>
    <row r="395" ht="15.75" customHeight="1">
      <c r="I395" s="69"/>
    </row>
    <row r="396" ht="15.75" customHeight="1">
      <c r="I396" s="69"/>
    </row>
    <row r="397" ht="15.75" customHeight="1">
      <c r="I397" s="69"/>
    </row>
    <row r="398" ht="15.75" customHeight="1">
      <c r="I398" s="69"/>
    </row>
    <row r="399" ht="15.75" customHeight="1">
      <c r="I399" s="69"/>
    </row>
    <row r="400" ht="15.75" customHeight="1">
      <c r="I400" s="69"/>
    </row>
    <row r="401" ht="15.75" customHeight="1">
      <c r="I401" s="69"/>
    </row>
    <row r="402" ht="15.75" customHeight="1">
      <c r="I402" s="69"/>
    </row>
    <row r="403" ht="15.75" customHeight="1">
      <c r="I403" s="69"/>
    </row>
    <row r="404" ht="15.75" customHeight="1">
      <c r="I404" s="69"/>
    </row>
    <row r="405" ht="15.75" customHeight="1">
      <c r="I405" s="69"/>
    </row>
    <row r="406" ht="15.75" customHeight="1">
      <c r="I406" s="69"/>
    </row>
    <row r="407" ht="15.75" customHeight="1">
      <c r="I407" s="69"/>
    </row>
    <row r="408" ht="15.75" customHeight="1">
      <c r="I408" s="69"/>
    </row>
    <row r="409" ht="15.75" customHeight="1">
      <c r="I409" s="69"/>
    </row>
    <row r="410" ht="15.75" customHeight="1">
      <c r="I410" s="69"/>
    </row>
    <row r="411" ht="15.75" customHeight="1">
      <c r="I411" s="69"/>
    </row>
    <row r="412" ht="15.75" customHeight="1">
      <c r="I412" s="69"/>
    </row>
    <row r="413" ht="15.75" customHeight="1">
      <c r="I413" s="69"/>
    </row>
    <row r="414" ht="15.75" customHeight="1">
      <c r="I414" s="69"/>
    </row>
    <row r="415" ht="15.75" customHeight="1">
      <c r="I415" s="69"/>
    </row>
    <row r="416" ht="15.75" customHeight="1">
      <c r="I416" s="69"/>
    </row>
    <row r="417" ht="15.75" customHeight="1">
      <c r="I417" s="69"/>
    </row>
    <row r="418" ht="15.75" customHeight="1">
      <c r="I418" s="69"/>
    </row>
    <row r="419" ht="15.75" customHeight="1">
      <c r="I419" s="69"/>
    </row>
    <row r="420" ht="15.75" customHeight="1">
      <c r="I420" s="69"/>
    </row>
    <row r="421" ht="15.75" customHeight="1">
      <c r="I421" s="69"/>
    </row>
    <row r="422" ht="15.75" customHeight="1">
      <c r="I422" s="69"/>
    </row>
    <row r="423" ht="15.75" customHeight="1">
      <c r="I423" s="69"/>
    </row>
    <row r="424" ht="15.75" customHeight="1">
      <c r="I424" s="69"/>
    </row>
    <row r="425" ht="15.75" customHeight="1">
      <c r="I425" s="69"/>
    </row>
    <row r="426" ht="15.75" customHeight="1">
      <c r="I426" s="69"/>
    </row>
    <row r="427" ht="15.75" customHeight="1">
      <c r="I427" s="69"/>
    </row>
    <row r="428" ht="15.75" customHeight="1">
      <c r="I428" s="69"/>
    </row>
    <row r="429" ht="15.75" customHeight="1">
      <c r="I429" s="69"/>
    </row>
    <row r="430" ht="15.75" customHeight="1">
      <c r="I430" s="69"/>
    </row>
    <row r="431" ht="15.75" customHeight="1">
      <c r="I431" s="69"/>
    </row>
    <row r="432" ht="15.75" customHeight="1">
      <c r="I432" s="69"/>
    </row>
    <row r="433" ht="15.75" customHeight="1">
      <c r="I433" s="69"/>
    </row>
    <row r="434" ht="15.75" customHeight="1">
      <c r="I434" s="69"/>
    </row>
    <row r="435" ht="15.75" customHeight="1">
      <c r="I435" s="69"/>
    </row>
    <row r="436" ht="15.75" customHeight="1">
      <c r="I436" s="69"/>
    </row>
    <row r="437" ht="15.75" customHeight="1">
      <c r="I437" s="69"/>
    </row>
    <row r="438" ht="15.75" customHeight="1">
      <c r="I438" s="69"/>
    </row>
    <row r="439" ht="15.75" customHeight="1">
      <c r="I439" s="69"/>
    </row>
    <row r="440" ht="15.75" customHeight="1">
      <c r="I440" s="69"/>
    </row>
    <row r="441" ht="15.75" customHeight="1">
      <c r="I441" s="69"/>
    </row>
    <row r="442" ht="15.75" customHeight="1">
      <c r="I442" s="69"/>
    </row>
    <row r="443" ht="15.75" customHeight="1">
      <c r="I443" s="69"/>
    </row>
    <row r="444" ht="15.75" customHeight="1">
      <c r="I444" s="69"/>
    </row>
    <row r="445" ht="15.75" customHeight="1">
      <c r="I445" s="69"/>
    </row>
    <row r="446" ht="15.75" customHeight="1">
      <c r="I446" s="69"/>
    </row>
    <row r="447" ht="15.75" customHeight="1">
      <c r="I447" s="69"/>
    </row>
    <row r="448" ht="15.75" customHeight="1">
      <c r="I448" s="69"/>
    </row>
    <row r="449" ht="15.75" customHeight="1">
      <c r="I449" s="69"/>
    </row>
    <row r="450" ht="15.75" customHeight="1">
      <c r="I450" s="69"/>
    </row>
    <row r="451" ht="15.75" customHeight="1">
      <c r="I451" s="69"/>
    </row>
    <row r="452" ht="15.75" customHeight="1">
      <c r="I452" s="69"/>
    </row>
    <row r="453" ht="15.75" customHeight="1">
      <c r="I453" s="69"/>
    </row>
    <row r="454" ht="15.75" customHeight="1">
      <c r="I454" s="69"/>
    </row>
    <row r="455" ht="15.75" customHeight="1">
      <c r="I455" s="69"/>
    </row>
    <row r="456" ht="15.75" customHeight="1">
      <c r="I456" s="69"/>
    </row>
    <row r="457" ht="15.75" customHeight="1">
      <c r="I457" s="69"/>
    </row>
    <row r="458" ht="15.75" customHeight="1">
      <c r="I458" s="69"/>
    </row>
    <row r="459" ht="15.75" customHeight="1">
      <c r="I459" s="69"/>
    </row>
    <row r="460" ht="15.75" customHeight="1">
      <c r="I460" s="69"/>
    </row>
    <row r="461" ht="15.75" customHeight="1">
      <c r="I461" s="69"/>
    </row>
    <row r="462" ht="15.75" customHeight="1">
      <c r="I462" s="69"/>
    </row>
    <row r="463" ht="15.75" customHeight="1">
      <c r="I463" s="69"/>
    </row>
    <row r="464" ht="15.75" customHeight="1">
      <c r="I464" s="69"/>
    </row>
    <row r="465" ht="15.75" customHeight="1">
      <c r="I465" s="69"/>
    </row>
    <row r="466" ht="15.75" customHeight="1">
      <c r="I466" s="69"/>
    </row>
    <row r="467" ht="15.75" customHeight="1">
      <c r="I467" s="69"/>
    </row>
    <row r="468" ht="15.75" customHeight="1">
      <c r="I468" s="69"/>
    </row>
    <row r="469" ht="15.75" customHeight="1">
      <c r="I469" s="69"/>
    </row>
    <row r="470" ht="15.75" customHeight="1">
      <c r="I470" s="69"/>
    </row>
    <row r="471" ht="15.75" customHeight="1">
      <c r="I471" s="69"/>
    </row>
    <row r="472" ht="15.75" customHeight="1">
      <c r="I472" s="69"/>
    </row>
    <row r="473" ht="15.75" customHeight="1">
      <c r="I473" s="69"/>
    </row>
    <row r="474" ht="15.75" customHeight="1">
      <c r="I474" s="69"/>
    </row>
    <row r="475" ht="15.75" customHeight="1">
      <c r="I475" s="69"/>
    </row>
    <row r="476" ht="15.75" customHeight="1">
      <c r="I476" s="69"/>
    </row>
    <row r="477" ht="15.75" customHeight="1">
      <c r="I477" s="69"/>
    </row>
    <row r="478" ht="15.75" customHeight="1">
      <c r="I478" s="69"/>
    </row>
    <row r="479" ht="15.75" customHeight="1">
      <c r="I479" s="69"/>
    </row>
    <row r="480" ht="15.75" customHeight="1">
      <c r="I480" s="69"/>
    </row>
    <row r="481" ht="15.75" customHeight="1">
      <c r="I481" s="69"/>
    </row>
    <row r="482" ht="15.75" customHeight="1">
      <c r="I482" s="69"/>
    </row>
    <row r="483" ht="15.75" customHeight="1">
      <c r="I483" s="69"/>
    </row>
    <row r="484" ht="15.75" customHeight="1">
      <c r="I484" s="69"/>
    </row>
    <row r="485" ht="15.75" customHeight="1">
      <c r="I485" s="69"/>
    </row>
    <row r="486" ht="15.75" customHeight="1">
      <c r="I486" s="69"/>
    </row>
    <row r="487" ht="15.75" customHeight="1">
      <c r="I487" s="69"/>
    </row>
    <row r="488" ht="15.75" customHeight="1">
      <c r="I488" s="69"/>
    </row>
    <row r="489" ht="15.75" customHeight="1">
      <c r="I489" s="69"/>
    </row>
    <row r="490" ht="15.75" customHeight="1">
      <c r="I490" s="69"/>
    </row>
    <row r="491" ht="15.75" customHeight="1">
      <c r="I491" s="69"/>
    </row>
    <row r="492" ht="15.75" customHeight="1">
      <c r="I492" s="69"/>
    </row>
    <row r="493" ht="15.75" customHeight="1">
      <c r="I493" s="69"/>
    </row>
    <row r="494" ht="15.75" customHeight="1">
      <c r="I494" s="69"/>
    </row>
    <row r="495" ht="15.75" customHeight="1">
      <c r="I495" s="69"/>
    </row>
    <row r="496" ht="15.75" customHeight="1">
      <c r="I496" s="69"/>
    </row>
    <row r="497" ht="15.75" customHeight="1">
      <c r="I497" s="69"/>
    </row>
    <row r="498" ht="15.75" customHeight="1">
      <c r="I498" s="69"/>
    </row>
    <row r="499" ht="15.75" customHeight="1">
      <c r="I499" s="69"/>
    </row>
    <row r="500" ht="15.75" customHeight="1">
      <c r="I500" s="69"/>
    </row>
    <row r="501" ht="15.75" customHeight="1">
      <c r="I501" s="69"/>
    </row>
    <row r="502" ht="15.75" customHeight="1">
      <c r="I502" s="69"/>
    </row>
    <row r="503" ht="15.75" customHeight="1">
      <c r="I503" s="69"/>
    </row>
    <row r="504" ht="15.75" customHeight="1">
      <c r="I504" s="69"/>
    </row>
    <row r="505" ht="15.75" customHeight="1">
      <c r="I505" s="69"/>
    </row>
    <row r="506" ht="15.75" customHeight="1">
      <c r="I506" s="69"/>
    </row>
    <row r="507" ht="15.75" customHeight="1">
      <c r="I507" s="69"/>
    </row>
    <row r="508" ht="15.75" customHeight="1">
      <c r="I508" s="69"/>
    </row>
    <row r="509" ht="15.75" customHeight="1">
      <c r="I509" s="69"/>
    </row>
    <row r="510" ht="15.75" customHeight="1">
      <c r="I510" s="69"/>
    </row>
    <row r="511" ht="15.75" customHeight="1">
      <c r="I511" s="69"/>
    </row>
    <row r="512" ht="15.75" customHeight="1">
      <c r="I512" s="69"/>
    </row>
    <row r="513" ht="15.75" customHeight="1">
      <c r="I513" s="69"/>
    </row>
    <row r="514" ht="15.75" customHeight="1">
      <c r="I514" s="69"/>
    </row>
    <row r="515" ht="15.75" customHeight="1">
      <c r="I515" s="69"/>
    </row>
    <row r="516" ht="15.75" customHeight="1">
      <c r="I516" s="69"/>
    </row>
    <row r="517" ht="15.75" customHeight="1">
      <c r="I517" s="69"/>
    </row>
    <row r="518" ht="15.75" customHeight="1">
      <c r="I518" s="69"/>
    </row>
    <row r="519" ht="15.75" customHeight="1">
      <c r="I519" s="69"/>
    </row>
    <row r="520" ht="15.75" customHeight="1">
      <c r="I520" s="69"/>
    </row>
    <row r="521" ht="15.75" customHeight="1">
      <c r="I521" s="69"/>
    </row>
    <row r="522" ht="15.75" customHeight="1">
      <c r="I522" s="69"/>
    </row>
    <row r="523" ht="15.75" customHeight="1">
      <c r="I523" s="69"/>
    </row>
    <row r="524" ht="15.75" customHeight="1">
      <c r="I524" s="69"/>
    </row>
    <row r="525" ht="15.75" customHeight="1">
      <c r="I525" s="69"/>
    </row>
    <row r="526" ht="15.75" customHeight="1">
      <c r="I526" s="69"/>
    </row>
    <row r="527" ht="15.75" customHeight="1">
      <c r="I527" s="69"/>
    </row>
    <row r="528" ht="15.75" customHeight="1">
      <c r="I528" s="69"/>
    </row>
    <row r="529" ht="15.75" customHeight="1">
      <c r="I529" s="69"/>
    </row>
    <row r="530" ht="15.75" customHeight="1">
      <c r="I530" s="69"/>
    </row>
    <row r="531" ht="15.75" customHeight="1">
      <c r="I531" s="69"/>
    </row>
    <row r="532" ht="15.75" customHeight="1">
      <c r="I532" s="69"/>
    </row>
    <row r="533" ht="15.75" customHeight="1">
      <c r="I533" s="69"/>
    </row>
    <row r="534" ht="15.75" customHeight="1">
      <c r="I534" s="69"/>
    </row>
    <row r="535" ht="15.75" customHeight="1">
      <c r="I535" s="69"/>
    </row>
    <row r="536" ht="15.75" customHeight="1">
      <c r="I536" s="69"/>
    </row>
    <row r="537" ht="15.75" customHeight="1">
      <c r="I537" s="69"/>
    </row>
    <row r="538" ht="15.75" customHeight="1">
      <c r="I538" s="69"/>
    </row>
    <row r="539" ht="15.75" customHeight="1">
      <c r="I539" s="69"/>
    </row>
    <row r="540" ht="15.75" customHeight="1">
      <c r="I540" s="69"/>
    </row>
    <row r="541" ht="15.75" customHeight="1">
      <c r="I541" s="69"/>
    </row>
    <row r="542" ht="15.75" customHeight="1">
      <c r="I542" s="69"/>
    </row>
    <row r="543" ht="15.75" customHeight="1">
      <c r="I543" s="69"/>
    </row>
    <row r="544" ht="15.75" customHeight="1">
      <c r="I544" s="69"/>
    </row>
    <row r="545" ht="15.75" customHeight="1">
      <c r="I545" s="69"/>
    </row>
    <row r="546" ht="15.75" customHeight="1">
      <c r="I546" s="69"/>
    </row>
    <row r="547" ht="15.75" customHeight="1">
      <c r="I547" s="69"/>
    </row>
    <row r="548" ht="15.75" customHeight="1">
      <c r="I548" s="69"/>
    </row>
    <row r="549" ht="15.75" customHeight="1">
      <c r="I549" s="69"/>
    </row>
    <row r="550" ht="15.75" customHeight="1">
      <c r="I550" s="69"/>
    </row>
    <row r="551" ht="15.75" customHeight="1">
      <c r="I551" s="69"/>
    </row>
    <row r="552" ht="15.75" customHeight="1">
      <c r="I552" s="69"/>
    </row>
    <row r="553" ht="15.75" customHeight="1">
      <c r="I553" s="69"/>
    </row>
    <row r="554" ht="15.75" customHeight="1">
      <c r="I554" s="69"/>
    </row>
    <row r="555" ht="15.75" customHeight="1">
      <c r="I555" s="69"/>
    </row>
    <row r="556" ht="15.75" customHeight="1">
      <c r="I556" s="69"/>
    </row>
    <row r="557" ht="15.75" customHeight="1">
      <c r="I557" s="69"/>
    </row>
    <row r="558" ht="15.75" customHeight="1">
      <c r="I558" s="69"/>
    </row>
    <row r="559" ht="15.75" customHeight="1">
      <c r="I559" s="69"/>
    </row>
    <row r="560" ht="15.75" customHeight="1">
      <c r="I560" s="69"/>
    </row>
    <row r="561" ht="15.75" customHeight="1">
      <c r="I561" s="69"/>
    </row>
    <row r="562" ht="15.75" customHeight="1">
      <c r="I562" s="69"/>
    </row>
    <row r="563" ht="15.75" customHeight="1">
      <c r="I563" s="69"/>
    </row>
    <row r="564" ht="15.75" customHeight="1">
      <c r="I564" s="69"/>
    </row>
    <row r="565" ht="15.75" customHeight="1">
      <c r="I565" s="69"/>
    </row>
    <row r="566" ht="15.75" customHeight="1">
      <c r="I566" s="69"/>
    </row>
    <row r="567" ht="15.75" customHeight="1">
      <c r="I567" s="69"/>
    </row>
    <row r="568" ht="15.75" customHeight="1">
      <c r="I568" s="69"/>
    </row>
    <row r="569" ht="15.75" customHeight="1">
      <c r="I569" s="69"/>
    </row>
    <row r="570" ht="15.75" customHeight="1">
      <c r="I570" s="69"/>
    </row>
    <row r="571" ht="15.75" customHeight="1">
      <c r="I571" s="69"/>
    </row>
    <row r="572" ht="15.75" customHeight="1">
      <c r="I572" s="69"/>
    </row>
    <row r="573" ht="15.75" customHeight="1">
      <c r="I573" s="69"/>
    </row>
    <row r="574" ht="15.75" customHeight="1">
      <c r="I574" s="69"/>
    </row>
    <row r="575" ht="15.75" customHeight="1">
      <c r="I575" s="69"/>
    </row>
    <row r="576" ht="15.75" customHeight="1">
      <c r="I576" s="69"/>
    </row>
    <row r="577" ht="15.75" customHeight="1">
      <c r="I577" s="69"/>
    </row>
    <row r="578" ht="15.75" customHeight="1">
      <c r="I578" s="69"/>
    </row>
    <row r="579" ht="15.75" customHeight="1">
      <c r="I579" s="69"/>
    </row>
    <row r="580" ht="15.75" customHeight="1">
      <c r="I580" s="69"/>
    </row>
    <row r="581" ht="15.75" customHeight="1">
      <c r="I581" s="69"/>
    </row>
    <row r="582" ht="15.75" customHeight="1">
      <c r="I582" s="69"/>
    </row>
    <row r="583" ht="15.75" customHeight="1">
      <c r="I583" s="69"/>
    </row>
    <row r="584" ht="15.75" customHeight="1">
      <c r="I584" s="69"/>
    </row>
    <row r="585" ht="15.75" customHeight="1">
      <c r="I585" s="69"/>
    </row>
    <row r="586" ht="15.75" customHeight="1">
      <c r="I586" s="69"/>
    </row>
    <row r="587" ht="15.75" customHeight="1">
      <c r="I587" s="69"/>
    </row>
    <row r="588" ht="15.75" customHeight="1">
      <c r="I588" s="69"/>
    </row>
    <row r="589" ht="15.75" customHeight="1">
      <c r="I589" s="69"/>
    </row>
    <row r="590" ht="15.75" customHeight="1">
      <c r="I590" s="69"/>
    </row>
    <row r="591" ht="15.75" customHeight="1">
      <c r="I591" s="69"/>
    </row>
    <row r="592" ht="15.75" customHeight="1">
      <c r="I592" s="69"/>
    </row>
    <row r="593" ht="15.75" customHeight="1">
      <c r="I593" s="69"/>
    </row>
    <row r="594" ht="15.75" customHeight="1">
      <c r="I594" s="69"/>
    </row>
    <row r="595" ht="15.75" customHeight="1">
      <c r="I595" s="69"/>
    </row>
    <row r="596" ht="15.75" customHeight="1">
      <c r="I596" s="69"/>
    </row>
    <row r="597" ht="15.75" customHeight="1">
      <c r="I597" s="69"/>
    </row>
    <row r="598" ht="15.75" customHeight="1">
      <c r="I598" s="69"/>
    </row>
    <row r="599" ht="15.75" customHeight="1">
      <c r="I599" s="69"/>
    </row>
    <row r="600" ht="15.75" customHeight="1">
      <c r="I600" s="69"/>
    </row>
    <row r="601" ht="15.75" customHeight="1">
      <c r="I601" s="69"/>
    </row>
    <row r="602" ht="15.75" customHeight="1">
      <c r="I602" s="69"/>
    </row>
    <row r="603" ht="15.75" customHeight="1">
      <c r="I603" s="69"/>
    </row>
    <row r="604" ht="15.75" customHeight="1">
      <c r="I604" s="69"/>
    </row>
    <row r="605" ht="15.75" customHeight="1">
      <c r="I605" s="69"/>
    </row>
    <row r="606" ht="15.75" customHeight="1">
      <c r="I606" s="69"/>
    </row>
    <row r="607" ht="15.75" customHeight="1">
      <c r="I607" s="69"/>
    </row>
    <row r="608" ht="15.75" customHeight="1">
      <c r="I608" s="69"/>
    </row>
    <row r="609" ht="15.75" customHeight="1">
      <c r="I609" s="69"/>
    </row>
    <row r="610" ht="15.75" customHeight="1">
      <c r="I610" s="69"/>
    </row>
    <row r="611" ht="15.75" customHeight="1">
      <c r="I611" s="69"/>
    </row>
    <row r="612" ht="15.75" customHeight="1">
      <c r="I612" s="69"/>
    </row>
    <row r="613" ht="15.75" customHeight="1">
      <c r="I613" s="69"/>
    </row>
    <row r="614" ht="15.75" customHeight="1">
      <c r="I614" s="69"/>
    </row>
    <row r="615" ht="15.75" customHeight="1">
      <c r="I615" s="69"/>
    </row>
    <row r="616" ht="15.75" customHeight="1">
      <c r="I616" s="69"/>
    </row>
    <row r="617" ht="15.75" customHeight="1">
      <c r="I617" s="69"/>
    </row>
    <row r="618" ht="15.75" customHeight="1">
      <c r="I618" s="69"/>
    </row>
    <row r="619" ht="15.75" customHeight="1">
      <c r="I619" s="69"/>
    </row>
    <row r="620" ht="15.75" customHeight="1">
      <c r="I620" s="69"/>
    </row>
    <row r="621" ht="15.75" customHeight="1">
      <c r="I621" s="69"/>
    </row>
    <row r="622" ht="15.75" customHeight="1">
      <c r="I622" s="69"/>
    </row>
    <row r="623" ht="15.75" customHeight="1">
      <c r="I623" s="69"/>
    </row>
    <row r="624" ht="15.75" customHeight="1">
      <c r="I624" s="69"/>
    </row>
    <row r="625" ht="15.75" customHeight="1">
      <c r="I625" s="69"/>
    </row>
    <row r="626" ht="15.75" customHeight="1">
      <c r="I626" s="69"/>
    </row>
    <row r="627" ht="15.75" customHeight="1">
      <c r="I627" s="69"/>
    </row>
    <row r="628" ht="15.75" customHeight="1">
      <c r="I628" s="69"/>
    </row>
    <row r="629" ht="15.75" customHeight="1">
      <c r="I629" s="69"/>
    </row>
    <row r="630" ht="15.75" customHeight="1">
      <c r="I630" s="69"/>
    </row>
    <row r="631" ht="15.75" customHeight="1">
      <c r="I631" s="69"/>
    </row>
    <row r="632" ht="15.75" customHeight="1">
      <c r="I632" s="69"/>
    </row>
    <row r="633" ht="15.75" customHeight="1">
      <c r="I633" s="69"/>
    </row>
    <row r="634" ht="15.75" customHeight="1">
      <c r="I634" s="69"/>
    </row>
    <row r="635" ht="15.75" customHeight="1">
      <c r="I635" s="69"/>
    </row>
    <row r="636" ht="15.75" customHeight="1">
      <c r="I636" s="69"/>
    </row>
    <row r="637" ht="15.75" customHeight="1">
      <c r="I637" s="69"/>
    </row>
    <row r="638" ht="15.75" customHeight="1">
      <c r="I638" s="69"/>
    </row>
    <row r="639" ht="15.75" customHeight="1">
      <c r="I639" s="69"/>
    </row>
    <row r="640" ht="15.75" customHeight="1">
      <c r="I640" s="69"/>
    </row>
    <row r="641" ht="15.75" customHeight="1">
      <c r="I641" s="69"/>
    </row>
    <row r="642" ht="15.75" customHeight="1">
      <c r="I642" s="69"/>
    </row>
    <row r="643" ht="15.75" customHeight="1">
      <c r="I643" s="69"/>
    </row>
    <row r="644" ht="15.75" customHeight="1">
      <c r="I644" s="69"/>
    </row>
    <row r="645" ht="15.75" customHeight="1">
      <c r="I645" s="69"/>
    </row>
    <row r="646" ht="15.75" customHeight="1">
      <c r="I646" s="69"/>
    </row>
    <row r="647" ht="15.75" customHeight="1">
      <c r="I647" s="69"/>
    </row>
    <row r="648" ht="15.75" customHeight="1">
      <c r="I648" s="69"/>
    </row>
    <row r="649" ht="15.75" customHeight="1">
      <c r="I649" s="69"/>
    </row>
    <row r="650" ht="15.75" customHeight="1">
      <c r="I650" s="69"/>
    </row>
    <row r="651" ht="15.75" customHeight="1">
      <c r="I651" s="69"/>
    </row>
    <row r="652" ht="15.75" customHeight="1">
      <c r="I652" s="69"/>
    </row>
    <row r="653" ht="15.75" customHeight="1">
      <c r="I653" s="69"/>
    </row>
    <row r="654" ht="15.75" customHeight="1">
      <c r="I654" s="69"/>
    </row>
    <row r="655" ht="15.75" customHeight="1">
      <c r="I655" s="69"/>
    </row>
    <row r="656" ht="15.75" customHeight="1">
      <c r="I656" s="69"/>
    </row>
    <row r="657" ht="15.75" customHeight="1">
      <c r="I657" s="69"/>
    </row>
    <row r="658" ht="15.75" customHeight="1">
      <c r="I658" s="69"/>
    </row>
    <row r="659" ht="15.75" customHeight="1">
      <c r="I659" s="69"/>
    </row>
    <row r="660" ht="15.75" customHeight="1">
      <c r="I660" s="69"/>
    </row>
    <row r="661" ht="15.75" customHeight="1">
      <c r="I661" s="69"/>
    </row>
    <row r="662" ht="15.75" customHeight="1">
      <c r="I662" s="69"/>
    </row>
    <row r="663" ht="15.75" customHeight="1">
      <c r="I663" s="69"/>
    </row>
    <row r="664" ht="15.75" customHeight="1">
      <c r="I664" s="69"/>
    </row>
    <row r="665" ht="15.75" customHeight="1">
      <c r="I665" s="69"/>
    </row>
    <row r="666" ht="15.75" customHeight="1">
      <c r="I666" s="69"/>
    </row>
    <row r="667" ht="15.75" customHeight="1">
      <c r="I667" s="69"/>
    </row>
    <row r="668" ht="15.75" customHeight="1">
      <c r="I668" s="69"/>
    </row>
    <row r="669" ht="15.75" customHeight="1">
      <c r="I669" s="69"/>
    </row>
    <row r="670" ht="15.75" customHeight="1">
      <c r="I670" s="69"/>
    </row>
    <row r="671" ht="15.75" customHeight="1">
      <c r="I671" s="69"/>
    </row>
    <row r="672" ht="15.75" customHeight="1">
      <c r="I672" s="69"/>
    </row>
    <row r="673" ht="15.75" customHeight="1">
      <c r="I673" s="69"/>
    </row>
    <row r="674" ht="15.75" customHeight="1">
      <c r="I674" s="69"/>
    </row>
    <row r="675" ht="15.75" customHeight="1">
      <c r="I675" s="69"/>
    </row>
    <row r="676" ht="15.75" customHeight="1">
      <c r="I676" s="69"/>
    </row>
    <row r="677" ht="15.75" customHeight="1">
      <c r="I677" s="69"/>
    </row>
    <row r="678" ht="15.75" customHeight="1">
      <c r="I678" s="69"/>
    </row>
    <row r="679" ht="15.75" customHeight="1">
      <c r="I679" s="69"/>
    </row>
    <row r="680" ht="15.75" customHeight="1">
      <c r="I680" s="69"/>
    </row>
    <row r="681" ht="15.75" customHeight="1">
      <c r="I681" s="69"/>
    </row>
    <row r="682" ht="15.75" customHeight="1">
      <c r="I682" s="69"/>
    </row>
    <row r="683" ht="15.75" customHeight="1">
      <c r="I683" s="69"/>
    </row>
    <row r="684" ht="15.75" customHeight="1">
      <c r="I684" s="69"/>
    </row>
    <row r="685" ht="15.75" customHeight="1">
      <c r="I685" s="69"/>
    </row>
    <row r="686" ht="15.75" customHeight="1">
      <c r="I686" s="69"/>
    </row>
    <row r="687" ht="15.75" customHeight="1">
      <c r="I687" s="69"/>
    </row>
    <row r="688" ht="15.75" customHeight="1">
      <c r="I688" s="69"/>
    </row>
    <row r="689" ht="15.75" customHeight="1">
      <c r="I689" s="69"/>
    </row>
    <row r="690" ht="15.75" customHeight="1">
      <c r="I690" s="69"/>
    </row>
    <row r="691" ht="15.75" customHeight="1">
      <c r="I691" s="69"/>
    </row>
    <row r="692" ht="15.75" customHeight="1">
      <c r="I692" s="69"/>
    </row>
    <row r="693" ht="15.75" customHeight="1">
      <c r="I693" s="69"/>
    </row>
    <row r="694" ht="15.75" customHeight="1">
      <c r="I694" s="69"/>
    </row>
    <row r="695" ht="15.75" customHeight="1">
      <c r="I695" s="69"/>
    </row>
    <row r="696" ht="15.75" customHeight="1">
      <c r="I696" s="69"/>
    </row>
    <row r="697" ht="15.75" customHeight="1">
      <c r="I697" s="69"/>
    </row>
    <row r="698" ht="15.75" customHeight="1">
      <c r="I698" s="69"/>
    </row>
    <row r="699" ht="15.75" customHeight="1">
      <c r="I699" s="69"/>
    </row>
    <row r="700" ht="15.75" customHeight="1">
      <c r="I700" s="69"/>
    </row>
    <row r="701" ht="15.75" customHeight="1">
      <c r="I701" s="69"/>
    </row>
    <row r="702" ht="15.75" customHeight="1">
      <c r="I702" s="69"/>
    </row>
    <row r="703" ht="15.75" customHeight="1">
      <c r="I703" s="69"/>
    </row>
    <row r="704" ht="15.75" customHeight="1">
      <c r="I704" s="69"/>
    </row>
    <row r="705" ht="15.75" customHeight="1">
      <c r="I705" s="69"/>
    </row>
    <row r="706" ht="15.75" customHeight="1">
      <c r="I706" s="69"/>
    </row>
    <row r="707" ht="15.75" customHeight="1">
      <c r="I707" s="69"/>
    </row>
    <row r="708" ht="15.75" customHeight="1">
      <c r="I708" s="69"/>
    </row>
    <row r="709" ht="15.75" customHeight="1">
      <c r="I709" s="69"/>
    </row>
    <row r="710" ht="15.75" customHeight="1">
      <c r="I710" s="69"/>
    </row>
    <row r="711" ht="15.75" customHeight="1">
      <c r="I711" s="69"/>
    </row>
    <row r="712" ht="15.75" customHeight="1">
      <c r="I712" s="69"/>
    </row>
    <row r="713" ht="15.75" customHeight="1">
      <c r="I713" s="69"/>
    </row>
    <row r="714" ht="15.75" customHeight="1">
      <c r="I714" s="69"/>
    </row>
    <row r="715" ht="15.75" customHeight="1">
      <c r="I715" s="69"/>
    </row>
    <row r="716" ht="15.75" customHeight="1">
      <c r="I716" s="69"/>
    </row>
    <row r="717" ht="15.75" customHeight="1">
      <c r="I717" s="69"/>
    </row>
    <row r="718" ht="15.75" customHeight="1">
      <c r="I718" s="69"/>
    </row>
    <row r="719" ht="15.75" customHeight="1">
      <c r="I719" s="69"/>
    </row>
    <row r="720" ht="15.75" customHeight="1">
      <c r="I720" s="69"/>
    </row>
    <row r="721" ht="15.75" customHeight="1">
      <c r="I721" s="69"/>
    </row>
    <row r="722" ht="15.75" customHeight="1">
      <c r="I722" s="69"/>
    </row>
    <row r="723" ht="15.75" customHeight="1">
      <c r="I723" s="69"/>
    </row>
    <row r="724" ht="15.75" customHeight="1">
      <c r="I724" s="69"/>
    </row>
    <row r="725" ht="15.75" customHeight="1">
      <c r="I725" s="69"/>
    </row>
    <row r="726" ht="15.75" customHeight="1">
      <c r="I726" s="69"/>
    </row>
    <row r="727" ht="15.75" customHeight="1">
      <c r="I727" s="69"/>
    </row>
    <row r="728" ht="15.75" customHeight="1">
      <c r="I728" s="69"/>
    </row>
    <row r="729" ht="15.75" customHeight="1">
      <c r="I729" s="69"/>
    </row>
    <row r="730" ht="15.75" customHeight="1">
      <c r="I730" s="69"/>
    </row>
    <row r="731" ht="15.75" customHeight="1">
      <c r="I731" s="69"/>
    </row>
    <row r="732" ht="15.75" customHeight="1">
      <c r="I732" s="69"/>
    </row>
    <row r="733" ht="15.75" customHeight="1">
      <c r="I733" s="69"/>
    </row>
    <row r="734" ht="15.75" customHeight="1">
      <c r="I734" s="69"/>
    </row>
    <row r="735" ht="15.75" customHeight="1">
      <c r="I735" s="69"/>
    </row>
    <row r="736" ht="15.75" customHeight="1">
      <c r="I736" s="69"/>
    </row>
    <row r="737" ht="15.75" customHeight="1">
      <c r="I737" s="69"/>
    </row>
    <row r="738" ht="15.75" customHeight="1">
      <c r="I738" s="69"/>
    </row>
    <row r="739" ht="15.75" customHeight="1">
      <c r="I739" s="69"/>
    </row>
    <row r="740" ht="15.75" customHeight="1">
      <c r="I740" s="69"/>
    </row>
    <row r="741" ht="15.75" customHeight="1">
      <c r="I741" s="69"/>
    </row>
    <row r="742" ht="15.75" customHeight="1">
      <c r="I742" s="69"/>
    </row>
    <row r="743" ht="15.75" customHeight="1">
      <c r="I743" s="69"/>
    </row>
    <row r="744" ht="15.75" customHeight="1">
      <c r="I744" s="69"/>
    </row>
    <row r="745" ht="15.75" customHeight="1">
      <c r="I745" s="69"/>
    </row>
    <row r="746" ht="15.75" customHeight="1">
      <c r="I746" s="69"/>
    </row>
    <row r="747" ht="15.75" customHeight="1">
      <c r="I747" s="69"/>
    </row>
    <row r="748" ht="15.75" customHeight="1">
      <c r="I748" s="69"/>
    </row>
    <row r="749" ht="15.75" customHeight="1">
      <c r="I749" s="69"/>
    </row>
    <row r="750" ht="15.75" customHeight="1">
      <c r="I750" s="69"/>
    </row>
    <row r="751" ht="15.75" customHeight="1">
      <c r="I751" s="69"/>
    </row>
    <row r="752" ht="15.75" customHeight="1">
      <c r="I752" s="69"/>
    </row>
    <row r="753" ht="15.75" customHeight="1">
      <c r="I753" s="69"/>
    </row>
    <row r="754" ht="15.75" customHeight="1">
      <c r="I754" s="69"/>
    </row>
    <row r="755" ht="15.75" customHeight="1">
      <c r="I755" s="69"/>
    </row>
    <row r="756" ht="15.75" customHeight="1">
      <c r="I756" s="69"/>
    </row>
    <row r="757" ht="15.75" customHeight="1">
      <c r="I757" s="69"/>
    </row>
    <row r="758" ht="15.75" customHeight="1">
      <c r="I758" s="69"/>
    </row>
    <row r="759" ht="15.75" customHeight="1">
      <c r="I759" s="69"/>
    </row>
    <row r="760" ht="15.75" customHeight="1">
      <c r="I760" s="69"/>
    </row>
    <row r="761" ht="15.75" customHeight="1">
      <c r="I761" s="69"/>
    </row>
    <row r="762" ht="15.75" customHeight="1">
      <c r="I762" s="69"/>
    </row>
    <row r="763" ht="15.75" customHeight="1">
      <c r="I763" s="69"/>
    </row>
    <row r="764" ht="15.75" customHeight="1">
      <c r="I764" s="69"/>
    </row>
    <row r="765" ht="15.75" customHeight="1">
      <c r="I765" s="69"/>
    </row>
    <row r="766" ht="15.75" customHeight="1">
      <c r="I766" s="69"/>
    </row>
    <row r="767" ht="15.75" customHeight="1">
      <c r="I767" s="69"/>
    </row>
    <row r="768" ht="15.75" customHeight="1">
      <c r="I768" s="69"/>
    </row>
    <row r="769" ht="15.75" customHeight="1">
      <c r="I769" s="69"/>
    </row>
    <row r="770" ht="15.75" customHeight="1">
      <c r="I770" s="69"/>
    </row>
    <row r="771" ht="15.75" customHeight="1">
      <c r="I771" s="69"/>
    </row>
    <row r="772" ht="15.75" customHeight="1">
      <c r="I772" s="69"/>
    </row>
    <row r="773" ht="15.75" customHeight="1">
      <c r="I773" s="69"/>
    </row>
    <row r="774" ht="15.75" customHeight="1">
      <c r="I774" s="69"/>
    </row>
    <row r="775" ht="15.75" customHeight="1">
      <c r="I775" s="69"/>
    </row>
    <row r="776" ht="15.75" customHeight="1">
      <c r="I776" s="69"/>
    </row>
    <row r="777" ht="15.75" customHeight="1">
      <c r="I777" s="69"/>
    </row>
    <row r="778" ht="15.75" customHeight="1">
      <c r="I778" s="69"/>
    </row>
    <row r="779" ht="15.75" customHeight="1">
      <c r="I779" s="69"/>
    </row>
    <row r="780" ht="15.75" customHeight="1">
      <c r="I780" s="69"/>
    </row>
    <row r="781" ht="15.75" customHeight="1">
      <c r="I781" s="69"/>
    </row>
    <row r="782" ht="15.75" customHeight="1">
      <c r="I782" s="69"/>
    </row>
    <row r="783" ht="15.75" customHeight="1">
      <c r="I783" s="69"/>
    </row>
    <row r="784" ht="15.75" customHeight="1">
      <c r="I784" s="69"/>
    </row>
    <row r="785" ht="15.75" customHeight="1">
      <c r="I785" s="69"/>
    </row>
    <row r="786" ht="15.75" customHeight="1">
      <c r="I786" s="69"/>
    </row>
    <row r="787" ht="15.75" customHeight="1">
      <c r="I787" s="69"/>
    </row>
    <row r="788" ht="15.75" customHeight="1">
      <c r="I788" s="69"/>
    </row>
    <row r="789" ht="15.75" customHeight="1">
      <c r="I789" s="69"/>
    </row>
    <row r="790" ht="15.75" customHeight="1">
      <c r="I790" s="69"/>
    </row>
    <row r="791" ht="15.75" customHeight="1">
      <c r="I791" s="69"/>
    </row>
    <row r="792" ht="15.75" customHeight="1">
      <c r="I792" s="69"/>
    </row>
    <row r="793" ht="15.75" customHeight="1">
      <c r="I793" s="69"/>
    </row>
    <row r="794" ht="15.75" customHeight="1">
      <c r="I794" s="69"/>
    </row>
    <row r="795" ht="15.75" customHeight="1">
      <c r="I795" s="69"/>
    </row>
    <row r="796" ht="15.75" customHeight="1">
      <c r="I796" s="69"/>
    </row>
    <row r="797" ht="15.75" customHeight="1">
      <c r="I797" s="69"/>
    </row>
    <row r="798" ht="15.75" customHeight="1">
      <c r="I798" s="69"/>
    </row>
    <row r="799" ht="15.75" customHeight="1">
      <c r="I799" s="69"/>
    </row>
    <row r="800" ht="15.75" customHeight="1">
      <c r="I800" s="69"/>
    </row>
    <row r="801" ht="15.75" customHeight="1">
      <c r="I801" s="69"/>
    </row>
    <row r="802" ht="15.75" customHeight="1">
      <c r="I802" s="69"/>
    </row>
    <row r="803" ht="15.75" customHeight="1">
      <c r="I803" s="69"/>
    </row>
    <row r="804" ht="15.75" customHeight="1">
      <c r="I804" s="69"/>
    </row>
    <row r="805" ht="15.75" customHeight="1">
      <c r="I805" s="69"/>
    </row>
    <row r="806" ht="15.75" customHeight="1">
      <c r="I806" s="69"/>
    </row>
    <row r="807" ht="15.75" customHeight="1">
      <c r="I807" s="69"/>
    </row>
    <row r="808" ht="15.75" customHeight="1">
      <c r="I808" s="69"/>
    </row>
    <row r="809" ht="15.75" customHeight="1">
      <c r="I809" s="69"/>
    </row>
    <row r="810" ht="15.75" customHeight="1">
      <c r="I810" s="69"/>
    </row>
    <row r="811" ht="15.75" customHeight="1">
      <c r="I811" s="69"/>
    </row>
    <row r="812" ht="15.75" customHeight="1">
      <c r="I812" s="69"/>
    </row>
    <row r="813" ht="15.75" customHeight="1">
      <c r="I813" s="69"/>
    </row>
    <row r="814" ht="15.75" customHeight="1">
      <c r="I814" s="69"/>
    </row>
    <row r="815" ht="15.75" customHeight="1">
      <c r="I815" s="69"/>
    </row>
    <row r="816" ht="15.75" customHeight="1">
      <c r="I816" s="69"/>
    </row>
    <row r="817" ht="15.75" customHeight="1">
      <c r="I817" s="69"/>
    </row>
    <row r="818" ht="15.75" customHeight="1">
      <c r="I818" s="69"/>
    </row>
    <row r="819" ht="15.75" customHeight="1">
      <c r="I819" s="69"/>
    </row>
    <row r="820" ht="15.75" customHeight="1">
      <c r="I820" s="69"/>
    </row>
    <row r="821" ht="15.75" customHeight="1">
      <c r="I821" s="69"/>
    </row>
    <row r="822" ht="15.75" customHeight="1">
      <c r="I822" s="69"/>
    </row>
    <row r="823" ht="15.75" customHeight="1">
      <c r="I823" s="69"/>
    </row>
    <row r="824" ht="15.75" customHeight="1">
      <c r="I824" s="69"/>
    </row>
    <row r="825" ht="15.75" customHeight="1">
      <c r="I825" s="69"/>
    </row>
    <row r="826" ht="15.75" customHeight="1">
      <c r="I826" s="69"/>
    </row>
    <row r="827" ht="15.75" customHeight="1">
      <c r="I827" s="69"/>
    </row>
    <row r="828" ht="15.75" customHeight="1">
      <c r="I828" s="69"/>
    </row>
    <row r="829" ht="15.75" customHeight="1">
      <c r="I829" s="69"/>
    </row>
    <row r="830" ht="15.75" customHeight="1">
      <c r="I830" s="69"/>
    </row>
    <row r="831" ht="15.75" customHeight="1">
      <c r="I831" s="69"/>
    </row>
    <row r="832" ht="15.75" customHeight="1">
      <c r="I832" s="69"/>
    </row>
    <row r="833" ht="15.75" customHeight="1">
      <c r="I833" s="69"/>
    </row>
    <row r="834" ht="15.75" customHeight="1">
      <c r="I834" s="69"/>
    </row>
    <row r="835" ht="15.75" customHeight="1">
      <c r="I835" s="69"/>
    </row>
    <row r="836" ht="15.75" customHeight="1">
      <c r="I836" s="69"/>
    </row>
    <row r="837" ht="15.75" customHeight="1">
      <c r="I837" s="69"/>
    </row>
    <row r="838" ht="15.75" customHeight="1">
      <c r="I838" s="69"/>
    </row>
    <row r="839" ht="15.75" customHeight="1">
      <c r="I839" s="69"/>
    </row>
    <row r="840" ht="15.75" customHeight="1">
      <c r="I840" s="69"/>
    </row>
    <row r="841" ht="15.75" customHeight="1">
      <c r="I841" s="69"/>
    </row>
    <row r="842" ht="15.75" customHeight="1">
      <c r="I842" s="69"/>
    </row>
    <row r="843" ht="15.75" customHeight="1">
      <c r="I843" s="69"/>
    </row>
    <row r="844" ht="15.75" customHeight="1">
      <c r="I844" s="69"/>
    </row>
    <row r="845" ht="15.75" customHeight="1">
      <c r="I845" s="69"/>
    </row>
    <row r="846" ht="15.75" customHeight="1">
      <c r="I846" s="69"/>
    </row>
    <row r="847" ht="15.75" customHeight="1">
      <c r="I847" s="69"/>
    </row>
    <row r="848" ht="15.75" customHeight="1">
      <c r="I848" s="69"/>
    </row>
    <row r="849" ht="15.75" customHeight="1">
      <c r="I849" s="69"/>
    </row>
    <row r="850" ht="15.75" customHeight="1">
      <c r="I850" s="69"/>
    </row>
    <row r="851" ht="15.75" customHeight="1">
      <c r="I851" s="69"/>
    </row>
    <row r="852" ht="15.75" customHeight="1">
      <c r="I852" s="69"/>
    </row>
    <row r="853" ht="15.75" customHeight="1">
      <c r="I853" s="69"/>
    </row>
    <row r="854" ht="15.75" customHeight="1">
      <c r="I854" s="69"/>
    </row>
    <row r="855" ht="15.75" customHeight="1">
      <c r="I855" s="69"/>
    </row>
    <row r="856" ht="15.75" customHeight="1">
      <c r="I856" s="69"/>
    </row>
    <row r="857" ht="15.75" customHeight="1">
      <c r="I857" s="69"/>
    </row>
    <row r="858" ht="15.75" customHeight="1">
      <c r="I858" s="69"/>
    </row>
    <row r="859" ht="15.75" customHeight="1">
      <c r="I859" s="69"/>
    </row>
    <row r="860" ht="15.75" customHeight="1">
      <c r="I860" s="69"/>
    </row>
    <row r="861" ht="15.75" customHeight="1">
      <c r="I861" s="69"/>
    </row>
    <row r="862" ht="15.75" customHeight="1">
      <c r="I862" s="69"/>
    </row>
    <row r="863" ht="15.75" customHeight="1">
      <c r="I863" s="69"/>
    </row>
    <row r="864" ht="15.75" customHeight="1">
      <c r="I864" s="69"/>
    </row>
    <row r="865" ht="15.75" customHeight="1">
      <c r="I865" s="69"/>
    </row>
    <row r="866" ht="15.75" customHeight="1">
      <c r="I866" s="69"/>
    </row>
    <row r="867" ht="15.75" customHeight="1">
      <c r="I867" s="69"/>
    </row>
    <row r="868" ht="15.75" customHeight="1">
      <c r="I868" s="69"/>
    </row>
    <row r="869" ht="15.75" customHeight="1">
      <c r="I869" s="69"/>
    </row>
    <row r="870" ht="15.75" customHeight="1">
      <c r="I870" s="69"/>
    </row>
    <row r="871" ht="15.75" customHeight="1">
      <c r="I871" s="69"/>
    </row>
    <row r="872" ht="15.75" customHeight="1">
      <c r="I872" s="69"/>
    </row>
    <row r="873" ht="15.75" customHeight="1">
      <c r="I873" s="69"/>
    </row>
    <row r="874" ht="15.75" customHeight="1">
      <c r="I874" s="69"/>
    </row>
    <row r="875" ht="15.75" customHeight="1">
      <c r="I875" s="69"/>
    </row>
    <row r="876" ht="15.75" customHeight="1">
      <c r="I876" s="69"/>
    </row>
    <row r="877" ht="15.75" customHeight="1">
      <c r="I877" s="69"/>
    </row>
    <row r="878" ht="15.75" customHeight="1">
      <c r="I878" s="69"/>
    </row>
    <row r="879" ht="15.75" customHeight="1">
      <c r="I879" s="69"/>
    </row>
    <row r="880" ht="15.75" customHeight="1">
      <c r="I880" s="69"/>
    </row>
    <row r="881" ht="15.75" customHeight="1">
      <c r="I881" s="69"/>
    </row>
    <row r="882" ht="15.75" customHeight="1">
      <c r="I882" s="69"/>
    </row>
    <row r="883" ht="15.75" customHeight="1">
      <c r="I883" s="69"/>
    </row>
    <row r="884" ht="15.75" customHeight="1">
      <c r="I884" s="69"/>
    </row>
    <row r="885" ht="15.75" customHeight="1">
      <c r="I885" s="69"/>
    </row>
    <row r="886" ht="15.75" customHeight="1">
      <c r="I886" s="69"/>
    </row>
    <row r="887" ht="15.75" customHeight="1">
      <c r="I887" s="69"/>
    </row>
    <row r="888" ht="15.75" customHeight="1">
      <c r="I888" s="69"/>
    </row>
    <row r="889" ht="15.75" customHeight="1">
      <c r="I889" s="69"/>
    </row>
    <row r="890" ht="15.75" customHeight="1">
      <c r="I890" s="69"/>
    </row>
    <row r="891" ht="15.75" customHeight="1">
      <c r="I891" s="69"/>
    </row>
    <row r="892" ht="15.75" customHeight="1">
      <c r="I892" s="69"/>
    </row>
    <row r="893" ht="15.75" customHeight="1">
      <c r="I893" s="69"/>
    </row>
    <row r="894" ht="15.75" customHeight="1">
      <c r="I894" s="69"/>
    </row>
    <row r="895" ht="15.75" customHeight="1">
      <c r="I895" s="69"/>
    </row>
    <row r="896" ht="15.75" customHeight="1">
      <c r="I896" s="69"/>
    </row>
    <row r="897" ht="15.75" customHeight="1">
      <c r="I897" s="69"/>
    </row>
    <row r="898" ht="15.75" customHeight="1">
      <c r="I898" s="69"/>
    </row>
    <row r="899" ht="15.75" customHeight="1">
      <c r="I899" s="69"/>
    </row>
    <row r="900" ht="15.75" customHeight="1">
      <c r="I900" s="69"/>
    </row>
    <row r="901" ht="15.75" customHeight="1">
      <c r="I901" s="69"/>
    </row>
    <row r="902" ht="15.75" customHeight="1">
      <c r="I902" s="69"/>
    </row>
    <row r="903" ht="15.75" customHeight="1">
      <c r="I903" s="69"/>
    </row>
    <row r="904" ht="15.75" customHeight="1">
      <c r="I904" s="69"/>
    </row>
    <row r="905" ht="15.75" customHeight="1">
      <c r="I905" s="69"/>
    </row>
    <row r="906" ht="15.75" customHeight="1">
      <c r="I906" s="69"/>
    </row>
    <row r="907" ht="15.75" customHeight="1">
      <c r="I907" s="69"/>
    </row>
    <row r="908" ht="15.75" customHeight="1">
      <c r="I908" s="69"/>
    </row>
    <row r="909" ht="15.75" customHeight="1">
      <c r="I909" s="69"/>
    </row>
    <row r="910" ht="15.75" customHeight="1">
      <c r="I910" s="69"/>
    </row>
    <row r="911" ht="15.75" customHeight="1">
      <c r="I911" s="69"/>
    </row>
    <row r="912" ht="15.75" customHeight="1">
      <c r="I912" s="69"/>
    </row>
    <row r="913" ht="15.75" customHeight="1">
      <c r="I913" s="69"/>
    </row>
    <row r="914" ht="15.75" customHeight="1">
      <c r="I914" s="69"/>
    </row>
    <row r="915" ht="15.75" customHeight="1">
      <c r="I915" s="69"/>
    </row>
    <row r="916" ht="15.75" customHeight="1">
      <c r="I916" s="69"/>
    </row>
    <row r="917" ht="15.75" customHeight="1">
      <c r="I917" s="69"/>
    </row>
    <row r="918" ht="15.75" customHeight="1">
      <c r="I918" s="69"/>
    </row>
    <row r="919" ht="15.75" customHeight="1">
      <c r="I919" s="69"/>
    </row>
    <row r="920" ht="15.75" customHeight="1">
      <c r="I920" s="69"/>
    </row>
    <row r="921" ht="15.75" customHeight="1">
      <c r="I921" s="69"/>
    </row>
    <row r="922" ht="15.75" customHeight="1">
      <c r="I922" s="69"/>
    </row>
    <row r="923" ht="15.75" customHeight="1">
      <c r="I923" s="69"/>
    </row>
    <row r="924" ht="15.75" customHeight="1">
      <c r="I924" s="69"/>
    </row>
    <row r="925" ht="15.75" customHeight="1">
      <c r="I925" s="69"/>
    </row>
    <row r="926" ht="15.75" customHeight="1">
      <c r="I926" s="69"/>
    </row>
    <row r="927" ht="15.75" customHeight="1">
      <c r="I927" s="69"/>
    </row>
    <row r="928" ht="15.75" customHeight="1">
      <c r="I928" s="69"/>
    </row>
    <row r="929" ht="15.75" customHeight="1">
      <c r="I929" s="69"/>
    </row>
    <row r="930" ht="15.75" customHeight="1">
      <c r="I930" s="69"/>
    </row>
    <row r="931" ht="15.75" customHeight="1">
      <c r="I931" s="69"/>
    </row>
    <row r="932" ht="15.75" customHeight="1">
      <c r="I932" s="69"/>
    </row>
    <row r="933" ht="15.75" customHeight="1">
      <c r="I933" s="69"/>
    </row>
    <row r="934" ht="15.75" customHeight="1">
      <c r="I934" s="69"/>
    </row>
    <row r="935" ht="15.75" customHeight="1">
      <c r="I935" s="69"/>
    </row>
    <row r="936" ht="15.75" customHeight="1">
      <c r="I936" s="69"/>
    </row>
    <row r="937" ht="15.75" customHeight="1">
      <c r="I937" s="69"/>
    </row>
    <row r="938" ht="15.75" customHeight="1">
      <c r="I938" s="69"/>
    </row>
    <row r="939" ht="15.75" customHeight="1">
      <c r="I939" s="69"/>
    </row>
    <row r="940" ht="15.75" customHeight="1">
      <c r="I940" s="69"/>
    </row>
    <row r="941" ht="15.75" customHeight="1">
      <c r="I941" s="69"/>
    </row>
    <row r="942" ht="15.75" customHeight="1">
      <c r="I942" s="69"/>
    </row>
    <row r="943" ht="15.75" customHeight="1">
      <c r="I943" s="69"/>
    </row>
    <row r="944" ht="15.75" customHeight="1">
      <c r="I944" s="69"/>
    </row>
    <row r="945" ht="15.75" customHeight="1">
      <c r="I945" s="69"/>
    </row>
    <row r="946" ht="15.75" customHeight="1">
      <c r="I946" s="69"/>
    </row>
    <row r="947" ht="15.75" customHeight="1">
      <c r="I947" s="69"/>
    </row>
    <row r="948" ht="15.75" customHeight="1">
      <c r="I948" s="69"/>
    </row>
    <row r="949" ht="15.75" customHeight="1">
      <c r="I949" s="69"/>
    </row>
    <row r="950" ht="15.75" customHeight="1">
      <c r="I950" s="69"/>
    </row>
    <row r="951" ht="15.75" customHeight="1">
      <c r="I951" s="69"/>
    </row>
    <row r="952" ht="15.75" customHeight="1">
      <c r="I952" s="69"/>
    </row>
    <row r="953" ht="15.75" customHeight="1">
      <c r="I953" s="69"/>
    </row>
    <row r="954" ht="15.75" customHeight="1">
      <c r="I954" s="69"/>
    </row>
    <row r="955" ht="15.75" customHeight="1">
      <c r="I955" s="69"/>
    </row>
    <row r="956" ht="15.75" customHeight="1">
      <c r="I956" s="69"/>
    </row>
    <row r="957" ht="15.75" customHeight="1">
      <c r="I957" s="69"/>
    </row>
    <row r="958" ht="15.75" customHeight="1">
      <c r="I958" s="69"/>
    </row>
    <row r="959" ht="15.75" customHeight="1">
      <c r="I959" s="69"/>
    </row>
    <row r="960" ht="15.75" customHeight="1">
      <c r="I960" s="69"/>
    </row>
    <row r="961" ht="15.75" customHeight="1">
      <c r="I961" s="69"/>
    </row>
    <row r="962" ht="15.75" customHeight="1">
      <c r="I962" s="69"/>
    </row>
    <row r="963" ht="15.75" customHeight="1">
      <c r="I963" s="69"/>
    </row>
    <row r="964" ht="15.75" customHeight="1">
      <c r="I964" s="69"/>
    </row>
    <row r="965" ht="15.75" customHeight="1">
      <c r="I965" s="69"/>
    </row>
    <row r="966" ht="15.75" customHeight="1">
      <c r="I966" s="69"/>
    </row>
    <row r="967" ht="15.75" customHeight="1">
      <c r="I967" s="69"/>
    </row>
    <row r="968" ht="15.75" customHeight="1">
      <c r="I968" s="69"/>
    </row>
    <row r="969" ht="15.75" customHeight="1">
      <c r="I969" s="69"/>
    </row>
    <row r="970" ht="15.75" customHeight="1">
      <c r="I970" s="69"/>
    </row>
    <row r="971" ht="15.75" customHeight="1">
      <c r="I971" s="69"/>
    </row>
    <row r="972" ht="15.75" customHeight="1">
      <c r="I972" s="69"/>
    </row>
    <row r="973" ht="15.75" customHeight="1">
      <c r="I973" s="69"/>
    </row>
    <row r="974" ht="15.75" customHeight="1">
      <c r="I974" s="69"/>
    </row>
    <row r="975" ht="15.75" customHeight="1">
      <c r="I975" s="69"/>
    </row>
    <row r="976" ht="15.75" customHeight="1">
      <c r="I976" s="69"/>
    </row>
    <row r="977" ht="15.75" customHeight="1">
      <c r="I977" s="69"/>
    </row>
    <row r="978" ht="15.75" customHeight="1">
      <c r="I978" s="69"/>
    </row>
    <row r="979" ht="15.75" customHeight="1">
      <c r="I979" s="69"/>
    </row>
    <row r="980" ht="15.75" customHeight="1">
      <c r="I980" s="69"/>
    </row>
    <row r="981" ht="15.75" customHeight="1">
      <c r="I981" s="69"/>
    </row>
    <row r="982" ht="15.75" customHeight="1">
      <c r="I982" s="69"/>
    </row>
    <row r="983" ht="15.75" customHeight="1">
      <c r="I983" s="69"/>
    </row>
    <row r="984" ht="15.75" customHeight="1">
      <c r="I984" s="69"/>
    </row>
    <row r="985" ht="15.75" customHeight="1">
      <c r="I985" s="69"/>
    </row>
    <row r="986" ht="15.75" customHeight="1">
      <c r="I986" s="69"/>
    </row>
    <row r="987" ht="15.75" customHeight="1">
      <c r="I987" s="69"/>
    </row>
    <row r="988" ht="15.75" customHeight="1">
      <c r="I988" s="69"/>
    </row>
    <row r="989" ht="15.75" customHeight="1">
      <c r="I989" s="69"/>
    </row>
    <row r="990" ht="15.75" customHeight="1">
      <c r="I990" s="69"/>
    </row>
    <row r="991" ht="15.75" customHeight="1">
      <c r="I991" s="69"/>
    </row>
    <row r="992" ht="15.75" customHeight="1">
      <c r="I992" s="69"/>
    </row>
    <row r="993" ht="15.75" customHeight="1">
      <c r="I993" s="69"/>
    </row>
    <row r="994" ht="15.75" customHeight="1">
      <c r="I994" s="69"/>
    </row>
    <row r="995" ht="15.75" customHeight="1">
      <c r="I995" s="69"/>
    </row>
    <row r="996" ht="15.75" customHeight="1">
      <c r="I996" s="69"/>
    </row>
    <row r="997" ht="15.75" customHeight="1">
      <c r="I997" s="69"/>
    </row>
    <row r="998" ht="15.75" customHeight="1">
      <c r="I998" s="69"/>
    </row>
    <row r="999" ht="15.75" customHeight="1">
      <c r="I999" s="69"/>
    </row>
    <row r="1000" ht="15.75" customHeight="1">
      <c r="I1000" s="69"/>
    </row>
    <row r="1001" ht="15.75" customHeight="1">
      <c r="I1001" s="69"/>
    </row>
    <row r="1002" ht="15.75" customHeight="1">
      <c r="I1002" s="69"/>
    </row>
    <row r="1003" ht="15.75" customHeight="1">
      <c r="I1003" s="69"/>
    </row>
    <row r="1004" ht="15.75" customHeight="1">
      <c r="I1004" s="69"/>
    </row>
    <row r="1005" ht="15.75" customHeight="1">
      <c r="I1005" s="69"/>
    </row>
    <row r="1006" ht="15.75" customHeight="1">
      <c r="I1006" s="69"/>
    </row>
    <row r="1007" ht="15.75" customHeight="1">
      <c r="I1007" s="69"/>
    </row>
    <row r="1008" ht="15.75" customHeight="1">
      <c r="I1008" s="69"/>
    </row>
    <row r="1009" ht="15.75" customHeight="1">
      <c r="I1009" s="69"/>
    </row>
    <row r="1010" ht="15.75" customHeight="1">
      <c r="I1010" s="69"/>
    </row>
    <row r="1011" ht="15.75" customHeight="1">
      <c r="I1011" s="69"/>
    </row>
  </sheetData>
  <hyperlinks>
    <hyperlink r:id="rId2" ref="I15"/>
    <hyperlink r:id="rId3" ref="I16"/>
  </hyperlinks>
  <printOptions/>
  <pageMargins bottom="0.75" footer="0.0" header="0.0" left="0.7" right="0.7" top="0.75"/>
  <pageSetup orientation="landscape"/>
  <drawing r:id="rId4"/>
  <legacy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88"/>
    <col customWidth="1" min="2" max="2" width="14.13"/>
    <col customWidth="1" min="3" max="3" width="17.0"/>
    <col customWidth="1" hidden="1" min="4" max="4" width="17.0"/>
    <col customWidth="1" hidden="1" min="5" max="5" width="55.13"/>
    <col customWidth="1" min="6" max="6" width="46.25"/>
    <col customWidth="1" min="7" max="7" width="14.25"/>
    <col customWidth="1" hidden="1" min="8" max="8" width="18.0"/>
    <col customWidth="1" hidden="1" min="9" max="9" width="36.88"/>
    <col customWidth="1" min="10" max="10" width="39.5"/>
    <col customWidth="1" hidden="1" min="11" max="11" width="7.63"/>
    <col hidden="1" min="12" max="12" width="12.63"/>
    <col customWidth="1" min="13" max="13" width="7.63"/>
  </cols>
  <sheetData>
    <row r="1" ht="12.0" customHeight="1">
      <c r="A1" s="122"/>
      <c r="B1" s="1" t="s">
        <v>0</v>
      </c>
      <c r="C1" s="107" t="s">
        <v>1</v>
      </c>
      <c r="D1" s="3" t="s">
        <v>2</v>
      </c>
      <c r="E1" s="71" t="s">
        <v>3</v>
      </c>
      <c r="F1" s="172"/>
      <c r="G1" s="60" t="s">
        <v>4</v>
      </c>
      <c r="H1" s="3" t="s">
        <v>5</v>
      </c>
      <c r="I1" s="3" t="s">
        <v>6</v>
      </c>
      <c r="J1" s="60" t="s">
        <v>7</v>
      </c>
      <c r="K1" s="7" t="s">
        <v>8</v>
      </c>
      <c r="L1" s="7" t="s">
        <v>9</v>
      </c>
      <c r="M1" s="61" t="s">
        <v>10</v>
      </c>
      <c r="N1" s="61" t="s">
        <v>428</v>
      </c>
    </row>
    <row r="2" ht="31.5" customHeight="1">
      <c r="A2" s="123"/>
      <c r="B2" s="29" t="s">
        <v>55</v>
      </c>
      <c r="C2" s="77" t="s">
        <v>568</v>
      </c>
      <c r="D2" s="16" t="str">
        <f>IFERROR(__xludf.DUMMYFUNCTION("GOOGLETRANSLATE(C2,""EN"",""FR"")"),"Générer des estimations du VIH de district utilisant Naomi")</f>
        <v>Générer des estimations du VIH de district utilisant Naomi</v>
      </c>
      <c r="E2" s="73" t="str">
        <f>IFERROR(__xludf.DUMMYFUNCTION("GOOGLETRANSLATE(C2,""EN"",""PT"")"),"Gere estimativas de HIV do distrito usando Naomi")</f>
        <v>Gere estimativas de HIV do distrito usando Naomi</v>
      </c>
      <c r="F2" s="74"/>
      <c r="G2" s="75" t="s">
        <v>569</v>
      </c>
      <c r="H2" s="16" t="str">
        <f>IFERROR(__xludf.DUMMYFUNCTION("GOOGLETRANSLATE(G2,""EN"",""FR"")"),"Les pays génèrent des estimations de niveau de district utilisent le modèle NAOMI. Dans ce jalon, vous créerez un projet, importer votre jeu de données à partir du référentiel de données AIDS et exécuter plusieurs étapes pour calibrer et exécuter le modèl"&amp;"e de vos estimations de votre district. C'est la dernière étape de l'estimation du VIH du navigateur.")</f>
        <v>Les pays génèrent des estimations de niveau de district utilisent le modèle NAOMI. Dans ce jalon, vous créerez un projet, importer votre jeu de données à partir du référentiel de données AIDS et exécuter plusieurs étapes pour calibrer et exécuter le modèle de vos estimations de votre district. C'est la dernière étape de l'estimation du VIH du navigateur.</v>
      </c>
      <c r="I2" s="73" t="str">
        <f>IFERROR(__xludf.DUMMYFUNCTION("GOOGLETRANSLATE(G2,""EN"",""PT"")"),"Países gerando estimativas de nível distrital utilizam o modelo Naomi. Neste marco, você criará um projeto, importará seu conjunto de dados do repositório de dados da AIDS e executará várias etapas para calibrar e executar o modelo para suas estimativas d"&amp;"e distrito. Este é o marco final da Navigator da HIV Estimativa.")</f>
        <v>Países gerando estimativas de nível distrital utilizam o modelo Naomi. Neste marco, você criará um projeto, importará seu conjunto de dados do repositório de dados da AIDS e executará várias etapas para calibrar e executar o modelo para suas estimativas de distrito. Este é o marco final da Navigator da HIV Estimativa.</v>
      </c>
      <c r="J2" s="76" t="s">
        <v>570</v>
      </c>
      <c r="K2" s="16" t="str">
        <f>IFERROR(__xludf.DUMMYFUNCTION("GOOGLETRANSLATE(J2,""EN"",""FR"")"),"L'utilisateur a un fichier de spectre final validé
Aucune donnée sous-jacente de spectre (par exemple, la surveillance, la surveillance, les données de l'enquête ou du programme) a été modifiée depuis la production du fichier de spectre.
L'utilisateur a t"&amp;"éléchargé les données de programme validées et les fichiers de données d'enquête sur ADR dans les formats requis")</f>
        <v>L'utilisateur a un fichier de spectre final validé
Aucune donnée sous-jacente de spectre (par exemple, la surveillance, la surveillance, les données de l'enquête ou du programme) a été modifiée depuis la production du fichier de spectre.
L'utilisateur a téléchargé les données de programme validées et les fichiers de données d'enquête sur ADR dans les formats requis</v>
      </c>
      <c r="L2" s="73" t="str">
        <f>IFERROR(__xludf.DUMMYFUNCTION("GOOGLETRANSLATE(J2,""EN"",""PT"")"),"O usuário tem um arquivo de espectro final validado
Nenhum dado de espectro subjacente (por exemplo, vigilância, pesquisa ou dados do programa) mudou desde que o arquivo de espectro foi produzido.
O usuário enviou dados validados de programas e arquivos d"&amp;"e dados de pesquisa para ADR nos formatos necessários")</f>
        <v>O usuário tem um arquivo de espectro final validado
Nenhum dado de espectro subjacente (por exemplo, vigilância, pesquisa ou dados do programa) mudou desde que o arquivo de espectro foi produzido.
O usuário enviou dados validados de programas e arquivos de dados de pesquisa para ADR nos formatos necessários</v>
      </c>
      <c r="M2" s="76">
        <v>0.2</v>
      </c>
      <c r="N2" s="62" t="s">
        <v>571</v>
      </c>
      <c r="O2" s="123"/>
      <c r="P2" s="123"/>
    </row>
    <row r="3" ht="12.0" customHeight="1"/>
    <row r="4" ht="12.0" customHeight="1">
      <c r="A4" s="126" t="s">
        <v>0</v>
      </c>
      <c r="B4" s="173" t="s">
        <v>572</v>
      </c>
      <c r="C4" s="126" t="s">
        <v>19</v>
      </c>
      <c r="D4" s="126" t="s">
        <v>20</v>
      </c>
      <c r="E4" s="126" t="s">
        <v>21</v>
      </c>
      <c r="F4" s="126" t="s">
        <v>22</v>
      </c>
      <c r="G4" s="126" t="s">
        <v>23</v>
      </c>
      <c r="H4" s="128" t="s">
        <v>191</v>
      </c>
      <c r="I4" s="128" t="s">
        <v>192</v>
      </c>
      <c r="J4" s="126" t="s">
        <v>24</v>
      </c>
      <c r="K4" s="126" t="s">
        <v>25</v>
      </c>
      <c r="L4" s="126" t="s">
        <v>26</v>
      </c>
      <c r="M4" s="126" t="s">
        <v>27</v>
      </c>
      <c r="N4" s="67" t="s">
        <v>29</v>
      </c>
      <c r="O4" s="67" t="s">
        <v>28</v>
      </c>
      <c r="P4" s="126" t="s">
        <v>30</v>
      </c>
      <c r="Q4" s="90" t="s">
        <v>343</v>
      </c>
    </row>
    <row r="5" ht="19.5" customHeight="1">
      <c r="A5" s="39" t="s">
        <v>573</v>
      </c>
      <c r="B5" s="168"/>
      <c r="C5" s="41" t="s">
        <v>574</v>
      </c>
      <c r="D5" s="16" t="str">
        <f>IFERROR(__xludf.DUMMYFUNCTION("GOOGLETRANSLATE(C5,""EN"",""FR"")"),"Téléchargez des fichiers de données Naomi sur votre jeu de données sur ADR si vous n'avez pas déjà")</f>
        <v>Téléchargez des fichiers de données Naomi sur votre jeu de données sur ADR si vous n'avez pas déjà</v>
      </c>
      <c r="E5" s="73" t="str">
        <f>IFERROR(__xludf.DUMMYFUNCTION("GOOGLETRANSLATE(C5,""EN"",""PT"")"),"Carregar arquivos de dados Naomi para o seu conjunto de dados no ADR se você ainda não tiver")</f>
        <v>Carregar arquivos de dados Naomi para o seu conjunto de dados no ADR se você ainda não tiver</v>
      </c>
      <c r="F5" s="41" t="s">
        <v>575</v>
      </c>
      <c r="G5" s="41" t="s">
        <v>576</v>
      </c>
      <c r="H5" s="16" t="str">
        <f>IFERROR(__xludf.DUMMYFUNCTION("GOOGLETRANSLATE(G5,""EN"",""FR"")"),"L'ONUSIDA encourage l'utilisation de la fonctionnalité du jeu de données d'ADR pour stocker des fichiers de données estimés. L'ADR inclut la validation des données pour assurer les données conformes à la structure requise et répondre aux exigences de base"&amp;" de la qualité des données.
 Pour votre commodité, l'ONUSIDA a déjà téléchargé les fichiers de données finaux de l'année dernière à votre jeu de données pour cette année.
Naomi nécessite des entrées de données spécifiques:
- fichier limite de zone,"&amp;"
- fichier de spectre final, validé,
- données de la population,
- données d'enquête auprès des ménages,
- données de programme d'art, et
- Données de test d'ANC de routine.
Avant de commencer Naomi, téléchargez ces entrées de données sur le jeu d"&amp;"e données de cette année à ADR. Naomi importera ces fichiers validés directement à partir de ADR.")</f>
        <v>L'ONUSIDA encourage l'utilisation de la fonctionnalité du jeu de données d'ADR pour stocker des fichiers de données estimés. L'ADR inclut la validation des données pour assurer les données conformes à la structure requise et répondre aux exigences de base de la qualité des données.
 Pour votre commodité, l'ONUSIDA a déjà téléchargé les fichiers de données finaux de l'année dernière à votre jeu de données pour cette année.
Naomi nécessite des entrées de données spécifiques:
- fichier limite de zone,
- fichier de spectre final, validé,
- données de la population,
- données d'enquête auprès des ménages,
- données de programme d'art, et
- Données de test d'ANC de routine.
Avant de commencer Naomi, téléchargez ces entrées de données sur le jeu de données de cette année à ADR. Naomi importera ces fichiers validés directement à partir de ADR.</v>
      </c>
      <c r="I5" s="73" t="str">
        <f>IFERROR(__xludf.DUMMYFUNCTION("GOOGLETRANSLATE(G5,""EN"",""PT"")"),"A UNAIDS incentiva o uso da funcionalidade do DataSet do ADR para armazenar arquivos de dados de estimativas. O ADR inclui validação de dados para garantir que os dados estão em conformidade com a estrutura necessária e atendam aos requisitos básicos de q"&amp;"ualidade de dados.
 Para sua conveniência, a UNAIDS já carregou arquivos de dados finais do ano passado para o seu conjunto de dados para este ano.
Naomi requer insumos específicos de dados:
- Arquivo de limite de área,
- Final, arquivo de espectr"&amp;"o validado,
- Dados da população,
- Dados da pesquisa doméstica,
- Dados do programa de arte e
- Dados de teste do ANC de rotina.
Antes de começar a Naomi, faça o upload dessas entradas de dados para o conjunto de dados deste ano para ADR. Naomi im"&amp;"portará esses arquivos validados diretamente da ADR.")</f>
        <v>A UNAIDS incentiva o uso da funcionalidade do DataSet do ADR para armazenar arquivos de dados de estimativas. O ADR inclui validação de dados para garantir que os dados estão em conformidade com a estrutura necessária e atendam aos requisitos básicos de qualidade de dados.
 Para sua conveniência, a UNAIDS já carregou arquivos de dados finais do ano passado para o seu conjunto de dados para este ano.
Naomi requer insumos específicos de dados:
- Arquivo de limite de área,
- Final, arquivo de espectro validado,
- Dados da população,
- Dados da pesquisa doméstica,
- Dados do programa de arte e
- Dados de teste do ANC de rotina.
Antes de começar a Naomi, faça o upload dessas entradas de dados para o conjunto de dados deste ano para ADR. Naomi importará esses arquivos validados diretamente da ADR.</v>
      </c>
      <c r="J5" s="39"/>
      <c r="K5" s="39"/>
      <c r="L5" s="39"/>
      <c r="M5" s="39">
        <v>1.0</v>
      </c>
      <c r="N5" s="39"/>
      <c r="O5" s="41" t="s">
        <v>577</v>
      </c>
      <c r="P5" s="39"/>
      <c r="Q5" s="39"/>
    </row>
    <row r="6" ht="19.5" customHeight="1">
      <c r="A6" s="39" t="s">
        <v>578</v>
      </c>
      <c r="B6" s="168" t="s">
        <v>579</v>
      </c>
      <c r="C6" s="39" t="s">
        <v>580</v>
      </c>
      <c r="D6" s="16" t="str">
        <f>IFERROR(__xludf.DUMMYFUNCTION("GOOGLETRANSLATE(C6,""EN"",""FR"")"),"Match les entrées de données pour Spectrum et Naomi")</f>
        <v>Match les entrées de données pour Spectrum et Naomi</v>
      </c>
      <c r="E6" s="73" t="str">
        <f>IFERROR(__xludf.DUMMYFUNCTION("GOOGLETRANSLATE(C6,""EN"",""PT"")"),"Combine as entradas de dados para espectro e naomi")</f>
        <v>Combine as entradas de dados para espectro e naomi</v>
      </c>
      <c r="F6" s="39" t="s">
        <v>581</v>
      </c>
      <c r="G6" s="41" t="s">
        <v>582</v>
      </c>
      <c r="H6" s="16" t="str">
        <f>IFERROR(__xludf.DUMMYFUNCTION("GOOGLETRANSLATE(G6,""EN"",""FR"")"),"Les données du programme d'art et de test d'ANC utilisées par Naomi sont également utilisées par Spectrum. La somme de la saisie de données désagrégée de la zone à Naomi devrait être égale à ces entrées dans le spectre.
Si les entrées de données Naomi "&amp;"ne correspondent pas à celles utilisées dans votre processus de modèle de spectre, examinez les données des sources et les modifier pour correspondre. Si vous avez modifié des entrées utilisées par Spectrum, retournez au spectre et commencez le processus "&amp;"à nouveau. Si vous avez modifié vos entrées Naomi pour correspondre à celles utilisées par Spectrum, vous pouvez continuer avec Naomi.
En savoir plus sur les exigences relatives à chacun des modèles de 'Guide 8, qualité de données, matrice d'élément in"&amp;"dicateur' dans le matériel de formation de l'ONUSIDA utilisant le lien ci-dessous.")</f>
        <v>Les données du programme d'art et de test d'ANC utilisées par Naomi sont également utilisées par Spectrum. La somme de la saisie de données désagrégée de la zone à Naomi devrait être égale à ces entrées dans le spectre.
Si les entrées de données Naomi ne correspondent pas à celles utilisées dans votre processus de modèle de spectre, examinez les données des sources et les modifier pour correspondre. Si vous avez modifié des entrées utilisées par Spectrum, retournez au spectre et commencez le processus à nouveau. Si vous avez modifié vos entrées Naomi pour correspondre à celles utilisées par Spectrum, vous pouvez continuer avec Naomi.
En savoir plus sur les exigences relatives à chacun des modèles de 'Guide 8, qualité de données, matrice d'élément indicateur' dans le matériel de formation de l'ONUSIDA utilisant le lien ci-dessous.</v>
      </c>
      <c r="I6" s="73" t="str">
        <f>IFERROR(__xludf.DUMMYFUNCTION("GOOGLETRANSLATE(G6,""EN"",""PT"")"),"Os dados do programa de testes de arte e ANC usados ​​por Naomi também são usados ​​pelo espectro. A soma da entrada de dados desagregados por área para Naomi deve ser igual à entrada do espectro.
Se as entradas de dados Naomi não corresponderem àquela"&amp;"s usadas no processo de seu modelo de espectro, revise os dados de ambas as fontes e modificá-las para corresponder. Se você alterou as entradas usadas pelo espectro, retorne ao espectro e inicie o processo novamente. Se você alterou suas entradas Naomi p"&amp;"ara corresponder àquelas usadas pelo espectro, você pode continuar com Naomi.
Saiba mais sobre os requisitos para cada um dos modelos em 'guia 8, qualidade de dados, matriz de elemento indicador' nos materiais de treinamento da UNAIDS usando o link aba"&amp;"ixo.")</f>
        <v>Os dados do programa de testes de arte e ANC usados ​​por Naomi também são usados ​​pelo espectro. A soma da entrada de dados desagregados por área para Naomi deve ser igual à entrada do espectro.
Se as entradas de dados Naomi não corresponderem àquelas usadas no processo de seu modelo de espectro, revise os dados de ambas as fontes e modificá-las para corresponder. Se você alterou as entradas usadas pelo espectro, retorne ao espectro e inicie o processo novamente. Se você alterou suas entradas Naomi para corresponder àquelas usadas pelo espectro, você pode continuar com Naomi.
Saiba mais sobre os requisitos para cada um dos modelos em 'guia 8, qualidade de dados, matriz de elemento indicador' nos materiais de treinamento da UNAIDS usando o link abaixo.</v>
      </c>
      <c r="J6" s="39"/>
      <c r="K6" s="39"/>
      <c r="L6" s="39"/>
      <c r="M6" s="41">
        <v>0.0</v>
      </c>
      <c r="N6" s="39"/>
      <c r="O6" s="41" t="s">
        <v>583</v>
      </c>
      <c r="P6" s="39" t="s">
        <v>584</v>
      </c>
      <c r="Q6" s="39"/>
    </row>
    <row r="7" ht="19.5" customHeight="1">
      <c r="A7" s="39" t="s">
        <v>585</v>
      </c>
      <c r="B7" s="168"/>
      <c r="C7" s="39" t="s">
        <v>198</v>
      </c>
      <c r="D7" s="16" t="str">
        <f>IFERROR(__xludf.DUMMYFUNCTION("GOOGLETRANSLATE(C7,""EN"",""FR"")"),"Créer un compte d'utilisateur Naomi")</f>
        <v>Créer un compte d'utilisateur Naomi</v>
      </c>
      <c r="E7" s="73" t="str">
        <f>IFERROR(__xludf.DUMMYFUNCTION("GOOGLETRANSLATE(C7,""EN"",""PT"")"),"Crie uma conta de usuário naomi")</f>
        <v>Crie uma conta de usuário naomi</v>
      </c>
      <c r="F7" s="39" t="s">
        <v>199</v>
      </c>
      <c r="G7" s="41" t="s">
        <v>586</v>
      </c>
      <c r="H7" s="16" t="str">
        <f>IFERROR(__xludf.DUMMYFUNCTION("GOOGLETRANSLATE(G7,""EN"",""FR"")"),"L'utilisation de Naomi implique la connexion via un compte d'utilisateur. Si vous n'avez pas déjà de compte d'utilisateur Naomi, veuillez en demander une utilisation à l'aide du lien vers le formulaire ci-dessous.
Un compte d'utilisateur Naomi présente"&amp;" plusieurs avantages:
- intégration avec ADR et accès direct à votre ensemble de données,
- Économie de projet,
- Partage de résultats de projet et de projet final.
Si vous préférez, vous pouvez utiliser Naomi comme invité, mais il n'est pas recom"&amp;"mandé.")</f>
        <v>L'utilisation de Naomi implique la connexion via un compte d'utilisateur. Si vous n'avez pas déjà de compte d'utilisateur Naomi, veuillez en demander une utilisation à l'aide du lien vers le formulaire ci-dessous.
Un compte d'utilisateur Naomi présente plusieurs avantages:
- intégration avec ADR et accès direct à votre ensemble de données,
- Économie de projet,
- Partage de résultats de projet et de projet final.
Si vous préférez, vous pouvez utiliser Naomi comme invité, mais il n'est pas recommandé.</v>
      </c>
      <c r="I7" s="73" t="str">
        <f>IFERROR(__xludf.DUMMYFUNCTION("GOOGLETRANSLATE(G7,""EN"",""PT"")"),"O uso de Naomi envolve login por meio de uma conta de usuário. Se você ainda não tiver uma conta de usuário naomi, solicite um usando o link para o formulário abaixo.
Uma conta de usuário naomi tem várias vantagens:
- Integração com ADR e acesso dir"&amp;"eto ao seu conjunto de dados,
- Economia de projetos,
- Compartilhamento de resultados do projeto e do projeto final.
Se preferir, você pode usar Naomi como convidado, mas não é recomendado.")</f>
        <v>O uso de Naomi envolve login por meio de uma conta de usuário. Se você ainda não tiver uma conta de usuário naomi, solicite um usando o link para o formulário abaixo.
Uma conta de usuário naomi tem várias vantagens:
- Integração com ADR e acesso direto ao seu conjunto de dados,
- Economia de projetos,
- Compartilhamento de resultados do projeto e do projeto final.
Se preferir, você pode usar Naomi como convidado, mas não é recomendado.</v>
      </c>
      <c r="J7" s="39" t="s">
        <v>201</v>
      </c>
      <c r="K7" s="16" t="str">
        <f>IFERROR(__xludf.DUMMYFUNCTION("GOOGLETRANSLATE(J7,""EN"",""FR"")"),"Formulaire de demande de compte d'utilisateur Naomi https://forms.office.com/r/7s9emiggr4")</f>
        <v>Formulaire de demande de compte d'utilisateur Naomi https://forms.office.com/r/7s9emiggr4</v>
      </c>
      <c r="L7" s="73" t="str">
        <f>IFERROR(__xludf.DUMMYFUNCTION("GOOGLETRANSLATE(J7,""EN"",""PT"")"),"Formulário de solicitação de conta de usuário naomi https://forms.office.com/r/7s9emiggr4")</f>
        <v>Formulário de solicitação de conta de usuário naomi https://forms.office.com/r/7s9emiggr4</v>
      </c>
      <c r="M7" s="39"/>
      <c r="N7" s="39"/>
      <c r="O7" s="41" t="s">
        <v>587</v>
      </c>
      <c r="P7" s="136"/>
      <c r="Q7" s="39"/>
    </row>
    <row r="8" ht="19.5" customHeight="1">
      <c r="A8" s="39" t="s">
        <v>588</v>
      </c>
      <c r="B8" s="168"/>
      <c r="C8" s="39" t="s">
        <v>204</v>
      </c>
      <c r="D8" s="16" t="str">
        <f>IFERROR(__xludf.DUMMYFUNCTION("GOOGLETRANSLATE(C8,""EN"",""FR"")"),"Connectez-vous à Naomi")</f>
        <v>Connectez-vous à Naomi</v>
      </c>
      <c r="E8" s="73" t="str">
        <f>IFERROR(__xludf.DUMMYFUNCTION("GOOGLETRANSLATE(C8,""EN"",""PT"")"),"Faça o login em Naomi")</f>
        <v>Faça o login em Naomi</v>
      </c>
      <c r="F8" s="39" t="s">
        <v>205</v>
      </c>
      <c r="G8" s="174" t="s">
        <v>589</v>
      </c>
      <c r="H8" s="16" t="str">
        <f>IFERROR(__xludf.DUMMYFUNCTION("GOOGLETRANSLATE(G8,""EN"",""FR"")"),"Afin de tirer pleinement parti des fonctionnalités de Naomi, l'ONUSIDA vous recommande de vous connecter au système avec votre compte d'utilisateur. Il existe de nombreux avantages à se connecter à Naomi, tels que l'intégration avec le ADR et l'accès dire"&amp;"ct à votre ensemble de données d'estimations, à la sauvegarde de projet et au partage de résultats de projet et de projet final.
Si vous ne vous connectez pas, vous ne pourrez pas tirer vos données d'ADR ni de sauvegarder des projets et des versions. Pou"&amp;"r vous connecter à Naomi, allez à Naomi.Unaids.org et entrez vos informations de connexion sur la page d'atterrissage.")</f>
        <v>Afin de tirer pleinement parti des fonctionnalités de Naomi, l'ONUSIDA vous recommande de vous connecter au système avec votre compte d'utilisateur. Il existe de nombreux avantages à se connecter à Naomi, tels que l'intégration avec le ADR et l'accès direct à votre ensemble de données d'estimations, à la sauvegarde de projet et au partage de résultats de projet et de projet final.
Si vous ne vous connectez pas, vous ne pourrez pas tirer vos données d'ADR ni de sauvegarder des projets et des versions. Pour vous connecter à Naomi, allez à Naomi.Unaids.org et entrez vos informations de connexion sur la page d'atterrissage.</v>
      </c>
      <c r="I8" s="73" t="str">
        <f>IFERROR(__xludf.DUMMYFUNCTION("GOOGLETRANSLATE(G8,""EN"",""PT"")"),"Para aproveitar ao máximo a funcionalidade da Naomi, a UNAIDS recomenda que você faça login no sistema com sua conta de usuário. Existem muitas vantagens para fazer login em Naomi, como integração com ADR e acesso direto às suas estimativas de dados, econ"&amp;"omia de projetos e compartilhamento de resultados do projeto e do projeto final.
Se você não fizer login, você não poderá puxar seus dados do ADR nem salvar projetos e versões. Para entrar em Naomi, vá para Naomi.Unaids.org e insira seus detalhes de logi"&amp;"n na página de destino.")</f>
        <v>Para aproveitar ao máximo a funcionalidade da Naomi, a UNAIDS recomenda que você faça login no sistema com sua conta de usuário. Existem muitas vantagens para fazer login em Naomi, como integração com ADR e acesso direto às suas estimativas de dados, economia de projetos e compartilhamento de resultados do projeto e do projeto final.
Se você não fizer login, você não poderá puxar seus dados do ADR nem salvar projetos e versões. Para entrar em Naomi, vá para Naomi.Unaids.org e insira seus detalhes de login na página de destino.</v>
      </c>
      <c r="J8" s="118" t="s">
        <v>590</v>
      </c>
      <c r="K8" s="16" t="str">
        <f>IFERROR(__xludf.DUMMYFUNCTION("GOOGLETRANSLATE(J8,""EN"",""FR"")"),"Connectez-vous à Naomi https://naomi.unaids.org/login")</f>
        <v>Connectez-vous à Naomi https://naomi.unaids.org/login</v>
      </c>
      <c r="L8" s="73" t="str">
        <f>IFERROR(__xludf.DUMMYFUNCTION("GOOGLETRANSLATE(J8,""EN"",""PT"")"),"Entrar para Naomi https://naomi.onaids.org/login")</f>
        <v>Entrar para Naomi https://naomi.onaids.org/login</v>
      </c>
      <c r="M8" s="39"/>
      <c r="N8" s="39"/>
      <c r="O8" s="41" t="s">
        <v>591</v>
      </c>
      <c r="P8" s="39"/>
      <c r="Q8" s="39"/>
    </row>
    <row r="9" ht="19.5" customHeight="1">
      <c r="A9" s="39" t="s">
        <v>592</v>
      </c>
      <c r="B9" s="168" t="s">
        <v>593</v>
      </c>
      <c r="C9" s="39" t="s">
        <v>210</v>
      </c>
      <c r="D9" s="16" t="str">
        <f>IFERROR(__xludf.DUMMYFUNCTION("GOOGLETRANSLATE(C9,""EN"",""FR"")"),"Créer un projet à Naomi pour la période de reporting actuelle")</f>
        <v>Créer un projet à Naomi pour la période de reporting actuelle</v>
      </c>
      <c r="E9" s="73" t="str">
        <f>IFERROR(__xludf.DUMMYFUNCTION("GOOGLETRANSLATE(C9,""EN"",""PT"")"),"Crie um projeto em Naomi para o período atual de relatórios")</f>
        <v>Crie um projeto em Naomi para o período atual de relatórios</v>
      </c>
      <c r="F9" s="39" t="s">
        <v>211</v>
      </c>
      <c r="G9" s="41" t="s">
        <v>594</v>
      </c>
      <c r="H9" s="16" t="str">
        <f>IFERROR(__xludf.DUMMYFUNCTION("GOOGLETRANSLATE(G9,""EN"",""FR"")"),"La première étape pour utiliser Naomi est de créer un projet. Pour créer un projet, entrez un nom pour le projet et cliquez sur le bouton ""Créer le projet"".
Chaque projet Naomi a ses propres données et paramètres. Si vous êtes connecté, vous pouvez e"&amp;"nregistrer plusieurs projets et tester différentes options de données et de modèles à comparaison.
Pour créer un projet, entrez simplement un nom pour le projet, puis cliquez sur le bouton ""Créer le projet"".")</f>
        <v>La première étape pour utiliser Naomi est de créer un projet. Pour créer un projet, entrez un nom pour le projet et cliquez sur le bouton "Créer le projet".
Chaque projet Naomi a ses propres données et paramètres. Si vous êtes connecté, vous pouvez enregistrer plusieurs projets et tester différentes options de données et de modèles à comparaison.
Pour créer un projet, entrez simplement un nom pour le projet, puis cliquez sur le bouton "Créer le projet".</v>
      </c>
      <c r="I9" s="73" t="str">
        <f>IFERROR(__xludf.DUMMYFUNCTION("GOOGLETRANSLATE(G9,""EN"",""PT"")"),"O primeiro passo para usar Naomi é criar um projeto. Para criar um projeto, insira um nome para o projeto e clique no botão 'Create Project'.
Cada projeto Naomi tem seus próprios dados e configurações. Se você estiver logado, poderá salvar vários proje"&amp;"tos e testar dados diferentes e opções de modelos para comparação.
Para criar um projeto, basta digitar um nome para o projeto e clicar no botão 'Create Project'.")</f>
        <v>O primeiro passo para usar Naomi é criar um projeto. Para criar um projeto, insira um nome para o projeto e clique no botão 'Create Project'.
Cada projeto Naomi tem seus próprios dados e configurações. Se você estiver logado, poderá salvar vários projetos e testar dados diferentes e opções de modelos para comparação.
Para criar um projeto, basta digitar um nome para o projeto e clicar no botão 'Create Project'.</v>
      </c>
      <c r="J9" s="39"/>
      <c r="K9" s="39"/>
      <c r="L9" s="39"/>
      <c r="M9" s="39"/>
      <c r="N9" s="39"/>
      <c r="O9" s="41" t="s">
        <v>595</v>
      </c>
      <c r="P9" s="39"/>
      <c r="Q9" s="39"/>
    </row>
    <row r="10" ht="19.5" customHeight="1">
      <c r="A10" s="39" t="s">
        <v>596</v>
      </c>
      <c r="B10" s="168" t="s">
        <v>597</v>
      </c>
      <c r="C10" s="39" t="s">
        <v>598</v>
      </c>
      <c r="D10" s="16" t="str">
        <f>IFERROR(__xludf.DUMMYFUNCTION("GOOGLETRANSLATE(C10,""EN"",""FR"")"),"Importer des données validées à partir de ADR ou en téléchargeant directement sur Naomi")</f>
        <v>Importer des données validées à partir de ADR ou en téléchargeant directement sur Naomi</v>
      </c>
      <c r="E10" s="73" t="str">
        <f>IFERROR(__xludf.DUMMYFUNCTION("GOOGLETRANSLATE(C10,""EN"",""PT"")"),"Importar dados validados de ADR ou fazendo o upload diretamente para Naomi")</f>
        <v>Importar dados validados de ADR ou fazendo o upload diretamente para Naomi</v>
      </c>
      <c r="F10" s="39" t="s">
        <v>599</v>
      </c>
      <c r="G10" s="41" t="s">
        <v>600</v>
      </c>
      <c r="H10" s="16" t="str">
        <f>IFERROR(__xludf.DUMMYFUNCTION("GOOGLETRANSLATE(G10,""EN"",""FR"")"),"Pour commencer le processus Naomi, vous devez soit importer vos données d'ADR en entrant votre clé d'accès ADR (* recommandé *) ou en téléchargeant des fichiers d'entrée individuels de données requis par Naomi.
Vous pouvez trouver votre clé d'accès ADR s"&amp;"ur votre page de profil ADR (cliquez sur votre nom dans la partie supérieure de n'importe quelle page ADR après la connexion).
L'ONUSIDA recommande d'utiliser les fichiers de données de l'année dernière et de les mettre à jour avec des données de la péri"&amp;"ode de reporting actuelle. Entrez vos données dans ces fichiers de données dans les formats requis, puis sur les téléchargez sur ADR pour la validation ou directement à Naomi afin de continuer. Pour votre commodité, l'ONUSIDA a placé les fichiers de donné"&amp;"es finaux de votre pays de l'année dernière dans le jeu de données de cette année sur ADR. Il vous suffit de mettre à jour ces fichiers avec des données de l'année en cours.
Plus d'informations sur les entrées requises pour tous les modèles sont disponib"&amp;"les dans ""Guide 8, qualité des données, matrice d'élément indicateur"" dans le matériel de formation de l'ONUSIDA. Sur la même page, vous trouverez plus d'informations sur la préparation des entrées de données Naomi dans ""Guide 4, préparer des entrées d"&amp;"e données Naomi"". Un lien vers ces ressources de l'ONUSIDA est fourni ci-dessous.")</f>
        <v>Pour commencer le processus Naomi, vous devez soit importer vos données d'ADR en entrant votre clé d'accès ADR (* recommandé *) ou en téléchargeant des fichiers d'entrée individuels de données requis par Naomi.
Vous pouvez trouver votre clé d'accès ADR sur votre page de profil ADR (cliquez sur votre nom dans la partie supérieure de n'importe quelle page ADR après la connexion).
L'ONUSIDA recommande d'utiliser les fichiers de données de l'année dernière et de les mettre à jour avec des données de la période de reporting actuelle. Entrez vos données dans ces fichiers de données dans les formats requis, puis sur les téléchargez sur ADR pour la validation ou directement à Naomi afin de continuer. Pour votre commodité, l'ONUSIDA a placé les fichiers de données finaux de votre pays de l'année dernière dans le jeu de données de cette année sur ADR. Il vous suffit de mettre à jour ces fichiers avec des données de l'année en cours.
Plus d'informations sur les entrées requises pour tous les modèles sont disponibles dans "Guide 8, qualité des données, matrice d'élément indicateur" dans le matériel de formation de l'ONUSIDA. Sur la même page, vous trouverez plus d'informations sur la préparation des entrées de données Naomi dans "Guide 4, préparer des entrées de données Naomi". Un lien vers ces ressources de l'ONUSIDA est fourni ci-dessous.</v>
      </c>
      <c r="I10" s="73" t="str">
        <f>IFERROR(__xludf.DUMMYFUNCTION("GOOGLETRANSLATE(G10,""EN"",""PT"")"),"Para iniciar o processo Naomi, você deve importar seus dados da ADR, inserindo sua tecla Access ADR (* recomendado *) ou enviando arquivos de entrada de dados individuais necessários pela Naomi.
Você pode encontrar sua chave de acesso ADR na sua página d"&amp;"e perfil ADR (clique no seu nome na parte superior de qualquer página de ADR após o login).
A UNAIDS recomenda o uso de arquivos de dados do ano passado e atualizando-os com dados do período de relatório atual. Digite seus dados nesses arquivos de dados "&amp;"nos formatos necessários e envie-os para ADR para validação ou diretamente para Naomi, a fim de prosseguir. Para sua conveniência, a UNAIDS colocou os arquivos finais de dados do seu país do ano passado para o conjunto de dados deste ano no ADR. Você só p"&amp;"recisa atualizar esses arquivos com dados do ano atual.
Mais informações sobre as entradas necessárias para todos os modelos estão disponíveis em 'Guia 8, qualidade de dados, matriz de elemento indicador' nos materiais de treinamento da UNAIDS. Na mesma "&amp;"página, você pode encontrar mais informações sobre como Preparar Entradas de Dados Naomi em 'Guia 4, Preparando Entradas de Dados Naomi'. Um link para esses recursos da UNAIDS é fornecido abaixo.")</f>
        <v>Para iniciar o processo Naomi, você deve importar seus dados da ADR, inserindo sua tecla Access ADR (* recomendado *) ou enviando arquivos de entrada de dados individuais necessários pela Naomi.
Você pode encontrar sua chave de acesso ADR na sua página de perfil ADR (clique no seu nome na parte superior de qualquer página de ADR após o login).
A UNAIDS recomenda o uso de arquivos de dados do ano passado e atualizando-os com dados do período de relatório atual. Digite seus dados nesses arquivos de dados nos formatos necessários e envie-os para ADR para validação ou diretamente para Naomi, a fim de prosseguir. Para sua conveniência, a UNAIDS colocou os arquivos finais de dados do seu país do ano passado para o conjunto de dados deste ano no ADR. Você só precisa atualizar esses arquivos com dados do ano atual.
Mais informações sobre as entradas necessárias para todos os modelos estão disponíveis em 'Guia 8, qualidade de dados, matriz de elemento indicador' nos materiais de treinamento da UNAIDS. Na mesma página, você pode encontrar mais informações sobre como Preparar Entradas de Dados Naomi em 'Guia 4, Preparando Entradas de Dados Naomi'. Um link para esses recursos da UNAIDS é fornecido abaixo.</v>
      </c>
      <c r="J10" s="175" t="s">
        <v>601</v>
      </c>
      <c r="K10" s="16" t="str">
        <f>IFERROR(__xludf.DUMMYFUNCTION("GOOGLETRANSLATE(J10,""EN"",""FR"")"),"Obtenez votre clé d'accès ADR https://adr.unaids.org/me/
Guide 4, préparation des entrées de données Naomi https://hivtools.unaids.org/hiv-estimates-training-Material-fr/
Guide 8, qualité des données, élément indicateur Matrix https://hivtools.unaids.org/"&amp;"hiv-estimates-training-Material-fr/")</f>
        <v>Obtenez votre clé d'accès ADR https://adr.unaids.org/me/
Guide 4, préparation des entrées de données Naomi https://hivtools.unaids.org/hiv-estimates-training-Material-fr/
Guide 8, qualité des données, élément indicateur Matrix https://hivtools.unaids.org/hiv-estimates-training-Material-fr/</v>
      </c>
      <c r="L10" s="73" t="str">
        <f>IFERROR(__xludf.DUMMYFUNCTION("GOOGLETRANSLATE(J10,""EN"",""PT"")"),"Obtenha sua chave de acesso ADR https://adr.unaids.org/me/
Guia 4, Preparando Entradas de Dados Naomi https://hivtools.onaids.org/hiv-estimates-training-material-en/
Guia 8, Qualidade de Dados, Indicador Element Matrix https://hivtools.unaids.org/hiv-esti"&amp;"mates-training-material-en/")</f>
        <v>Obtenha sua chave de acesso ADR https://adr.unaids.org/me/
Guia 4, Preparando Entradas de Dados Naomi https://hivtools.onaids.org/hiv-estimates-training-material-en/
Guia 8, Qualidade de Dados, Indicador Element Matrix https://hivtools.unaids.org/hiv-estimates-training-material-en/</v>
      </c>
      <c r="M10" s="39">
        <v>1.0</v>
      </c>
      <c r="N10" s="39"/>
      <c r="O10" s="41" t="s">
        <v>602</v>
      </c>
      <c r="P10" s="39"/>
      <c r="Q10" s="39"/>
    </row>
    <row r="11" ht="19.5" customHeight="1">
      <c r="A11" s="39" t="s">
        <v>603</v>
      </c>
      <c r="B11" s="168"/>
      <c r="C11" s="39" t="s">
        <v>604</v>
      </c>
      <c r="D11" s="16" t="str">
        <f>IFERROR(__xludf.DUMMYFUNCTION("GOOGLETRANSLATE(C11,""EN"",""FR"")"),"Visualiser les données d'entrée dans Naomi")</f>
        <v>Visualiser les données d'entrée dans Naomi</v>
      </c>
      <c r="E11" s="73" t="str">
        <f>IFERROR(__xludf.DUMMYFUNCTION("GOOGLETRANSLATE(C11,""EN"",""PT"")"),"Visualize dados de entradas em Naomi")</f>
        <v>Visualize dados de entradas em Naomi</v>
      </c>
      <c r="F11" s="39" t="s">
        <v>605</v>
      </c>
      <c r="G11" s="41" t="s">
        <v>606</v>
      </c>
      <c r="H11" s="16" t="str">
        <f>IFERROR(__xludf.DUMMYFUNCTION("GOOGLETRANSLATE(G11,""EN"",""FR"")"),"Naomi repose fortement sur la qualité des intrants de données de pays. Les problèmes modestes de qualité des données dans ces intrants peuvent avoir une incidence significative sur les produits Naomi. Veuillez visualiser vos entrées de données dans Naomi "&amp;"en faisant défiler les différentes visualisations fournies pour les données d'enquête et de programme. Assurez-vous d'utiliser les filtres fournis pour examiner des portions spécifiques des données de validité. Si vous avez déjà terminé cette étape pour l"&amp;"es données de programme avant de terminer le spectre, il n'est pas nécessaire de le répéter pour les données de programme pour le moment.
Vous pouvez en apprendre davantage sur les normes de pratique pour estimer la qualité des données dans le guide 6, "&amp;"les normes de qualité des données dans le matériel de formation des estimations de l'ONUSIDA. Le tableau 2 de ce guide fournit un certain nombre d'analyses utiles, dont beaucoup peuvent être effectuées à l'aide de la fonction d'examen des intrants de Naom"&amp;"i.")</f>
        <v>Naomi repose fortement sur la qualité des intrants de données de pays. Les problèmes modestes de qualité des données dans ces intrants peuvent avoir une incidence significative sur les produits Naomi. Veuillez visualiser vos entrées de données dans Naomi en faisant défiler les différentes visualisations fournies pour les données d'enquête et de programme. Assurez-vous d'utiliser les filtres fournis pour examiner des portions spécifiques des données de validité. Si vous avez déjà terminé cette étape pour les données de programme avant de terminer le spectre, il n'est pas nécessaire de le répéter pour les données de programme pour le moment.
Vous pouvez en apprendre davantage sur les normes de pratique pour estimer la qualité des données dans le guide 6, les normes de qualité des données dans le matériel de formation des estimations de l'ONUSIDA. Le tableau 2 de ce guide fournit un certain nombre d'analyses utiles, dont beaucoup peuvent être effectuées à l'aide de la fonction d'examen des intrants de Naomi.</v>
      </c>
      <c r="I11" s="73" t="str">
        <f>IFERROR(__xludf.DUMMYFUNCTION("GOOGLETRANSLATE(G11,""EN"",""PT"")"),"Naomi depende pesadamente na qualidade dos insumos de dados do país. As questões modestas de qualidade de dados nessas entradas podem impactar significativamente as saídas naomi. Visualize suas entradas de dados em Naomi, rolando através das várias visual"&amp;"izações fornecidas para dados de pesquisa e programa. Certifique-se de usar os filtros fornecidos para revisar partes específicas dos dados para validade. Se você já completou esta etapa para os dados do programa antes de concluir o espectro, não há neces"&amp;"sidade de repeti-lo para os dados do programa neste momento.
Você pode aprender mais sobre os padrões de prática para estimativas de qualidade de dados no Guia 6, padrões de qualidade de dados de prática na UNAIDS Estima materiais de treinamento. A Tabe"&amp;"la 2 deste guia fornece uma série de análises úteis, muitas das quais podem ser realizadas usando a função de revisão de entradas da Naomi.")</f>
        <v>Naomi depende pesadamente na qualidade dos insumos de dados do país. As questões modestas de qualidade de dados nessas entradas podem impactar significativamente as saídas naomi. Visualize suas entradas de dados em Naomi, rolando através das várias visualizações fornecidas para dados de pesquisa e programa. Certifique-se de usar os filtros fornecidos para revisar partes específicas dos dados para validade. Se você já completou esta etapa para os dados do programa antes de concluir o espectro, não há necessidade de repeti-lo para os dados do programa neste momento.
Você pode aprender mais sobre os padrões de prática para estimativas de qualidade de dados no Guia 6, padrões de qualidade de dados de prática na UNAIDS Estima materiais de treinamento. A Tabela 2 deste guia fornece uma série de análises úteis, muitas das quais podem ser realizadas usando a função de revisão de entradas da Naomi.</v>
      </c>
      <c r="J11" s="145" t="s">
        <v>607</v>
      </c>
      <c r="K11" s="16" t="str">
        <f>IFERROR(__xludf.DUMMYFUNCTION("GOOGLETRANSLATE(J11,""EN"",""FR"")"),"Guide 6, Normes de qualité de la qualité des données dans les estimations de l'ONUSIDA du matériel de formation HTTPS://hivtools.unaids.org/hiv-estimates-training-Material-fr/")</f>
        <v>Guide 6, Normes de qualité de la qualité des données dans les estimations de l'ONUSIDA du matériel de formation HTTPS://hivtools.unaids.org/hiv-estimates-training-Material-fr/</v>
      </c>
      <c r="L11" s="73" t="str">
        <f>IFERROR(__xludf.DUMMYFUNCTION("GOOGLETRANSLATE(J11,""EN"",""PT"")"),"Guia 6, Padrões de Qualidade de Dados de Prática na UNAIDS Estima materiais de treinamento https://hivtools.unaids.org/hiv-estimates-training-material-en/")</f>
        <v>Guia 6, Padrões de Qualidade de Dados de Prática na UNAIDS Estima materiais de treinamento https://hivtools.unaids.org/hiv-estimates-training-material-en/</v>
      </c>
      <c r="M11" s="39"/>
      <c r="N11" s="39"/>
      <c r="O11" s="41" t="s">
        <v>608</v>
      </c>
      <c r="P11" s="39"/>
      <c r="Q11" s="39"/>
    </row>
    <row r="12" ht="19.5" customHeight="1">
      <c r="A12" s="39" t="s">
        <v>609</v>
      </c>
      <c r="B12" s="168" t="s">
        <v>610</v>
      </c>
      <c r="C12" s="39" t="s">
        <v>611</v>
      </c>
      <c r="D12" s="16" t="str">
        <f>IFERROR(__xludf.DUMMYFUNCTION("GOOGLETRANSLATE(C12,""EN"",""FR"")"),"Sélectionnez ou confirmez les paramètres par défaut dans les options du modèle Naomi")</f>
        <v>Sélectionnez ou confirmez les paramètres par défaut dans les options du modèle Naomi</v>
      </c>
      <c r="E12" s="73" t="str">
        <f>IFERROR(__xludf.DUMMYFUNCTION("GOOGLETRANSLATE(C12,""EN"",""PT"")"),"Selecione ou confirme as configurações padrão nas opções do modelo Naomi")</f>
        <v>Selecione ou confirme as configurações padrão nas opções do modelo Naomi</v>
      </c>
      <c r="F12" s="39" t="s">
        <v>612</v>
      </c>
      <c r="G12" s="176" t="s">
        <v>613</v>
      </c>
      <c r="H12" s="16" t="str">
        <f>IFERROR(__xludf.DUMMYFUNCTION("GOOGLETRANSLATE(G12,""EN"",""FR"")"),"Naomi est un modèle flexible qui permet aux pays de personnaliser leurs sorties sous-nationales. Examinez la multitude d'options de modèle disponibles pour les utilisateurs.
Vous pouvez en apprendre davantage sur ces options dans 'Guide 5, Naomi Démarrag"&amp;"e rapide ""dans le matériel de formation des estimations de l'ONUSIDA.")</f>
        <v>Naomi est un modèle flexible qui permet aux pays de personnaliser leurs sorties sous-nationales. Examinez la multitude d'options de modèle disponibles pour les utilisateurs.
Vous pouvez en apprendre davantage sur ces options dans 'Guide 5, Naomi Démarrage rapide "dans le matériel de formation des estimations de l'ONUSIDA.</v>
      </c>
      <c r="I12" s="73" t="str">
        <f>IFERROR(__xludf.DUMMYFUNCTION("GOOGLETRANSLATE(G12,""EN"",""PT"")"),"Naomi é um modelo flexível que permite aos países personalizar suas saídas subnacionais. Revise a multiplicidade de opções de modelo disponíveis para os usuários.
Você pode aprender mais sobre essas opções em 'Guia 5, Naomi Rápido Início' na UNAIDS Estim"&amp;"a materiais de treinamento.")</f>
        <v>Naomi é um modelo flexível que permite aos países personalizar suas saídas subnacionais. Revise a multiplicidade de opções de modelo disponíveis para os usuários.
Você pode aprender mais sobre essas opções em 'Guia 5, Naomi Rápido Início' na UNAIDS Estima materiais de treinamento.</v>
      </c>
      <c r="J12" s="39" t="s">
        <v>614</v>
      </c>
      <c r="K12" s="16" t="str">
        <f>IFERROR(__xludf.DUMMYFUNCTION("GOOGLETRANSLATE(J12,""EN"",""FR"")"),"Guide 5, Naomi Démarrage rapide https://hivtools.unaids.org/hiv-estimates-training-Material-fr/")</f>
        <v>Guide 5, Naomi Démarrage rapide https://hivtools.unaids.org/hiv-estimates-training-Material-fr/</v>
      </c>
      <c r="L12" s="73" t="str">
        <f>IFERROR(__xludf.DUMMYFUNCTION("GOOGLETRANSLATE(J12,""EN"",""PT"")"),"Guia 5, Naomi Início rápido https://hivtools.unaids.org/hiv-estimates-training-material-en/")</f>
        <v>Guia 5, Naomi Início rápido https://hivtools.unaids.org/hiv-estimates-training-material-en/</v>
      </c>
      <c r="M12" s="39">
        <v>1.0</v>
      </c>
      <c r="N12" s="39"/>
      <c r="O12" s="41" t="s">
        <v>615</v>
      </c>
      <c r="P12" s="39" t="s">
        <v>616</v>
      </c>
      <c r="Q12" s="39"/>
    </row>
    <row r="13" ht="19.5" customHeight="1">
      <c r="A13" s="39" t="s">
        <v>617</v>
      </c>
      <c r="B13" s="168" t="s">
        <v>618</v>
      </c>
      <c r="C13" s="39" t="s">
        <v>619</v>
      </c>
      <c r="D13" s="16" t="str">
        <f>IFERROR(__xludf.DUMMYFUNCTION("GOOGLETRANSLATE(C13,""EN"",""FR"")"),"Adapter le modèle à Naomi")</f>
        <v>Adapter le modèle à Naomi</v>
      </c>
      <c r="E13" s="73" t="str">
        <f>IFERROR(__xludf.DUMMYFUNCTION("GOOGLETRANSLATE(C13,""EN"",""PT"")"),"Encaixar o modelo em Naomi")</f>
        <v>Encaixar o modelo em Naomi</v>
      </c>
      <c r="F13" s="39" t="s">
        <v>620</v>
      </c>
      <c r="G13" s="39" t="s">
        <v>621</v>
      </c>
      <c r="H13" s="16" t="str">
        <f>IFERROR(__xludf.DUMMYFUNCTION("GOOGLETRANSLATE(G13,""EN"",""FR"")"),"Une fois que vous avez sélectionné et validé les différentes options de modèle, l'étape suivante du processus NAOMI consiste à adapter votre modèle. En fonction de vos données sous-jacentes, cette étape peut prendre un certain temps (jusqu'à 30 minutes ou"&amp;" même une heure dans de rares cas). Lorsque vous êtes prêt, cliquez simplement sur le bouton ""Fit modèle"".")</f>
        <v>Une fois que vous avez sélectionné et validé les différentes options de modèle, l'étape suivante du processus NAOMI consiste à adapter votre modèle. En fonction de vos données sous-jacentes, cette étape peut prendre un certain temps (jusqu'à 30 minutes ou même une heure dans de rares cas). Lorsque vous êtes prêt, cliquez simplement sur le bouton "Fit modèle".</v>
      </c>
      <c r="I13" s="73" t="str">
        <f>IFERROR(__xludf.DUMMYFUNCTION("GOOGLETRANSLATE(G13,""EN"",""PT"")"),"Depois de selecionar e validar as várias opções de modelo, a próxima etapa no processo Naomi é para ajustar seu modelo. Dependendo dos dados subjacentes, esta etapa pode levar algum tempo (até 30 minutos ou até uma hora em casos raros). Quando você estive"&amp;"r pronto, basta clicar no botão ""Fit Model"".")</f>
        <v>Depois de selecionar e validar as várias opções de modelo, a próxima etapa no processo Naomi é para ajustar seu modelo. Dependendo dos dados subjacentes, esta etapa pode levar algum tempo (até 30 minutos ou até uma hora em casos raros). Quando você estiver pronto, basta clicar no botão "Fit Model".</v>
      </c>
      <c r="J13" s="39"/>
      <c r="K13" s="39"/>
      <c r="L13" s="39"/>
      <c r="M13" s="39">
        <v>1.0</v>
      </c>
      <c r="N13" s="39"/>
      <c r="O13" s="41" t="s">
        <v>622</v>
      </c>
      <c r="P13" s="39"/>
      <c r="Q13" s="39"/>
    </row>
    <row r="14" ht="19.5" customHeight="1">
      <c r="A14" s="39" t="s">
        <v>623</v>
      </c>
      <c r="B14" s="168" t="s">
        <v>624</v>
      </c>
      <c r="C14" s="39" t="s">
        <v>625</v>
      </c>
      <c r="D14" s="16" t="str">
        <f>IFERROR(__xludf.DUMMYFUNCTION("GOOGLETRANSLATE(C14,""EN"",""FR"")"),"Calibrer le modèle à Naomi")</f>
        <v>Calibrer le modèle à Naomi</v>
      </c>
      <c r="E14" s="73" t="str">
        <f>IFERROR(__xludf.DUMMYFUNCTION("GOOGLETRANSLATE(C14,""EN"",""PT"")"),"Calibre o modelo em Naomi")</f>
        <v>Calibre o modelo em Naomi</v>
      </c>
      <c r="F14" s="39" t="s">
        <v>626</v>
      </c>
      <c r="G14" s="41" t="s">
        <v>627</v>
      </c>
      <c r="H14" s="16" t="str">
        <f>IFERROR(__xludf.DUMMYFUNCTION("GOOGLETRANSLATE(G14,""EN"",""FR"")"),"Les résultats du modèle Naomi peuvent être calibrés aux sorties de spectre pour les quatre indicateurs: PLHIV, art, conscience du statut VIH et de nouvelles infections. Cela garantit que les estimations globales moyennes de Spectrum et de Naomi sont cohér"&amp;"entes.
Tout cela devrait être ajusté pour correspondre à votre fichier de votre spectre, soit les dossiers de spectre nationaux ou sous-nationaux avec la stratification sexuelle d'âge suivante: (sexe et âge &lt;15/15 + ans).
Pour la méthode d'étalonnag"&amp;"e: Utilisez la valeur par défaut qui est logistique et qui échelle la prévalence, la couverture d'art, la proportion ignorée et l'incidence sur l'échelle de la Logit dans chaque strate de district / sexe / âge afin de correspondre au spectre. Cela garanti"&amp;"t que la couverture d'art ne passe pas supérieure à 100% dans une stratification de district / sexuel / âge.
De plus amples informations sont disponibles dans le Guide 5, Naomi Démarrage rapide.")</f>
        <v>Les résultats du modèle Naomi peuvent être calibrés aux sorties de spectre pour les quatre indicateurs: PLHIV, art, conscience du statut VIH et de nouvelles infections. Cela garantit que les estimations globales moyennes de Spectrum et de Naomi sont cohérentes.
Tout cela devrait être ajusté pour correspondre à votre fichier de votre spectre, soit les dossiers de spectre nationaux ou sous-nationaux avec la stratification sexuelle d'âge suivante: (sexe et âge &lt;15/15 + ans).
Pour la méthode d'étalonnage: Utilisez la valeur par défaut qui est logistique et qui échelle la prévalence, la couverture d'art, la proportion ignorée et l'incidence sur l'échelle de la Logit dans chaque strate de district / sexe / âge afin de correspondre au spectre. Cela garantit que la couverture d'art ne passe pas supérieure à 100% dans une stratification de district / sexuel / âge.
De plus amples informations sont disponibles dans le Guide 5, Naomi Démarrage rapide.</v>
      </c>
      <c r="I14" s="73" t="str">
        <f>IFERROR(__xludf.DUMMYFUNCTION("GOOGLETRANSLATE(G14,""EN"",""PT"")"),"Os resultados do modelo Naomi podem ser calibrados para as saídas do espectro para os quatro indicadores: PPIV, arte, ciente do estado do HIV e novas infecções. Isso garante que as estimativas agregadas médias de espectro e naomi sejam consistentes.
Tu"&amp;"do isso deve ser ajustado para corresponder ao seu arquivo de espectro ou os arquivos de espectro nacionais ou subnacionais com a seguinte estratificação sexual etária: (sexo e idade &lt;15/15 + anos).
Para o método de calibração: Use o padrão que é logís"&amp;"tico e que escala a prevalência, a cobertura de arte, a proporção incide e a incidência na escala de logit dentro de cada estrato distrital / sexo / idade, a fim de corresponder ao espectro. Isso garante que a cobertura de arte não passe acima de 100% em "&amp;"qualquer estratificação distrital / sexy / idade.
Mais informações estão disponíveis no Guia 5, Naomi Quick Start.")</f>
        <v>Os resultados do modelo Naomi podem ser calibrados para as saídas do espectro para os quatro indicadores: PPIV, arte, ciente do estado do HIV e novas infecções. Isso garante que as estimativas agregadas médias de espectro e naomi sejam consistentes.
Tudo isso deve ser ajustado para corresponder ao seu arquivo de espectro ou os arquivos de espectro nacionais ou subnacionais com a seguinte estratificação sexual etária: (sexo e idade &lt;15/15 + anos).
Para o método de calibração: Use o padrão que é logístico e que escala a prevalência, a cobertura de arte, a proporção incide e a incidência na escala de logit dentro de cada estrato distrital / sexo / idade, a fim de corresponder ao espectro. Isso garante que a cobertura de arte não passe acima de 100% em qualquer estratificação distrital / sexy / idade.
Mais informações estão disponíveis no Guia 5, Naomi Quick Start.</v>
      </c>
      <c r="J14" s="39" t="s">
        <v>628</v>
      </c>
      <c r="K14" s="16" t="str">
        <f>IFERROR(__xludf.DUMMYFUNCTION("GOOGLETRANSLATE(J14,""EN"",""FR"")"),"Guide 5, Naomi Démarrage rapide https://hivtools.unaids.org/hiv-estimates-training-Material-fr/")</f>
        <v>Guide 5, Naomi Démarrage rapide https://hivtools.unaids.org/hiv-estimates-training-Material-fr/</v>
      </c>
      <c r="L14" s="73" t="str">
        <f>IFERROR(__xludf.DUMMYFUNCTION("GOOGLETRANSLATE(J14,""EN"",""PT"")"),"Guia 5, Naomi Início rápido https://hivtools.unaids.org/hiv-estimates-training-material-en/")</f>
        <v>Guia 5, Naomi Início rápido https://hivtools.unaids.org/hiv-estimates-training-material-en/</v>
      </c>
      <c r="M14" s="41">
        <v>0.0</v>
      </c>
      <c r="N14" s="39"/>
      <c r="O14" s="41" t="s">
        <v>629</v>
      </c>
      <c r="P14" s="39"/>
      <c r="Q14" s="39"/>
    </row>
    <row r="15" ht="19.5" customHeight="1">
      <c r="A15" s="39" t="s">
        <v>630</v>
      </c>
      <c r="B15" s="168"/>
      <c r="C15" s="41" t="s">
        <v>631</v>
      </c>
      <c r="D15" s="16" t="str">
        <f>IFERROR(__xludf.DUMMYFUNCTION("GOOGLETRANSLATE(C15,""EN"",""FR"")"),"Confirmez aucun fichier de données dans votre jeu de données sur ADR requis pour les estimations de district a changé depuis que vous avez commencé Naomi")</f>
        <v>Confirmez aucun fichier de données dans votre jeu de données sur ADR requis pour les estimations de district a changé depuis que vous avez commencé Naomi</v>
      </c>
      <c r="E15" s="73" t="str">
        <f>IFERROR(__xludf.DUMMYFUNCTION("GOOGLETRANSLATE(C15,""EN"",""PT"")"),"Confirme Nenhum arquivo de dados no seu conjunto de dados no ADR necessário para estimativas de distrito mudaram desde que você começou Naomi")</f>
        <v>Confirme Nenhum arquivo de dados no seu conjunto de dados no ADR necessário para estimativas de distrito mudaram desde que você começou Naomi</v>
      </c>
      <c r="F15" s="39" t="s">
        <v>632</v>
      </c>
      <c r="G15" s="41" t="s">
        <v>633</v>
      </c>
      <c r="H15" s="16" t="str">
        <f>IFERROR(__xludf.DUMMYFUNCTION("GOOGLETRANSLATE(G15,""EN"",""FR"")"),"Si des données de programme sous-jacentes ont changé depuis que vous avez terminé la première partie du spectre, vous devez revenir au début du processus de spectre et répéter toutes les étapes avant de poursuivre les étapes finales de Spectrum et, après,"&amp;" au début du jalon Naomi. * Notez les étapes que vous avez suivies pour estimer l'incidence (par exemple, PPE) et produire des sorties KOS (Shiny 90) doit également être répétée si vos fichiers de données sous-jacents ont changé. *")</f>
        <v>Si des données de programme sous-jacentes ont changé depuis que vous avez terminé la première partie du spectre, vous devez revenir au début du processus de spectre et répéter toutes les étapes avant de poursuivre les étapes finales de Spectrum et, après, au début du jalon Naomi. * Notez les étapes que vous avez suivies pour estimer l'incidence (par exemple, PPE) et produire des sorties KOS (Shiny 90) doit également être répétée si vos fichiers de données sous-jacents ont changé. *</v>
      </c>
      <c r="I15" s="73" t="str">
        <f>IFERROR(__xludf.DUMMYFUNCTION("GOOGLETRANSLATE(G15,""EN"",""PT"")"),"Se os dados do programa subjacente tiverem sido alterados, já que você completou a primeira parte do espectro, deverá retornar ao início do processo de espectro e repetir todas as etapas antes de prosseguir com as etapas finais do espectro e, após, ao iní"&amp;"cio do marco naomi. * Observe os passos que você seguiu para estimar a incidência (por exemplo, EPP) e produzir saídas KOS (Shiny 90) também devem ser repetidos se os arquivos de dados subjacentes foram alterados. *")</f>
        <v>Se os dados do programa subjacente tiverem sido alterados, já que você completou a primeira parte do espectro, deverá retornar ao início do processo de espectro e repetir todas as etapas antes de prosseguir com as etapas finais do espectro e, após, ao início do marco naomi. * Observe os passos que você seguiu para estimar a incidência (por exemplo, EPP) e produzir saídas KOS (Shiny 90) também devem ser repetidos se os arquivos de dados subjacentes foram alterados. *</v>
      </c>
      <c r="J15" s="39"/>
      <c r="K15" s="39"/>
      <c r="L15" s="39"/>
      <c r="M15" s="39">
        <v>1.0</v>
      </c>
      <c r="N15" s="39"/>
      <c r="O15" s="41" t="s">
        <v>634</v>
      </c>
      <c r="P15" s="136"/>
      <c r="Q15" s="39"/>
    </row>
    <row r="16" ht="19.5" customHeight="1">
      <c r="A16" s="39" t="s">
        <v>635</v>
      </c>
      <c r="B16" s="168"/>
      <c r="C16" s="39" t="s">
        <v>636</v>
      </c>
      <c r="D16" s="16" t="str">
        <f>IFERROR(__xludf.DUMMYFUNCTION("GOOGLETRANSLATE(C16,""EN"",""FR"")"),"Examiner votre sortie modèle Naomi")</f>
        <v>Examiner votre sortie modèle Naomi</v>
      </c>
      <c r="E16" s="73" t="str">
        <f>IFERROR(__xludf.DUMMYFUNCTION("GOOGLETRANSLATE(C16,""EN"",""PT"")"),"Revise sua saída de modelo Naomi")</f>
        <v>Revise sua saída de modelo Naomi</v>
      </c>
      <c r="F16" s="39" t="s">
        <v>637</v>
      </c>
      <c r="G16" s="41" t="s">
        <v>638</v>
      </c>
      <c r="H16" s="16" t="str">
        <f>IFERROR(__xludf.DUMMYFUNCTION("GOOGLETRANSLATE(G16,""EN"",""FR"")"),"Une fois que vous avez calibré votre modèle Naomi, la prochaine étape consiste à examiner les résultats dans les cartes, tables et graphiques à barres de l'application NAOMI.
Examiner les estimations de la couverture pour des estimations implicitablement"&amp;" élevées ou faibles; Examiner les données de prévalence et d'incidence pour les valeurs qui ne sont pas réalistes (par exemple, à la périphérie par rapport à la plupart des autres districts ou à d'autres quartiers / années).
Les options de révision dispo"&amp;"nibles incluent:
- i) visualisations - chloroplie, graphique à barres, terrain à bulles;
- ii) résultats tabulaires - estimations et cis, triables et consultables;
- iii) Toutes les stratifications de - indicateurs, niveaux, zones, points de temps, sexes"&amp;" et groupes d'âge.
Si vous avez des questions ou des préoccupations concernant vos sorties de modèle Naomi, contactez votre facilitateur d'estimations ou votre ONUSIDA.")</f>
        <v>Une fois que vous avez calibré votre modèle Naomi, la prochaine étape consiste à examiner les résultats dans les cartes, tables et graphiques à barres de l'application NAOMI.
Examiner les estimations de la couverture pour des estimations implicitablement élevées ou faibles; Examiner les données de prévalence et d'incidence pour les valeurs qui ne sont pas réalistes (par exemple, à la périphérie par rapport à la plupart des autres districts ou à d'autres quartiers / années).
Les options de révision disponibles incluent:
- i) visualisations - chloroplie, graphique à barres, terrain à bulles;
- ii) résultats tabulaires - estimations et cis, triables et consultables;
- iii) Toutes les stratifications de - indicateurs, niveaux, zones, points de temps, sexes et groupes d'âge.
Si vous avez des questions ou des préoccupations concernant vos sorties de modèle Naomi, contactez votre facilitateur d'estimations ou votre ONUSIDA.</v>
      </c>
      <c r="I16" s="73" t="str">
        <f>IFERROR(__xludf.DUMMYFUNCTION("GOOGLETRANSLATE(G16,""EN"",""PT"")"),"Depois de ter calibrado seu modelo Naomi, o próximo passo é revisar os resultados nos mapas, tabelas e gráficos de barras no aplicativo Naomi.
Revisar estimativas de cobertura para estimativas que são implausivelmente altas ou baixas; Revise os dados de "&amp;"prevalência e incidência para valores que não são realistas (por exemplo, periféricos em comparação com a maioria dos outros distritos ou a outros trimestres / anos).
Opções de revisão disponíveis incluem:
- i) visualizações - cloropleth, gráfico de bar"&amp;"ras, lote de bolha;
- ii) Resultados tabulares - estimativas e CIS, classificáveis ​​e pesquisáveis;
- iii) todas as estratificações de - indicadores, níveis, áreas, pontos de tempo, sexos e grupos etários.
Se você tiver dúvidas ou preocupações sobre sua"&amp;"s saídas do modelo Naomi, entre em contato com o facilitador ou UNAIDS da sua estimativa.")</f>
        <v>Depois de ter calibrado seu modelo Naomi, o próximo passo é revisar os resultados nos mapas, tabelas e gráficos de barras no aplicativo Naomi.
Revisar estimativas de cobertura para estimativas que são implausivelmente altas ou baixas; Revise os dados de prevalência e incidência para valores que não são realistas (por exemplo, periféricos em comparação com a maioria dos outros distritos ou a outros trimestres / anos).
Opções de revisão disponíveis incluem:
- i) visualizações - cloropleth, gráfico de barras, lote de bolha;
- ii) Resultados tabulares - estimativas e CIS, classificáveis ​​e pesquisáveis;
- iii) todas as estratificações de - indicadores, níveis, áreas, pontos de tempo, sexos e grupos etários.
Se você tiver dúvidas ou preocupações sobre suas saídas do modelo Naomi, entre em contato com o facilitador ou UNAIDS da sua estimativa.</v>
      </c>
      <c r="J16" s="39"/>
      <c r="K16" s="39"/>
      <c r="L16" s="39"/>
      <c r="M16" s="39"/>
      <c r="N16" s="39"/>
      <c r="O16" s="41" t="s">
        <v>639</v>
      </c>
      <c r="P16" s="39"/>
      <c r="Q16" s="39"/>
    </row>
    <row r="17" ht="19.5" customHeight="1">
      <c r="A17" s="39" t="s">
        <v>640</v>
      </c>
      <c r="B17" s="168"/>
      <c r="C17" s="39" t="s">
        <v>641</v>
      </c>
      <c r="D17" s="16" t="str">
        <f>IFERROR(__xludf.DUMMYFUNCTION("GOOGLETRANSLATE(C17,""EN"",""FR"")"),"Téléchargez vos résultats Naomi")</f>
        <v>Téléchargez vos résultats Naomi</v>
      </c>
      <c r="E17" s="73" t="str">
        <f>IFERROR(__xludf.DUMMYFUNCTION("GOOGLETRANSLATE(C17,""EN"",""PT"")"),"Baixe seus resultados naomi")</f>
        <v>Baixe seus resultados naomi</v>
      </c>
      <c r="F17" s="39" t="s">
        <v>642</v>
      </c>
      <c r="G17" s="41" t="s">
        <v>643</v>
      </c>
      <c r="H17" s="16" t="str">
        <f>IFERROR(__xludf.DUMMYFUNCTION("GOOGLETRANSLATE(G17,""EN"",""FR"")"),"La prochaine étape consiste à télécharger vos résultats Naomi vers ADR ou téléchargez vos résultats pour examen par l'ONUSIDA, utiliser dans la planification du programme de pays et pour Global Reporting.
L'ONUSIDA recommande d'utiliser la fonctionnali"&amp;"té * Télécharger sur ADR * sur Naomi. Vous pouvez télécharger directement les fichiers sur votre jeu de données ADR à l'aide du bouton 'Téléchargement vers ADR'. L'étape 'Télécharger' dans l'application Naomi. Assurez-vous que vous avez téléchargé les sor"&amp;"ties finales à ADR pour la rétention des enregistrements et permettent d'accéder aux résultats à l'équipe d'estimation de votre pays et à d'autres parties prenantes intéressées (par exemple, l'ONUSIDA et votre facilitateur de vos estimations). Vous pouvez"&amp;" direr
Sinon, il y a trois options de téléchargement:
- Option 1. Exporter des sorties de modèle pour spectre. Utilisez cette option pour télécharger un fichier ZIP qui peut ensuite être téléchargé dans Spectrum et utilisé pour créer un pack de donn"&amp;"ées PEPFAR. Vous pouvez également utiliser ce fichier pour afficher les résultats sur une visionneuse Naomi-Spectrum disponible à l'adresse https://naomi-spectrum.unaids.org. Cela fournit des options de visualisation supplémentaires et un format de tablea"&amp;"u des données à la fois au niveau du district et de la province.
- Option 2. Télécharger des sorties de groupe d'âge grossier.
- Option 3. Télécharger le rapport de synthèse. Cette option fournit un résumé de vos résultats que vous pouvez partager avec "&amp;"les principales parties prenantes.")</f>
        <v>La prochaine étape consiste à télécharger vos résultats Naomi vers ADR ou téléchargez vos résultats pour examen par l'ONUSIDA, utiliser dans la planification du programme de pays et pour Global Reporting.
L'ONUSIDA recommande d'utiliser la fonctionnalité * Télécharger sur ADR * sur Naomi. Vous pouvez télécharger directement les fichiers sur votre jeu de données ADR à l'aide du bouton 'Téléchargement vers ADR'. L'étape 'Télécharger' dans l'application Naomi. Assurez-vous que vous avez téléchargé les sorties finales à ADR pour la rétention des enregistrements et permettent d'accéder aux résultats à l'équipe d'estimation de votre pays et à d'autres parties prenantes intéressées (par exemple, l'ONUSIDA et votre facilitateur de vos estimations). Vous pouvez direr
Sinon, il y a trois options de téléchargement:
- Option 1. Exporter des sorties de modèle pour spectre. Utilisez cette option pour télécharger un fichier ZIP qui peut ensuite être téléchargé dans Spectrum et utilisé pour créer un pack de données PEPFAR. Vous pouvez également utiliser ce fichier pour afficher les résultats sur une visionneuse Naomi-Spectrum disponible à l'adresse https://naomi-spectrum.unaids.org. Cela fournit des options de visualisation supplémentaires et un format de tableau des données à la fois au niveau du district et de la province.
- Option 2. Télécharger des sorties de groupe d'âge grossier.
- Option 3. Télécharger le rapport de synthèse. Cette option fournit un résumé de vos résultats que vous pouvez partager avec les principales parties prenantes.</v>
      </c>
      <c r="I17" s="73" t="str">
        <f>IFERROR(__xludf.DUMMYFUNCTION("GOOGLETRANSLATE(G17,""EN"",""PT"")"),"O próximo passo é fazer o upload de seus resultados Naomi para ADR ou baixar seus resultados para revisão pela UNAIDS, use no planejamento do programa do país e para relatórios globais.
A UNAIDS recomenda usar o * Upload para ADR * recurso no Naomi. Vo"&amp;"cê pode enviar diretamente os arquivos para o conjunto de dados do ADR usando o botão 'Upload para ADR' o passo 'Download' no aplicativo Naomi. Assegure-se de ter upload das saídas finais para ADR para retenção de registros e permitir o acesso aos resulta"&amp;"dos para a equipe de estimativas do seu país e outras partes interessadas (por exemplo, a UNAIDS e o facilitador das estimativas). Você pode dir.
Caso contrário, existem três opções de download:
- Opção 1. Saídas do modelo de exportação para espectr"&amp;"o. Use esta opção para baixar um arquivo zip que pode ser carregado no espectro e usado para criar um pacote de dados PEPFAR. Você também pode usar este arquivo para visualizar os resultados em um visualizador de espectro Naomi disponível em https://naomi"&amp;"-spectrum.onaids.org. Isso fornece algumas opções adicionais de visualização e um formato de tabela dos dados no nível do distrito e da província.
- Opção 2. Faça o download de saídas de faixa de idade grossa.
- Opção 3. Descarregue o relatório de resum"&amp;"o. Esta opção fornece um resumo de seus resultados que você pode compartilhar com as principais partes interessadas.")</f>
        <v>O próximo passo é fazer o upload de seus resultados Naomi para ADR ou baixar seus resultados para revisão pela UNAIDS, use no planejamento do programa do país e para relatórios globais.
A UNAIDS recomenda usar o * Upload para ADR * recurso no Naomi. Você pode enviar diretamente os arquivos para o conjunto de dados do ADR usando o botão 'Upload para ADR' o passo 'Download' no aplicativo Naomi. Assegure-se de ter upload das saídas finais para ADR para retenção de registros e permitir o acesso aos resultados para a equipe de estimativas do seu país e outras partes interessadas (por exemplo, a UNAIDS e o facilitador das estimativas). Você pode dir.
Caso contrário, existem três opções de download:
- Opção 1. Saídas do modelo de exportação para espectro. Use esta opção para baixar um arquivo zip que pode ser carregado no espectro e usado para criar um pacote de dados PEPFAR. Você também pode usar este arquivo para visualizar os resultados em um visualizador de espectro Naomi disponível em https://naomi-spectrum.onaids.org. Isso fornece algumas opções adicionais de visualização e um formato de tabela dos dados no nível do distrito e da província.
- Opção 2. Faça o download de saídas de faixa de idade grossa.
- Opção 3. Descarregue o relatório de resumo. Esta opção fornece um resumo de seus resultados que você pode compartilhar com as principais partes interessadas.</v>
      </c>
      <c r="J17" s="39"/>
      <c r="K17" s="39"/>
      <c r="L17" s="39"/>
      <c r="M17" s="39">
        <v>1.0</v>
      </c>
      <c r="N17" s="39"/>
      <c r="O17" s="41" t="s">
        <v>644</v>
      </c>
      <c r="P17" s="39"/>
      <c r="Q17" s="39"/>
    </row>
    <row r="18" ht="19.5" customHeight="1">
      <c r="A18" s="39" t="s">
        <v>645</v>
      </c>
      <c r="B18" s="168"/>
      <c r="C18" s="39" t="s">
        <v>646</v>
      </c>
      <c r="D18" s="16" t="str">
        <f>IFERROR(__xludf.DUMMYFUNCTION("GOOGLETRANSLATE(C18,""EN"",""FR"")"),"Téléchargez le fichier Naomi validé final à votre organisation sur ADR")</f>
        <v>Téléchargez le fichier Naomi validé final à votre organisation sur ADR</v>
      </c>
      <c r="E18" s="73" t="str">
        <f>IFERROR(__xludf.DUMMYFUNCTION("GOOGLETRANSLATE(C18,""EN"",""PT"")"),"Carregar arquivo Naomi validado final para sua organização no ADR")</f>
        <v>Carregar arquivo Naomi validado final para sua organização no ADR</v>
      </c>
      <c r="F18" s="39" t="s">
        <v>647</v>
      </c>
      <c r="G18" s="39" t="s">
        <v>648</v>
      </c>
      <c r="H18" s="16" t="str">
        <f>IFERROR(__xludf.DUMMYFUNCTION("GOOGLETRANSLATE(G18,""EN"",""FR"")"),"Enfin, vous devez maintenant télécharger vos fichiers Naomi finaux dans le référentiel de données AIDS (ADR.HivTools.org). Enregistrement de votre dossier à ADR prend en charge la gestion de la connaissance de la connaissance et permettra à votre pays d'e"&amp;"stimer l'équipe et les supporters de votre pays (par exemple, l'ONUSIDA) de voir les résultats. Pour télécharger vos fichiers Naomi vers ADR, procédez à ADR.HivTools.org et trouvez votre organisation (c'est-à-dire pays). Dans la liste des données de votre"&amp;" pays, vous pourrez télécharger vos fichiers pour la période de référence. Assurez-vous d'informer l'ONUSIDA lorsque vous avez téléchargé votre fichier Naomi à ADR pour son examen.")</f>
        <v>Enfin, vous devez maintenant télécharger vos fichiers Naomi finaux dans le référentiel de données AIDS (ADR.HivTools.org). Enregistrement de votre dossier à ADR prend en charge la gestion de la connaissance de la connaissance et permettra à votre pays d'estimer l'équipe et les supporters de votre pays (par exemple, l'ONUSIDA) de voir les résultats. Pour télécharger vos fichiers Naomi vers ADR, procédez à ADR.HivTools.org et trouvez votre organisation (c'est-à-dire pays). Dans la liste des données de votre pays, vous pourrez télécharger vos fichiers pour la période de référence. Assurez-vous d'informer l'ONUSIDA lorsque vous avez téléchargé votre fichier Naomi à ADR pour son examen.</v>
      </c>
      <c r="I18" s="73" t="str">
        <f>IFERROR(__xludf.DUMMYFUNCTION("GOOGLETRANSLATE(G18,""EN"",""PT"")"),"Como uma etapa final, você deve fazer o upload de seus arquivos finais Naomi para o repositório de dados da AIDS (adr.hivtools.org). Salvar seu arquivo para ADR suporta o Sound Knowledge Management e permitirá que o seu país estima equipe e apoiadores (po"&amp;"r exemplo, UNAIDS) para visualizar os resultados. Para carregar seus arquivos Naomi para ADR, prossiga para adr.hivtools.org e encontrar sua organização (isto é, país). Na lista de dados do seu país, você poderá enviar seus arquivos para o período de rela"&amp;"tório. Certifique-se de informar o UNAIDS quando você enviar seu arquivo Naomi para ADR para sua revisão.")</f>
        <v>Como uma etapa final, você deve fazer o upload de seus arquivos finais Naomi para o repositório de dados da AIDS (adr.hivtools.org). Salvar seu arquivo para ADR suporta o Sound Knowledge Management e permitirá que o seu país estima equipe e apoiadores (por exemplo, UNAIDS) para visualizar os resultados. Para carregar seus arquivos Naomi para ADR, prossiga para adr.hivtools.org e encontrar sua organização (isto é, país). Na lista de dados do seu país, você poderá enviar seus arquivos para o período de relatório. Certifique-se de informar o UNAIDS quando você enviar seu arquivo Naomi para ADR para sua revisão.</v>
      </c>
      <c r="J18" s="39" t="s">
        <v>649</v>
      </c>
      <c r="K18" s="16" t="str">
        <f>IFERROR(__xludf.DUMMYFUNCTION("GOOGLETRANSLATE(J18,""EN"",""FR"")"),"Repositoire de données SIDA http://adr.hivtools.org")</f>
        <v>Repositoire de données SIDA http://adr.hivtools.org</v>
      </c>
      <c r="L18" s="73" t="str">
        <f>IFERROR(__xludf.DUMMYFUNCTION("GOOGLETRANSLATE(J18,""EN"",""PT"")"),"Repositório de dados de AIDS http://adr.hivtools.org")</f>
        <v>Repositório de dados de AIDS http://adr.hivtools.org</v>
      </c>
      <c r="M18" s="39">
        <v>1.0</v>
      </c>
      <c r="N18" s="39"/>
      <c r="O18" s="41" t="s">
        <v>650</v>
      </c>
      <c r="P18" s="39"/>
      <c r="Q18" s="39"/>
    </row>
    <row r="19" ht="19.5" customHeight="1">
      <c r="A19" s="41" t="s">
        <v>651</v>
      </c>
      <c r="B19" s="168" t="s">
        <v>579</v>
      </c>
      <c r="C19" s="41" t="s">
        <v>652</v>
      </c>
      <c r="D19" s="16" t="str">
        <f>IFERROR(__xludf.DUMMYFUNCTION("GOOGLETRANSLATE(C19,""EN"",""FR"")"),"Validation Naomi: Match les entrées de données pour Spectrum et Naomi")</f>
        <v>Validation Naomi: Match les entrées de données pour Spectrum et Naomi</v>
      </c>
      <c r="E19" s="73" t="str">
        <f>IFERROR(__xludf.DUMMYFUNCTION("GOOGLETRANSLATE(C19,""EN"",""PT"")"),"Validação de Naomi: Combine as entradas de dados para espectro e naomi")</f>
        <v>Validação de Naomi: Combine as entradas de dados para espectro e naomi</v>
      </c>
      <c r="F19" s="39" t="s">
        <v>581</v>
      </c>
      <c r="G19" s="41" t="s">
        <v>653</v>
      </c>
      <c r="H19" s="16" t="str">
        <f>IFERROR(__xludf.DUMMYFUNCTION("GOOGLETRANSLATE(G19,""EN"",""FR"")"),"** Navigator a détecté un problème avec votre zip Naomi Sorties. **
Certaines entrées de données utilisées par Naomi sont des versions désagrégées d'entrées de données pour d'autres modèles tels que Spectrum. Par exemple, les données d'art et de l'ANC ut"&amp;"ilisées par Naomi sont également utilisées par Spectrum. Vous pouvez en apprendre davantage sur les exigences de chacun des modèles de «Guide 8» dans le matériel de formation ONUSIDA (ci-dessous). Il est essentiel que les entrées de données utilisées par "&amp;"Naomi correspondent aux entrées utilisées par Spectrum. Bien que dans certains cas, les niveaux de désagrégation peuvent différer, la somme des désagrégations doit être égale à celles utilisées par spectre. Si les entrées de données Naomi ne correspondent"&amp;" pas à celles utilisées dans votre processus de modèle de spectre, modifiez-les pour correspondre. Si vous avez modifié les entrées utilisées par Spectrum, vous devez revenir au spectre et recommencer le processus. Si vous avez modifié vos entrées Naomi p"&amp;"our correspondre à celles utilisées par Spectrum, vous pouvez continuer avec Naomi.
** Veuillez vous assurer que vous adressez-y dans votre modèle NAOMI Model Run, puis redupliquez votre ZIP de sortie Naomi à l'ADR afin de terminer cette tâche. **")</f>
        <v>** Navigator a détecté un problème avec votre zip Naomi Sorties. **
Certaines entrées de données utilisées par Naomi sont des versions désagrégées d'entrées de données pour d'autres modèles tels que Spectrum. Par exemple, les données d'art et de l'ANC utilisées par Naomi sont également utilisées par Spectrum. Vous pouvez en apprendre davantage sur les exigences de chacun des modèles de «Guide 8» dans le matériel de formation ONUSIDA (ci-dessous). Il est essentiel que les entrées de données utilisées par Naomi correspondent aux entrées utilisées par Spectrum. Bien que dans certains cas, les niveaux de désagrégation peuvent différer, la somme des désagrégations doit être égale à celles utilisées par spectre. Si les entrées de données Naomi ne correspondent pas à celles utilisées dans votre processus de modèle de spectre, modifiez-les pour correspondre. Si vous avez modifié les entrées utilisées par Spectrum, vous devez revenir au spectre et recommencer le processus. Si vous avez modifié vos entrées Naomi pour correspondre à celles utilisées par Spectrum, vous pouvez continuer avec Naomi.
** Veuillez vous assurer que vous adressez-y dans votre modèle NAOMI Model Run, puis redupliquez votre ZIP de sortie Naomi à l'ADR afin de terminer cette tâche. **</v>
      </c>
      <c r="I19" s="73" t="str">
        <f>IFERROR(__xludf.DUMMYFUNCTION("GOOGLETRANSLATE(G19,""EN"",""PT"")"),"** O Navegador detectou um problema com suas saídas Naomi Zip. **
Algumas entradas de dados usadas pelo NaOMI são versões desagregadas de entradas de dados para outros modelos, como o espectro. Por exemplo, os dados de arte e ANC usados ​​por Naomi també"&amp;"m são usados ​​pelo espectro. Você pode aprender mais sobre os requisitos para cada um dos modelos do 'Guia 8' nos materiais de treinamento da UNAIDS (anexado abaixo). É fundamental que as entradas de dados usadas pela Naomi correspondam às entradas usada"&amp;"s pelo espectro. Embora, em alguns casos, os níveis de desagregação podem diferir, a soma das desagregações deve igualar aquelas utilizadas pelo espectro. Se as entradas de dados Naomi não corresponderem àquelas usadas no seu processo de modelo de espectr"&amp;"o, modificá-los para corresponder. Se você alterou as entradas usadas pelo espectro, deverá retornar ao espectro e iniciar o processo novamente. Se você alterou suas entradas Naomi para corresponder àquelas usadas pelo espectro, você pode continuar com Na"&amp;"omi.
** Certifique-se de resolver isso no seu modelo Naomi Executar e, em seguida, reuplir suas saídas Naomi zip para o ADR para concluir esta tarefa. **")</f>
        <v>** O Navegador detectou um problema com suas saídas Naomi Zip. **
Algumas entradas de dados usadas pelo NaOMI são versões desagregadas de entradas de dados para outros modelos, como o espectro. Por exemplo, os dados de arte e ANC usados ​​por Naomi também são usados ​​pelo espectro. Você pode aprender mais sobre os requisitos para cada um dos modelos do 'Guia 8' nos materiais de treinamento da UNAIDS (anexado abaixo). É fundamental que as entradas de dados usadas pela Naomi correspondam às entradas usadas pelo espectro. Embora, em alguns casos, os níveis de desagregação podem diferir, a soma das desagregações deve igualar aquelas utilizadas pelo espectro. Se as entradas de dados Naomi não corresponderem àquelas usadas no seu processo de modelo de espectro, modificá-los para corresponder. Se você alterou as entradas usadas pelo espectro, deverá retornar ao espectro e iniciar o processo novamente. Se você alterou suas entradas Naomi para corresponder àquelas usadas pelo espectro, você pode continuar com Naomi.
** Certifique-se de resolver isso no seu modelo Naomi Executar e, em seguida, reuplir suas saídas Naomi zip para o ADR para concluir esta tarefa. **</v>
      </c>
      <c r="J19" s="41" t="s">
        <v>272</v>
      </c>
      <c r="K19" s="16" t="str">
        <f>IFERROR(__xludf.DUMMYFUNCTION("GOOGLETRANSLATE(J19,""EN"",""FR"")"),"Guide 8, qualité des données, élément indicateur Matrix https://hivtools.unaids.org/hiv-estimates-training-Material-fr/")</f>
        <v>Guide 8, qualité des données, élément indicateur Matrix https://hivtools.unaids.org/hiv-estimates-training-Material-fr/</v>
      </c>
      <c r="L19" s="73" t="str">
        <f>IFERROR(__xludf.DUMMYFUNCTION("GOOGLETRANSLATE(J19,""EN"",""PT"")"),"Guia 8, Qualidade de Dados, Indicador Element Matrix https://hivtools.unaids.org/hiv-estimates-training-material-en/")</f>
        <v>Guia 8, Qualidade de Dados, Indicador Element Matrix https://hivtools.unaids.org/hiv-estimates-training-material-en/</v>
      </c>
      <c r="M19" s="39"/>
      <c r="N19" s="39"/>
      <c r="O19" s="41" t="s">
        <v>654</v>
      </c>
      <c r="P19" s="39" t="s">
        <v>655</v>
      </c>
      <c r="Q19" s="39"/>
    </row>
    <row r="20" ht="19.5" customHeight="1">
      <c r="A20" s="41" t="s">
        <v>656</v>
      </c>
      <c r="B20" s="168" t="s">
        <v>610</v>
      </c>
      <c r="C20" s="41" t="s">
        <v>657</v>
      </c>
      <c r="D20" s="16" t="str">
        <f>IFERROR(__xludf.DUMMYFUNCTION("GOOGLETRANSLATE(C20,""EN"",""FR"")"),"Validation Naomi: sélectionnez ou confirmez les paramètres par défaut dans les options du modèle Naomi")</f>
        <v>Validation Naomi: sélectionnez ou confirmez les paramètres par défaut dans les options du modèle Naomi</v>
      </c>
      <c r="E20" s="73" t="str">
        <f>IFERROR(__xludf.DUMMYFUNCTION("GOOGLETRANSLATE(C20,""EN"",""PT"")"),"Validação de Naomi: selecione ou confirme as configurações padrão nas opções do modelo Naomi")</f>
        <v>Validação de Naomi: selecione ou confirme as configurações padrão nas opções do modelo Naomi</v>
      </c>
      <c r="F20" s="39" t="s">
        <v>612</v>
      </c>
      <c r="G20" s="176" t="s">
        <v>658</v>
      </c>
      <c r="H20" s="16" t="str">
        <f>IFERROR(__xludf.DUMMYFUNCTION("GOOGLETRANSLATE(G20,""EN"",""FR"")"),"** Navigator a détecté un problème avec votre zip Naomi Sorties. **
Naomi est un modèle flexible qui permet aux pays de personnaliser leurs sorties sous-nationales. Examinez la multitude d'options de modèle disponibles pour les utilisateurs. Vous pouvez "&amp;"en apprendre davantage sur ces options dans 'Guide 5, Naomi Démarrage rapide ""dans le matériel de formation des estimations de l'ONUSIDA.
** Veuillez vous assurer que vous adressez-y dans votre modèle NAOMI Model Run, puis redupliquez votre ZIP de sorti"&amp;"e Naomi à l'ADR afin de terminer cette tâche. **")</f>
        <v>** Navigator a détecté un problème avec votre zip Naomi Sorties. **
Naomi est un modèle flexible qui permet aux pays de personnaliser leurs sorties sous-nationales. Examinez la multitude d'options de modèle disponibles pour les utilisateurs. Vous pouvez en apprendre davantage sur ces options dans 'Guide 5, Naomi Démarrage rapide "dans le matériel de formation des estimations de l'ONUSIDA.
** Veuillez vous assurer que vous adressez-y dans votre modèle NAOMI Model Run, puis redupliquez votre ZIP de sortie Naomi à l'ADR afin de terminer cette tâche. **</v>
      </c>
      <c r="I20" s="73" t="str">
        <f>IFERROR(__xludf.DUMMYFUNCTION("GOOGLETRANSLATE(G20,""EN"",""PT"")"),"** O Navegador detectou um problema com suas saídas Naomi Zip. **
Naomi é um modelo flexível que permite aos países personalizar suas saídas subnacionais. Revise a multiplicidade de opções de modelo disponíveis para os usuários. Você pode aprender mais s"&amp;"obre essas opções em 'Guia 5, Naomi Rápido Início' na UNAIDS Estima materiais de treinamento.
** Certifique-se de resolver isso no seu modelo Naomi Executar e, em seguida, reuplir suas saídas Naomi zip para o ADR para concluir esta tarefa. **")</f>
        <v>** O Navegador detectou um problema com suas saídas Naomi Zip. **
Naomi é um modelo flexível que permite aos países personalizar suas saídas subnacionais. Revise a multiplicidade de opções de modelo disponíveis para os usuários. Você pode aprender mais sobre essas opções em 'Guia 5, Naomi Rápido Início' na UNAIDS Estima materiais de treinamento.
** Certifique-se de resolver isso no seu modelo Naomi Executar e, em seguida, reuplir suas saídas Naomi zip para o ADR para concluir esta tarefa. **</v>
      </c>
      <c r="J20" s="39" t="s">
        <v>614</v>
      </c>
      <c r="K20" s="16" t="str">
        <f>IFERROR(__xludf.DUMMYFUNCTION("GOOGLETRANSLATE(J20,""EN"",""FR"")"),"Guide 5, Naomi Démarrage rapide https://hivtools.unaids.org/hiv-estimates-training-Material-fr/")</f>
        <v>Guide 5, Naomi Démarrage rapide https://hivtools.unaids.org/hiv-estimates-training-Material-fr/</v>
      </c>
      <c r="L20" s="73" t="str">
        <f>IFERROR(__xludf.DUMMYFUNCTION("GOOGLETRANSLATE(J20,""EN"",""PT"")"),"Guia 5, Naomi Início rápido https://hivtools.unaids.org/hiv-estimates-training-material-en/")</f>
        <v>Guia 5, Naomi Início rápido https://hivtools.unaids.org/hiv-estimates-training-material-en/</v>
      </c>
      <c r="M20" s="39"/>
      <c r="N20" s="39"/>
      <c r="O20" s="41" t="s">
        <v>659</v>
      </c>
      <c r="P20" s="39" t="s">
        <v>660</v>
      </c>
      <c r="Q20" s="39"/>
    </row>
    <row r="21" ht="19.5" customHeight="1">
      <c r="A21" s="41" t="s">
        <v>661</v>
      </c>
      <c r="B21" s="177" t="s">
        <v>662</v>
      </c>
      <c r="C21" s="41" t="s">
        <v>663</v>
      </c>
      <c r="D21" s="16" t="str">
        <f>IFERROR(__xludf.DUMMYFUNCTION("GOOGLETRANSLATE(C21,""EN"",""FR"")"),"Validation Naomi: Calibrer le modèle à Naomi")</f>
        <v>Validation Naomi: Calibrer le modèle à Naomi</v>
      </c>
      <c r="E21" s="73" t="str">
        <f>IFERROR(__xludf.DUMMYFUNCTION("GOOGLETRANSLATE(C21,""EN"",""PT"")"),"Validação Naomi: calibrar o modelo em Naomi")</f>
        <v>Validação Naomi: calibrar o modelo em Naomi</v>
      </c>
      <c r="F21" s="39" t="s">
        <v>626</v>
      </c>
      <c r="G21" s="41" t="s">
        <v>664</v>
      </c>
      <c r="H21" s="16" t="str">
        <f>IFERROR(__xludf.DUMMYFUNCTION("GOOGLETRANSLATE(G21,""EN"",""FR"")"),"** Navigator a détecté un problème avec votre zip Naomi Sorties. **
Vous devez calibrer votre modèle pour les quatre indicateurs suivants (PVVIH, Art, conscient du statut VIH et de nouvelles infections). Cela consiste à garantir que les estimations globa"&amp;"les moyennes du spectre et de Naomi sont cohérentes. Tout cela devrait être ajusté pour correspondre à votre fichier de votre spectre, soit les dossiers de spectre nationaux ou sous-nationaux avec la stratification sexuelle d'âge suivante: (sexe et âge &lt;1"&amp;"5/15 + ans).
Pour la méthode d'étalonnage: Utilisez la valeur par défaut qui est logistique et qui échelle la prévalence, la couverture d'art, la proportion ignorée et l'incidence sur l'échelle de la Logit dans chaque strate de district / sexe / âge afin"&amp;" de correspondre au spectre. Cela garantit que la couverture d'art ne passe pas supérieure à 100% dans une stratification de district / sexuel / âge. De plus amples informations sont disponibles dans le Guide 5, Naomi Démarrage rapide.
** Veuillez vous a"&amp;"ssurer que vous adressez-y dans votre modèle NAOMI Model Run, puis redupliquez votre ZIP de sortie Naomi à l'ADR afin de terminer cette tâche. **")</f>
        <v>** Navigator a détecté un problème avec votre zip Naomi Sorties. **
Vous devez calibrer votre modèle pour les quatre indicateurs suivants (PVVIH, Art, conscient du statut VIH et de nouvelles infections). Cela consiste à garantir que les estimations globales moyennes du spectre et de Naomi sont cohérentes. Tout cela devrait être ajusté pour correspondre à votre fichier de votre spectre, soit les dossiers de spectre nationaux ou sous-nationaux avec la stratification sexuelle d'âge suivante: (sexe et âge &lt;15/15 + ans).
Pour la méthode d'étalonnage: Utilisez la valeur par défaut qui est logistique et qui échelle la prévalence, la couverture d'art, la proportion ignorée et l'incidence sur l'échelle de la Logit dans chaque strate de district / sexe / âge afin de correspondre au spectre. Cela garantit que la couverture d'art ne passe pas supérieure à 100% dans une stratification de district / sexuel / âge. De plus amples informations sont disponibles dans le Guide 5, Naomi Démarrage rapide.
** Veuillez vous assurer que vous adressez-y dans votre modèle NAOMI Model Run, puis redupliquez votre ZIP de sortie Naomi à l'ADR afin de terminer cette tâche. **</v>
      </c>
      <c r="I21" s="73" t="str">
        <f>IFERROR(__xludf.DUMMYFUNCTION("GOOGLETRANSLATE(G21,""EN"",""PT"")"),"** O Navegador detectou um problema com suas saídas Naomi Zip. **
Você deve calibrar seu modelo para os seguintes quatro indicadores (PLHIV, arte, ciente do status do HIV e novas infecções). Isso é para garantir que as estimativas agregadas médias de esp"&amp;"ectro e naomi sejam consistentes. Tudo isso deve ser ajustado para corresponder ao seu arquivo de espectro ou os arquivos de espectro nacionais ou subnacionais com a seguinte estratificação sexual etária: (sexo e idade &lt;15/15 + anos).
Para o método de ca"&amp;"libração: Use o padrão que é logístico e que escala a prevalência, a cobertura de arte, a proporção incide e a incidência na escala de logit dentro de cada estrato distrital / sexo / idade, a fim de corresponder ao espectro. Isso garante que a cobertura d"&amp;"e arte não passe acima de 100% em qualquer estratificação distrital / sexy / idade. Mais informações estão disponíveis no Guia 5, Naomi Quick Start.
** Certifique-se de resolver isso no seu modelo Naomi Executar e, em seguida, reuplir suas saídas Naomi z"&amp;"ip para o ADR para concluir esta tarefa. **")</f>
        <v>** O Navegador detectou um problema com suas saídas Naomi Zip. **
Você deve calibrar seu modelo para os seguintes quatro indicadores (PLHIV, arte, ciente do status do HIV e novas infecções). Isso é para garantir que as estimativas agregadas médias de espectro e naomi sejam consistentes. Tudo isso deve ser ajustado para corresponder ao seu arquivo de espectro ou os arquivos de espectro nacionais ou subnacionais com a seguinte estratificação sexual etária: (sexo e idade &lt;15/15 + anos).
Para o método de calibração: Use o padrão que é logístico e que escala a prevalência, a cobertura de arte, a proporção incide e a incidência na escala de logit dentro de cada estrato distrital / sexo / idade, a fim de corresponder ao espectro. Isso garante que a cobertura de arte não passe acima de 100% em qualquer estratificação distrital / sexy / idade. Mais informações estão disponíveis no Guia 5, Naomi Quick Start.
** Certifique-se de resolver isso no seu modelo Naomi Executar e, em seguida, reuplir suas saídas Naomi zip para o ADR para concluir esta tarefa. **</v>
      </c>
      <c r="J21" s="39" t="s">
        <v>628</v>
      </c>
      <c r="K21" s="16" t="str">
        <f>IFERROR(__xludf.DUMMYFUNCTION("GOOGLETRANSLATE(J21,""EN"",""FR"")"),"Guide 5, Naomi Démarrage rapide https://hivtools.unaids.org/hiv-estimates-training-Material-fr/")</f>
        <v>Guide 5, Naomi Démarrage rapide https://hivtools.unaids.org/hiv-estimates-training-Material-fr/</v>
      </c>
      <c r="L21" s="73" t="str">
        <f>IFERROR(__xludf.DUMMYFUNCTION("GOOGLETRANSLATE(J21,""EN"",""PT"")"),"Guia 5, Naomi Início rápido https://hivtools.unaids.org/hiv-estimates-training-material-en/")</f>
        <v>Guia 5, Naomi Início rápido https://hivtools.unaids.org/hiv-estimates-training-material-en/</v>
      </c>
      <c r="M21" s="39"/>
      <c r="N21" s="39"/>
      <c r="O21" s="41" t="s">
        <v>665</v>
      </c>
      <c r="P21" s="39"/>
      <c r="Q21" s="39"/>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sheetData>
  <hyperlinks>
    <hyperlink r:id="rId2" ref="G8"/>
    <hyperlink r:id="rId3" ref="J8"/>
    <hyperlink r:id="rId4" ref="J10"/>
    <hyperlink r:id="rId5" ref="G12"/>
    <hyperlink r:id="rId6" ref="G20"/>
  </hyperlinks>
  <printOptions/>
  <pageMargins bottom="0.75" footer="0.0" header="0.0" left="0.7" right="0.7" top="0.75"/>
  <pageSetup orientation="landscape"/>
  <drawing r:id="rId7"/>
  <legacy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 customWidth="1" min="4" max="4" width="25.0"/>
    <col customWidth="1" min="5" max="5" width="15.88"/>
  </cols>
  <sheetData>
    <row r="1">
      <c r="A1" s="178" t="s">
        <v>666</v>
      </c>
      <c r="B1" s="179" t="s">
        <v>667</v>
      </c>
      <c r="C1" s="180" t="s">
        <v>668</v>
      </c>
      <c r="D1" s="181" t="s">
        <v>669</v>
      </c>
      <c r="E1" s="182" t="s">
        <v>670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12.25"/>
    <col customWidth="1" min="2" max="2" width="55.0"/>
    <col customWidth="1" hidden="1" min="3" max="3" width="40.38"/>
    <col customWidth="1" hidden="1" min="4" max="4" width="38.25"/>
    <col customWidth="1" min="5" max="5" width="24.25"/>
    <col customWidth="1" min="6" max="6" width="26.63"/>
    <col customWidth="1" hidden="1" min="7" max="7" width="27.88"/>
    <col customWidth="1" hidden="1" min="8" max="8" width="30.38"/>
    <col customWidth="1" min="9" max="9" width="23.5"/>
    <col customWidth="1" hidden="1" min="10" max="10" width="27.88"/>
    <col customWidth="1" hidden="1" min="11" max="11" width="22.25"/>
    <col customWidth="1" min="12" max="12" width="24.63"/>
    <col customWidth="1" min="13" max="13" width="11.88"/>
    <col customWidth="1" min="14" max="14" width="15.13"/>
    <col customWidth="1" min="15" max="15" width="11.88"/>
    <col customWidth="1" hidden="1" min="16" max="17" width="7.63"/>
    <col customWidth="1" min="18" max="24" width="7.63"/>
  </cols>
  <sheetData>
    <row r="1" ht="12.0" customHeight="1">
      <c r="A1" s="1" t="s">
        <v>0</v>
      </c>
      <c r="B1" s="2" t="s">
        <v>1</v>
      </c>
      <c r="C1" s="3" t="s">
        <v>2</v>
      </c>
      <c r="D1" s="3" t="s">
        <v>3</v>
      </c>
      <c r="E1" s="4"/>
      <c r="F1" s="5" t="s">
        <v>4</v>
      </c>
      <c r="G1" s="3" t="s">
        <v>5</v>
      </c>
      <c r="H1" s="3" t="s">
        <v>6</v>
      </c>
      <c r="I1" s="5" t="s">
        <v>7</v>
      </c>
      <c r="J1" s="7" t="s">
        <v>8</v>
      </c>
      <c r="K1" s="7" t="s">
        <v>9</v>
      </c>
      <c r="L1" s="8" t="s">
        <v>10</v>
      </c>
      <c r="M1" s="9"/>
      <c r="N1" s="4"/>
      <c r="O1" s="4"/>
      <c r="P1" s="46" t="s">
        <v>12</v>
      </c>
      <c r="Q1" s="12" t="s">
        <v>13</v>
      </c>
      <c r="S1" s="13"/>
      <c r="T1" s="13"/>
      <c r="U1" s="13"/>
      <c r="V1" s="13"/>
      <c r="W1" s="13"/>
      <c r="X1" s="13"/>
      <c r="Y1" s="13"/>
      <c r="Z1" s="13"/>
      <c r="AA1" s="13"/>
      <c r="AB1" s="13"/>
      <c r="AC1" s="13"/>
      <c r="AD1" s="13"/>
      <c r="AE1" s="13"/>
      <c r="AF1" s="13"/>
      <c r="AG1" s="13"/>
    </row>
    <row r="2" ht="68.25" customHeight="1">
      <c r="A2" s="29" t="s">
        <v>31</v>
      </c>
      <c r="B2" s="47" t="s">
        <v>58</v>
      </c>
      <c r="C2" s="16" t="str">
        <f>IFERROR(__xludf.DUMMYFUNCTION("GOOGLETRANSLATE(B2,""EN"",""FR"")"),"Tutoriel de navigateur")</f>
        <v>Tutoriel de navigateur</v>
      </c>
      <c r="D2" s="16" t="str">
        <f>IFERROR(__xludf.DUMMYFUNCTION("GOOGLETRANSLATE(B2,""EN"",""PT"")"),"Tutorial do navegador")</f>
        <v>Tutorial do navegador</v>
      </c>
      <c r="E2" s="17"/>
      <c r="F2" s="48" t="s">
        <v>59</v>
      </c>
      <c r="G2" s="18" t="str">
        <f>IFERROR(__xludf.DUMMYFUNCTION("GOOGLETRANSLATE(F2,""EN"",""FR"")"),"Il s'agit d'une brève introduction au navigateur estimé au VIH. Cela vous aidera à comprendre comment marquer les tâches de manière complète et dans le processus d'estimation de votre pays.")</f>
        <v>Il s'agit d'une brève introduction au navigateur estimé au VIH. Cela vous aidera à comprendre comment marquer les tâches de manière complète et dans le processus d'estimation de votre pays.</v>
      </c>
      <c r="H2" s="18" t="str">
        <f>IFERROR(__xludf.DUMMYFUNCTION("GOOGLETRANSLATE(F2,""EN"",""PT"")"),"Esta é uma breve introdução à Navegador Estimativa do HIV. Isso ajudará você a entender como marcar tarefas tão completas e prossiga pelo processo de estimativas do seu país.")</f>
        <v>Esta é uma breve introdução à Navegador Estimativa do HIV. Isso ajudará você a entender como marcar tarefas tão completas e prossiga pelo processo de estimativas do seu país.</v>
      </c>
      <c r="I2" s="48" t="s">
        <v>60</v>
      </c>
      <c r="J2" s="15" t="str">
        <f>IFERROR(__xludf.DUMMYFUNCTION("GOOGLETRANSLATE(I2,""EN"",""FR"")"),"L'utilisateur est connecté à Navigator ANS a accès à la modification d'un jeu de données d'estimation du pays ADR.")</f>
        <v>L'utilisateur est connecté à Navigator ANS a accès à la modification d'un jeu de données d'estimation du pays ADR.</v>
      </c>
      <c r="K2" s="15" t="str">
        <f>IFERROR(__xludf.DUMMYFUNCTION("GOOGLETRANSLATE(I2,""EN"",""PT"")"),"O usuário logou no Navigator ANS tem acesso para editar um conjunto de dados de estimativas do país ADR.")</f>
        <v>O usuário logou no Navigator ANS tem acesso para editar um conjunto de dados de estimativas do país ADR.</v>
      </c>
      <c r="L2" s="49">
        <v>0.1</v>
      </c>
      <c r="M2" s="20"/>
      <c r="N2" s="50"/>
      <c r="O2" s="50"/>
      <c r="P2" s="49" t="str">
        <f>IFERROR(__xludf.DUMMYFUNCTION("GOOGLETRANSLATE(O2,""EN"",""FR"")"),"#VALUE!")</f>
        <v>#VALUE!</v>
      </c>
      <c r="Q2" s="14" t="str">
        <f>IFERROR(__xludf.DUMMYFUNCTION("GOOGLETRANSLATE(O2,""EN"",""PT"")"),"#VALUE!")</f>
        <v>#VALUE!</v>
      </c>
      <c r="R2" s="24"/>
      <c r="S2" s="25"/>
      <c r="T2" s="25"/>
      <c r="U2" s="25"/>
      <c r="V2" s="25"/>
      <c r="W2" s="25"/>
      <c r="X2" s="25"/>
      <c r="Y2" s="25"/>
      <c r="Z2" s="25"/>
      <c r="AA2" s="25"/>
      <c r="AB2" s="25"/>
      <c r="AC2" s="25"/>
      <c r="AD2" s="25"/>
      <c r="AE2" s="25"/>
      <c r="AF2" s="25"/>
      <c r="AG2" s="25"/>
    </row>
    <row r="3" ht="12.0" customHeight="1">
      <c r="A3" s="26"/>
      <c r="B3" s="26"/>
      <c r="C3" s="26"/>
      <c r="D3" s="26"/>
      <c r="E3" s="26"/>
      <c r="F3" s="26"/>
      <c r="G3" s="26"/>
      <c r="H3" s="26"/>
      <c r="I3" s="26"/>
      <c r="J3" s="26"/>
      <c r="K3" s="13"/>
      <c r="L3" s="13"/>
      <c r="M3" s="13"/>
      <c r="N3" s="13"/>
      <c r="O3" s="13"/>
      <c r="P3" s="13"/>
      <c r="Q3" s="13"/>
      <c r="R3" s="13"/>
      <c r="S3" s="13"/>
      <c r="T3" s="13"/>
      <c r="U3" s="13"/>
      <c r="V3" s="13"/>
      <c r="W3" s="13"/>
      <c r="X3" s="13"/>
    </row>
    <row r="4" ht="12.0" customHeight="1">
      <c r="A4" s="27" t="s">
        <v>0</v>
      </c>
      <c r="B4" s="27" t="s">
        <v>19</v>
      </c>
      <c r="C4" s="28" t="s">
        <v>20</v>
      </c>
      <c r="D4" s="28" t="s">
        <v>21</v>
      </c>
      <c r="E4" s="27" t="s">
        <v>22</v>
      </c>
      <c r="F4" s="27" t="s">
        <v>23</v>
      </c>
      <c r="G4" s="28" t="str">
        <f>CONCAT(F4,"::fr")</f>
        <v>If test fails, present this to user:::fr</v>
      </c>
      <c r="H4" s="28" t="str">
        <f>CONCAT(F4,"::pt_PT")</f>
        <v>If test fails, present this to user:::pt_PT</v>
      </c>
      <c r="I4" s="27" t="s">
        <v>24</v>
      </c>
      <c r="J4" s="28" t="s">
        <v>25</v>
      </c>
      <c r="K4" s="28" t="s">
        <v>26</v>
      </c>
      <c r="L4" s="27" t="s">
        <v>27</v>
      </c>
      <c r="M4" s="27" t="s">
        <v>28</v>
      </c>
      <c r="N4" s="27" t="s">
        <v>29</v>
      </c>
      <c r="O4" s="27" t="s">
        <v>30</v>
      </c>
      <c r="Q4" s="13"/>
      <c r="R4" s="13"/>
      <c r="S4" s="13"/>
      <c r="T4" s="13"/>
      <c r="U4" s="13"/>
      <c r="V4" s="13"/>
      <c r="W4" s="13"/>
      <c r="X4" s="13"/>
      <c r="Y4" s="13"/>
      <c r="Z4" s="13"/>
      <c r="AA4" s="13"/>
      <c r="AB4" s="13"/>
      <c r="AC4" s="13"/>
      <c r="AD4" s="13"/>
      <c r="AE4" s="13"/>
      <c r="AF4" s="13"/>
      <c r="AG4" s="13"/>
    </row>
    <row r="5" ht="12.0" customHeight="1">
      <c r="A5" s="51" t="s">
        <v>61</v>
      </c>
      <c r="B5" s="30" t="s">
        <v>62</v>
      </c>
      <c r="C5" s="31" t="str">
        <f>IFERROR(__xludf.DUMMYFUNCTION("GOOGLETRANSLATE(B5,""EN"",""FR"")"),"Bienvenue dans le navigateur des estimations du VIH de l'ONUSIDA")</f>
        <v>Bienvenue dans le navigateur des estimations du VIH de l'ONUSIDA</v>
      </c>
      <c r="D5" s="31" t="str">
        <f>IFERROR(__xludf.DUMMYFUNCTION("GOOGLETRANSLATE(B5,""EN"",""PT"")"),"Bem-vindo ao Navegador da UNAIDS HIV")</f>
        <v>Bem-vindo ao Navegador da UNAIDS HIV</v>
      </c>
      <c r="E5" s="39" t="s">
        <v>63</v>
      </c>
      <c r="F5" s="41" t="s">
        <v>64</v>
      </c>
      <c r="G5" s="31" t="str">
        <f>IFERROR(__xludf.DUMMYFUNCTION("GOOGLETRANSLATE(F5,""EN"",""FR"")"),"Bienvenue sur le navigateur estimé au VIH. Cet outil vous guidera étape par étape tout au long du processus de création des estimations du VIH de votre pays.
À chaque étape de la façon dont vous serez présenté avec une tâche à compléter. Nous vous demand"&amp;"ons de lire attentivement les instructions et d'utiliser les ressources supplémentaires et les liens fournis si nécessaire pour compléter la tâche.
Lorsque vous croyez avoir terminé la tâche, utilisez le bouton Tâche complète / incomplète en bas à droite"&amp;" en cliquant dessus, puis cliquez sur «Quoi de neuf» pour voir votre prochaine tâche.
** Faites-le maintenant pour passer à votre prochaine tâche. **")</f>
        <v>Bienvenue sur le navigateur estimé au VIH. Cet outil vous guidera étape par étape tout au long du processus de création des estimations du VIH de votre pays.
À chaque étape de la façon dont vous serez présenté avec une tâche à compléter. Nous vous demandons de lire attentivement les instructions et d'utiliser les ressources supplémentaires et les liens fournis si nécessaire pour compléter la tâche.
Lorsque vous croyez avoir terminé la tâche, utilisez le bouton Tâche complète / incomplète en bas à droite en cliquant dessus, puis cliquez sur «Quoi de neuf» pour voir votre prochaine tâche.
** Faites-le maintenant pour passer à votre prochaine tâche. **</v>
      </c>
      <c r="H5" s="31" t="str">
        <f>IFERROR(__xludf.DUMMYFUNCTION("GOOGLETRANSLATE(F5,""EN"",""PT"")"),"Bem-vindo ao Navigator Estimativa do HIV. Esta ferramenta irá guiá-lo passo a passo através do processo de criação das estimativas do HIV do seu país.
A cada etapa do jeito que você será apresentado com uma tarefa para completar. Pedimos que você leia at"&amp;"entamente as instruções e use os recursos e links extras fornecidos, se necessário, para concluir a tarefa.
Quando você acredita que completou a tarefa, alterna a tarefa completa / incompleta no canto inferior direito clicando nele e clique em ""O que é "&amp;"o próximo"" para ver sua próxima tarefa.
** Faça isso agora para prosseguir para sua próxima tarefa. **")</f>
        <v>Bem-vindo ao Navigator Estimativa do HIV. Esta ferramenta irá guiá-lo passo a passo através do processo de criação das estimativas do HIV do seu país.
A cada etapa do jeito que você será apresentado com uma tarefa para completar. Pedimos que você leia atentamente as instruções e use os recursos e links extras fornecidos, se necessário, para concluir a tarefa.
Quando você acredita que completou a tarefa, alterna a tarefa completa / incompleta no canto inferior direito clicando nele e clique em "O que é o próximo" para ver sua próxima tarefa.
** Faça isso agora para prosseguir para sua próxima tarefa. **</v>
      </c>
      <c r="I5" s="32"/>
      <c r="J5" s="33"/>
      <c r="K5" s="33"/>
      <c r="L5" s="37">
        <v>1.0</v>
      </c>
      <c r="M5" s="52" t="s">
        <v>65</v>
      </c>
      <c r="N5" s="53"/>
      <c r="O5" s="54"/>
      <c r="Q5" s="13"/>
      <c r="R5" s="13"/>
      <c r="S5" s="13"/>
      <c r="T5" s="13"/>
      <c r="U5" s="13"/>
      <c r="V5" s="13"/>
      <c r="W5" s="13"/>
      <c r="X5" s="13"/>
      <c r="Y5" s="13"/>
      <c r="Z5" s="13"/>
      <c r="AA5" s="13"/>
      <c r="AB5" s="13"/>
      <c r="AC5" s="13"/>
      <c r="AD5" s="13"/>
      <c r="AE5" s="13"/>
      <c r="AF5" s="13"/>
      <c r="AG5" s="13"/>
    </row>
    <row r="6" ht="12.0" customHeight="1">
      <c r="A6" s="29" t="s">
        <v>66</v>
      </c>
      <c r="B6" s="30" t="s">
        <v>67</v>
      </c>
      <c r="C6" s="31" t="str">
        <f>IFERROR(__xludf.DUMMYFUNCTION("GOOGLETRANSLATE(B6,""EN"",""FR"")"),"Tutoriel de navigateur: tâches à sauter")</f>
        <v>Tutoriel de navigateur: tâches à sauter</v>
      </c>
      <c r="D6" s="31" t="str">
        <f>IFERROR(__xludf.DUMMYFUNCTION("GOOGLETRANSLATE(B6,""EN"",""PT"")"),"Tutorial do navegador: ignorando tarefas")</f>
        <v>Tutorial do navegador: ignorando tarefas</v>
      </c>
      <c r="E6" s="39" t="s">
        <v>63</v>
      </c>
      <c r="F6" s="41" t="s">
        <v>68</v>
      </c>
      <c r="G6" s="31" t="str">
        <f>IFERROR(__xludf.DUMMYFUNCTION("GOOGLETRANSLATE(F6,""EN"",""FR"")"),"Toutes les tâches doivent pas être complétées au moment où elles vous sont présentées. De nombreuses tâches peuvent être ignorées et complétées ultérieurement.
Pour sauter une tâche, cliquez simplement sur ""Quoi de neuf?"" sans marquer la tâche aussi co"&amp;"mplète.
** Faites-le maintenant pour passer à votre prochaine tâche. **")</f>
        <v>Toutes les tâches doivent pas être complétées au moment où elles vous sont présentées. De nombreuses tâches peuvent être ignorées et complétées ultérieurement.
Pour sauter une tâche, cliquez simplement sur "Quoi de neuf?" sans marquer la tâche aussi complète.
** Faites-le maintenant pour passer à votre prochaine tâche. **</v>
      </c>
      <c r="H6" s="31" t="str">
        <f>IFERROR(__xludf.DUMMYFUNCTION("GOOGLETRANSLATE(F6,""EN"",""PT"")"),"Nem todas as tarefas precisam ser concluídas no momento em que são apresentadas a você. Muitas tarefas podem puladas e completadas em um estágio posterior.
Para pular uma tarefa, basta clicar em ""O que vem a seguir?"" sem marcar a tarefa como completa.
"&amp;"
** Faça isso agora para prosseguir para sua próxima tarefa. **")</f>
        <v>Nem todas as tarefas precisam ser concluídas no momento em que são apresentadas a você. Muitas tarefas podem puladas e completadas em um estágio posterior.
Para pular uma tarefa, basta clicar em "O que vem a seguir?" sem marcar a tarefa como completa.
** Faça isso agora para prosseguir para sua próxima tarefa. **</v>
      </c>
      <c r="I6" s="32"/>
      <c r="J6" s="37"/>
      <c r="K6" s="37"/>
      <c r="L6" s="37"/>
      <c r="M6" s="52" t="s">
        <v>69</v>
      </c>
      <c r="N6" s="53"/>
      <c r="O6" s="54"/>
      <c r="Q6" s="13"/>
      <c r="R6" s="13"/>
      <c r="S6" s="13"/>
      <c r="T6" s="13"/>
      <c r="U6" s="13"/>
      <c r="V6" s="13"/>
      <c r="W6" s="13"/>
      <c r="X6" s="13"/>
      <c r="Y6" s="13"/>
      <c r="Z6" s="13"/>
      <c r="AA6" s="13"/>
      <c r="AB6" s="13"/>
      <c r="AC6" s="13"/>
      <c r="AD6" s="13"/>
      <c r="AE6" s="13"/>
      <c r="AF6" s="13"/>
      <c r="AG6" s="13"/>
    </row>
    <row r="7" ht="12.0" customHeight="1">
      <c r="A7" s="29" t="s">
        <v>70</v>
      </c>
      <c r="B7" s="30" t="s">
        <v>71</v>
      </c>
      <c r="C7" s="31" t="str">
        <f>IFERROR(__xludf.DUMMYFUNCTION("GOOGLETRANSLATE(B7,""EN"",""FR"")"),"Tutoriel de navigateur: parcourir les tâches précédentes")</f>
        <v>Tutoriel de navigateur: parcourir les tâches précédentes</v>
      </c>
      <c r="D7" s="31" t="str">
        <f>IFERROR(__xludf.DUMMYFUNCTION("GOOGLETRANSLATE(B7,""EN"",""PT"")"),"Tutorial do Navigator: Navegando tarefas anteriores")</f>
        <v>Tutorial do Navigator: Navegando tarefas anteriores</v>
      </c>
      <c r="E7" s="39" t="s">
        <v>63</v>
      </c>
      <c r="F7" s="41" t="s">
        <v>72</v>
      </c>
      <c r="G7" s="31" t="str">
        <f>IFERROR(__xludf.DUMMYFUNCTION("GOOGLETRANSLATE(F7,""EN"",""FR"")"),"Vous pouvez parcourir toutes les tâches précédentes que vous avez sauté ou complétées à l'aide des boutons ""Tâche antérieure"" et ""Tâche suivante"". Pour aller au-delà de votre tâche actuelle, vous devez utiliser le ""Quoi de neuf?"" Bouton pour réévalu"&amp;"er l'endroit où vous vous trouvez dans le processus d'estimation et être guidé à votre prochaine tâche.
Pour aider avec les tâches de navigation, nous développons actuellement une vue ""liste de tâches"", qui répertoriera toutes vos tâches et vous indiqu"&amp;"era lesquelles vous avez terminé. Vous pourrez utiliser cette vue pour parcourir rapidement des tâches ignorées.
Essayez de naviguer dans votre liste de tâches maintenant, avant de revenir à cette tâche actuelle.
** Une fois que vous avez fait cette mar"&amp;"que, la tâche est terminée et cliquez sur ""Quoi de neuf?"" pour voir votre prochaine tâche. **")</f>
        <v>Vous pouvez parcourir toutes les tâches précédentes que vous avez sauté ou complétées à l'aide des boutons "Tâche antérieure" et "Tâche suivante". Pour aller au-delà de votre tâche actuelle, vous devez utiliser le "Quoi de neuf?" Bouton pour réévaluer l'endroit où vous vous trouvez dans le processus d'estimation et être guidé à votre prochaine tâche.
Pour aider avec les tâches de navigation, nous développons actuellement une vue "liste de tâches", qui répertoriera toutes vos tâches et vous indiquera lesquelles vous avez terminé. Vous pourrez utiliser cette vue pour parcourir rapidement des tâches ignorées.
Essayez de naviguer dans votre liste de tâches maintenant, avant de revenir à cette tâche actuelle.
** Une fois que vous avez fait cette marque, la tâche est terminée et cliquez sur "Quoi de neuf?" pour voir votre prochaine tâche. **</v>
      </c>
      <c r="H7" s="31" t="str">
        <f>IFERROR(__xludf.DUMMYFUNCTION("GOOGLETRANSLATE(F7,""EN"",""PT"")"),"Você pode navegar por todas as tarefas anteriores que você ignorou ou completou usando os botões ""Tarefa anterior"" e ""Next Task"". Para prosseguir além da sua tarefa atual, você deve usar o ""O que vem a seguir?"" botão para reavaliar onde você está no"&amp;" processo de estimativas e ser guiado para sua próxima tarefa.
Para ajudar com as tarefas de navegação, estamos desenvolvendo atualmente uma visualização ""lista de tarefas"", que listará todas as suas tarefas e dizer quais você concluiu. Você poderá usa"&amp;"r essa visão para navegar rapidamente a tarefas ignoradas.
Tente navegar novamente pela sua lista de tarefas agora, antes de retornar a esta tarefa atual.
** Depois de ter feito isso, marque a tarefa como completa e clique em ""O que vem a seguir?"" Par"&amp;"a ver sua próxima tarefa. **")</f>
        <v>Você pode navegar por todas as tarefas anteriores que você ignorou ou completou usando os botões "Tarefa anterior" e "Next Task". Para prosseguir além da sua tarefa atual, você deve usar o "O que vem a seguir?" botão para reavaliar onde você está no processo de estimativas e ser guiado para sua próxima tarefa.
Para ajudar com as tarefas de navegação, estamos desenvolvendo atualmente uma visualização "lista de tarefas", que listará todas as suas tarefas e dizer quais você concluiu. Você poderá usar essa visão para navegar rapidamente a tarefas ignoradas.
Tente navegar novamente pela sua lista de tarefas agora, antes de retornar a esta tarefa atual.
** Depois de ter feito isso, marque a tarefa como completa e clique em "O que vem a seguir?" Para ver sua próxima tarefa. **</v>
      </c>
      <c r="I7" s="40"/>
      <c r="J7" s="37"/>
      <c r="K7" s="37"/>
      <c r="L7" s="37"/>
      <c r="M7" s="52" t="s">
        <v>73</v>
      </c>
      <c r="N7" s="53"/>
      <c r="O7" s="54"/>
      <c r="Q7" s="13"/>
      <c r="R7" s="13"/>
      <c r="S7" s="13"/>
      <c r="T7" s="13"/>
      <c r="U7" s="13"/>
      <c r="V7" s="13"/>
      <c r="W7" s="13"/>
      <c r="X7" s="13"/>
      <c r="Y7" s="13"/>
      <c r="Z7" s="13"/>
      <c r="AA7" s="13"/>
      <c r="AB7" s="13"/>
      <c r="AC7" s="13"/>
      <c r="AD7" s="13"/>
      <c r="AE7" s="13"/>
      <c r="AF7" s="13"/>
      <c r="AG7" s="13"/>
    </row>
    <row r="8" ht="12.0" customHeight="1">
      <c r="A8" s="55" t="s">
        <v>74</v>
      </c>
      <c r="B8" s="55" t="s">
        <v>75</v>
      </c>
      <c r="C8" s="31" t="str">
        <f>IFERROR(__xludf.DUMMYFUNCTION("GOOGLETRANSLATE(B8,""EN"",""FR"")"),"Tutoriel de navigateur: tâches automatiques et sauvegardes")</f>
        <v>Tutoriel de navigateur: tâches automatiques et sauvegardes</v>
      </c>
      <c r="D8" s="31" t="str">
        <f>IFERROR(__xludf.DUMMYFUNCTION("GOOGLETRANSLATE(B8,""EN"",""PT"")"),"Tutorial do Navegador: Tarefas Automáticas e Viagens Skip")</f>
        <v>Tutorial do Navegador: Tarefas Automáticas e Viagens Skip</v>
      </c>
      <c r="E8" s="56" t="s">
        <v>76</v>
      </c>
      <c r="F8" s="47" t="s">
        <v>77</v>
      </c>
      <c r="G8" s="31" t="str">
        <f>IFERROR(__xludf.DUMMYFUNCTION("GOOGLETRANSLATE(F8,""EN"",""FR"")"),"Dans certains cas, lorsque vous marquez une tâche aussi complète, Navigator validera votre réponse. Si vous n'avez pas réalisé la tâche, vous serez alerté par un message dans une case bleue ci-dessus.
Dans certains cas, le navigateur peut également vérif"&amp;"ier que certaines tâches essentielles sont complètes et n'ont pas été ignorées. Si vous avez sauté des tâches essentielles, Navigator vous informera, puis vous remettra en arrière pour compléter ces tâches.
Par exemple, pour continuer, vous devez mainten"&amp;"ant vous assurer que vous avez terminé ces deux tâches:
- Tutoriel de navigateur: tâches de saut
- Tutoriel de navigateur: navigation sur les tâches précédentes
** Une fois que vous avez compris ce message, marquez la tâche comme complète et cliquez sur"&amp;" ""Quelle est la prochaine fois?"" être repris pour compléter ces tâches. **")</f>
        <v>Dans certains cas, lorsque vous marquez une tâche aussi complète, Navigator validera votre réponse. Si vous n'avez pas réalisé la tâche, vous serez alerté par un message dans une case bleue ci-dessus.
Dans certains cas, le navigateur peut également vérifier que certaines tâches essentielles sont complètes et n'ont pas été ignorées. Si vous avez sauté des tâches essentielles, Navigator vous informera, puis vous remettra en arrière pour compléter ces tâches.
Par exemple, pour continuer, vous devez maintenant vous assurer que vous avez terminé ces deux tâches:
- Tutoriel de navigateur: tâches de saut
- Tutoriel de navigateur: navigation sur les tâches précédentes
** Une fois que vous avez compris ce message, marquez la tâche comme complète et cliquez sur "Quelle est la prochaine fois?" être repris pour compléter ces tâches. **</v>
      </c>
      <c r="H8" s="31" t="str">
        <f>IFERROR(__xludf.DUMMYFUNCTION("GOOGLETRANSLATE(F8,""EN"",""PT"")"),"Em alguns casos, quando você marca uma tarefa como completa, o Navigator validará sua resposta. Se você ainda não completou a tarefa, será alertado por uma mensagem em uma caixa azul acima.
Em alguns casos, o Navigator também pode verificar se algumas ta"&amp;"refas essenciais são completas e não foram ignoradas. Se você ignorou algumas tarefas essenciais, o Navigator informá-lo e, em seguida, levá-lo para trás para concluir essas tarefas.
Por exemplo, para continuar ainda mais, você deve garantir que tenha co"&amp;"ncluído essas duas tarefas:
- Tutorial do navegador: ignorando tarefas
- Tutorial do Navigator: Navegando tarefas anteriores
** Depois de entender esta mensagem, marque a tarefa como completa e clique em ""O que vem a seguir?"" para ser levado de volta "&amp;"para concluir essas tarefas. **")</f>
        <v>Em alguns casos, quando você marca uma tarefa como completa, o Navigator validará sua resposta. Se você ainda não completou a tarefa, será alertado por uma mensagem em uma caixa azul acima.
Em alguns casos, o Navigator também pode verificar se algumas tarefas essenciais são completas e não foram ignoradas. Se você ignorou algumas tarefas essenciais, o Navigator informá-lo e, em seguida, levá-lo para trás para concluir essas tarefas.
Por exemplo, para continuar ainda mais, você deve garantir que tenha concluído essas duas tarefas:
- Tutorial do navegador: ignorando tarefas
- Tutorial do Navigator: Navegando tarefas anteriores
** Depois de entender esta mensagem, marque a tarefa como completa e clique em "O que vem a seguir?" para ser levado de volta para concluir essas tarefas. **</v>
      </c>
      <c r="I8" s="40"/>
      <c r="J8" s="37"/>
      <c r="K8" s="37"/>
      <c r="L8" s="57">
        <v>1.0</v>
      </c>
      <c r="M8" s="47" t="s">
        <v>78</v>
      </c>
      <c r="N8" s="53"/>
      <c r="O8" s="54"/>
      <c r="Q8" s="13"/>
      <c r="R8" s="13"/>
      <c r="S8" s="13"/>
      <c r="T8" s="13"/>
      <c r="U8" s="13"/>
      <c r="V8" s="13"/>
      <c r="W8" s="13"/>
      <c r="X8" s="13"/>
      <c r="Y8" s="13"/>
      <c r="Z8" s="13"/>
      <c r="AA8" s="13"/>
      <c r="AB8" s="13"/>
      <c r="AC8" s="13"/>
      <c r="AD8" s="13"/>
      <c r="AE8" s="13"/>
      <c r="AF8" s="13"/>
      <c r="AG8" s="13"/>
    </row>
    <row r="9" ht="12.0" customHeight="1">
      <c r="A9" s="51" t="s">
        <v>79</v>
      </c>
      <c r="B9" s="36" t="s">
        <v>80</v>
      </c>
      <c r="C9" s="31" t="str">
        <f>IFERROR(__xludf.DUMMYFUNCTION("GOOGLETRANSLATE(B9,""EN"",""FR"")"),"Êtes-vous prêt à commencer le processus d'estimation?")</f>
        <v>Êtes-vous prêt à commencer le processus d'estimation?</v>
      </c>
      <c r="D9" s="31" t="str">
        <f>IFERROR(__xludf.DUMMYFUNCTION("GOOGLETRANSLATE(B9,""EN"",""PT"")"),"Você está pronto para começar o processo de estimativas?")</f>
        <v>Você está pronto para começar o processo de estimativas?</v>
      </c>
      <c r="E9" s="39" t="s">
        <v>81</v>
      </c>
      <c r="F9" s="41" t="s">
        <v>82</v>
      </c>
      <c r="G9" s="31" t="str">
        <f>IFERROR(__xludf.DUMMYFUNCTION("GOOGLETRANSLATE(F9,""EN"",""FR"")"),"Toutes nos félicitations! Vous avez terminé le tutoriel de navigation estimé au VIH.
Afin de procéder à l'utilisation du navigateur, votre pays doit:
 - avoir des données de tous les sites pour la période utilisée dans les modèles;
Si vous êtes conva"&amp;"incu que l'exigence ci-dessus est remplie, marquez cette tâche terminée et cliquez sur ""Quoi de neuf?""")</f>
        <v>Toutes nos félicitations! Vous avez terminé le tutoriel de navigation estimé au VIH.
Afin de procéder à l'utilisation du navigateur, votre pays doit:
 - avoir des données de tous les sites pour la période utilisée dans les modèles;
Si vous êtes convaincu que l'exigence ci-dessus est remplie, marquez cette tâche terminée et cliquez sur "Quoi de neuf?"</v>
      </c>
      <c r="H9" s="31" t="str">
        <f>IFERROR(__xludf.DUMMYFUNCTION("GOOGLETRANSLATE(F9,""EN"",""PT"")"),"Parabéns! Você completou o tutorial do HIV Estimativa Navigator.
Para prosseguir para usar o navegador, seu país deve:
 - Ter dados de todos os sites para o período de tempo usado nos modelos;
Se você estiver satisfeito de que o requisito acima seja "&amp;"cumprido, marque esta tarefa completa e clique em ""O que vem a seguir?""")</f>
        <v>Parabéns! Você completou o tutorial do HIV Estimativa Navigator.
Para prosseguir para usar o navegador, seu país deve:
 - Ter dados de todos os sites para o período de tempo usado nos modelos;
Se você estiver satisfeito de que o requisito acima seja cumprido, marque esta tarefa completa e clique em "O que vem a seguir?"</v>
      </c>
      <c r="I9" s="40"/>
      <c r="J9" s="37"/>
      <c r="K9" s="37"/>
      <c r="L9" s="37">
        <v>1.0</v>
      </c>
      <c r="M9" s="52" t="s">
        <v>83</v>
      </c>
      <c r="N9" s="53"/>
      <c r="O9" s="54"/>
      <c r="Q9" s="13"/>
      <c r="R9" s="13"/>
      <c r="S9" s="13"/>
      <c r="T9" s="13"/>
      <c r="U9" s="13"/>
      <c r="V9" s="13"/>
      <c r="W9" s="13"/>
      <c r="X9" s="13"/>
      <c r="Y9" s="13"/>
      <c r="Z9" s="13"/>
      <c r="AA9" s="13"/>
      <c r="AB9" s="13"/>
      <c r="AC9" s="13"/>
      <c r="AD9" s="13"/>
      <c r="AE9" s="13"/>
      <c r="AF9" s="13"/>
      <c r="AG9" s="13"/>
    </row>
    <row r="10" ht="12.0" customHeight="1">
      <c r="A10" s="13"/>
      <c r="B10" s="13"/>
      <c r="C10" s="13"/>
      <c r="D10" s="13"/>
      <c r="E10" s="13"/>
      <c r="F10" s="13"/>
      <c r="G10" s="13"/>
      <c r="H10" s="13"/>
      <c r="I10" s="45"/>
      <c r="J10" s="45"/>
      <c r="K10" s="13"/>
      <c r="L10" s="13"/>
      <c r="M10" s="13"/>
      <c r="N10" s="13"/>
      <c r="O10" s="13"/>
      <c r="P10" s="13"/>
      <c r="Q10" s="13"/>
      <c r="R10" s="13"/>
      <c r="S10" s="13"/>
      <c r="T10" s="13"/>
      <c r="U10" s="13"/>
      <c r="V10" s="13"/>
      <c r="W10" s="13"/>
      <c r="X10" s="13"/>
    </row>
    <row r="11" ht="12.0" customHeight="1">
      <c r="A11" s="13"/>
      <c r="B11" s="13"/>
      <c r="C11" s="13"/>
      <c r="D11" s="13"/>
      <c r="E11" s="13"/>
      <c r="F11" s="13"/>
      <c r="G11" s="13"/>
      <c r="H11" s="13"/>
      <c r="I11" s="45"/>
      <c r="J11" s="45"/>
      <c r="K11" s="13"/>
      <c r="L11" s="13"/>
      <c r="M11" s="13"/>
      <c r="N11" s="13"/>
      <c r="O11" s="13"/>
      <c r="P11" s="13"/>
      <c r="Q11" s="13"/>
      <c r="R11" s="13"/>
      <c r="S11" s="13"/>
      <c r="T11" s="13"/>
      <c r="U11" s="13"/>
      <c r="V11" s="13"/>
      <c r="W11" s="13"/>
      <c r="X11" s="13"/>
    </row>
    <row r="12" ht="12.0" customHeight="1">
      <c r="A12" s="13"/>
      <c r="B12" s="13"/>
      <c r="C12" s="13"/>
      <c r="D12" s="13"/>
      <c r="E12" s="13"/>
      <c r="F12" s="13"/>
      <c r="G12" s="13"/>
      <c r="H12" s="13"/>
      <c r="I12" s="45"/>
      <c r="J12" s="45"/>
      <c r="K12" s="13"/>
      <c r="L12" s="13"/>
      <c r="M12" s="13"/>
      <c r="N12" s="13"/>
      <c r="O12" s="13"/>
      <c r="P12" s="13"/>
      <c r="Q12" s="13"/>
      <c r="R12" s="13"/>
      <c r="S12" s="13"/>
      <c r="T12" s="13"/>
      <c r="U12" s="13"/>
      <c r="V12" s="13"/>
      <c r="W12" s="13"/>
      <c r="X12" s="13"/>
    </row>
    <row r="13" ht="12.0" customHeight="1">
      <c r="A13" s="13"/>
      <c r="B13" s="13"/>
      <c r="C13" s="13"/>
      <c r="D13" s="13"/>
      <c r="E13" s="13"/>
      <c r="F13" s="13"/>
      <c r="G13" s="13"/>
      <c r="H13" s="13"/>
      <c r="I13" s="45"/>
      <c r="J13" s="45"/>
      <c r="K13" s="13"/>
      <c r="L13" s="13"/>
      <c r="M13" s="13"/>
      <c r="N13" s="13"/>
      <c r="O13" s="13"/>
      <c r="P13" s="13"/>
      <c r="Q13" s="13"/>
      <c r="R13" s="13"/>
      <c r="S13" s="13"/>
      <c r="T13" s="13"/>
      <c r="U13" s="13"/>
      <c r="V13" s="13"/>
      <c r="W13" s="13"/>
      <c r="X13" s="13"/>
    </row>
    <row r="14" ht="12.0" customHeight="1">
      <c r="A14" s="13"/>
      <c r="B14" s="13"/>
      <c r="C14" s="13"/>
      <c r="D14" s="13"/>
      <c r="E14" s="13"/>
      <c r="F14" s="13"/>
      <c r="G14" s="13"/>
      <c r="H14" s="13"/>
      <c r="I14" s="45"/>
      <c r="J14" s="45"/>
      <c r="K14" s="13"/>
      <c r="L14" s="13"/>
      <c r="M14" s="13"/>
      <c r="N14" s="13"/>
      <c r="O14" s="13"/>
      <c r="P14" s="13"/>
      <c r="Q14" s="13"/>
      <c r="R14" s="13"/>
      <c r="S14" s="13"/>
      <c r="T14" s="13"/>
      <c r="U14" s="13"/>
      <c r="V14" s="13"/>
      <c r="W14" s="13"/>
      <c r="X14" s="13"/>
    </row>
    <row r="15" ht="12.0" customHeight="1">
      <c r="A15" s="13"/>
      <c r="B15" s="13"/>
      <c r="C15" s="13"/>
      <c r="D15" s="13"/>
      <c r="E15" s="13"/>
      <c r="F15" s="13"/>
      <c r="G15" s="13"/>
      <c r="H15" s="13"/>
      <c r="I15" s="45"/>
      <c r="J15" s="45"/>
      <c r="K15" s="13"/>
      <c r="L15" s="13"/>
      <c r="M15" s="13"/>
      <c r="N15" s="13"/>
      <c r="O15" s="13"/>
      <c r="P15" s="13"/>
      <c r="Q15" s="13"/>
      <c r="R15" s="13"/>
      <c r="S15" s="13"/>
      <c r="T15" s="13"/>
      <c r="U15" s="13"/>
      <c r="V15" s="13"/>
      <c r="W15" s="13"/>
      <c r="X15" s="13"/>
    </row>
    <row r="16" ht="12.0" customHeight="1">
      <c r="A16" s="13"/>
      <c r="B16" s="13"/>
      <c r="C16" s="13"/>
      <c r="D16" s="13"/>
      <c r="E16" s="13"/>
      <c r="F16" s="13"/>
      <c r="G16" s="13"/>
      <c r="H16" s="13"/>
      <c r="I16" s="45"/>
      <c r="J16" s="45"/>
      <c r="K16" s="13"/>
      <c r="L16" s="13"/>
      <c r="M16" s="13"/>
      <c r="N16" s="13"/>
      <c r="O16" s="13"/>
      <c r="P16" s="13"/>
      <c r="Q16" s="13"/>
      <c r="R16" s="13"/>
      <c r="S16" s="13"/>
      <c r="T16" s="13"/>
      <c r="U16" s="13"/>
      <c r="V16" s="13"/>
      <c r="W16" s="13"/>
      <c r="X16" s="13"/>
    </row>
    <row r="17" ht="12.0" customHeight="1">
      <c r="A17" s="13"/>
      <c r="B17" s="13"/>
      <c r="C17" s="13"/>
      <c r="D17" s="13"/>
      <c r="E17" s="13"/>
      <c r="F17" s="13"/>
      <c r="G17" s="13"/>
      <c r="H17" s="13"/>
      <c r="I17" s="45"/>
      <c r="J17" s="45"/>
      <c r="K17" s="13"/>
      <c r="L17" s="13"/>
      <c r="M17" s="13"/>
      <c r="N17" s="13"/>
      <c r="O17" s="13"/>
      <c r="P17" s="13"/>
      <c r="Q17" s="13"/>
      <c r="R17" s="13"/>
      <c r="S17" s="13"/>
      <c r="T17" s="13"/>
      <c r="U17" s="13"/>
      <c r="V17" s="13"/>
      <c r="W17" s="13"/>
      <c r="X17" s="13"/>
    </row>
    <row r="18" ht="12.0" customHeight="1">
      <c r="A18" s="13"/>
      <c r="B18" s="13"/>
      <c r="C18" s="13"/>
      <c r="D18" s="13"/>
      <c r="E18" s="13"/>
      <c r="F18" s="13"/>
      <c r="G18" s="13"/>
      <c r="H18" s="13"/>
      <c r="I18" s="45"/>
      <c r="J18" s="45"/>
      <c r="K18" s="13"/>
      <c r="L18" s="13"/>
      <c r="M18" s="13"/>
      <c r="N18" s="13"/>
      <c r="O18" s="13"/>
      <c r="P18" s="13"/>
      <c r="Q18" s="13"/>
      <c r="R18" s="13"/>
      <c r="S18" s="13"/>
      <c r="T18" s="13"/>
      <c r="U18" s="13"/>
      <c r="V18" s="13"/>
      <c r="W18" s="13"/>
      <c r="X18" s="13"/>
    </row>
    <row r="19" ht="12.0" customHeight="1">
      <c r="A19" s="13"/>
      <c r="B19" s="13"/>
      <c r="C19" s="13"/>
      <c r="D19" s="13"/>
      <c r="E19" s="13"/>
      <c r="F19" s="13"/>
      <c r="G19" s="13"/>
      <c r="H19" s="13"/>
      <c r="I19" s="45"/>
      <c r="J19" s="45"/>
      <c r="K19" s="13"/>
      <c r="L19" s="13"/>
      <c r="M19" s="13"/>
      <c r="N19" s="13"/>
      <c r="O19" s="13"/>
      <c r="P19" s="13"/>
      <c r="Q19" s="13"/>
      <c r="R19" s="13"/>
      <c r="S19" s="13"/>
      <c r="T19" s="13"/>
      <c r="U19" s="13"/>
      <c r="V19" s="13"/>
      <c r="W19" s="13"/>
      <c r="X19" s="13"/>
    </row>
    <row r="20" ht="12.0" customHeight="1">
      <c r="A20" s="13"/>
      <c r="B20" s="13"/>
      <c r="C20" s="13"/>
      <c r="D20" s="13"/>
      <c r="E20" s="13"/>
      <c r="F20" s="13"/>
      <c r="G20" s="13"/>
      <c r="H20" s="13"/>
      <c r="I20" s="45"/>
      <c r="J20" s="45"/>
      <c r="K20" s="13"/>
      <c r="L20" s="13"/>
      <c r="M20" s="13"/>
      <c r="N20" s="13"/>
      <c r="O20" s="13"/>
      <c r="P20" s="13"/>
      <c r="Q20" s="13"/>
      <c r="R20" s="13"/>
      <c r="S20" s="13"/>
      <c r="T20" s="13"/>
      <c r="U20" s="13"/>
      <c r="V20" s="13"/>
      <c r="W20" s="13"/>
      <c r="X20" s="13"/>
    </row>
    <row r="21" ht="12.0" customHeight="1">
      <c r="A21" s="13"/>
      <c r="B21" s="13"/>
      <c r="C21" s="13"/>
      <c r="D21" s="13"/>
      <c r="E21" s="13"/>
      <c r="F21" s="13"/>
      <c r="G21" s="13"/>
      <c r="H21" s="13"/>
      <c r="I21" s="45"/>
      <c r="J21" s="45"/>
      <c r="K21" s="13"/>
      <c r="L21" s="13"/>
      <c r="M21" s="13"/>
      <c r="N21" s="13"/>
      <c r="O21" s="13"/>
      <c r="P21" s="13"/>
      <c r="Q21" s="13"/>
      <c r="R21" s="13"/>
      <c r="S21" s="13"/>
      <c r="T21" s="13"/>
      <c r="U21" s="13"/>
      <c r="V21" s="13"/>
      <c r="W21" s="13"/>
      <c r="X21" s="13"/>
    </row>
    <row r="22" ht="12.0" customHeight="1">
      <c r="A22" s="13"/>
      <c r="B22" s="13"/>
      <c r="C22" s="13"/>
      <c r="D22" s="13"/>
      <c r="E22" s="13"/>
      <c r="F22" s="13"/>
      <c r="G22" s="13"/>
      <c r="H22" s="13"/>
      <c r="I22" s="45"/>
      <c r="J22" s="45"/>
      <c r="K22" s="13"/>
      <c r="L22" s="13"/>
      <c r="M22" s="13"/>
      <c r="N22" s="13"/>
      <c r="O22" s="13"/>
      <c r="P22" s="13"/>
      <c r="Q22" s="13"/>
      <c r="R22" s="13"/>
      <c r="S22" s="13"/>
      <c r="T22" s="13"/>
      <c r="U22" s="13"/>
      <c r="V22" s="13"/>
      <c r="W22" s="13"/>
      <c r="X22" s="13"/>
    </row>
    <row r="23" ht="12.0" customHeight="1">
      <c r="A23" s="13"/>
      <c r="B23" s="13"/>
      <c r="C23" s="13"/>
      <c r="D23" s="13"/>
      <c r="E23" s="13"/>
      <c r="F23" s="13"/>
      <c r="G23" s="13"/>
      <c r="H23" s="13"/>
      <c r="I23" s="45"/>
      <c r="J23" s="45"/>
      <c r="K23" s="13"/>
      <c r="L23" s="13"/>
      <c r="M23" s="13"/>
      <c r="N23" s="13"/>
      <c r="O23" s="13"/>
      <c r="P23" s="13"/>
      <c r="Q23" s="13"/>
      <c r="R23" s="13"/>
      <c r="S23" s="13"/>
      <c r="T23" s="13"/>
      <c r="U23" s="13"/>
      <c r="V23" s="13"/>
      <c r="W23" s="13"/>
      <c r="X23" s="13"/>
    </row>
    <row r="24" ht="12.0" customHeight="1">
      <c r="A24" s="13"/>
      <c r="B24" s="13"/>
      <c r="C24" s="13"/>
      <c r="D24" s="13"/>
      <c r="E24" s="13"/>
      <c r="F24" s="13"/>
      <c r="G24" s="13"/>
      <c r="H24" s="13"/>
      <c r="I24" s="45"/>
      <c r="J24" s="45"/>
      <c r="K24" s="13"/>
      <c r="L24" s="13"/>
      <c r="M24" s="13"/>
      <c r="N24" s="13"/>
      <c r="O24" s="13"/>
      <c r="P24" s="13"/>
      <c r="Q24" s="13"/>
      <c r="R24" s="13"/>
      <c r="S24" s="13"/>
      <c r="T24" s="13"/>
      <c r="U24" s="13"/>
      <c r="V24" s="13"/>
      <c r="W24" s="13"/>
      <c r="X24" s="13"/>
    </row>
    <row r="25" ht="12.0" customHeight="1">
      <c r="A25" s="13"/>
      <c r="B25" s="13"/>
      <c r="C25" s="13"/>
      <c r="D25" s="13"/>
      <c r="E25" s="13"/>
      <c r="F25" s="13"/>
      <c r="G25" s="13"/>
      <c r="H25" s="13"/>
      <c r="I25" s="45"/>
      <c r="J25" s="45"/>
      <c r="K25" s="13"/>
      <c r="L25" s="13"/>
      <c r="M25" s="13"/>
      <c r="N25" s="13"/>
      <c r="O25" s="13"/>
      <c r="P25" s="13"/>
      <c r="Q25" s="13"/>
      <c r="R25" s="13"/>
      <c r="S25" s="13"/>
      <c r="T25" s="13"/>
      <c r="U25" s="13"/>
      <c r="V25" s="13"/>
      <c r="W25" s="13"/>
      <c r="X25" s="13"/>
    </row>
    <row r="26" ht="12.0" customHeight="1">
      <c r="A26" s="13"/>
      <c r="B26" s="13"/>
      <c r="C26" s="13"/>
      <c r="D26" s="13"/>
      <c r="E26" s="13"/>
      <c r="F26" s="13"/>
      <c r="G26" s="13"/>
      <c r="H26" s="13"/>
      <c r="I26" s="45"/>
      <c r="J26" s="45"/>
      <c r="K26" s="13"/>
      <c r="L26" s="13"/>
      <c r="M26" s="13"/>
      <c r="N26" s="13"/>
      <c r="O26" s="13"/>
      <c r="P26" s="13"/>
      <c r="Q26" s="13"/>
      <c r="R26" s="13"/>
      <c r="S26" s="13"/>
      <c r="T26" s="13"/>
      <c r="U26" s="13"/>
      <c r="V26" s="13"/>
      <c r="W26" s="13"/>
      <c r="X26" s="13"/>
    </row>
    <row r="27" ht="12.0" customHeight="1">
      <c r="A27" s="13"/>
      <c r="B27" s="13"/>
      <c r="C27" s="13"/>
      <c r="D27" s="13"/>
      <c r="E27" s="13"/>
      <c r="F27" s="13"/>
      <c r="G27" s="13"/>
      <c r="H27" s="13"/>
      <c r="I27" s="45"/>
      <c r="J27" s="45"/>
      <c r="K27" s="13"/>
      <c r="L27" s="13"/>
      <c r="M27" s="13"/>
      <c r="N27" s="13"/>
      <c r="O27" s="13"/>
      <c r="P27" s="13"/>
      <c r="Q27" s="13"/>
      <c r="R27" s="13"/>
      <c r="S27" s="13"/>
      <c r="T27" s="13"/>
      <c r="U27" s="13"/>
      <c r="V27" s="13"/>
      <c r="W27" s="13"/>
      <c r="X27" s="13"/>
    </row>
    <row r="28" ht="12.0" customHeight="1">
      <c r="A28" s="13"/>
      <c r="B28" s="13"/>
      <c r="C28" s="13"/>
      <c r="D28" s="13"/>
      <c r="E28" s="13"/>
      <c r="F28" s="13"/>
      <c r="G28" s="13"/>
      <c r="H28" s="13"/>
      <c r="I28" s="45"/>
      <c r="J28" s="45"/>
      <c r="K28" s="13"/>
      <c r="L28" s="13"/>
      <c r="M28" s="13"/>
      <c r="N28" s="13"/>
      <c r="O28" s="13"/>
      <c r="P28" s="13"/>
      <c r="Q28" s="13"/>
      <c r="R28" s="13"/>
      <c r="S28" s="13"/>
      <c r="T28" s="13"/>
      <c r="U28" s="13"/>
      <c r="V28" s="13"/>
      <c r="W28" s="13"/>
      <c r="X28" s="13"/>
    </row>
    <row r="29" ht="12.0" customHeight="1">
      <c r="A29" s="13"/>
      <c r="B29" s="13"/>
      <c r="C29" s="13"/>
      <c r="D29" s="13"/>
      <c r="E29" s="13"/>
      <c r="F29" s="13"/>
      <c r="G29" s="13"/>
      <c r="H29" s="13"/>
      <c r="I29" s="45"/>
      <c r="J29" s="45"/>
      <c r="K29" s="13"/>
      <c r="L29" s="13"/>
      <c r="M29" s="13"/>
      <c r="N29" s="13"/>
      <c r="O29" s="13"/>
      <c r="P29" s="13"/>
      <c r="Q29" s="13"/>
      <c r="R29" s="13"/>
      <c r="S29" s="13"/>
      <c r="T29" s="13"/>
      <c r="U29" s="13"/>
      <c r="V29" s="13"/>
      <c r="W29" s="13"/>
      <c r="X29" s="13"/>
    </row>
    <row r="30" ht="12.0" customHeight="1">
      <c r="A30" s="13"/>
      <c r="B30" s="13"/>
      <c r="C30" s="13"/>
      <c r="D30" s="13"/>
      <c r="E30" s="13"/>
      <c r="F30" s="13"/>
      <c r="G30" s="13"/>
      <c r="H30" s="13"/>
      <c r="I30" s="45"/>
      <c r="J30" s="45"/>
      <c r="K30" s="13"/>
      <c r="L30" s="13"/>
      <c r="M30" s="13"/>
      <c r="N30" s="13"/>
      <c r="O30" s="13"/>
      <c r="P30" s="13"/>
      <c r="Q30" s="13"/>
      <c r="R30" s="13"/>
      <c r="S30" s="13"/>
      <c r="T30" s="13"/>
      <c r="U30" s="13"/>
      <c r="V30" s="13"/>
      <c r="W30" s="13"/>
      <c r="X30" s="13"/>
    </row>
    <row r="31" ht="12.0" customHeight="1">
      <c r="A31" s="13"/>
      <c r="B31" s="13"/>
      <c r="C31" s="13"/>
      <c r="D31" s="13"/>
      <c r="E31" s="13"/>
      <c r="F31" s="13"/>
      <c r="G31" s="13"/>
      <c r="H31" s="13"/>
      <c r="I31" s="45"/>
      <c r="J31" s="45"/>
      <c r="K31" s="13"/>
      <c r="L31" s="13"/>
      <c r="M31" s="13"/>
      <c r="N31" s="13"/>
      <c r="O31" s="13"/>
      <c r="P31" s="13"/>
      <c r="Q31" s="13"/>
      <c r="R31" s="13"/>
      <c r="S31" s="13"/>
      <c r="T31" s="13"/>
      <c r="U31" s="13"/>
      <c r="V31" s="13"/>
      <c r="W31" s="13"/>
      <c r="X31" s="13"/>
    </row>
    <row r="32" ht="12.0" customHeight="1">
      <c r="A32" s="13"/>
      <c r="B32" s="13"/>
      <c r="C32" s="13"/>
      <c r="D32" s="13"/>
      <c r="E32" s="13"/>
      <c r="F32" s="13"/>
      <c r="G32" s="13"/>
      <c r="H32" s="13"/>
      <c r="I32" s="45"/>
      <c r="J32" s="45"/>
      <c r="K32" s="13"/>
      <c r="L32" s="13"/>
      <c r="M32" s="13"/>
      <c r="N32" s="13"/>
      <c r="O32" s="13"/>
      <c r="P32" s="13"/>
      <c r="Q32" s="13"/>
      <c r="R32" s="13"/>
      <c r="S32" s="13"/>
      <c r="T32" s="13"/>
      <c r="U32" s="13"/>
      <c r="V32" s="13"/>
      <c r="W32" s="13"/>
      <c r="X32" s="13"/>
    </row>
    <row r="33" ht="12.0" customHeight="1">
      <c r="A33" s="13"/>
      <c r="B33" s="13"/>
      <c r="C33" s="13"/>
      <c r="D33" s="13"/>
      <c r="E33" s="13"/>
      <c r="F33" s="13"/>
      <c r="G33" s="13"/>
      <c r="H33" s="13"/>
      <c r="I33" s="45"/>
      <c r="J33" s="45"/>
      <c r="K33" s="13"/>
      <c r="L33" s="13"/>
      <c r="M33" s="13"/>
      <c r="N33" s="13"/>
      <c r="O33" s="13"/>
      <c r="P33" s="13"/>
      <c r="Q33" s="13"/>
      <c r="R33" s="13"/>
      <c r="S33" s="13"/>
      <c r="T33" s="13"/>
      <c r="U33" s="13"/>
      <c r="V33" s="13"/>
      <c r="W33" s="13"/>
      <c r="X33" s="13"/>
    </row>
    <row r="34" ht="12.0" customHeight="1">
      <c r="A34" s="13"/>
      <c r="B34" s="13"/>
      <c r="C34" s="13"/>
      <c r="D34" s="13"/>
      <c r="E34" s="13"/>
      <c r="F34" s="13"/>
      <c r="G34" s="13"/>
      <c r="H34" s="13"/>
      <c r="I34" s="45"/>
      <c r="J34" s="45"/>
      <c r="K34" s="13"/>
      <c r="L34" s="13"/>
      <c r="M34" s="13"/>
      <c r="N34" s="13"/>
      <c r="O34" s="13"/>
      <c r="P34" s="13"/>
      <c r="Q34" s="13"/>
      <c r="R34" s="13"/>
      <c r="S34" s="13"/>
      <c r="T34" s="13"/>
      <c r="U34" s="13"/>
      <c r="V34" s="13"/>
      <c r="W34" s="13"/>
      <c r="X34" s="13"/>
    </row>
    <row r="35" ht="12.0" customHeight="1">
      <c r="A35" s="13"/>
      <c r="B35" s="13"/>
      <c r="C35" s="13"/>
      <c r="D35" s="13"/>
      <c r="E35" s="13"/>
      <c r="F35" s="13"/>
      <c r="G35" s="13"/>
      <c r="H35" s="13"/>
      <c r="I35" s="45"/>
      <c r="J35" s="45"/>
      <c r="K35" s="13"/>
      <c r="L35" s="13"/>
      <c r="M35" s="13"/>
      <c r="N35" s="13"/>
      <c r="O35" s="13"/>
      <c r="P35" s="13"/>
      <c r="Q35" s="13"/>
      <c r="R35" s="13"/>
      <c r="S35" s="13"/>
      <c r="T35" s="13"/>
      <c r="U35" s="13"/>
      <c r="V35" s="13"/>
      <c r="W35" s="13"/>
      <c r="X35" s="13"/>
    </row>
    <row r="36" ht="12.0" customHeight="1">
      <c r="A36" s="13"/>
      <c r="B36" s="13"/>
      <c r="C36" s="13"/>
      <c r="D36" s="13"/>
      <c r="E36" s="13"/>
      <c r="F36" s="13"/>
      <c r="G36" s="13"/>
      <c r="H36" s="13"/>
      <c r="I36" s="45"/>
      <c r="J36" s="45"/>
      <c r="K36" s="13"/>
      <c r="L36" s="13"/>
      <c r="M36" s="13"/>
      <c r="N36" s="13"/>
      <c r="O36" s="13"/>
      <c r="P36" s="13"/>
      <c r="Q36" s="13"/>
      <c r="R36" s="13"/>
      <c r="S36" s="13"/>
      <c r="T36" s="13"/>
      <c r="U36" s="13"/>
      <c r="V36" s="13"/>
      <c r="W36" s="13"/>
      <c r="X36" s="13"/>
    </row>
    <row r="37" ht="12.0" customHeight="1">
      <c r="A37" s="13"/>
      <c r="B37" s="13"/>
      <c r="C37" s="13"/>
      <c r="D37" s="13"/>
      <c r="E37" s="13"/>
      <c r="F37" s="13"/>
      <c r="G37" s="13"/>
      <c r="H37" s="13"/>
      <c r="I37" s="45"/>
      <c r="J37" s="45"/>
      <c r="K37" s="13"/>
      <c r="L37" s="13"/>
      <c r="M37" s="13"/>
      <c r="N37" s="13"/>
      <c r="O37" s="13"/>
      <c r="P37" s="13"/>
      <c r="Q37" s="13"/>
      <c r="R37" s="13"/>
      <c r="S37" s="13"/>
      <c r="T37" s="13"/>
      <c r="U37" s="13"/>
      <c r="V37" s="13"/>
      <c r="W37" s="13"/>
      <c r="X37" s="13"/>
    </row>
    <row r="38" ht="12.0" customHeight="1">
      <c r="A38" s="13"/>
      <c r="B38" s="13"/>
      <c r="C38" s="13"/>
      <c r="D38" s="13"/>
      <c r="E38" s="13"/>
      <c r="F38" s="13"/>
      <c r="G38" s="13"/>
      <c r="H38" s="13"/>
      <c r="I38" s="45"/>
      <c r="J38" s="45"/>
      <c r="K38" s="13"/>
      <c r="L38" s="13"/>
      <c r="M38" s="13"/>
      <c r="N38" s="13"/>
      <c r="O38" s="13"/>
      <c r="P38" s="13"/>
      <c r="Q38" s="13"/>
      <c r="R38" s="13"/>
      <c r="S38" s="13"/>
      <c r="T38" s="13"/>
      <c r="U38" s="13"/>
      <c r="V38" s="13"/>
      <c r="W38" s="13"/>
      <c r="X38" s="13"/>
    </row>
    <row r="39" ht="12.0" customHeight="1">
      <c r="A39" s="13"/>
      <c r="B39" s="13"/>
      <c r="C39" s="13"/>
      <c r="D39" s="13"/>
      <c r="E39" s="13"/>
      <c r="F39" s="13"/>
      <c r="G39" s="13"/>
      <c r="H39" s="13"/>
      <c r="I39" s="45"/>
      <c r="J39" s="45"/>
      <c r="K39" s="13"/>
      <c r="L39" s="13"/>
      <c r="M39" s="13"/>
      <c r="N39" s="13"/>
      <c r="O39" s="13"/>
      <c r="P39" s="13"/>
      <c r="Q39" s="13"/>
      <c r="R39" s="13"/>
      <c r="S39" s="13"/>
      <c r="T39" s="13"/>
      <c r="U39" s="13"/>
      <c r="V39" s="13"/>
      <c r="W39" s="13"/>
      <c r="X39" s="13"/>
    </row>
    <row r="40" ht="12.0" customHeight="1">
      <c r="A40" s="13"/>
      <c r="B40" s="13"/>
      <c r="C40" s="13"/>
      <c r="D40" s="13"/>
      <c r="E40" s="13"/>
      <c r="F40" s="13"/>
      <c r="G40" s="13"/>
      <c r="H40" s="13"/>
      <c r="I40" s="45"/>
      <c r="J40" s="45"/>
      <c r="K40" s="13"/>
      <c r="L40" s="13"/>
      <c r="M40" s="13"/>
      <c r="N40" s="13"/>
      <c r="O40" s="13"/>
      <c r="P40" s="13"/>
      <c r="Q40" s="13"/>
      <c r="R40" s="13"/>
      <c r="S40" s="13"/>
      <c r="T40" s="13"/>
      <c r="U40" s="13"/>
      <c r="V40" s="13"/>
      <c r="W40" s="13"/>
      <c r="X40" s="13"/>
    </row>
    <row r="41" ht="12.0" customHeight="1">
      <c r="A41" s="13"/>
      <c r="B41" s="13"/>
      <c r="C41" s="13"/>
      <c r="D41" s="13"/>
      <c r="E41" s="13"/>
      <c r="F41" s="13"/>
      <c r="G41" s="13"/>
      <c r="H41" s="13"/>
      <c r="I41" s="45"/>
      <c r="J41" s="45"/>
      <c r="K41" s="13"/>
      <c r="L41" s="13"/>
      <c r="M41" s="13"/>
      <c r="N41" s="13"/>
      <c r="O41" s="13"/>
      <c r="P41" s="13"/>
      <c r="Q41" s="13"/>
      <c r="R41" s="13"/>
      <c r="S41" s="13"/>
      <c r="T41" s="13"/>
      <c r="U41" s="13"/>
      <c r="V41" s="13"/>
      <c r="W41" s="13"/>
      <c r="X41" s="13"/>
    </row>
    <row r="42" ht="12.0" customHeight="1">
      <c r="A42" s="13"/>
      <c r="B42" s="13"/>
      <c r="C42" s="13"/>
      <c r="D42" s="13"/>
      <c r="E42" s="13"/>
      <c r="F42" s="13"/>
      <c r="G42" s="13"/>
      <c r="H42" s="13"/>
      <c r="I42" s="45"/>
      <c r="J42" s="45"/>
      <c r="K42" s="13"/>
      <c r="L42" s="13"/>
      <c r="M42" s="13"/>
      <c r="N42" s="13"/>
      <c r="O42" s="13"/>
      <c r="P42" s="13"/>
      <c r="Q42" s="13"/>
      <c r="R42" s="13"/>
      <c r="S42" s="13"/>
      <c r="T42" s="13"/>
      <c r="U42" s="13"/>
      <c r="V42" s="13"/>
      <c r="W42" s="13"/>
      <c r="X42" s="13"/>
    </row>
    <row r="43" ht="12.0" customHeight="1">
      <c r="A43" s="13"/>
      <c r="B43" s="13"/>
      <c r="C43" s="13"/>
      <c r="D43" s="13"/>
      <c r="E43" s="13"/>
      <c r="F43" s="13"/>
      <c r="G43" s="13"/>
      <c r="H43" s="13"/>
      <c r="I43" s="45"/>
      <c r="J43" s="45"/>
      <c r="K43" s="13"/>
      <c r="L43" s="13"/>
      <c r="M43" s="13"/>
      <c r="N43" s="13"/>
      <c r="O43" s="13"/>
      <c r="P43" s="13"/>
      <c r="Q43" s="13"/>
      <c r="R43" s="13"/>
      <c r="S43" s="13"/>
      <c r="T43" s="13"/>
      <c r="U43" s="13"/>
      <c r="V43" s="13"/>
      <c r="W43" s="13"/>
      <c r="X43" s="13"/>
    </row>
    <row r="44" ht="12.0" customHeight="1">
      <c r="A44" s="13"/>
      <c r="B44" s="13"/>
      <c r="C44" s="13"/>
      <c r="D44" s="13"/>
      <c r="E44" s="13"/>
      <c r="F44" s="13"/>
      <c r="G44" s="13"/>
      <c r="H44" s="13"/>
      <c r="I44" s="45"/>
      <c r="J44" s="45"/>
      <c r="K44" s="13"/>
      <c r="L44" s="13"/>
      <c r="M44" s="13"/>
      <c r="N44" s="13"/>
      <c r="O44" s="13"/>
      <c r="P44" s="13"/>
      <c r="Q44" s="13"/>
      <c r="R44" s="13"/>
      <c r="S44" s="13"/>
      <c r="T44" s="13"/>
      <c r="U44" s="13"/>
      <c r="V44" s="13"/>
      <c r="W44" s="13"/>
      <c r="X44" s="13"/>
    </row>
    <row r="45" ht="12.0" customHeight="1">
      <c r="A45" s="13"/>
      <c r="B45" s="13"/>
      <c r="C45" s="13"/>
      <c r="D45" s="13"/>
      <c r="E45" s="13"/>
      <c r="F45" s="13"/>
      <c r="G45" s="13"/>
      <c r="H45" s="13"/>
      <c r="I45" s="45"/>
      <c r="J45" s="45"/>
      <c r="K45" s="13"/>
      <c r="L45" s="13"/>
      <c r="M45" s="13"/>
      <c r="N45" s="13"/>
      <c r="O45" s="13"/>
      <c r="P45" s="13"/>
      <c r="Q45" s="13"/>
      <c r="R45" s="13"/>
      <c r="S45" s="13"/>
      <c r="T45" s="13"/>
      <c r="U45" s="13"/>
      <c r="V45" s="13"/>
      <c r="W45" s="13"/>
      <c r="X45" s="13"/>
    </row>
    <row r="46" ht="12.0" customHeight="1">
      <c r="A46" s="13"/>
      <c r="B46" s="13"/>
      <c r="C46" s="13"/>
      <c r="D46" s="13"/>
      <c r="E46" s="13"/>
      <c r="F46" s="13"/>
      <c r="G46" s="13"/>
      <c r="H46" s="13"/>
      <c r="I46" s="45"/>
      <c r="J46" s="45"/>
      <c r="K46" s="13"/>
      <c r="L46" s="13"/>
      <c r="M46" s="13"/>
      <c r="N46" s="13"/>
      <c r="O46" s="13"/>
      <c r="P46" s="13"/>
      <c r="Q46" s="13"/>
      <c r="R46" s="13"/>
      <c r="S46" s="13"/>
      <c r="T46" s="13"/>
      <c r="U46" s="13"/>
      <c r="V46" s="13"/>
      <c r="W46" s="13"/>
      <c r="X46" s="13"/>
    </row>
    <row r="47" ht="12.0" customHeight="1">
      <c r="A47" s="13"/>
      <c r="B47" s="13"/>
      <c r="C47" s="13"/>
      <c r="D47" s="13"/>
      <c r="E47" s="13"/>
      <c r="F47" s="13"/>
      <c r="G47" s="13"/>
      <c r="H47" s="13"/>
      <c r="I47" s="45"/>
      <c r="J47" s="45"/>
      <c r="K47" s="13"/>
      <c r="L47" s="13"/>
      <c r="M47" s="13"/>
      <c r="N47" s="13"/>
      <c r="O47" s="13"/>
      <c r="P47" s="13"/>
      <c r="Q47" s="13"/>
      <c r="R47" s="13"/>
      <c r="S47" s="13"/>
      <c r="T47" s="13"/>
      <c r="U47" s="13"/>
      <c r="V47" s="13"/>
      <c r="W47" s="13"/>
      <c r="X47" s="13"/>
    </row>
    <row r="48" ht="12.0" customHeight="1">
      <c r="A48" s="13"/>
      <c r="B48" s="13"/>
      <c r="C48" s="13"/>
      <c r="D48" s="13"/>
      <c r="E48" s="13"/>
      <c r="F48" s="13"/>
      <c r="G48" s="13"/>
      <c r="H48" s="13"/>
      <c r="I48" s="45"/>
      <c r="J48" s="45"/>
      <c r="K48" s="13"/>
      <c r="L48" s="13"/>
      <c r="M48" s="13"/>
      <c r="N48" s="13"/>
      <c r="O48" s="13"/>
      <c r="P48" s="13"/>
      <c r="Q48" s="13"/>
      <c r="R48" s="13"/>
      <c r="S48" s="13"/>
      <c r="T48" s="13"/>
      <c r="U48" s="13"/>
      <c r="V48" s="13"/>
      <c r="W48" s="13"/>
      <c r="X48" s="13"/>
    </row>
    <row r="49" ht="12.0" customHeight="1">
      <c r="A49" s="13"/>
      <c r="B49" s="13"/>
      <c r="C49" s="13"/>
      <c r="D49" s="13"/>
      <c r="E49" s="13"/>
      <c r="F49" s="13"/>
      <c r="G49" s="13"/>
      <c r="H49" s="13"/>
      <c r="I49" s="45"/>
      <c r="J49" s="45"/>
      <c r="K49" s="13"/>
      <c r="L49" s="13"/>
      <c r="M49" s="13"/>
      <c r="N49" s="13"/>
      <c r="O49" s="13"/>
      <c r="P49" s="13"/>
      <c r="Q49" s="13"/>
      <c r="R49" s="13"/>
      <c r="S49" s="13"/>
      <c r="T49" s="13"/>
      <c r="U49" s="13"/>
      <c r="V49" s="13"/>
      <c r="W49" s="13"/>
      <c r="X49" s="13"/>
    </row>
    <row r="50" ht="12.0" customHeight="1">
      <c r="A50" s="13"/>
      <c r="B50" s="13"/>
      <c r="C50" s="13"/>
      <c r="D50" s="13"/>
      <c r="E50" s="13"/>
      <c r="F50" s="13"/>
      <c r="G50" s="13"/>
      <c r="H50" s="13"/>
      <c r="I50" s="45"/>
      <c r="J50" s="45"/>
      <c r="K50" s="13"/>
      <c r="L50" s="13"/>
      <c r="M50" s="13"/>
      <c r="N50" s="13"/>
      <c r="O50" s="13"/>
      <c r="P50" s="13"/>
      <c r="Q50" s="13"/>
      <c r="R50" s="13"/>
      <c r="S50" s="13"/>
      <c r="T50" s="13"/>
      <c r="U50" s="13"/>
      <c r="V50" s="13"/>
      <c r="W50" s="13"/>
      <c r="X50" s="13"/>
    </row>
    <row r="51" ht="12.0" customHeight="1">
      <c r="A51" s="13"/>
      <c r="B51" s="13"/>
      <c r="C51" s="13"/>
      <c r="D51" s="13"/>
      <c r="E51" s="13"/>
      <c r="F51" s="13"/>
      <c r="G51" s="13"/>
      <c r="H51" s="13"/>
      <c r="I51" s="45"/>
      <c r="J51" s="45"/>
      <c r="K51" s="13"/>
      <c r="L51" s="13"/>
      <c r="M51" s="13"/>
      <c r="N51" s="13"/>
      <c r="O51" s="13"/>
      <c r="P51" s="13"/>
      <c r="Q51" s="13"/>
      <c r="R51" s="13"/>
      <c r="S51" s="13"/>
      <c r="T51" s="13"/>
      <c r="U51" s="13"/>
      <c r="V51" s="13"/>
      <c r="W51" s="13"/>
      <c r="X51" s="13"/>
    </row>
    <row r="52" ht="12.0" customHeight="1">
      <c r="A52" s="13"/>
      <c r="B52" s="13"/>
      <c r="C52" s="13"/>
      <c r="D52" s="13"/>
      <c r="E52" s="13"/>
      <c r="F52" s="13"/>
      <c r="G52" s="13"/>
      <c r="H52" s="13"/>
      <c r="I52" s="45"/>
      <c r="J52" s="45"/>
      <c r="K52" s="13"/>
      <c r="L52" s="13"/>
      <c r="M52" s="13"/>
      <c r="N52" s="13"/>
      <c r="O52" s="13"/>
      <c r="P52" s="13"/>
      <c r="Q52" s="13"/>
      <c r="R52" s="13"/>
      <c r="S52" s="13"/>
      <c r="T52" s="13"/>
      <c r="U52" s="13"/>
      <c r="V52" s="13"/>
      <c r="W52" s="13"/>
      <c r="X52" s="13"/>
    </row>
    <row r="53" ht="12.0" customHeight="1">
      <c r="A53" s="13"/>
      <c r="B53" s="13"/>
      <c r="C53" s="13"/>
      <c r="D53" s="13"/>
      <c r="E53" s="13"/>
      <c r="F53" s="13"/>
      <c r="G53" s="13"/>
      <c r="H53" s="13"/>
      <c r="I53" s="45"/>
      <c r="J53" s="45"/>
      <c r="K53" s="13"/>
      <c r="L53" s="13"/>
      <c r="M53" s="13"/>
      <c r="N53" s="13"/>
      <c r="O53" s="13"/>
      <c r="P53" s="13"/>
      <c r="Q53" s="13"/>
      <c r="R53" s="13"/>
      <c r="S53" s="13"/>
      <c r="T53" s="13"/>
      <c r="U53" s="13"/>
      <c r="V53" s="13"/>
      <c r="W53" s="13"/>
      <c r="X53" s="13"/>
    </row>
    <row r="54" ht="12.0" customHeight="1">
      <c r="A54" s="13"/>
      <c r="B54" s="13"/>
      <c r="C54" s="13"/>
      <c r="D54" s="13"/>
      <c r="E54" s="13"/>
      <c r="F54" s="13"/>
      <c r="G54" s="13"/>
      <c r="H54" s="13"/>
      <c r="I54" s="45"/>
      <c r="J54" s="45"/>
      <c r="K54" s="13"/>
      <c r="L54" s="13"/>
      <c r="M54" s="13"/>
      <c r="N54" s="13"/>
      <c r="O54" s="13"/>
      <c r="P54" s="13"/>
      <c r="Q54" s="13"/>
      <c r="R54" s="13"/>
      <c r="S54" s="13"/>
      <c r="T54" s="13"/>
      <c r="U54" s="13"/>
      <c r="V54" s="13"/>
      <c r="W54" s="13"/>
      <c r="X54" s="13"/>
    </row>
    <row r="55" ht="12.0" customHeight="1">
      <c r="A55" s="13"/>
      <c r="B55" s="13"/>
      <c r="C55" s="13"/>
      <c r="D55" s="13"/>
      <c r="E55" s="13"/>
      <c r="F55" s="13"/>
      <c r="G55" s="13"/>
      <c r="H55" s="13"/>
      <c r="I55" s="45"/>
      <c r="J55" s="45"/>
      <c r="K55" s="13"/>
      <c r="L55" s="13"/>
      <c r="M55" s="13"/>
      <c r="N55" s="13"/>
      <c r="O55" s="13"/>
      <c r="P55" s="13"/>
      <c r="Q55" s="13"/>
      <c r="R55" s="13"/>
      <c r="S55" s="13"/>
      <c r="T55" s="13"/>
      <c r="U55" s="13"/>
      <c r="V55" s="13"/>
      <c r="W55" s="13"/>
      <c r="X55" s="13"/>
    </row>
    <row r="56" ht="12.0" customHeight="1">
      <c r="A56" s="13"/>
      <c r="B56" s="13"/>
      <c r="C56" s="13"/>
      <c r="D56" s="13"/>
      <c r="E56" s="13"/>
      <c r="F56" s="13"/>
      <c r="G56" s="13"/>
      <c r="H56" s="13"/>
      <c r="I56" s="45"/>
      <c r="J56" s="45"/>
      <c r="K56" s="13"/>
      <c r="L56" s="13"/>
      <c r="M56" s="13"/>
      <c r="N56" s="13"/>
      <c r="O56" s="13"/>
      <c r="P56" s="13"/>
      <c r="Q56" s="13"/>
      <c r="R56" s="13"/>
      <c r="S56" s="13"/>
      <c r="T56" s="13"/>
      <c r="U56" s="13"/>
      <c r="V56" s="13"/>
      <c r="W56" s="13"/>
      <c r="X56" s="13"/>
    </row>
    <row r="57" ht="12.0" customHeight="1">
      <c r="A57" s="13"/>
      <c r="B57" s="13"/>
      <c r="C57" s="13"/>
      <c r="D57" s="13"/>
      <c r="E57" s="13"/>
      <c r="F57" s="13"/>
      <c r="G57" s="13"/>
      <c r="H57" s="13"/>
      <c r="I57" s="45"/>
      <c r="J57" s="45"/>
      <c r="K57" s="13"/>
      <c r="L57" s="13"/>
      <c r="M57" s="13"/>
      <c r="N57" s="13"/>
      <c r="O57" s="13"/>
      <c r="P57" s="13"/>
      <c r="Q57" s="13"/>
      <c r="R57" s="13"/>
      <c r="S57" s="13"/>
      <c r="T57" s="13"/>
      <c r="U57" s="13"/>
      <c r="V57" s="13"/>
      <c r="W57" s="13"/>
      <c r="X57" s="13"/>
    </row>
    <row r="58" ht="12.0" customHeight="1">
      <c r="A58" s="13"/>
      <c r="B58" s="13"/>
      <c r="C58" s="13"/>
      <c r="D58" s="13"/>
      <c r="E58" s="13"/>
      <c r="F58" s="13"/>
      <c r="G58" s="13"/>
      <c r="H58" s="13"/>
      <c r="I58" s="45"/>
      <c r="J58" s="45"/>
      <c r="K58" s="13"/>
      <c r="L58" s="13"/>
      <c r="M58" s="13"/>
      <c r="N58" s="13"/>
      <c r="O58" s="13"/>
      <c r="P58" s="13"/>
      <c r="Q58" s="13"/>
      <c r="R58" s="13"/>
      <c r="S58" s="13"/>
      <c r="T58" s="13"/>
      <c r="U58" s="13"/>
      <c r="V58" s="13"/>
      <c r="W58" s="13"/>
      <c r="X58" s="13"/>
    </row>
    <row r="59" ht="12.0" customHeight="1">
      <c r="A59" s="13"/>
      <c r="B59" s="13"/>
      <c r="C59" s="13"/>
      <c r="D59" s="13"/>
      <c r="E59" s="13"/>
      <c r="F59" s="13"/>
      <c r="G59" s="13"/>
      <c r="H59" s="13"/>
      <c r="I59" s="45"/>
      <c r="J59" s="45"/>
      <c r="K59" s="13"/>
      <c r="L59" s="13"/>
      <c r="M59" s="13"/>
      <c r="N59" s="13"/>
      <c r="O59" s="13"/>
      <c r="P59" s="13"/>
      <c r="Q59" s="13"/>
      <c r="R59" s="13"/>
      <c r="S59" s="13"/>
      <c r="T59" s="13"/>
      <c r="U59" s="13"/>
      <c r="V59" s="13"/>
      <c r="W59" s="13"/>
      <c r="X59" s="13"/>
    </row>
    <row r="60" ht="12.0" customHeight="1">
      <c r="A60" s="13"/>
      <c r="B60" s="13"/>
      <c r="C60" s="13"/>
      <c r="D60" s="13"/>
      <c r="E60" s="13"/>
      <c r="F60" s="13"/>
      <c r="G60" s="13"/>
      <c r="H60" s="13"/>
      <c r="I60" s="45"/>
      <c r="J60" s="45"/>
      <c r="K60" s="13"/>
      <c r="L60" s="13"/>
      <c r="M60" s="13"/>
      <c r="N60" s="13"/>
      <c r="O60" s="13"/>
      <c r="P60" s="13"/>
      <c r="Q60" s="13"/>
      <c r="R60" s="13"/>
      <c r="S60" s="13"/>
      <c r="T60" s="13"/>
      <c r="U60" s="13"/>
      <c r="V60" s="13"/>
      <c r="W60" s="13"/>
      <c r="X60" s="13"/>
    </row>
    <row r="61" ht="12.0" customHeight="1">
      <c r="A61" s="13"/>
      <c r="B61" s="13"/>
      <c r="C61" s="13"/>
      <c r="D61" s="13"/>
      <c r="E61" s="13"/>
      <c r="F61" s="13"/>
      <c r="G61" s="13"/>
      <c r="H61" s="13"/>
      <c r="I61" s="45"/>
      <c r="J61" s="45"/>
      <c r="K61" s="13"/>
      <c r="L61" s="13"/>
      <c r="M61" s="13"/>
      <c r="N61" s="13"/>
      <c r="O61" s="13"/>
      <c r="P61" s="13"/>
      <c r="Q61" s="13"/>
      <c r="R61" s="13"/>
      <c r="S61" s="13"/>
      <c r="T61" s="13"/>
      <c r="U61" s="13"/>
      <c r="V61" s="13"/>
      <c r="W61" s="13"/>
      <c r="X61" s="13"/>
    </row>
    <row r="62" ht="12.0" customHeight="1">
      <c r="A62" s="13"/>
      <c r="B62" s="13"/>
      <c r="C62" s="13"/>
      <c r="D62" s="13"/>
      <c r="E62" s="13"/>
      <c r="F62" s="13"/>
      <c r="G62" s="13"/>
      <c r="H62" s="13"/>
      <c r="I62" s="45"/>
      <c r="J62" s="45"/>
      <c r="K62" s="13"/>
      <c r="L62" s="13"/>
      <c r="M62" s="13"/>
      <c r="N62" s="13"/>
      <c r="O62" s="13"/>
      <c r="P62" s="13"/>
      <c r="Q62" s="13"/>
      <c r="R62" s="13"/>
      <c r="S62" s="13"/>
      <c r="T62" s="13"/>
      <c r="U62" s="13"/>
      <c r="V62" s="13"/>
      <c r="W62" s="13"/>
      <c r="X62" s="13"/>
    </row>
    <row r="63" ht="12.0" customHeight="1">
      <c r="A63" s="13"/>
      <c r="B63" s="13"/>
      <c r="C63" s="13"/>
      <c r="D63" s="13"/>
      <c r="E63" s="13"/>
      <c r="F63" s="13"/>
      <c r="G63" s="13"/>
      <c r="H63" s="13"/>
      <c r="I63" s="45"/>
      <c r="J63" s="45"/>
      <c r="K63" s="13"/>
      <c r="L63" s="13"/>
      <c r="M63" s="13"/>
      <c r="N63" s="13"/>
      <c r="O63" s="13"/>
      <c r="P63" s="13"/>
      <c r="Q63" s="13"/>
      <c r="R63" s="13"/>
      <c r="S63" s="13"/>
      <c r="T63" s="13"/>
      <c r="U63" s="13"/>
      <c r="V63" s="13"/>
      <c r="W63" s="13"/>
      <c r="X63" s="13"/>
    </row>
    <row r="64" ht="12.0" customHeight="1">
      <c r="A64" s="13"/>
      <c r="B64" s="13"/>
      <c r="C64" s="13"/>
      <c r="D64" s="13"/>
      <c r="E64" s="13"/>
      <c r="F64" s="13"/>
      <c r="G64" s="13"/>
      <c r="H64" s="13"/>
      <c r="I64" s="45"/>
      <c r="J64" s="45"/>
      <c r="K64" s="13"/>
      <c r="L64" s="13"/>
      <c r="M64" s="13"/>
      <c r="N64" s="13"/>
      <c r="O64" s="13"/>
      <c r="P64" s="13"/>
      <c r="Q64" s="13"/>
      <c r="R64" s="13"/>
      <c r="S64" s="13"/>
      <c r="T64" s="13"/>
      <c r="U64" s="13"/>
      <c r="V64" s="13"/>
      <c r="W64" s="13"/>
      <c r="X64" s="13"/>
    </row>
    <row r="65" ht="12.0" customHeight="1">
      <c r="A65" s="13"/>
      <c r="B65" s="13"/>
      <c r="C65" s="13"/>
      <c r="D65" s="13"/>
      <c r="E65" s="13"/>
      <c r="F65" s="13"/>
      <c r="G65" s="13"/>
      <c r="H65" s="13"/>
      <c r="I65" s="45"/>
      <c r="J65" s="45"/>
      <c r="K65" s="13"/>
      <c r="L65" s="13"/>
      <c r="M65" s="13"/>
      <c r="N65" s="13"/>
      <c r="O65" s="13"/>
      <c r="P65" s="13"/>
      <c r="Q65" s="13"/>
      <c r="R65" s="13"/>
      <c r="S65" s="13"/>
      <c r="T65" s="13"/>
      <c r="U65" s="13"/>
      <c r="V65" s="13"/>
      <c r="W65" s="13"/>
      <c r="X65" s="13"/>
    </row>
    <row r="66" ht="12.0" customHeight="1">
      <c r="A66" s="13"/>
      <c r="B66" s="13"/>
      <c r="C66" s="13"/>
      <c r="D66" s="13"/>
      <c r="E66" s="13"/>
      <c r="F66" s="13"/>
      <c r="G66" s="13"/>
      <c r="H66" s="13"/>
      <c r="I66" s="45"/>
      <c r="J66" s="45"/>
      <c r="K66" s="13"/>
      <c r="L66" s="13"/>
      <c r="M66" s="13"/>
      <c r="N66" s="13"/>
      <c r="O66" s="13"/>
      <c r="P66" s="13"/>
      <c r="Q66" s="13"/>
      <c r="R66" s="13"/>
      <c r="S66" s="13"/>
      <c r="T66" s="13"/>
      <c r="U66" s="13"/>
      <c r="V66" s="13"/>
      <c r="W66" s="13"/>
      <c r="X66" s="13"/>
    </row>
    <row r="67" ht="12.0" customHeight="1">
      <c r="A67" s="13"/>
      <c r="B67" s="13"/>
      <c r="C67" s="13"/>
      <c r="D67" s="13"/>
      <c r="E67" s="13"/>
      <c r="F67" s="13"/>
      <c r="G67" s="13"/>
      <c r="H67" s="13"/>
      <c r="I67" s="45"/>
      <c r="J67" s="45"/>
      <c r="K67" s="13"/>
      <c r="L67" s="13"/>
      <c r="M67" s="13"/>
      <c r="N67" s="13"/>
      <c r="O67" s="13"/>
      <c r="P67" s="13"/>
      <c r="Q67" s="13"/>
      <c r="R67" s="13"/>
      <c r="S67" s="13"/>
      <c r="T67" s="13"/>
      <c r="U67" s="13"/>
      <c r="V67" s="13"/>
      <c r="W67" s="13"/>
      <c r="X67" s="13"/>
    </row>
    <row r="68" ht="12.0" customHeight="1">
      <c r="A68" s="13"/>
      <c r="B68" s="13"/>
      <c r="C68" s="13"/>
      <c r="D68" s="13"/>
      <c r="E68" s="13"/>
      <c r="F68" s="13"/>
      <c r="G68" s="13"/>
      <c r="H68" s="13"/>
      <c r="I68" s="45"/>
      <c r="J68" s="45"/>
      <c r="K68" s="13"/>
      <c r="L68" s="13"/>
      <c r="M68" s="13"/>
      <c r="N68" s="13"/>
      <c r="O68" s="13"/>
      <c r="P68" s="13"/>
      <c r="Q68" s="13"/>
      <c r="R68" s="13"/>
      <c r="S68" s="13"/>
      <c r="T68" s="13"/>
      <c r="U68" s="13"/>
      <c r="V68" s="13"/>
      <c r="W68" s="13"/>
      <c r="X68" s="13"/>
    </row>
    <row r="69" ht="12.0" customHeight="1">
      <c r="A69" s="13"/>
      <c r="B69" s="13"/>
      <c r="C69" s="13"/>
      <c r="D69" s="13"/>
      <c r="E69" s="13"/>
      <c r="F69" s="13"/>
      <c r="G69" s="13"/>
      <c r="H69" s="13"/>
      <c r="I69" s="45"/>
      <c r="J69" s="45"/>
      <c r="K69" s="13"/>
      <c r="L69" s="13"/>
      <c r="M69" s="13"/>
      <c r="N69" s="13"/>
      <c r="O69" s="13"/>
      <c r="P69" s="13"/>
      <c r="Q69" s="13"/>
      <c r="R69" s="13"/>
      <c r="S69" s="13"/>
      <c r="T69" s="13"/>
      <c r="U69" s="13"/>
      <c r="V69" s="13"/>
      <c r="W69" s="13"/>
      <c r="X69" s="13"/>
    </row>
    <row r="70" ht="12.0" customHeight="1">
      <c r="A70" s="13"/>
      <c r="B70" s="13"/>
      <c r="C70" s="13"/>
      <c r="D70" s="13"/>
      <c r="E70" s="13"/>
      <c r="F70" s="13"/>
      <c r="G70" s="13"/>
      <c r="H70" s="13"/>
      <c r="I70" s="45"/>
      <c r="J70" s="45"/>
      <c r="K70" s="13"/>
      <c r="L70" s="13"/>
      <c r="M70" s="13"/>
      <c r="N70" s="13"/>
      <c r="O70" s="13"/>
      <c r="P70" s="13"/>
      <c r="Q70" s="13"/>
      <c r="R70" s="13"/>
      <c r="S70" s="13"/>
      <c r="T70" s="13"/>
      <c r="U70" s="13"/>
      <c r="V70" s="13"/>
      <c r="W70" s="13"/>
      <c r="X70" s="13"/>
    </row>
    <row r="71" ht="12.0" customHeight="1">
      <c r="A71" s="13"/>
      <c r="B71" s="13"/>
      <c r="C71" s="13"/>
      <c r="D71" s="13"/>
      <c r="E71" s="13"/>
      <c r="F71" s="13"/>
      <c r="G71" s="13"/>
      <c r="H71" s="13"/>
      <c r="I71" s="45"/>
      <c r="J71" s="45"/>
      <c r="K71" s="13"/>
      <c r="L71" s="13"/>
      <c r="M71" s="13"/>
      <c r="N71" s="13"/>
      <c r="O71" s="13"/>
      <c r="P71" s="13"/>
      <c r="Q71" s="13"/>
      <c r="R71" s="13"/>
      <c r="S71" s="13"/>
      <c r="T71" s="13"/>
      <c r="U71" s="13"/>
      <c r="V71" s="13"/>
      <c r="W71" s="13"/>
      <c r="X71" s="13"/>
    </row>
    <row r="72" ht="12.0" customHeight="1">
      <c r="A72" s="13"/>
      <c r="B72" s="13"/>
      <c r="C72" s="13"/>
      <c r="D72" s="13"/>
      <c r="E72" s="13"/>
      <c r="F72" s="13"/>
      <c r="G72" s="13"/>
      <c r="H72" s="13"/>
      <c r="I72" s="45"/>
      <c r="J72" s="45"/>
      <c r="K72" s="13"/>
      <c r="L72" s="13"/>
      <c r="M72" s="13"/>
      <c r="N72" s="13"/>
      <c r="O72" s="13"/>
      <c r="P72" s="13"/>
      <c r="Q72" s="13"/>
      <c r="R72" s="13"/>
      <c r="S72" s="13"/>
      <c r="T72" s="13"/>
      <c r="U72" s="13"/>
      <c r="V72" s="13"/>
      <c r="W72" s="13"/>
      <c r="X72" s="13"/>
    </row>
    <row r="73" ht="12.0" customHeight="1">
      <c r="A73" s="13"/>
      <c r="B73" s="13"/>
      <c r="C73" s="13"/>
      <c r="D73" s="13"/>
      <c r="E73" s="13"/>
      <c r="F73" s="13"/>
      <c r="G73" s="13"/>
      <c r="H73" s="13"/>
      <c r="I73" s="45"/>
      <c r="J73" s="45"/>
      <c r="K73" s="13"/>
      <c r="L73" s="13"/>
      <c r="M73" s="13"/>
      <c r="N73" s="13"/>
      <c r="O73" s="13"/>
      <c r="P73" s="13"/>
      <c r="Q73" s="13"/>
      <c r="R73" s="13"/>
      <c r="S73" s="13"/>
      <c r="T73" s="13"/>
      <c r="U73" s="13"/>
      <c r="V73" s="13"/>
      <c r="W73" s="13"/>
      <c r="X73" s="13"/>
    </row>
    <row r="74" ht="12.0" customHeight="1">
      <c r="A74" s="13"/>
      <c r="B74" s="13"/>
      <c r="C74" s="13"/>
      <c r="D74" s="13"/>
      <c r="E74" s="13"/>
      <c r="F74" s="13"/>
      <c r="G74" s="13"/>
      <c r="H74" s="13"/>
      <c r="I74" s="45"/>
      <c r="J74" s="45"/>
      <c r="K74" s="13"/>
      <c r="L74" s="13"/>
      <c r="M74" s="13"/>
      <c r="N74" s="13"/>
      <c r="O74" s="13"/>
      <c r="P74" s="13"/>
      <c r="Q74" s="13"/>
      <c r="R74" s="13"/>
      <c r="S74" s="13"/>
      <c r="T74" s="13"/>
      <c r="U74" s="13"/>
      <c r="V74" s="13"/>
      <c r="W74" s="13"/>
      <c r="X74" s="13"/>
    </row>
    <row r="75" ht="12.0" customHeight="1">
      <c r="A75" s="13"/>
      <c r="B75" s="13"/>
      <c r="C75" s="13"/>
      <c r="D75" s="13"/>
      <c r="E75" s="13"/>
      <c r="F75" s="13"/>
      <c r="G75" s="13"/>
      <c r="H75" s="13"/>
      <c r="I75" s="45"/>
      <c r="J75" s="45"/>
      <c r="K75" s="13"/>
      <c r="L75" s="13"/>
      <c r="M75" s="13"/>
      <c r="N75" s="13"/>
      <c r="O75" s="13"/>
      <c r="P75" s="13"/>
      <c r="Q75" s="13"/>
      <c r="R75" s="13"/>
      <c r="S75" s="13"/>
      <c r="T75" s="13"/>
      <c r="U75" s="13"/>
      <c r="V75" s="13"/>
      <c r="W75" s="13"/>
      <c r="X75" s="13"/>
    </row>
    <row r="76" ht="12.0" customHeight="1">
      <c r="A76" s="13"/>
      <c r="B76" s="13"/>
      <c r="C76" s="13"/>
      <c r="D76" s="13"/>
      <c r="E76" s="13"/>
      <c r="F76" s="13"/>
      <c r="G76" s="13"/>
      <c r="H76" s="13"/>
      <c r="I76" s="45"/>
      <c r="J76" s="45"/>
      <c r="K76" s="13"/>
      <c r="L76" s="13"/>
      <c r="M76" s="13"/>
      <c r="N76" s="13"/>
      <c r="O76" s="13"/>
      <c r="P76" s="13"/>
      <c r="Q76" s="13"/>
      <c r="R76" s="13"/>
      <c r="S76" s="13"/>
      <c r="T76" s="13"/>
      <c r="U76" s="13"/>
      <c r="V76" s="13"/>
      <c r="W76" s="13"/>
      <c r="X76" s="13"/>
    </row>
    <row r="77" ht="12.0" customHeight="1">
      <c r="A77" s="13"/>
      <c r="B77" s="13"/>
      <c r="C77" s="13"/>
      <c r="D77" s="13"/>
      <c r="E77" s="13"/>
      <c r="F77" s="13"/>
      <c r="G77" s="13"/>
      <c r="H77" s="13"/>
      <c r="I77" s="45"/>
      <c r="J77" s="45"/>
      <c r="K77" s="13"/>
      <c r="L77" s="13"/>
      <c r="M77" s="13"/>
      <c r="N77" s="13"/>
      <c r="O77" s="13"/>
      <c r="P77" s="13"/>
      <c r="Q77" s="13"/>
      <c r="R77" s="13"/>
      <c r="S77" s="13"/>
      <c r="T77" s="13"/>
      <c r="U77" s="13"/>
      <c r="V77" s="13"/>
      <c r="W77" s="13"/>
      <c r="X77" s="13"/>
    </row>
    <row r="78" ht="12.0" customHeight="1">
      <c r="A78" s="13"/>
      <c r="B78" s="13"/>
      <c r="C78" s="13"/>
      <c r="D78" s="13"/>
      <c r="E78" s="13"/>
      <c r="F78" s="13"/>
      <c r="G78" s="13"/>
      <c r="H78" s="13"/>
      <c r="I78" s="45"/>
      <c r="J78" s="45"/>
      <c r="K78" s="13"/>
      <c r="L78" s="13"/>
      <c r="M78" s="13"/>
      <c r="N78" s="13"/>
      <c r="O78" s="13"/>
      <c r="P78" s="13"/>
      <c r="Q78" s="13"/>
      <c r="R78" s="13"/>
      <c r="S78" s="13"/>
      <c r="T78" s="13"/>
      <c r="U78" s="13"/>
      <c r="V78" s="13"/>
      <c r="W78" s="13"/>
      <c r="X78" s="13"/>
    </row>
    <row r="79" ht="12.0" customHeight="1">
      <c r="A79" s="13"/>
      <c r="B79" s="13"/>
      <c r="C79" s="13"/>
      <c r="D79" s="13"/>
      <c r="E79" s="13"/>
      <c r="F79" s="13"/>
      <c r="G79" s="13"/>
      <c r="H79" s="13"/>
      <c r="I79" s="45"/>
      <c r="J79" s="45"/>
      <c r="K79" s="13"/>
      <c r="L79" s="13"/>
      <c r="M79" s="13"/>
      <c r="N79" s="13"/>
      <c r="O79" s="13"/>
      <c r="P79" s="13"/>
      <c r="Q79" s="13"/>
      <c r="R79" s="13"/>
      <c r="S79" s="13"/>
      <c r="T79" s="13"/>
      <c r="U79" s="13"/>
      <c r="V79" s="13"/>
      <c r="W79" s="13"/>
      <c r="X79" s="13"/>
    </row>
    <row r="80" ht="12.0" customHeight="1">
      <c r="A80" s="13"/>
      <c r="B80" s="13"/>
      <c r="C80" s="13"/>
      <c r="D80" s="13"/>
      <c r="E80" s="13"/>
      <c r="F80" s="13"/>
      <c r="G80" s="13"/>
      <c r="H80" s="13"/>
      <c r="I80" s="45"/>
      <c r="J80" s="45"/>
      <c r="K80" s="13"/>
      <c r="L80" s="13"/>
      <c r="M80" s="13"/>
      <c r="N80" s="13"/>
      <c r="O80" s="13"/>
      <c r="P80" s="13"/>
      <c r="Q80" s="13"/>
      <c r="R80" s="13"/>
      <c r="S80" s="13"/>
      <c r="T80" s="13"/>
      <c r="U80" s="13"/>
      <c r="V80" s="13"/>
      <c r="W80" s="13"/>
      <c r="X80" s="13"/>
    </row>
    <row r="81" ht="12.0" customHeight="1">
      <c r="A81" s="13"/>
      <c r="B81" s="13"/>
      <c r="C81" s="13"/>
      <c r="D81" s="13"/>
      <c r="E81" s="13"/>
      <c r="F81" s="13"/>
      <c r="G81" s="13"/>
      <c r="H81" s="13"/>
      <c r="I81" s="45"/>
      <c r="J81" s="45"/>
      <c r="K81" s="13"/>
      <c r="L81" s="13"/>
      <c r="M81" s="13"/>
      <c r="N81" s="13"/>
      <c r="O81" s="13"/>
      <c r="P81" s="13"/>
      <c r="Q81" s="13"/>
      <c r="R81" s="13"/>
      <c r="S81" s="13"/>
      <c r="T81" s="13"/>
      <c r="U81" s="13"/>
      <c r="V81" s="13"/>
      <c r="W81" s="13"/>
      <c r="X81" s="13"/>
    </row>
    <row r="82" ht="12.0" customHeight="1">
      <c r="A82" s="13"/>
      <c r="B82" s="13"/>
      <c r="C82" s="13"/>
      <c r="D82" s="13"/>
      <c r="E82" s="13"/>
      <c r="F82" s="13"/>
      <c r="G82" s="13"/>
      <c r="H82" s="13"/>
      <c r="I82" s="45"/>
      <c r="J82" s="45"/>
      <c r="K82" s="13"/>
      <c r="L82" s="13"/>
      <c r="M82" s="13"/>
      <c r="N82" s="13"/>
      <c r="O82" s="13"/>
      <c r="P82" s="13"/>
      <c r="Q82" s="13"/>
      <c r="R82" s="13"/>
      <c r="S82" s="13"/>
      <c r="T82" s="13"/>
      <c r="U82" s="13"/>
      <c r="V82" s="13"/>
      <c r="W82" s="13"/>
      <c r="X82" s="13"/>
    </row>
    <row r="83" ht="12.0" customHeight="1">
      <c r="A83" s="13"/>
      <c r="B83" s="13"/>
      <c r="C83" s="13"/>
      <c r="D83" s="13"/>
      <c r="E83" s="13"/>
      <c r="F83" s="13"/>
      <c r="G83" s="13"/>
      <c r="H83" s="13"/>
      <c r="I83" s="45"/>
      <c r="J83" s="45"/>
      <c r="K83" s="13"/>
      <c r="L83" s="13"/>
      <c r="M83" s="13"/>
      <c r="N83" s="13"/>
      <c r="O83" s="13"/>
      <c r="P83" s="13"/>
      <c r="Q83" s="13"/>
      <c r="R83" s="13"/>
      <c r="S83" s="13"/>
      <c r="T83" s="13"/>
      <c r="U83" s="13"/>
      <c r="V83" s="13"/>
      <c r="W83" s="13"/>
      <c r="X83" s="13"/>
    </row>
    <row r="84" ht="12.0" customHeight="1">
      <c r="A84" s="13"/>
      <c r="B84" s="13"/>
      <c r="C84" s="13"/>
      <c r="D84" s="13"/>
      <c r="E84" s="13"/>
      <c r="F84" s="13"/>
      <c r="G84" s="13"/>
      <c r="H84" s="13"/>
      <c r="I84" s="45"/>
      <c r="J84" s="45"/>
      <c r="K84" s="13"/>
      <c r="L84" s="13"/>
      <c r="M84" s="13"/>
      <c r="N84" s="13"/>
      <c r="O84" s="13"/>
      <c r="P84" s="13"/>
      <c r="Q84" s="13"/>
      <c r="R84" s="13"/>
      <c r="S84" s="13"/>
      <c r="T84" s="13"/>
      <c r="U84" s="13"/>
      <c r="V84" s="13"/>
      <c r="W84" s="13"/>
      <c r="X84" s="13"/>
    </row>
    <row r="85" ht="12.0" customHeight="1">
      <c r="A85" s="13"/>
      <c r="B85" s="13"/>
      <c r="C85" s="13"/>
      <c r="D85" s="13"/>
      <c r="E85" s="13"/>
      <c r="F85" s="13"/>
      <c r="G85" s="13"/>
      <c r="H85" s="13"/>
      <c r="I85" s="45"/>
      <c r="J85" s="45"/>
      <c r="K85" s="13"/>
      <c r="L85" s="13"/>
      <c r="M85" s="13"/>
      <c r="N85" s="13"/>
      <c r="O85" s="13"/>
      <c r="P85" s="13"/>
      <c r="Q85" s="13"/>
      <c r="R85" s="13"/>
      <c r="S85" s="13"/>
      <c r="T85" s="13"/>
      <c r="U85" s="13"/>
      <c r="V85" s="13"/>
      <c r="W85" s="13"/>
      <c r="X85" s="13"/>
    </row>
    <row r="86" ht="12.0" customHeight="1">
      <c r="A86" s="13"/>
      <c r="B86" s="13"/>
      <c r="C86" s="13"/>
      <c r="D86" s="13"/>
      <c r="E86" s="13"/>
      <c r="F86" s="13"/>
      <c r="G86" s="13"/>
      <c r="H86" s="13"/>
      <c r="I86" s="45"/>
      <c r="J86" s="45"/>
      <c r="K86" s="13"/>
      <c r="L86" s="13"/>
      <c r="M86" s="13"/>
      <c r="N86" s="13"/>
      <c r="O86" s="13"/>
      <c r="P86" s="13"/>
      <c r="Q86" s="13"/>
      <c r="R86" s="13"/>
      <c r="S86" s="13"/>
      <c r="T86" s="13"/>
      <c r="U86" s="13"/>
      <c r="V86" s="13"/>
      <c r="W86" s="13"/>
      <c r="X86" s="13"/>
    </row>
    <row r="87" ht="12.0" customHeight="1">
      <c r="A87" s="13"/>
      <c r="B87" s="13"/>
      <c r="C87" s="13"/>
      <c r="D87" s="13"/>
      <c r="E87" s="13"/>
      <c r="F87" s="13"/>
      <c r="G87" s="13"/>
      <c r="H87" s="13"/>
      <c r="I87" s="45"/>
      <c r="J87" s="45"/>
      <c r="K87" s="13"/>
      <c r="L87" s="13"/>
      <c r="M87" s="13"/>
      <c r="N87" s="13"/>
      <c r="O87" s="13"/>
      <c r="P87" s="13"/>
      <c r="Q87" s="13"/>
      <c r="R87" s="13"/>
      <c r="S87" s="13"/>
      <c r="T87" s="13"/>
      <c r="U87" s="13"/>
      <c r="V87" s="13"/>
      <c r="W87" s="13"/>
      <c r="X87" s="13"/>
    </row>
    <row r="88" ht="12.0" customHeight="1">
      <c r="A88" s="13"/>
      <c r="B88" s="13"/>
      <c r="C88" s="13"/>
      <c r="D88" s="13"/>
      <c r="E88" s="13"/>
      <c r="F88" s="13"/>
      <c r="G88" s="13"/>
      <c r="H88" s="13"/>
      <c r="I88" s="45"/>
      <c r="J88" s="45"/>
      <c r="K88" s="13"/>
      <c r="L88" s="13"/>
      <c r="M88" s="13"/>
      <c r="N88" s="13"/>
      <c r="O88" s="13"/>
      <c r="P88" s="13"/>
      <c r="Q88" s="13"/>
      <c r="R88" s="13"/>
      <c r="S88" s="13"/>
      <c r="T88" s="13"/>
      <c r="U88" s="13"/>
      <c r="V88" s="13"/>
      <c r="W88" s="13"/>
      <c r="X88" s="13"/>
    </row>
    <row r="89" ht="12.0" customHeight="1">
      <c r="A89" s="13"/>
      <c r="B89" s="13"/>
      <c r="C89" s="13"/>
      <c r="D89" s="13"/>
      <c r="E89" s="13"/>
      <c r="F89" s="13"/>
      <c r="G89" s="13"/>
      <c r="H89" s="13"/>
      <c r="I89" s="45"/>
      <c r="J89" s="45"/>
      <c r="K89" s="13"/>
      <c r="L89" s="13"/>
      <c r="M89" s="13"/>
      <c r="N89" s="13"/>
      <c r="O89" s="13"/>
      <c r="P89" s="13"/>
      <c r="Q89" s="13"/>
      <c r="R89" s="13"/>
      <c r="S89" s="13"/>
      <c r="T89" s="13"/>
      <c r="U89" s="13"/>
      <c r="V89" s="13"/>
      <c r="W89" s="13"/>
      <c r="X89" s="13"/>
    </row>
    <row r="90" ht="12.0" customHeight="1">
      <c r="A90" s="13"/>
      <c r="B90" s="13"/>
      <c r="C90" s="13"/>
      <c r="D90" s="13"/>
      <c r="E90" s="13"/>
      <c r="F90" s="13"/>
      <c r="G90" s="13"/>
      <c r="H90" s="13"/>
      <c r="I90" s="45"/>
      <c r="J90" s="45"/>
      <c r="K90" s="13"/>
      <c r="L90" s="13"/>
      <c r="M90" s="13"/>
      <c r="N90" s="13"/>
      <c r="O90" s="13"/>
      <c r="P90" s="13"/>
      <c r="Q90" s="13"/>
      <c r="R90" s="13"/>
      <c r="S90" s="13"/>
      <c r="T90" s="13"/>
      <c r="U90" s="13"/>
      <c r="V90" s="13"/>
      <c r="W90" s="13"/>
      <c r="X90" s="13"/>
    </row>
    <row r="91" ht="12.0" customHeight="1">
      <c r="A91" s="13"/>
      <c r="B91" s="13"/>
      <c r="C91" s="13"/>
      <c r="D91" s="13"/>
      <c r="E91" s="13"/>
      <c r="F91" s="13"/>
      <c r="G91" s="13"/>
      <c r="H91" s="13"/>
      <c r="I91" s="45"/>
      <c r="J91" s="45"/>
      <c r="K91" s="13"/>
      <c r="L91" s="13"/>
      <c r="M91" s="13"/>
      <c r="N91" s="13"/>
      <c r="O91" s="13"/>
      <c r="P91" s="13"/>
      <c r="Q91" s="13"/>
      <c r="R91" s="13"/>
      <c r="S91" s="13"/>
      <c r="T91" s="13"/>
      <c r="U91" s="13"/>
      <c r="V91" s="13"/>
      <c r="W91" s="13"/>
      <c r="X91" s="13"/>
    </row>
    <row r="92" ht="12.0" customHeight="1">
      <c r="A92" s="13"/>
      <c r="B92" s="13"/>
      <c r="C92" s="13"/>
      <c r="D92" s="13"/>
      <c r="E92" s="13"/>
      <c r="F92" s="13"/>
      <c r="G92" s="13"/>
      <c r="H92" s="13"/>
      <c r="I92" s="45"/>
      <c r="J92" s="45"/>
      <c r="K92" s="13"/>
      <c r="L92" s="13"/>
      <c r="M92" s="13"/>
      <c r="N92" s="13"/>
      <c r="O92" s="13"/>
      <c r="P92" s="13"/>
      <c r="Q92" s="13"/>
      <c r="R92" s="13"/>
      <c r="S92" s="13"/>
      <c r="T92" s="13"/>
      <c r="U92" s="13"/>
      <c r="V92" s="13"/>
      <c r="W92" s="13"/>
      <c r="X92" s="13"/>
    </row>
    <row r="93" ht="12.0" customHeight="1">
      <c r="A93" s="13"/>
      <c r="B93" s="13"/>
      <c r="C93" s="13"/>
      <c r="D93" s="13"/>
      <c r="E93" s="13"/>
      <c r="F93" s="13"/>
      <c r="G93" s="13"/>
      <c r="H93" s="13"/>
      <c r="I93" s="45"/>
      <c r="J93" s="45"/>
      <c r="K93" s="13"/>
      <c r="L93" s="13"/>
      <c r="M93" s="13"/>
      <c r="N93" s="13"/>
      <c r="O93" s="13"/>
      <c r="P93" s="13"/>
      <c r="Q93" s="13"/>
      <c r="R93" s="13"/>
      <c r="S93" s="13"/>
      <c r="T93" s="13"/>
      <c r="U93" s="13"/>
      <c r="V93" s="13"/>
      <c r="W93" s="13"/>
      <c r="X93" s="13"/>
    </row>
    <row r="94" ht="12.0" customHeight="1">
      <c r="A94" s="13"/>
      <c r="B94" s="13"/>
      <c r="C94" s="13"/>
      <c r="D94" s="13"/>
      <c r="E94" s="13"/>
      <c r="F94" s="13"/>
      <c r="G94" s="13"/>
      <c r="H94" s="13"/>
      <c r="I94" s="45"/>
      <c r="J94" s="45"/>
      <c r="K94" s="13"/>
      <c r="L94" s="13"/>
      <c r="M94" s="13"/>
      <c r="N94" s="13"/>
      <c r="O94" s="13"/>
      <c r="P94" s="13"/>
      <c r="Q94" s="13"/>
      <c r="R94" s="13"/>
      <c r="S94" s="13"/>
      <c r="T94" s="13"/>
      <c r="U94" s="13"/>
      <c r="V94" s="13"/>
      <c r="W94" s="13"/>
      <c r="X94" s="13"/>
    </row>
    <row r="95" ht="12.0" customHeight="1">
      <c r="A95" s="13"/>
      <c r="B95" s="13"/>
      <c r="C95" s="13"/>
      <c r="D95" s="13"/>
      <c r="E95" s="13"/>
      <c r="F95" s="13"/>
      <c r="G95" s="13"/>
      <c r="H95" s="13"/>
      <c r="I95" s="45"/>
      <c r="J95" s="45"/>
      <c r="K95" s="13"/>
      <c r="L95" s="13"/>
      <c r="M95" s="13"/>
      <c r="N95" s="13"/>
      <c r="O95" s="13"/>
      <c r="P95" s="13"/>
      <c r="Q95" s="13"/>
      <c r="R95" s="13"/>
      <c r="S95" s="13"/>
      <c r="T95" s="13"/>
      <c r="U95" s="13"/>
      <c r="V95" s="13"/>
      <c r="W95" s="13"/>
      <c r="X95" s="13"/>
    </row>
    <row r="96" ht="12.0" customHeight="1">
      <c r="A96" s="13"/>
      <c r="B96" s="13"/>
      <c r="C96" s="13"/>
      <c r="D96" s="13"/>
      <c r="E96" s="13"/>
      <c r="F96" s="13"/>
      <c r="G96" s="13"/>
      <c r="H96" s="13"/>
      <c r="I96" s="45"/>
      <c r="J96" s="45"/>
      <c r="K96" s="13"/>
      <c r="L96" s="13"/>
      <c r="M96" s="13"/>
      <c r="N96" s="13"/>
      <c r="O96" s="13"/>
      <c r="P96" s="13"/>
      <c r="Q96" s="13"/>
      <c r="R96" s="13"/>
      <c r="S96" s="13"/>
      <c r="T96" s="13"/>
      <c r="U96" s="13"/>
      <c r="V96" s="13"/>
      <c r="W96" s="13"/>
      <c r="X96" s="13"/>
    </row>
    <row r="97" ht="12.0" customHeight="1">
      <c r="A97" s="13"/>
      <c r="B97" s="13"/>
      <c r="C97" s="13"/>
      <c r="D97" s="13"/>
      <c r="E97" s="13"/>
      <c r="F97" s="13"/>
      <c r="G97" s="13"/>
      <c r="H97" s="13"/>
      <c r="I97" s="45"/>
      <c r="J97" s="45"/>
      <c r="K97" s="13"/>
      <c r="L97" s="13"/>
      <c r="M97" s="13"/>
      <c r="N97" s="13"/>
      <c r="O97" s="13"/>
      <c r="P97" s="13"/>
      <c r="Q97" s="13"/>
      <c r="R97" s="13"/>
      <c r="S97" s="13"/>
      <c r="T97" s="13"/>
      <c r="U97" s="13"/>
      <c r="V97" s="13"/>
      <c r="W97" s="13"/>
      <c r="X97" s="13"/>
    </row>
    <row r="98" ht="12.0" customHeight="1">
      <c r="A98" s="13"/>
      <c r="B98" s="13"/>
      <c r="C98" s="13"/>
      <c r="D98" s="13"/>
      <c r="E98" s="13"/>
      <c r="F98" s="13"/>
      <c r="G98" s="13"/>
      <c r="H98" s="13"/>
      <c r="I98" s="45"/>
      <c r="J98" s="45"/>
      <c r="K98" s="13"/>
      <c r="L98" s="13"/>
      <c r="M98" s="13"/>
      <c r="N98" s="13"/>
      <c r="O98" s="13"/>
      <c r="P98" s="13"/>
      <c r="Q98" s="13"/>
      <c r="R98" s="13"/>
      <c r="S98" s="13"/>
      <c r="T98" s="13"/>
      <c r="U98" s="13"/>
      <c r="V98" s="13"/>
      <c r="W98" s="13"/>
      <c r="X98" s="13"/>
    </row>
    <row r="99" ht="12.0" customHeight="1">
      <c r="A99" s="13"/>
      <c r="B99" s="13"/>
      <c r="C99" s="13"/>
      <c r="D99" s="13"/>
      <c r="E99" s="13"/>
      <c r="F99" s="13"/>
      <c r="G99" s="13"/>
      <c r="H99" s="13"/>
      <c r="I99" s="45"/>
      <c r="J99" s="45"/>
      <c r="K99" s="13"/>
      <c r="L99" s="13"/>
      <c r="M99" s="13"/>
      <c r="N99" s="13"/>
      <c r="O99" s="13"/>
      <c r="P99" s="13"/>
      <c r="Q99" s="13"/>
      <c r="R99" s="13"/>
      <c r="S99" s="13"/>
      <c r="T99" s="13"/>
      <c r="U99" s="13"/>
      <c r="V99" s="13"/>
      <c r="W99" s="13"/>
      <c r="X99" s="13"/>
    </row>
    <row r="100" ht="12.0" customHeight="1">
      <c r="A100" s="13"/>
      <c r="B100" s="13"/>
      <c r="C100" s="13"/>
      <c r="D100" s="13"/>
      <c r="E100" s="13"/>
      <c r="F100" s="13"/>
      <c r="G100" s="13"/>
      <c r="H100" s="13"/>
      <c r="I100" s="45"/>
      <c r="J100" s="45"/>
      <c r="K100" s="13"/>
      <c r="L100" s="13"/>
      <c r="M100" s="13"/>
      <c r="N100" s="13"/>
      <c r="O100" s="13"/>
      <c r="P100" s="13"/>
      <c r="Q100" s="13"/>
      <c r="R100" s="13"/>
      <c r="S100" s="13"/>
      <c r="T100" s="13"/>
      <c r="U100" s="13"/>
      <c r="V100" s="13"/>
      <c r="W100" s="13"/>
      <c r="X100" s="13"/>
    </row>
    <row r="101" ht="12.0" customHeight="1">
      <c r="A101" s="13"/>
      <c r="B101" s="13"/>
      <c r="C101" s="13"/>
      <c r="D101" s="13"/>
      <c r="E101" s="13"/>
      <c r="F101" s="13"/>
      <c r="G101" s="13"/>
      <c r="H101" s="13"/>
      <c r="I101" s="45"/>
      <c r="J101" s="45"/>
      <c r="K101" s="13"/>
      <c r="L101" s="13"/>
      <c r="M101" s="13"/>
      <c r="N101" s="13"/>
      <c r="O101" s="13"/>
      <c r="P101" s="13"/>
      <c r="Q101" s="13"/>
      <c r="R101" s="13"/>
      <c r="S101" s="13"/>
      <c r="T101" s="13"/>
      <c r="U101" s="13"/>
      <c r="V101" s="13"/>
      <c r="W101" s="13"/>
      <c r="X101" s="13"/>
    </row>
    <row r="102" ht="12.0" customHeight="1">
      <c r="A102" s="13"/>
      <c r="B102" s="13"/>
      <c r="C102" s="13"/>
      <c r="D102" s="13"/>
      <c r="E102" s="13"/>
      <c r="F102" s="13"/>
      <c r="G102" s="13"/>
      <c r="H102" s="13"/>
      <c r="I102" s="45"/>
      <c r="J102" s="45"/>
      <c r="K102" s="13"/>
      <c r="L102" s="13"/>
      <c r="M102" s="13"/>
      <c r="N102" s="13"/>
      <c r="O102" s="13"/>
      <c r="P102" s="13"/>
      <c r="Q102" s="13"/>
      <c r="R102" s="13"/>
      <c r="S102" s="13"/>
      <c r="T102" s="13"/>
      <c r="U102" s="13"/>
      <c r="V102" s="13"/>
      <c r="W102" s="13"/>
      <c r="X102" s="13"/>
    </row>
    <row r="103" ht="12.0" customHeight="1">
      <c r="A103" s="13"/>
      <c r="B103" s="13"/>
      <c r="C103" s="13"/>
      <c r="D103" s="13"/>
      <c r="E103" s="13"/>
      <c r="F103" s="13"/>
      <c r="G103" s="13"/>
      <c r="H103" s="13"/>
      <c r="I103" s="45"/>
      <c r="J103" s="45"/>
      <c r="K103" s="13"/>
      <c r="L103" s="13"/>
      <c r="M103" s="13"/>
      <c r="N103" s="13"/>
      <c r="O103" s="13"/>
      <c r="P103" s="13"/>
      <c r="Q103" s="13"/>
      <c r="R103" s="13"/>
      <c r="S103" s="13"/>
      <c r="T103" s="13"/>
      <c r="U103" s="13"/>
      <c r="V103" s="13"/>
      <c r="W103" s="13"/>
      <c r="X103" s="13"/>
    </row>
    <row r="104" ht="12.0" customHeight="1">
      <c r="A104" s="13"/>
      <c r="B104" s="13"/>
      <c r="C104" s="13"/>
      <c r="D104" s="13"/>
      <c r="E104" s="13"/>
      <c r="F104" s="13"/>
      <c r="G104" s="13"/>
      <c r="H104" s="13"/>
      <c r="I104" s="45"/>
      <c r="J104" s="45"/>
      <c r="K104" s="13"/>
      <c r="L104" s="13"/>
      <c r="M104" s="13"/>
      <c r="N104" s="13"/>
      <c r="O104" s="13"/>
      <c r="P104" s="13"/>
      <c r="Q104" s="13"/>
      <c r="R104" s="13"/>
      <c r="S104" s="13"/>
      <c r="T104" s="13"/>
      <c r="U104" s="13"/>
      <c r="V104" s="13"/>
      <c r="W104" s="13"/>
      <c r="X104" s="13"/>
    </row>
    <row r="105" ht="12.0" customHeight="1">
      <c r="A105" s="13"/>
      <c r="B105" s="13"/>
      <c r="C105" s="13"/>
      <c r="D105" s="13"/>
      <c r="E105" s="13"/>
      <c r="F105" s="13"/>
      <c r="G105" s="13"/>
      <c r="H105" s="13"/>
      <c r="I105" s="45"/>
      <c r="J105" s="45"/>
      <c r="K105" s="13"/>
      <c r="L105" s="13"/>
      <c r="M105" s="13"/>
      <c r="N105" s="13"/>
      <c r="O105" s="13"/>
      <c r="P105" s="13"/>
      <c r="Q105" s="13"/>
      <c r="R105" s="13"/>
      <c r="S105" s="13"/>
      <c r="T105" s="13"/>
      <c r="U105" s="13"/>
      <c r="V105" s="13"/>
      <c r="W105" s="13"/>
      <c r="X105" s="13"/>
    </row>
    <row r="106" ht="12.0" customHeight="1">
      <c r="A106" s="13"/>
      <c r="B106" s="13"/>
      <c r="C106" s="13"/>
      <c r="D106" s="13"/>
      <c r="E106" s="13"/>
      <c r="F106" s="13"/>
      <c r="G106" s="13"/>
      <c r="H106" s="13"/>
      <c r="I106" s="45"/>
      <c r="J106" s="45"/>
      <c r="K106" s="13"/>
      <c r="L106" s="13"/>
      <c r="M106" s="13"/>
      <c r="N106" s="13"/>
      <c r="O106" s="13"/>
      <c r="P106" s="13"/>
      <c r="Q106" s="13"/>
      <c r="R106" s="13"/>
      <c r="S106" s="13"/>
      <c r="T106" s="13"/>
      <c r="U106" s="13"/>
      <c r="V106" s="13"/>
      <c r="W106" s="13"/>
      <c r="X106" s="13"/>
    </row>
    <row r="107" ht="12.0" customHeight="1">
      <c r="A107" s="13"/>
      <c r="B107" s="13"/>
      <c r="C107" s="13"/>
      <c r="D107" s="13"/>
      <c r="E107" s="13"/>
      <c r="F107" s="13"/>
      <c r="G107" s="13"/>
      <c r="H107" s="13"/>
      <c r="I107" s="45"/>
      <c r="J107" s="45"/>
      <c r="K107" s="13"/>
      <c r="L107" s="13"/>
      <c r="M107" s="13"/>
      <c r="N107" s="13"/>
      <c r="O107" s="13"/>
      <c r="P107" s="13"/>
      <c r="Q107" s="13"/>
      <c r="R107" s="13"/>
      <c r="S107" s="13"/>
      <c r="T107" s="13"/>
      <c r="U107" s="13"/>
      <c r="V107" s="13"/>
      <c r="W107" s="13"/>
      <c r="X107" s="13"/>
    </row>
    <row r="108" ht="12.0" customHeight="1">
      <c r="A108" s="13"/>
      <c r="B108" s="13"/>
      <c r="C108" s="13"/>
      <c r="D108" s="13"/>
      <c r="E108" s="13"/>
      <c r="F108" s="13"/>
      <c r="G108" s="13"/>
      <c r="H108" s="13"/>
      <c r="I108" s="45"/>
      <c r="J108" s="45"/>
      <c r="K108" s="13"/>
      <c r="L108" s="13"/>
      <c r="M108" s="13"/>
      <c r="N108" s="13"/>
      <c r="O108" s="13"/>
      <c r="P108" s="13"/>
      <c r="Q108" s="13"/>
      <c r="R108" s="13"/>
      <c r="S108" s="13"/>
      <c r="T108" s="13"/>
      <c r="U108" s="13"/>
      <c r="V108" s="13"/>
      <c r="W108" s="13"/>
      <c r="X108" s="13"/>
    </row>
    <row r="109" ht="12.0" customHeight="1">
      <c r="A109" s="13"/>
      <c r="B109" s="13"/>
      <c r="C109" s="13"/>
      <c r="D109" s="13"/>
      <c r="E109" s="13"/>
      <c r="F109" s="13"/>
      <c r="G109" s="13"/>
      <c r="H109" s="13"/>
      <c r="I109" s="45"/>
      <c r="J109" s="45"/>
      <c r="K109" s="13"/>
      <c r="L109" s="13"/>
      <c r="M109" s="13"/>
      <c r="N109" s="13"/>
      <c r="O109" s="13"/>
      <c r="P109" s="13"/>
      <c r="Q109" s="13"/>
      <c r="R109" s="13"/>
      <c r="S109" s="13"/>
      <c r="T109" s="13"/>
      <c r="U109" s="13"/>
      <c r="V109" s="13"/>
      <c r="W109" s="13"/>
      <c r="X109" s="13"/>
    </row>
    <row r="110" ht="12.0" customHeight="1">
      <c r="A110" s="13"/>
      <c r="B110" s="13"/>
      <c r="C110" s="13"/>
      <c r="D110" s="13"/>
      <c r="E110" s="13"/>
      <c r="F110" s="13"/>
      <c r="G110" s="13"/>
      <c r="H110" s="13"/>
      <c r="I110" s="45"/>
      <c r="J110" s="45"/>
      <c r="K110" s="13"/>
      <c r="L110" s="13"/>
      <c r="M110" s="13"/>
      <c r="N110" s="13"/>
      <c r="O110" s="13"/>
      <c r="P110" s="13"/>
      <c r="Q110" s="13"/>
      <c r="R110" s="13"/>
      <c r="S110" s="13"/>
      <c r="T110" s="13"/>
      <c r="U110" s="13"/>
      <c r="V110" s="13"/>
      <c r="W110" s="13"/>
      <c r="X110" s="13"/>
    </row>
    <row r="111" ht="12.0" customHeight="1">
      <c r="A111" s="13"/>
      <c r="B111" s="13"/>
      <c r="C111" s="13"/>
      <c r="D111" s="13"/>
      <c r="E111" s="13"/>
      <c r="F111" s="13"/>
      <c r="G111" s="13"/>
      <c r="H111" s="13"/>
      <c r="I111" s="45"/>
      <c r="J111" s="45"/>
      <c r="K111" s="13"/>
      <c r="L111" s="13"/>
      <c r="M111" s="13"/>
      <c r="N111" s="13"/>
      <c r="O111" s="13"/>
      <c r="P111" s="13"/>
      <c r="Q111" s="13"/>
      <c r="R111" s="13"/>
      <c r="S111" s="13"/>
      <c r="T111" s="13"/>
      <c r="U111" s="13"/>
      <c r="V111" s="13"/>
      <c r="W111" s="13"/>
      <c r="X111" s="13"/>
    </row>
    <row r="112" ht="12.0" customHeight="1">
      <c r="A112" s="13"/>
      <c r="B112" s="13"/>
      <c r="C112" s="13"/>
      <c r="D112" s="13"/>
      <c r="E112" s="13"/>
      <c r="F112" s="13"/>
      <c r="G112" s="13"/>
      <c r="H112" s="13"/>
      <c r="I112" s="45"/>
      <c r="J112" s="45"/>
      <c r="K112" s="13"/>
      <c r="L112" s="13"/>
      <c r="M112" s="13"/>
      <c r="N112" s="13"/>
      <c r="O112" s="13"/>
      <c r="P112" s="13"/>
      <c r="Q112" s="13"/>
      <c r="R112" s="13"/>
      <c r="S112" s="13"/>
      <c r="T112" s="13"/>
      <c r="U112" s="13"/>
      <c r="V112" s="13"/>
      <c r="W112" s="13"/>
      <c r="X112" s="13"/>
    </row>
    <row r="113" ht="12.0" customHeight="1">
      <c r="A113" s="13"/>
      <c r="B113" s="13"/>
      <c r="C113" s="13"/>
      <c r="D113" s="13"/>
      <c r="E113" s="13"/>
      <c r="F113" s="13"/>
      <c r="G113" s="13"/>
      <c r="H113" s="13"/>
      <c r="I113" s="45"/>
      <c r="J113" s="45"/>
      <c r="K113" s="13"/>
      <c r="L113" s="13"/>
      <c r="M113" s="13"/>
      <c r="N113" s="13"/>
      <c r="O113" s="13"/>
      <c r="P113" s="13"/>
      <c r="Q113" s="13"/>
      <c r="R113" s="13"/>
      <c r="S113" s="13"/>
      <c r="T113" s="13"/>
      <c r="U113" s="13"/>
      <c r="V113" s="13"/>
      <c r="W113" s="13"/>
      <c r="X113" s="13"/>
    </row>
    <row r="114" ht="12.0" customHeight="1">
      <c r="A114" s="13"/>
      <c r="B114" s="13"/>
      <c r="C114" s="13"/>
      <c r="D114" s="13"/>
      <c r="E114" s="13"/>
      <c r="F114" s="13"/>
      <c r="G114" s="13"/>
      <c r="H114" s="13"/>
      <c r="I114" s="45"/>
      <c r="J114" s="45"/>
      <c r="K114" s="13"/>
      <c r="L114" s="13"/>
      <c r="M114" s="13"/>
      <c r="N114" s="13"/>
      <c r="O114" s="13"/>
      <c r="P114" s="13"/>
      <c r="Q114" s="13"/>
      <c r="R114" s="13"/>
      <c r="S114" s="13"/>
      <c r="T114" s="13"/>
      <c r="U114" s="13"/>
      <c r="V114" s="13"/>
      <c r="W114" s="13"/>
      <c r="X114" s="13"/>
    </row>
    <row r="115" ht="12.0" customHeight="1">
      <c r="A115" s="13"/>
      <c r="B115" s="13"/>
      <c r="C115" s="13"/>
      <c r="D115" s="13"/>
      <c r="E115" s="13"/>
      <c r="F115" s="13"/>
      <c r="G115" s="13"/>
      <c r="H115" s="13"/>
      <c r="I115" s="45"/>
      <c r="J115" s="45"/>
      <c r="K115" s="13"/>
      <c r="L115" s="13"/>
      <c r="M115" s="13"/>
      <c r="N115" s="13"/>
      <c r="O115" s="13"/>
      <c r="P115" s="13"/>
      <c r="Q115" s="13"/>
      <c r="R115" s="13"/>
      <c r="S115" s="13"/>
      <c r="T115" s="13"/>
      <c r="U115" s="13"/>
      <c r="V115" s="13"/>
      <c r="W115" s="13"/>
      <c r="X115" s="13"/>
    </row>
    <row r="116" ht="12.0" customHeight="1">
      <c r="A116" s="13"/>
      <c r="B116" s="13"/>
      <c r="C116" s="13"/>
      <c r="D116" s="13"/>
      <c r="E116" s="13"/>
      <c r="F116" s="13"/>
      <c r="G116" s="13"/>
      <c r="H116" s="13"/>
      <c r="I116" s="45"/>
      <c r="J116" s="45"/>
      <c r="K116" s="13"/>
      <c r="L116" s="13"/>
      <c r="M116" s="13"/>
      <c r="N116" s="13"/>
      <c r="O116" s="13"/>
      <c r="P116" s="13"/>
      <c r="Q116" s="13"/>
      <c r="R116" s="13"/>
      <c r="S116" s="13"/>
      <c r="T116" s="13"/>
      <c r="U116" s="13"/>
      <c r="V116" s="13"/>
      <c r="W116" s="13"/>
      <c r="X116" s="13"/>
    </row>
    <row r="117" ht="12.0" customHeight="1">
      <c r="A117" s="13"/>
      <c r="B117" s="13"/>
      <c r="C117" s="13"/>
      <c r="D117" s="13"/>
      <c r="E117" s="13"/>
      <c r="F117" s="13"/>
      <c r="G117" s="13"/>
      <c r="H117" s="13"/>
      <c r="I117" s="45"/>
      <c r="J117" s="45"/>
      <c r="K117" s="13"/>
      <c r="L117" s="13"/>
      <c r="M117" s="13"/>
      <c r="N117" s="13"/>
      <c r="O117" s="13"/>
      <c r="P117" s="13"/>
      <c r="Q117" s="13"/>
      <c r="R117" s="13"/>
      <c r="S117" s="13"/>
      <c r="T117" s="13"/>
      <c r="U117" s="13"/>
      <c r="V117" s="13"/>
      <c r="W117" s="13"/>
      <c r="X117" s="13"/>
    </row>
    <row r="118" ht="12.0" customHeight="1">
      <c r="A118" s="13"/>
      <c r="B118" s="13"/>
      <c r="C118" s="13"/>
      <c r="D118" s="13"/>
      <c r="E118" s="13"/>
      <c r="F118" s="13"/>
      <c r="G118" s="13"/>
      <c r="H118" s="13"/>
      <c r="I118" s="45"/>
      <c r="J118" s="45"/>
      <c r="K118" s="13"/>
      <c r="L118" s="13"/>
      <c r="M118" s="13"/>
      <c r="N118" s="13"/>
      <c r="O118" s="13"/>
      <c r="P118" s="13"/>
      <c r="Q118" s="13"/>
      <c r="R118" s="13"/>
      <c r="S118" s="13"/>
      <c r="T118" s="13"/>
      <c r="U118" s="13"/>
      <c r="V118" s="13"/>
      <c r="W118" s="13"/>
      <c r="X118" s="13"/>
    </row>
    <row r="119" ht="12.0" customHeight="1">
      <c r="A119" s="13"/>
      <c r="B119" s="13"/>
      <c r="C119" s="13"/>
      <c r="D119" s="13"/>
      <c r="E119" s="13"/>
      <c r="F119" s="13"/>
      <c r="G119" s="13"/>
      <c r="H119" s="13"/>
      <c r="I119" s="45"/>
      <c r="J119" s="45"/>
      <c r="K119" s="13"/>
      <c r="L119" s="13"/>
      <c r="M119" s="13"/>
      <c r="N119" s="13"/>
      <c r="O119" s="13"/>
      <c r="P119" s="13"/>
      <c r="Q119" s="13"/>
      <c r="R119" s="13"/>
      <c r="S119" s="13"/>
      <c r="T119" s="13"/>
      <c r="U119" s="13"/>
      <c r="V119" s="13"/>
      <c r="W119" s="13"/>
      <c r="X119" s="13"/>
    </row>
    <row r="120" ht="12.0" customHeight="1">
      <c r="A120" s="13"/>
      <c r="B120" s="13"/>
      <c r="C120" s="13"/>
      <c r="D120" s="13"/>
      <c r="E120" s="13"/>
      <c r="F120" s="13"/>
      <c r="G120" s="13"/>
      <c r="H120" s="13"/>
      <c r="I120" s="45"/>
      <c r="J120" s="45"/>
      <c r="K120" s="13"/>
      <c r="L120" s="13"/>
      <c r="M120" s="13"/>
      <c r="N120" s="13"/>
      <c r="O120" s="13"/>
      <c r="P120" s="13"/>
      <c r="Q120" s="13"/>
      <c r="R120" s="13"/>
      <c r="S120" s="13"/>
      <c r="T120" s="13"/>
      <c r="U120" s="13"/>
      <c r="V120" s="13"/>
      <c r="W120" s="13"/>
      <c r="X120" s="13"/>
    </row>
    <row r="121" ht="12.0" customHeight="1">
      <c r="A121" s="13"/>
      <c r="B121" s="13"/>
      <c r="C121" s="13"/>
      <c r="D121" s="13"/>
      <c r="E121" s="13"/>
      <c r="F121" s="13"/>
      <c r="G121" s="13"/>
      <c r="H121" s="13"/>
      <c r="I121" s="45"/>
      <c r="J121" s="45"/>
      <c r="K121" s="13"/>
      <c r="L121" s="13"/>
      <c r="M121" s="13"/>
      <c r="N121" s="13"/>
      <c r="O121" s="13"/>
      <c r="P121" s="13"/>
      <c r="Q121" s="13"/>
      <c r="R121" s="13"/>
      <c r="S121" s="13"/>
      <c r="T121" s="13"/>
      <c r="U121" s="13"/>
      <c r="V121" s="13"/>
      <c r="W121" s="13"/>
      <c r="X121" s="13"/>
    </row>
    <row r="122" ht="12.0" customHeight="1">
      <c r="A122" s="13"/>
      <c r="B122" s="13"/>
      <c r="C122" s="13"/>
      <c r="D122" s="13"/>
      <c r="E122" s="13"/>
      <c r="F122" s="13"/>
      <c r="G122" s="13"/>
      <c r="H122" s="13"/>
      <c r="I122" s="45"/>
      <c r="J122" s="45"/>
      <c r="K122" s="13"/>
      <c r="L122" s="13"/>
      <c r="M122" s="13"/>
      <c r="N122" s="13"/>
      <c r="O122" s="13"/>
      <c r="P122" s="13"/>
      <c r="Q122" s="13"/>
      <c r="R122" s="13"/>
      <c r="S122" s="13"/>
      <c r="T122" s="13"/>
      <c r="U122" s="13"/>
      <c r="V122" s="13"/>
      <c r="W122" s="13"/>
      <c r="X122" s="13"/>
    </row>
    <row r="123" ht="12.0" customHeight="1">
      <c r="A123" s="13"/>
      <c r="B123" s="13"/>
      <c r="C123" s="13"/>
      <c r="D123" s="13"/>
      <c r="E123" s="13"/>
      <c r="F123" s="13"/>
      <c r="G123" s="13"/>
      <c r="H123" s="13"/>
      <c r="I123" s="45"/>
      <c r="J123" s="45"/>
      <c r="K123" s="13"/>
      <c r="L123" s="13"/>
      <c r="M123" s="13"/>
      <c r="N123" s="13"/>
      <c r="O123" s="13"/>
      <c r="P123" s="13"/>
      <c r="Q123" s="13"/>
      <c r="R123" s="13"/>
      <c r="S123" s="13"/>
      <c r="T123" s="13"/>
      <c r="U123" s="13"/>
      <c r="V123" s="13"/>
      <c r="W123" s="13"/>
      <c r="X123" s="13"/>
    </row>
    <row r="124" ht="12.0" customHeight="1">
      <c r="A124" s="13"/>
      <c r="B124" s="13"/>
      <c r="C124" s="13"/>
      <c r="D124" s="13"/>
      <c r="E124" s="13"/>
      <c r="F124" s="13"/>
      <c r="G124" s="13"/>
      <c r="H124" s="13"/>
      <c r="I124" s="45"/>
      <c r="J124" s="45"/>
      <c r="K124" s="13"/>
      <c r="L124" s="13"/>
      <c r="M124" s="13"/>
      <c r="N124" s="13"/>
      <c r="O124" s="13"/>
      <c r="P124" s="13"/>
      <c r="Q124" s="13"/>
      <c r="R124" s="13"/>
      <c r="S124" s="13"/>
      <c r="T124" s="13"/>
      <c r="U124" s="13"/>
      <c r="V124" s="13"/>
      <c r="W124" s="13"/>
      <c r="X124" s="13"/>
    </row>
    <row r="125" ht="12.0" customHeight="1">
      <c r="A125" s="13"/>
      <c r="B125" s="13"/>
      <c r="C125" s="13"/>
      <c r="D125" s="13"/>
      <c r="E125" s="13"/>
      <c r="F125" s="13"/>
      <c r="G125" s="13"/>
      <c r="H125" s="13"/>
      <c r="I125" s="45"/>
      <c r="J125" s="45"/>
      <c r="K125" s="13"/>
      <c r="L125" s="13"/>
      <c r="M125" s="13"/>
      <c r="N125" s="13"/>
      <c r="O125" s="13"/>
      <c r="P125" s="13"/>
      <c r="Q125" s="13"/>
      <c r="R125" s="13"/>
      <c r="S125" s="13"/>
      <c r="T125" s="13"/>
      <c r="U125" s="13"/>
      <c r="V125" s="13"/>
      <c r="W125" s="13"/>
      <c r="X125" s="13"/>
    </row>
    <row r="126" ht="12.0" customHeight="1">
      <c r="A126" s="13"/>
      <c r="B126" s="13"/>
      <c r="C126" s="13"/>
      <c r="D126" s="13"/>
      <c r="E126" s="13"/>
      <c r="F126" s="13"/>
      <c r="G126" s="13"/>
      <c r="H126" s="13"/>
      <c r="I126" s="45"/>
      <c r="J126" s="45"/>
      <c r="K126" s="13"/>
      <c r="L126" s="13"/>
      <c r="M126" s="13"/>
      <c r="N126" s="13"/>
      <c r="O126" s="13"/>
      <c r="P126" s="13"/>
      <c r="Q126" s="13"/>
      <c r="R126" s="13"/>
      <c r="S126" s="13"/>
      <c r="T126" s="13"/>
      <c r="U126" s="13"/>
      <c r="V126" s="13"/>
      <c r="W126" s="13"/>
      <c r="X126" s="13"/>
    </row>
    <row r="127" ht="12.0" customHeight="1">
      <c r="A127" s="13"/>
      <c r="B127" s="13"/>
      <c r="C127" s="13"/>
      <c r="D127" s="13"/>
      <c r="E127" s="13"/>
      <c r="F127" s="13"/>
      <c r="G127" s="13"/>
      <c r="H127" s="13"/>
      <c r="I127" s="45"/>
      <c r="J127" s="45"/>
      <c r="K127" s="13"/>
      <c r="L127" s="13"/>
      <c r="M127" s="13"/>
      <c r="N127" s="13"/>
      <c r="O127" s="13"/>
      <c r="P127" s="13"/>
      <c r="Q127" s="13"/>
      <c r="R127" s="13"/>
      <c r="S127" s="13"/>
      <c r="T127" s="13"/>
      <c r="U127" s="13"/>
      <c r="V127" s="13"/>
      <c r="W127" s="13"/>
      <c r="X127" s="13"/>
    </row>
    <row r="128" ht="12.0" customHeight="1">
      <c r="A128" s="13"/>
      <c r="B128" s="13"/>
      <c r="C128" s="13"/>
      <c r="D128" s="13"/>
      <c r="E128" s="13"/>
      <c r="F128" s="13"/>
      <c r="G128" s="13"/>
      <c r="H128" s="13"/>
      <c r="I128" s="45"/>
      <c r="J128" s="45"/>
      <c r="K128" s="13"/>
      <c r="L128" s="13"/>
      <c r="M128" s="13"/>
      <c r="N128" s="13"/>
      <c r="O128" s="13"/>
      <c r="P128" s="13"/>
      <c r="Q128" s="13"/>
      <c r="R128" s="13"/>
      <c r="S128" s="13"/>
      <c r="T128" s="13"/>
      <c r="U128" s="13"/>
      <c r="V128" s="13"/>
      <c r="W128" s="13"/>
      <c r="X128" s="13"/>
    </row>
    <row r="129" ht="12.0" customHeight="1">
      <c r="A129" s="13"/>
      <c r="B129" s="13"/>
      <c r="C129" s="13"/>
      <c r="D129" s="13"/>
      <c r="E129" s="13"/>
      <c r="F129" s="13"/>
      <c r="G129" s="13"/>
      <c r="H129" s="13"/>
      <c r="I129" s="45"/>
      <c r="J129" s="45"/>
      <c r="K129" s="13"/>
      <c r="L129" s="13"/>
      <c r="M129" s="13"/>
      <c r="N129" s="13"/>
      <c r="O129" s="13"/>
      <c r="P129" s="13"/>
      <c r="Q129" s="13"/>
      <c r="R129" s="13"/>
      <c r="S129" s="13"/>
      <c r="T129" s="13"/>
      <c r="U129" s="13"/>
      <c r="V129" s="13"/>
      <c r="W129" s="13"/>
      <c r="X129" s="13"/>
    </row>
    <row r="130" ht="12.0" customHeight="1">
      <c r="A130" s="13"/>
      <c r="B130" s="13"/>
      <c r="C130" s="13"/>
      <c r="D130" s="13"/>
      <c r="E130" s="13"/>
      <c r="F130" s="13"/>
      <c r="G130" s="13"/>
      <c r="H130" s="13"/>
      <c r="I130" s="45"/>
      <c r="J130" s="45"/>
      <c r="K130" s="13"/>
      <c r="L130" s="13"/>
      <c r="M130" s="13"/>
      <c r="N130" s="13"/>
      <c r="O130" s="13"/>
      <c r="P130" s="13"/>
      <c r="Q130" s="13"/>
      <c r="R130" s="13"/>
      <c r="S130" s="13"/>
      <c r="T130" s="13"/>
      <c r="U130" s="13"/>
      <c r="V130" s="13"/>
      <c r="W130" s="13"/>
      <c r="X130" s="13"/>
    </row>
    <row r="131" ht="12.0" customHeight="1">
      <c r="A131" s="13"/>
      <c r="B131" s="13"/>
      <c r="C131" s="13"/>
      <c r="D131" s="13"/>
      <c r="E131" s="13"/>
      <c r="F131" s="13"/>
      <c r="G131" s="13"/>
      <c r="H131" s="13"/>
      <c r="I131" s="45"/>
      <c r="J131" s="45"/>
      <c r="K131" s="13"/>
      <c r="L131" s="13"/>
      <c r="M131" s="13"/>
      <c r="N131" s="13"/>
      <c r="O131" s="13"/>
      <c r="P131" s="13"/>
      <c r="Q131" s="13"/>
      <c r="R131" s="13"/>
      <c r="S131" s="13"/>
      <c r="T131" s="13"/>
      <c r="U131" s="13"/>
      <c r="V131" s="13"/>
      <c r="W131" s="13"/>
      <c r="X131" s="13"/>
    </row>
    <row r="132" ht="12.0" customHeight="1">
      <c r="A132" s="13"/>
      <c r="B132" s="13"/>
      <c r="C132" s="13"/>
      <c r="D132" s="13"/>
      <c r="E132" s="13"/>
      <c r="F132" s="13"/>
      <c r="G132" s="13"/>
      <c r="H132" s="13"/>
      <c r="I132" s="45"/>
      <c r="J132" s="45"/>
      <c r="K132" s="13"/>
      <c r="L132" s="13"/>
      <c r="M132" s="13"/>
      <c r="N132" s="13"/>
      <c r="O132" s="13"/>
      <c r="P132" s="13"/>
      <c r="Q132" s="13"/>
      <c r="R132" s="13"/>
      <c r="S132" s="13"/>
      <c r="T132" s="13"/>
      <c r="U132" s="13"/>
      <c r="V132" s="13"/>
      <c r="W132" s="13"/>
      <c r="X132" s="13"/>
    </row>
    <row r="133" ht="12.0" customHeight="1">
      <c r="A133" s="13"/>
      <c r="B133" s="13"/>
      <c r="C133" s="13"/>
      <c r="D133" s="13"/>
      <c r="E133" s="13"/>
      <c r="F133" s="13"/>
      <c r="G133" s="13"/>
      <c r="H133" s="13"/>
      <c r="I133" s="45"/>
      <c r="J133" s="45"/>
      <c r="K133" s="13"/>
      <c r="L133" s="13"/>
      <c r="M133" s="13"/>
      <c r="N133" s="13"/>
      <c r="O133" s="13"/>
      <c r="P133" s="13"/>
      <c r="Q133" s="13"/>
      <c r="R133" s="13"/>
      <c r="S133" s="13"/>
      <c r="T133" s="13"/>
      <c r="U133" s="13"/>
      <c r="V133" s="13"/>
      <c r="W133" s="13"/>
      <c r="X133" s="13"/>
    </row>
    <row r="134" ht="12.0"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ht="12.0"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ht="12.0"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ht="12.0"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ht="12.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ht="12.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ht="12.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ht="12.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ht="12.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ht="12.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ht="12.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ht="12.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ht="12.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ht="12.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ht="12.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ht="12.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ht="12.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ht="12.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ht="12.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ht="12.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ht="12.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ht="12.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ht="12.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ht="12.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ht="12.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ht="12.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ht="12.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ht="12.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ht="12.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ht="12.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ht="12.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ht="12.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ht="12.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ht="12.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ht="12.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ht="12.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ht="12.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ht="12.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ht="12.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ht="12.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ht="12.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ht="12.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ht="12.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ht="12.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ht="12.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ht="12.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ht="12.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ht="12.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ht="12.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ht="12.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ht="12.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ht="12.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ht="12.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ht="12.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ht="12.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ht="12.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ht="12.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ht="12.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ht="12.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ht="12.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ht="12.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ht="12.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ht="12.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ht="12.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ht="12.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ht="12.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ht="12.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ht="12.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ht="12.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ht="12.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ht="12.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ht="12.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ht="12.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ht="12.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ht="12.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ht="12.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ht="12.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ht="12.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ht="12.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ht="12.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ht="12.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ht="12.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8.13"/>
    <col customWidth="1" min="2" max="2" width="18.25"/>
    <col customWidth="1" min="3" max="3" width="30.25"/>
    <col customWidth="1" min="4" max="4" width="58.0"/>
    <col customWidth="1" min="5" max="5" width="40.13"/>
    <col customWidth="1" min="6" max="6" width="17.38"/>
    <col customWidth="1" min="7" max="7" width="11.5"/>
    <col customWidth="1" min="8" max="8" width="27.25"/>
    <col customWidth="1" min="9" max="9" width="33.25"/>
    <col customWidth="1" min="10" max="10" width="28.75"/>
  </cols>
  <sheetData>
    <row r="1" ht="12.0" customHeight="1">
      <c r="A1" s="58" t="s">
        <v>1</v>
      </c>
      <c r="B1" s="5" t="s">
        <v>4</v>
      </c>
      <c r="C1" s="59"/>
      <c r="D1" s="60" t="s">
        <v>7</v>
      </c>
      <c r="E1" s="59"/>
      <c r="F1" s="61" t="s">
        <v>10</v>
      </c>
      <c r="G1" s="26"/>
    </row>
    <row r="2" ht="19.5" customHeight="1">
      <c r="A2" s="62" t="s">
        <v>58</v>
      </c>
      <c r="B2" s="63" t="s">
        <v>59</v>
      </c>
      <c r="C2" s="59"/>
      <c r="D2" s="63" t="s">
        <v>60</v>
      </c>
      <c r="E2" s="59"/>
      <c r="F2" s="62">
        <v>0.1</v>
      </c>
      <c r="G2" s="26"/>
    </row>
    <row r="3" ht="7.5" customHeight="1">
      <c r="A3" s="64"/>
      <c r="B3" s="64"/>
      <c r="C3" s="65"/>
      <c r="D3" s="65"/>
      <c r="E3" s="65"/>
      <c r="F3" s="65"/>
      <c r="G3" s="65"/>
    </row>
    <row r="4" ht="12.0" customHeight="1">
      <c r="A4" s="66" t="s">
        <v>0</v>
      </c>
      <c r="B4" s="27" t="s">
        <v>19</v>
      </c>
      <c r="C4" s="66" t="s">
        <v>22</v>
      </c>
      <c r="D4" s="66" t="s">
        <v>23</v>
      </c>
      <c r="E4" s="66" t="s">
        <v>24</v>
      </c>
      <c r="F4" s="66" t="s">
        <v>27</v>
      </c>
      <c r="G4" s="66" t="s">
        <v>30</v>
      </c>
      <c r="H4" s="27" t="s">
        <v>29</v>
      </c>
      <c r="I4" s="67" t="s">
        <v>28</v>
      </c>
    </row>
    <row r="5" ht="12.0" customHeight="1">
      <c r="A5" s="51" t="s">
        <v>61</v>
      </c>
      <c r="B5" s="30" t="s">
        <v>62</v>
      </c>
      <c r="C5" s="39" t="s">
        <v>63</v>
      </c>
      <c r="D5" s="41" t="s">
        <v>64</v>
      </c>
      <c r="E5" s="39"/>
      <c r="F5" s="37">
        <v>1.0</v>
      </c>
      <c r="G5" s="52"/>
      <c r="H5" s="53"/>
      <c r="I5" s="52" t="s">
        <v>65</v>
      </c>
      <c r="K5" s="13"/>
      <c r="L5" s="13"/>
      <c r="M5" s="13"/>
      <c r="N5" s="13"/>
      <c r="O5" s="13"/>
      <c r="P5" s="13"/>
      <c r="Q5" s="13"/>
      <c r="R5" s="13"/>
      <c r="S5" s="13"/>
      <c r="T5" s="13"/>
      <c r="U5" s="13"/>
      <c r="V5" s="13"/>
      <c r="W5" s="13"/>
      <c r="X5" s="13"/>
    </row>
    <row r="6" ht="12.0" customHeight="1">
      <c r="A6" s="29" t="s">
        <v>66</v>
      </c>
      <c r="B6" s="30" t="s">
        <v>67</v>
      </c>
      <c r="C6" s="39" t="s">
        <v>63</v>
      </c>
      <c r="D6" s="41" t="s">
        <v>68</v>
      </c>
      <c r="E6" s="39"/>
      <c r="F6" s="37"/>
      <c r="G6" s="52"/>
      <c r="H6" s="53"/>
      <c r="I6" s="52" t="s">
        <v>69</v>
      </c>
      <c r="K6" s="13"/>
      <c r="L6" s="13"/>
      <c r="M6" s="13"/>
      <c r="N6" s="13"/>
      <c r="O6" s="13"/>
      <c r="P6" s="13"/>
      <c r="Q6" s="13"/>
      <c r="R6" s="13"/>
      <c r="S6" s="13"/>
      <c r="T6" s="13"/>
      <c r="U6" s="13"/>
      <c r="V6" s="13"/>
      <c r="W6" s="13"/>
      <c r="X6" s="13"/>
    </row>
    <row r="7" ht="12.0" customHeight="1">
      <c r="A7" s="29" t="s">
        <v>70</v>
      </c>
      <c r="B7" s="30" t="s">
        <v>71</v>
      </c>
      <c r="C7" s="39" t="s">
        <v>63</v>
      </c>
      <c r="D7" s="41" t="s">
        <v>72</v>
      </c>
      <c r="E7" s="39"/>
      <c r="F7" s="37"/>
      <c r="G7" s="52"/>
      <c r="H7" s="53"/>
      <c r="I7" s="52" t="s">
        <v>73</v>
      </c>
      <c r="K7" s="13"/>
      <c r="L7" s="13"/>
      <c r="M7" s="13"/>
      <c r="N7" s="13"/>
      <c r="O7" s="13"/>
      <c r="P7" s="13"/>
      <c r="Q7" s="13"/>
      <c r="R7" s="13"/>
      <c r="S7" s="13"/>
      <c r="T7" s="13"/>
      <c r="U7" s="13"/>
      <c r="V7" s="13"/>
      <c r="W7" s="13"/>
      <c r="X7" s="13"/>
    </row>
    <row r="8" ht="12.0" customHeight="1">
      <c r="A8" s="55" t="s">
        <v>74</v>
      </c>
      <c r="B8" s="55" t="s">
        <v>75</v>
      </c>
      <c r="C8" s="56" t="s">
        <v>76</v>
      </c>
      <c r="D8" s="47" t="s">
        <v>77</v>
      </c>
      <c r="E8" s="68"/>
      <c r="F8" s="57">
        <v>1.0</v>
      </c>
      <c r="G8" s="47"/>
      <c r="H8" s="53"/>
      <c r="I8" s="47" t="s">
        <v>78</v>
      </c>
      <c r="K8" s="13"/>
      <c r="L8" s="13"/>
      <c r="M8" s="13"/>
      <c r="N8" s="13"/>
      <c r="O8" s="13"/>
      <c r="P8" s="13"/>
      <c r="Q8" s="13"/>
      <c r="R8" s="13"/>
      <c r="S8" s="13"/>
      <c r="T8" s="13"/>
      <c r="U8" s="13"/>
      <c r="V8" s="13"/>
      <c r="W8" s="13"/>
      <c r="X8" s="13"/>
    </row>
    <row r="9" ht="12.0" customHeight="1">
      <c r="A9" s="51" t="s">
        <v>79</v>
      </c>
      <c r="B9" s="36" t="s">
        <v>80</v>
      </c>
      <c r="C9" s="39" t="s">
        <v>81</v>
      </c>
      <c r="D9" s="41" t="s">
        <v>82</v>
      </c>
      <c r="E9" s="40"/>
      <c r="F9" s="37">
        <v>1.0</v>
      </c>
      <c r="G9" s="52"/>
      <c r="H9" s="53"/>
      <c r="I9" s="52" t="s">
        <v>83</v>
      </c>
      <c r="K9" s="13"/>
      <c r="L9" s="13"/>
      <c r="M9" s="13"/>
      <c r="N9" s="13"/>
      <c r="O9" s="13"/>
      <c r="P9" s="13"/>
      <c r="Q9" s="13"/>
      <c r="R9" s="13"/>
      <c r="S9" s="13"/>
      <c r="T9" s="13"/>
      <c r="U9" s="13"/>
      <c r="V9" s="13"/>
      <c r="W9" s="13"/>
      <c r="X9" s="13"/>
    </row>
    <row r="10" ht="12.0" customHeight="1">
      <c r="A10" s="69"/>
      <c r="B10" s="69"/>
      <c r="C10" s="70"/>
      <c r="D10" s="69"/>
      <c r="E10" s="69"/>
      <c r="F10" s="69"/>
      <c r="G10" s="69"/>
      <c r="H10" s="69"/>
      <c r="I10" s="69"/>
      <c r="J10" s="69"/>
      <c r="K10" s="69"/>
      <c r="L10" s="69"/>
      <c r="M10" s="69"/>
      <c r="N10" s="69"/>
      <c r="O10" s="69"/>
      <c r="P10" s="69"/>
      <c r="Q10" s="69"/>
      <c r="R10" s="69"/>
      <c r="S10" s="69"/>
      <c r="T10" s="69"/>
      <c r="U10" s="69"/>
      <c r="V10" s="69"/>
      <c r="W10" s="69"/>
      <c r="X10" s="69"/>
      <c r="Y10" s="69"/>
      <c r="Z10" s="69"/>
    </row>
    <row r="11" ht="12.0" customHeight="1">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69"/>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sheetData>
  <mergeCells count="4">
    <mergeCell ref="B1:C1"/>
    <mergeCell ref="D1:E1"/>
    <mergeCell ref="B2:C2"/>
    <mergeCell ref="D2:E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8.13"/>
    <col customWidth="1" min="2" max="2" width="18.25"/>
    <col customWidth="1" hidden="1" min="3" max="3" width="30.25"/>
    <col customWidth="1" hidden="1" min="4" max="4" width="58.0"/>
    <col customWidth="1" min="5" max="5" width="40.13"/>
    <col customWidth="1" min="6" max="6" width="17.38"/>
    <col customWidth="1" hidden="1" min="7" max="7" width="11.5"/>
    <col customWidth="1" hidden="1" min="8" max="8" width="27.25"/>
    <col customWidth="1" min="9" max="9" width="33.25"/>
    <col customWidth="1" hidden="1" min="10" max="10" width="28.75"/>
    <col hidden="1" min="11" max="11" width="12.63"/>
  </cols>
  <sheetData>
    <row r="1" ht="12.0" customHeight="1">
      <c r="A1" s="1" t="s">
        <v>0</v>
      </c>
      <c r="B1" s="58" t="s">
        <v>1</v>
      </c>
      <c r="C1" s="3" t="s">
        <v>2</v>
      </c>
      <c r="D1" s="71" t="s">
        <v>3</v>
      </c>
      <c r="E1" s="72"/>
      <c r="F1" s="8" t="s">
        <v>4</v>
      </c>
      <c r="G1" s="3" t="s">
        <v>5</v>
      </c>
      <c r="H1" s="3" t="s">
        <v>6</v>
      </c>
      <c r="I1" s="60" t="s">
        <v>7</v>
      </c>
      <c r="J1" s="7" t="s">
        <v>8</v>
      </c>
      <c r="K1" s="7" t="s">
        <v>9</v>
      </c>
      <c r="L1" s="61" t="s">
        <v>10</v>
      </c>
      <c r="M1" s="26"/>
    </row>
    <row r="2" ht="19.5" customHeight="1">
      <c r="A2" s="29" t="s">
        <v>34</v>
      </c>
      <c r="B2" s="62" t="s">
        <v>84</v>
      </c>
      <c r="C2" s="16" t="str">
        <f>IFERROR(__xludf.DUMMYFUNCTION("GOOGLETRANSLATE(B2,""EN"",""FR"")"),"Préparer des données d'entrée pour les estimations du VIH")</f>
        <v>Préparer des données d'entrée pour les estimations du VIH</v>
      </c>
      <c r="D2" s="73" t="str">
        <f>IFERROR(__xludf.DUMMYFUNCTION("GOOGLETRANSLATE(B2,""EN"",""PT"")"),"Preparar dados de entrada para estimativas de HIV")</f>
        <v>Preparar dados de entrada para estimativas de HIV</v>
      </c>
      <c r="E2" s="74"/>
      <c r="F2" s="75" t="s">
        <v>85</v>
      </c>
      <c r="G2" s="18" t="str">
        <f>IFERROR(__xludf.DUMMYFUNCTION("GOOGLETRANSLATE(F2,""EN"",""FR"")"),"Dans ce jalon, vous préparerez et placerez les données d'entrée requises dans l'ensemble de données nécessaires pour générer des estimations du VIH. Vous devez utiliser la meilleure qualité de la plus haute qualité et la plupart des données d'entrée compl"&amp;"ètes que vous accumulez pour le processus d'estimation.")</f>
        <v>Dans ce jalon, vous préparerez et placerez les données d'entrée requises dans l'ensemble de données nécessaires pour générer des estimations du VIH. Vous devez utiliser la meilleure qualité de la plus haute qualité et la plupart des données d'entrée complètes que vous accumulez pour le processus d'estimation.</v>
      </c>
      <c r="H2" s="18" t="str">
        <f>IFERROR(__xludf.DUMMYFUNCTION("GOOGLETRANSLATE(F2,""EN"",""PT"")"),"Neste marco, você preparará e colocará os dados de entrada necessários no conjunto de dados necessário para gerar estimativas de HIV. Você deve usar o melhor, a mais alta qualidade e os dados de entrada mais completos que você tem disponível para o proces"&amp;"so de estimativas.")</f>
        <v>Neste marco, você preparará e colocará os dados de entrada necessários no conjunto de dados necessário para gerar estimativas de HIV. Você deve usar o melhor, a mais alta qualidade e os dados de entrada mais completos que você tem disponível para o processo de estimativas.</v>
      </c>
      <c r="I2" s="76" t="s">
        <v>86</v>
      </c>
      <c r="J2" s="15" t="str">
        <f>IFERROR(__xludf.DUMMYFUNCTION("GOOGLETRANSLATE(I2,""EN"",""FR"")"),"Pays a collecté des données de tous les sites pour la période utilisée dans les modèles
Les données sont compilées et validées par les autorités de pays (par exemple, Moh).
L'utilisateur est autorisé à préparer des estimations au nom du pays")</f>
        <v>Pays a collecté des données de tous les sites pour la période utilisée dans les modèles
Les données sont compilées et validées par les autorités de pays (par exemple, Moh).
L'utilisateur est autorisé à préparer des estimations au nom du pays</v>
      </c>
      <c r="K2" s="15" t="str">
        <f>IFERROR(__xludf.DUMMYFUNCTION("GOOGLETRANSLATE(I2,""EN"",""PT"")"),"País coletou dados de todos os sites para o período de tempo usado nos modelos
Os dados são compilados e validados por autoridades de país (por exemplo, MOH).
O usuário está autorizado a preparar estimativas em nome do país")</f>
        <v>País coletou dados de todos os sites para o período de tempo usado nos modelos
Os dados são compilados e validados por autoridades de país (por exemplo, MOH).
O usuário está autorizado a preparar estimativas em nome do país</v>
      </c>
      <c r="L2" s="77">
        <v>0.2</v>
      </c>
      <c r="M2" s="26"/>
    </row>
    <row r="3" ht="7.5" customHeight="1">
      <c r="A3" s="64"/>
      <c r="B3" s="64"/>
      <c r="C3" s="65"/>
      <c r="D3" s="65"/>
      <c r="E3" s="65"/>
      <c r="F3" s="65"/>
      <c r="G3" s="65"/>
    </row>
    <row r="4" ht="12.0" customHeight="1">
      <c r="A4" s="66" t="s">
        <v>0</v>
      </c>
      <c r="B4" s="27" t="s">
        <v>19</v>
      </c>
      <c r="C4" s="28" t="s">
        <v>20</v>
      </c>
      <c r="D4" s="28" t="s">
        <v>21</v>
      </c>
      <c r="E4" s="66" t="s">
        <v>22</v>
      </c>
      <c r="F4" s="66" t="s">
        <v>23</v>
      </c>
      <c r="G4" s="28" t="str">
        <f>CONCAT(F4,"::fr")</f>
        <v>If test fails, present this to user:::fr</v>
      </c>
      <c r="H4" s="28" t="str">
        <f>CONCAT(F4,"::pt_PT")</f>
        <v>If test fails, present this to user:::pt_PT</v>
      </c>
      <c r="I4" s="66" t="s">
        <v>24</v>
      </c>
      <c r="J4" s="28" t="s">
        <v>25</v>
      </c>
      <c r="K4" s="28" t="s">
        <v>26</v>
      </c>
      <c r="L4" s="78" t="s">
        <v>27</v>
      </c>
      <c r="M4" s="78" t="s">
        <v>30</v>
      </c>
      <c r="N4" s="27" t="s">
        <v>29</v>
      </c>
      <c r="O4" s="67" t="s">
        <v>28</v>
      </c>
    </row>
    <row r="5" ht="19.5" customHeight="1">
      <c r="A5" s="79" t="s">
        <v>87</v>
      </c>
      <c r="B5" s="80" t="s">
        <v>88</v>
      </c>
      <c r="C5" s="16" t="str">
        <f>IFERROR(__xludf.DUMMYFUNCTION("GOOGLETRANSLATE(B5,""EN"",""FR"")"),"S'assurer que les données du programme sont complètes dans votre système d'information sur la santé nationale (par exemple, DHIS2)")</f>
        <v>S'assurer que les données du programme sont complètes dans votre système d'information sur la santé nationale (par exemple, DHIS2)</v>
      </c>
      <c r="D5" s="16" t="str">
        <f>IFERROR(__xludf.DUMMYFUNCTION("GOOGLETRANSLATE(B5,""EN"",""PT"")"),"Garantir que os dados do programa sejam concluídos em seu sistema nacional de informações de saúde (por exemplo, DHIS2)")</f>
        <v>Garantir que os dados do programa sejam concluídos em seu sistema nacional de informações de saúde (por exemplo, DHIS2)</v>
      </c>
      <c r="E5" s="81" t="s">
        <v>89</v>
      </c>
      <c r="F5" s="81" t="s">
        <v>90</v>
      </c>
      <c r="G5" s="16" t="str">
        <f>IFERROR(__xludf.DUMMYFUNCTION("GOOGLETRANSLATE(F5,""EN"",""FR"")"),"La majorité des retards et des défis avec le processus d'estimation sont liés à la préparation des intrants de données. Les meilleures pratiques suggèrent que des entrées de données de haute qualité doivent être préparées avant de commencer vos estimation"&amp;"s. S'assurer que toutes les données du programme sont disponibles dans le système national de gestion de la santé de votre pays (par exemple, DHIS2), examinés pour la qualité, validés par les autorités compétentes et prêt à être utilisés dans le processus"&amp;" d'estimation de cette année. Pour en savoir plus sur les données de programme requises, voir Guide 8, Qualité des données, Matrice d'élément d'indicateur.")</f>
        <v>La majorité des retards et des défis avec le processus d'estimation sont liés à la préparation des intrants de données. Les meilleures pratiques suggèrent que des entrées de données de haute qualité doivent être préparées avant de commencer vos estimations. S'assurer que toutes les données du programme sont disponibles dans le système national de gestion de la santé de votre pays (par exemple, DHIS2), examinés pour la qualité, validés par les autorités compétentes et prêt à être utilisés dans le processus d'estimation de cette année. Pour en savoir plus sur les données de programme requises, voir Guide 8, Qualité des données, Matrice d'élément d'indicateur.</v>
      </c>
      <c r="H5" s="16" t="str">
        <f>IFERROR(__xludf.DUMMYFUNCTION("GOOGLETRANSLATE(F5,""EN"",""PT"")"),"A maioria dos atrasos e desafios com o processo de estimativas estão relacionados à preparação de insumos de dados. A melhor prática sugere que as entradas de dados de alta qualidade devem ser preparadas antes de iniciar suas estimativas. Assegure-se de q"&amp;"ue todos os dados do programa estejam disponíveis no sistema nacional de informação de gerenciamento de saúde do seu país (por exemplo, DHIS2), revisado pela qualidade, validados pelas autoridades relevantes e prontos para uso no processo de estimativas d"&amp;"este ano. Para saber mais sobre os dados do programa necessários, consulte o guia 8, a qualidade dos dados, a matriz do elemento indicador.")</f>
        <v>A maioria dos atrasos e desafios com o processo de estimativas estão relacionados à preparação de insumos de dados. A melhor prática sugere que as entradas de dados de alta qualidade devem ser preparadas antes de iniciar suas estimativas. Assegure-se de que todos os dados do programa estejam disponíveis no sistema nacional de informação de gerenciamento de saúde do seu país (por exemplo, DHIS2), revisado pela qualidade, validados pelas autoridades relevantes e prontos para uso no processo de estimativas deste ano. Para saber mais sobre os dados do programa necessários, consulte o guia 8, a qualidade dos dados, a matriz do elemento indicador.</v>
      </c>
      <c r="I5" s="82" t="s">
        <v>91</v>
      </c>
      <c r="J5" s="16" t="str">
        <f>IFERROR(__xludf.DUMMYFUNCTION("GOOGLETRANSLATE(I5,""EN"",""FR"")"),"Guide 8, qualité des données, élément indicateur Matrix https://hivtools.unaids.org/hiv-estimates-training-Material-fr/")</f>
        <v>Guide 8, qualité des données, élément indicateur Matrix https://hivtools.unaids.org/hiv-estimates-training-Material-fr/</v>
      </c>
      <c r="K5" s="16" t="str">
        <f>IFERROR(__xludf.DUMMYFUNCTION("GOOGLETRANSLATE(I5,""EN"",""PT"")"),"Guia 8, Qualidade de Dados, Indicador Element Matrix https://hivtools.unaids.org/hiv-estimates-training-material-en/")</f>
        <v>Guia 8, Qualidade de Dados, Indicador Element Matrix https://hivtools.unaids.org/hiv-estimates-training-material-en/</v>
      </c>
      <c r="L5" s="54"/>
      <c r="M5" s="83" t="s">
        <v>92</v>
      </c>
      <c r="N5" s="52"/>
      <c r="O5" s="52" t="s">
        <v>93</v>
      </c>
      <c r="P5" s="69"/>
      <c r="Q5" s="69"/>
      <c r="R5" s="69"/>
      <c r="S5" s="69"/>
      <c r="T5" s="69"/>
      <c r="U5" s="69"/>
      <c r="V5" s="69"/>
      <c r="W5" s="69"/>
      <c r="X5" s="69"/>
      <c r="Y5" s="69"/>
      <c r="Z5" s="69"/>
      <c r="AA5" s="69"/>
      <c r="AB5" s="69"/>
      <c r="AC5" s="69"/>
      <c r="AD5" s="69"/>
      <c r="AE5" s="69"/>
    </row>
    <row r="6" ht="19.5" customHeight="1">
      <c r="A6" s="84" t="s">
        <v>94</v>
      </c>
      <c r="B6" s="80" t="s">
        <v>95</v>
      </c>
      <c r="C6" s="16" t="str">
        <f>IFERROR(__xludf.DUMMYFUNCTION("GOOGLETRANSLATE(B6,""EN"",""FR"")"),"Examinez la qualité et validez vos données de programme à l'aide du Guide de l'ONUSIDA 6, des normes de pratique de la qualité des données.")</f>
        <v>Examinez la qualité et validez vos données de programme à l'aide du Guide de l'ONUSIDA 6, des normes de pratique de la qualité des données.</v>
      </c>
      <c r="D6" s="16" t="str">
        <f>IFERROR(__xludf.DUMMYFUNCTION("GOOGLETRANSLATE(B6,""EN"",""PT"")"),"Revise a qualidade e valide seus dados do programa usando o Guia da UNAIDS 6, padrões de qualidade de dados de prática.")</f>
        <v>Revise a qualidade e valide seus dados do programa usando o Guia da UNAIDS 6, padrões de qualidade de dados de prática.</v>
      </c>
      <c r="E6" s="81" t="s">
        <v>96</v>
      </c>
      <c r="F6" s="85" t="s">
        <v>97</v>
      </c>
      <c r="G6" s="16" t="str">
        <f>IFERROR(__xludf.DUMMYFUNCTION("GOOGLETRANSLATE(F6,""EN"",""FR"")"),"Le plus grand obstacle à un processus d'estimations réussi est des données de programme de mauvaise qualité. La chose la plus importante que vous puissiez faire avant de commencer est d'examiner la qualité de vos données de programme. Il existe des analys"&amp;"es spécifiques recommandées pour évaluer la qualité de vos données de programme. Ces analyses sont disponibles dans le guide 6, des normes de pratique de la qualité des données. Le tableau 2 fournit des analyses spécifiques pour les différentes entrées de"&amp;" programme pour vous assurer de démarrer le processus d'estimation avec des entrées de haute qualité. La fonction des intrants de la revue de Naomi est un autre outil disponible pour les utilisateurs pour évaluer la qualité des données. Cette étape sera t"&amp;"erminée après la chargement des données vers ADR.")</f>
        <v>Le plus grand obstacle à un processus d'estimations réussi est des données de programme de mauvaise qualité. La chose la plus importante que vous puissiez faire avant de commencer est d'examiner la qualité de vos données de programme. Il existe des analyses spécifiques recommandées pour évaluer la qualité de vos données de programme. Ces analyses sont disponibles dans le guide 6, des normes de pratique de la qualité des données. Le tableau 2 fournit des analyses spécifiques pour les différentes entrées de programme pour vous assurer de démarrer le processus d'estimation avec des entrées de haute qualité. La fonction des intrants de la revue de Naomi est un autre outil disponible pour les utilisateurs pour évaluer la qualité des données. Cette étape sera terminée après la chargement des données vers ADR.</v>
      </c>
      <c r="H6" s="16" t="str">
        <f>IFERROR(__xludf.DUMMYFUNCTION("GOOGLETRANSLATE(F6,""EN"",""PT"")"),"O maior impedimento para um processo de estimativa bem-sucedido é os dados do programa de baixa qualidade. A coisa mais importante que você pode fazer antes de começar é revisar a qualidade dos dados do seu programa. Existem análises específicas recomenda"&amp;"das para avaliar a qualidade dos dados do seu programa. Essas análises estão disponíveis no Guia 6, padrões de qualidade de dados de prática. A Tabela 2 fornece análises específicas para as diferentes entradas do programa para garantir que você inicie o p"&amp;"rocesso de estimativas com insumos de alta qualidade. A função de insumos de revisão de Naomi é outra ferramenta disponível para os usuários para avaliar a qualidade dos dados. Esta etapa será concluída após os dados serem carregados para ADR.")</f>
        <v>O maior impedimento para um processo de estimativa bem-sucedido é os dados do programa de baixa qualidade. A coisa mais importante que você pode fazer antes de começar é revisar a qualidade dos dados do seu programa. Existem análises específicas recomendadas para avaliar a qualidade dos dados do seu programa. Essas análises estão disponíveis no Guia 6, padrões de qualidade de dados de prática. A Tabela 2 fornece análises específicas para as diferentes entradas do programa para garantir que você inicie o processo de estimativas com insumos de alta qualidade. A função de insumos de revisão de Naomi é outra ferramenta disponível para os usuários para avaliar a qualidade dos dados. Esta etapa será concluída após os dados serem carregados para ADR.</v>
      </c>
      <c r="I6" s="86" t="s">
        <v>98</v>
      </c>
      <c r="J6" s="16" t="str">
        <f>IFERROR(__xludf.DUMMYFUNCTION("GOOGLETRANSLATE(I6,""EN"",""FR"")"),"Guide 6, Normes de qualité des données HTTPS://hivtools.unaids.org/hiv-estimates-training-Material-fr/")</f>
        <v>Guide 6, Normes de qualité des données HTTPS://hivtools.unaids.org/hiv-estimates-training-Material-fr/</v>
      </c>
      <c r="K6" s="16" t="str">
        <f>IFERROR(__xludf.DUMMYFUNCTION("GOOGLETRANSLATE(I6,""EN"",""PT"")"),"Guia 6, padrões de qualidade de dados de prática https://hivtools.onaids.org/hiv-estimates-training-material-en/")</f>
        <v>Guia 6, padrões de qualidade de dados de prática https://hivtools.onaids.org/hiv-estimates-training-material-en/</v>
      </c>
      <c r="L6" s="54"/>
      <c r="M6" s="83" t="s">
        <v>99</v>
      </c>
      <c r="N6" s="52"/>
      <c r="O6" s="52" t="s">
        <v>100</v>
      </c>
      <c r="P6" s="69"/>
      <c r="Q6" s="69"/>
      <c r="R6" s="69"/>
      <c r="S6" s="69"/>
      <c r="T6" s="69"/>
      <c r="U6" s="69"/>
      <c r="V6" s="69"/>
      <c r="W6" s="69"/>
      <c r="X6" s="69"/>
      <c r="Y6" s="69"/>
      <c r="Z6" s="69"/>
      <c r="AA6" s="69"/>
      <c r="AB6" s="69"/>
      <c r="AC6" s="69"/>
      <c r="AD6" s="69"/>
      <c r="AE6" s="69"/>
    </row>
    <row r="7" ht="19.5" customHeight="1">
      <c r="A7" s="80" t="s">
        <v>101</v>
      </c>
      <c r="B7" s="80" t="s">
        <v>102</v>
      </c>
      <c r="C7" s="16" t="str">
        <f>IFERROR(__xludf.DUMMYFUNCTION("GOOGLETRANSLATE(B7,""EN"",""FR"")"),"Mettez à jour votre fichier de données de programme d'ANC avec des données de la période de rapport en cours")</f>
        <v>Mettez à jour votre fichier de données de programme d'ANC avec des données de la période de rapport en cours</v>
      </c>
      <c r="D7" s="16" t="str">
        <f>IFERROR(__xludf.DUMMYFUNCTION("GOOGLETRANSLATE(B7,""EN"",""PT"")"),"Atualize seu arquivo de dados do programa ANC com dados do período atual de relatórios")</f>
        <v>Atualize seu arquivo de dados do programa ANC com dados do período atual de relatórios</v>
      </c>
      <c r="E7" s="81" t="s">
        <v>103</v>
      </c>
      <c r="F7" s="85" t="s">
        <v>104</v>
      </c>
      <c r="G7" s="16" t="str">
        <f>IFERROR(__xludf.DUMMYFUNCTION("GOOGLETRANSLATE(F7,""EN"",""FR"")"),"Avant de télécharger des fichiers de données sur votre jeu de données vers ADR, assurez-vous que vous les avez mis à jour pour la période de rapport en cours. ** Mise à jour ** Vos fichiers de données de programme pour ANC. L'ONUSIDA a placé le fichier AN"&amp;"C final de l'année dernière dans le jeu de données de cette année pour votre commodité. L'ONUSIDA recommande de commencer par le jeu de données final de l'année dernière et ne mettant que mettre à jour les fichiers de la période de reporting actuelle. Vou"&amp;"s pouvez en apprendre davantage sur les éléments de données requis dans la qualité des données Guide 8, la matrice des éléments indicateurs.")</f>
        <v>Avant de télécharger des fichiers de données sur votre jeu de données vers ADR, assurez-vous que vous les avez mis à jour pour la période de rapport en cours. ** Mise à jour ** Vos fichiers de données de programme pour ANC. L'ONUSIDA a placé le fichier ANC final de l'année dernière dans le jeu de données de cette année pour votre commodité. L'ONUSIDA recommande de commencer par le jeu de données final de l'année dernière et ne mettant que mettre à jour les fichiers de la période de reporting actuelle. Vous pouvez en apprendre davantage sur les éléments de données requis dans la qualité des données Guide 8, la matrice des éléments indicateurs.</v>
      </c>
      <c r="H7" s="16" t="str">
        <f>IFERROR(__xludf.DUMMYFUNCTION("GOOGLETRANSLATE(F7,""EN"",""PT"")"),"Antes de fazer upload de arquivos de dados no seu conjunto de dados para ADR, verifique se você atualizou para o período de relatório atual. ** UPDATE ** Seus arquivos de dados do programa para ANC. A UNAIDS colocou o arquivo ANC final do ano passado no c"&amp;"onjunto de dados deste ano para sua conveniência. A UNAIDS recomenda a partir do DataSet final do ano passado e atualizando apenas os arquivos para o período atual de relatórios. Você pode aprender mais sobre os elementos de dados necessários no guia 8 Qu"&amp;"alidade de dados, matriz de elementos indicadores.")</f>
        <v>Antes de fazer upload de arquivos de dados no seu conjunto de dados para ADR, verifique se você atualizou para o período de relatório atual. ** UPDATE ** Seus arquivos de dados do programa para ANC. A UNAIDS colocou o arquivo ANC final do ano passado no conjunto de dados deste ano para sua conveniência. A UNAIDS recomenda a partir do DataSet final do ano passado e atualizando apenas os arquivos para o período atual de relatórios. Você pode aprender mais sobre os elementos de dados necessários no guia 8 Qualidade de dados, matriz de elementos indicadores.</v>
      </c>
      <c r="I7" s="81" t="s">
        <v>105</v>
      </c>
      <c r="J7" s="16" t="str">
        <f>IFERROR(__xludf.DUMMYFUNCTION("GOOGLETRANSLATE(I7,""EN"",""FR"")"),"Repositoire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K7" s="16" t="str">
        <f>IFERROR(__xludf.DUMMYFUNCTION("GOOGLETRANSLATE(I7,""EN"",""PT"")"),"Repositório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L7" s="54"/>
      <c r="M7" s="87" t="s">
        <v>106</v>
      </c>
      <c r="N7" s="52"/>
      <c r="O7" s="52" t="s">
        <v>107</v>
      </c>
      <c r="P7" s="69"/>
      <c r="Q7" s="69"/>
      <c r="R7" s="69"/>
      <c r="S7" s="69"/>
      <c r="T7" s="69"/>
      <c r="U7" s="69"/>
      <c r="V7" s="69"/>
      <c r="W7" s="69"/>
      <c r="X7" s="69"/>
      <c r="Y7" s="69"/>
      <c r="Z7" s="69"/>
      <c r="AA7" s="69"/>
      <c r="AB7" s="69"/>
      <c r="AC7" s="69"/>
      <c r="AD7" s="69"/>
      <c r="AE7" s="69"/>
    </row>
    <row r="8" ht="19.5" customHeight="1">
      <c r="A8" s="80" t="s">
        <v>108</v>
      </c>
      <c r="B8" s="80" t="s">
        <v>109</v>
      </c>
      <c r="C8" s="16" t="str">
        <f>IFERROR(__xludf.DUMMYFUNCTION("GOOGLETRANSLATE(B8,""EN"",""FR"")"),"Mettre à jour votre fichier de données de programme d'art avec des données de la période de rapport en cours")</f>
        <v>Mettre à jour votre fichier de données de programme d'art avec des données de la période de rapport en cours</v>
      </c>
      <c r="D8" s="16" t="str">
        <f>IFERROR(__xludf.DUMMYFUNCTION("GOOGLETRANSLATE(B8,""EN"",""PT"")"),"Atualize seu arquivo de dados do programa de arte com dados do período atual de relatórios")</f>
        <v>Atualize seu arquivo de dados do programa de arte com dados do período atual de relatórios</v>
      </c>
      <c r="E8" s="81" t="s">
        <v>110</v>
      </c>
      <c r="F8" s="85" t="s">
        <v>111</v>
      </c>
      <c r="G8" s="16" t="str">
        <f>IFERROR(__xludf.DUMMYFUNCTION("GOOGLETRANSLATE(F8,""EN"",""FR"")"),"Avant de télécharger des fichiers de données sur votre jeu de données vers ADR, assurez-vous que vous avez mis à jour les fichiers de données de la période de rapport en cours. ** Mise à jour ** Vos fichiers de données de programme pour l'art. L'ONUSIDA a"&amp;" placé le fichier d'art final de l'année dernière dans le jeu de données de cette année pour votre commodité. L'ONUSIDA recommande de commencer par le jeu de données final de l'année dernière et ne mettant que mettre à jour les fichiers de la période de r"&amp;"eporting actuelle. Vous pouvez en apprendre davantage sur les éléments de données requis dans la qualité des données Guide 8, la matrice des éléments indicateurs.")</f>
        <v>Avant de télécharger des fichiers de données sur votre jeu de données vers ADR, assurez-vous que vous avez mis à jour les fichiers de données de la période de rapport en cours. ** Mise à jour ** Vos fichiers de données de programme pour l'art. L'ONUSIDA a placé le fichier d'art final de l'année dernière dans le jeu de données de cette année pour votre commodité. L'ONUSIDA recommande de commencer par le jeu de données final de l'année dernière et ne mettant que mettre à jour les fichiers de la période de reporting actuelle. Vous pouvez en apprendre davantage sur les éléments de données requis dans la qualité des données Guide 8, la matrice des éléments indicateurs.</v>
      </c>
      <c r="H8" s="16" t="str">
        <f>IFERROR(__xludf.DUMMYFUNCTION("GOOGLETRANSLATE(F8,""EN"",""PT"")"),"Antes de fazer upload de arquivos de dados no seu conjunto de dados para ADR, verifique se atualizou os arquivos de dados para o período de relatório atual. ** UPDATE ** Seus arquivos de dados do programa para arte. A UNAIDS colocou o arquivo de arte fina"&amp;"l do ano passado no conjunto de dados deste ano para sua conveniência. A UNAIDS recomenda a partir do DataSet final do ano passado e atualizando apenas os arquivos para o período atual de relatórios. Você pode aprender mais sobre os elementos de dados nec"&amp;"essários no guia 8 Qualidade de dados, matriz de elementos indicadores.")</f>
        <v>Antes de fazer upload de arquivos de dados no seu conjunto de dados para ADR, verifique se atualizou os arquivos de dados para o período de relatório atual. ** UPDATE ** Seus arquivos de dados do programa para arte. A UNAIDS colocou o arquivo de arte final do ano passado no conjunto de dados deste ano para sua conveniência. A UNAIDS recomenda a partir do DataSet final do ano passado e atualizando apenas os arquivos para o período atual de relatórios. Você pode aprender mais sobre os elementos de dados necessários no guia 8 Qualidade de dados, matriz de elementos indicadores.</v>
      </c>
      <c r="I8" s="81" t="s">
        <v>105</v>
      </c>
      <c r="J8" s="16" t="str">
        <f>IFERROR(__xludf.DUMMYFUNCTION("GOOGLETRANSLATE(I8,""EN"",""FR"")"),"Repositoire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K8" s="16" t="str">
        <f>IFERROR(__xludf.DUMMYFUNCTION("GOOGLETRANSLATE(I8,""EN"",""PT"")"),"Repositório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L8" s="77"/>
      <c r="M8" s="53"/>
      <c r="N8" s="52"/>
      <c r="O8" s="52" t="s">
        <v>112</v>
      </c>
      <c r="P8" s="69"/>
      <c r="Q8" s="69"/>
      <c r="R8" s="69"/>
      <c r="S8" s="69"/>
      <c r="T8" s="69"/>
      <c r="U8" s="69"/>
      <c r="V8" s="69"/>
      <c r="W8" s="69"/>
      <c r="X8" s="69"/>
      <c r="Y8" s="69"/>
      <c r="Z8" s="69"/>
      <c r="AA8" s="69"/>
      <c r="AB8" s="69"/>
      <c r="AC8" s="69"/>
      <c r="AD8" s="69"/>
      <c r="AE8" s="69"/>
    </row>
    <row r="9" ht="19.5" customHeight="1">
      <c r="A9" s="80" t="s">
        <v>113</v>
      </c>
      <c r="B9" s="80" t="s">
        <v>114</v>
      </c>
      <c r="C9" s="16" t="str">
        <f>IFERROR(__xludf.DUMMYFUNCTION("GOOGLETRANSLATE(B9,""EN"",""FR"")"),"Si vous pertinentes, mettez à jour votre fichier de données de programme volontaire de circoncision médicale masculine (VMMC) avec des données de la période de rapport en cours")</f>
        <v>Si vous pertinentes, mettez à jour votre fichier de données de programme volontaire de circoncision médicale masculine (VMMC) avec des données de la période de rapport en cours</v>
      </c>
      <c r="D9" s="16" t="str">
        <f>IFERROR(__xludf.DUMMYFUNCTION("GOOGLETRANSLATE(B9,""EN"",""PT"")"),"Se relevante, atualize o arquivo de dados do programa Voluntionary Masculino Medical Medical Cumcision (VMMC) com dados do período atual de relatórios")</f>
        <v>Se relevante, atualize o arquivo de dados do programa Voluntionary Masculino Medical Medical Cumcision (VMMC) com dados do período atual de relatórios</v>
      </c>
      <c r="E9" s="81" t="s">
        <v>115</v>
      </c>
      <c r="F9" s="85" t="s">
        <v>116</v>
      </c>
      <c r="G9" s="16" t="str">
        <f>IFERROR(__xludf.DUMMYFUNCTION("GOOGLETRANSLATE(F9,""EN"",""FR"")"),"* Cette tâche n'est que pour les pays prioritaires VMMC (voir ci-dessous). Si vous n'êtes pas à partir de l'un des pays de la VMMC prioritaire, marquez cette tâche terminée et cliquez sur ""Quoi de neuf"". * Avant de télécharger des fichiers de données su"&amp;"r votre jeu de données vers ADR, assurez-vous que vous avez mis à jour les fichiers de données de la période de référence actuelle. ** Mise à jour ** Vos fichiers de données de programme pour VMMC (le cas échéant). L'ONUSIDA recommande de commencer par le"&amp;"s données de l'année dernière et ne mettant à jour que nécessaire pour la période de rapport en cours. Si vous n'utilisez pas de données VMMC pour vos estimations, vous pouvez commercialiser cette tâche aussi complète et cliquez sur la prochaine étape? Bo"&amp;"uton .. Vous pouvez en apprendre davantage sur les éléments de données requis dans Guide 8 Qualité des données, éléments d'indicateur Matrix.
VMMC Pays prioritaires: Botswana, Eswatina, Éthiopie, Kenya, Lesotho, Malawi, Mozambique, Namibie, Rwanda, Afriq"&amp;"ue du Sud, Ouganda, République-Unie de Tanzanie, Zambie, Zimbabwe.")</f>
        <v>* Cette tâche n'est que pour les pays prioritaires VMMC (voir ci-dessous). Si vous n'êtes pas à partir de l'un des pays de la VMMC prioritaire, marquez cette tâche terminée et cliquez sur "Quoi de neuf". * Avant de télécharger des fichiers de données sur votre jeu de données vers ADR, assurez-vous que vous avez mis à jour les fichiers de données de la période de référence actuelle. ** Mise à jour ** Vos fichiers de données de programme pour VMMC (le cas échéant). L'ONUSIDA recommande de commencer par les données de l'année dernière et ne mettant à jour que nécessaire pour la période de rapport en cours. Si vous n'utilisez pas de données VMMC pour vos estimations, vous pouvez commercialiser cette tâche aussi complète et cliquez sur la prochaine étape? Bouton .. Vous pouvez en apprendre davantage sur les éléments de données requis dans Guide 8 Qualité des données, éléments d'indicateur Matrix.
VMMC Pays prioritaires: Botswana, Eswatina, Éthiopie, Kenya, Lesotho, Malawi, Mozambique, Namibie, Rwanda, Afrique du Sud, Ouganda, République-Unie de Tanzanie, Zambie, Zimbabwe.</v>
      </c>
      <c r="H9" s="16" t="str">
        <f>IFERROR(__xludf.DUMMYFUNCTION("GOOGLETRANSLATE(F9,""EN"",""PT"")"),"* Esta tarefa é apenas para os países prioritários do VMMC (veja abaixo). Se você não é de um dos países VMMC prioritários, marque esta tarefa completa e clique em ""O que é o próximo"". * Antes de fazer upload de arquivos de dados para o seu conjunto de "&amp;"dados para ADR, verifique se atualizou os arquivos de dados do período de relatório atual. ** UPDATE ** Seus arquivos de dados do programa para VMMC (se relevante). A UNAIDS recomenda começar com os dados do ano passado e apenas a atualização conforme nec"&amp;"essário para o período atual de relatórios. Se você não estiver usando dados VMMC para suas estimativas, você pode comercializar essa tarefa como completa e clicar no que vem a seguir? Botão .. Você pode aprender mais sobre os elementos de dados necessári"&amp;"os no guia 8 Qualidade de dados, matriz de elementos indicadores.
VMMC Priority Países: Botsuana, Eswatini, Etiópia, Quênia, Lesoto, Malawi, Moçambique, Namíbia, Ruanda, África do Sul, Uganda, República Unida da Tanzânia, Zâmbia, Zimbábue.")</f>
        <v>* Esta tarefa é apenas para os países prioritários do VMMC (veja abaixo). Se você não é de um dos países VMMC prioritários, marque esta tarefa completa e clique em "O que é o próximo". * Antes de fazer upload de arquivos de dados para o seu conjunto de dados para ADR, verifique se atualizou os arquivos de dados do período de relatório atual. ** UPDATE ** Seus arquivos de dados do programa para VMMC (se relevante). A UNAIDS recomenda começar com os dados do ano passado e apenas a atualização conforme necessário para o período atual de relatórios. Se você não estiver usando dados VMMC para suas estimativas, você pode comercializar essa tarefa como completa e clicar no que vem a seguir? Botão .. Você pode aprender mais sobre os elementos de dados necessários no guia 8 Qualidade de dados, matriz de elementos indicadores.
VMMC Priority Países: Botsuana, Eswatini, Etiópia, Quênia, Lesoto, Malawi, Moçambique, Namíbia, Ruanda, África do Sul, Uganda, República Unida da Tanzânia, Zâmbia, Zimbábue.</v>
      </c>
      <c r="I9" s="81" t="s">
        <v>105</v>
      </c>
      <c r="J9" s="16" t="str">
        <f>IFERROR(__xludf.DUMMYFUNCTION("GOOGLETRANSLATE(I9,""EN"",""FR"")"),"Repositoire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K9" s="16" t="str">
        <f>IFERROR(__xludf.DUMMYFUNCTION("GOOGLETRANSLATE(I9,""EN"",""PT"")"),"Repositório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L9" s="77"/>
      <c r="M9" s="39"/>
      <c r="N9" s="52"/>
      <c r="O9" s="52" t="s">
        <v>117</v>
      </c>
      <c r="P9" s="69"/>
      <c r="Q9" s="69"/>
      <c r="R9" s="69"/>
      <c r="S9" s="69"/>
      <c r="T9" s="69"/>
      <c r="U9" s="69"/>
      <c r="V9" s="69"/>
      <c r="W9" s="69"/>
      <c r="X9" s="69"/>
      <c r="Y9" s="69"/>
      <c r="Z9" s="69"/>
      <c r="AA9" s="69"/>
      <c r="AB9" s="69"/>
      <c r="AC9" s="69"/>
      <c r="AD9" s="69"/>
      <c r="AE9" s="69"/>
    </row>
    <row r="10" ht="19.5" customHeight="1">
      <c r="A10" s="80" t="s">
        <v>118</v>
      </c>
      <c r="B10" s="80" t="s">
        <v>119</v>
      </c>
      <c r="C10" s="16" t="str">
        <f>IFERROR(__xludf.DUMMYFUNCTION("GOOGLETRANSLATE(B10,""EN"",""FR"")"),"Mettez à jour votre fichier de données de programme Shiny 90 VIH avec des données de la période de reporting actuelle")</f>
        <v>Mettez à jour votre fichier de données de programme Shiny 90 VIH avec des données de la période de reporting actuelle</v>
      </c>
      <c r="D10" s="16" t="str">
        <f>IFERROR(__xludf.DUMMYFUNCTION("GOOGLETRANSLATE(B10,""EN"",""PT"")"),"Atualize seu arquivo de dados do Programa de Teste de 90 HIV brilhante com dados do período atual de relatórios")</f>
        <v>Atualize seu arquivo de dados do Programa de Teste de 90 HIV brilhante com dados do período atual de relatórios</v>
      </c>
      <c r="E10" s="81" t="s">
        <v>120</v>
      </c>
      <c r="F10" s="85" t="s">
        <v>121</v>
      </c>
      <c r="G10" s="16" t="str">
        <f>IFERROR(__xludf.DUMMYFUNCTION("GOOGLETRANSLATE(F10,""EN"",""FR"")"),"Avant de télécharger votre jeu de données sur ADR, assurez-vous que vous avez mis à jour les fichiers de données de la période de rapport en cours. ** Mise à jour ** Vos fichiers de données de programme pour le test de VIH dans le fichier de données Shiny"&amp;" 90. L'ONUSIDA a placé le fichier de test final de 90 90 hivers de l'année dernière dans le jeu de données de cette année pour votre commodité. L'ONUSIDA recommande de commencer par le jeu de données final de l'année dernière et ne mettant à jour que les "&amp;"fichiers de la période de rapport en cours. Vous pouvez en apprendre davantage sur les éléments de données requis dans la qualité de données de guidage 8, la matrice d'éléments indicateurs. Si vous ne prévoyez pas d'utiliser Shiny 90 pour estimer votre co"&amp;"nnaissance des chiffres d'état, marquez cette tâche terminée dans Navigator.")</f>
        <v>Avant de télécharger votre jeu de données sur ADR, assurez-vous que vous avez mis à jour les fichiers de données de la période de rapport en cours. ** Mise à jour ** Vos fichiers de données de programme pour le test de VIH dans le fichier de données Shiny 90. L'ONUSIDA a placé le fichier de test final de 90 90 hivers de l'année dernière dans le jeu de données de cette année pour votre commodité. L'ONUSIDA recommande de commencer par le jeu de données final de l'année dernière et ne mettant à jour que les fichiers de la période de rapport en cours. Vous pouvez en apprendre davantage sur les éléments de données requis dans la qualité de données de guidage 8, la matrice d'éléments indicateurs. Si vous ne prévoyez pas d'utiliser Shiny 90 pour estimer votre connaissance des chiffres d'état, marquez cette tâche terminée dans Navigator.</v>
      </c>
      <c r="H10" s="16" t="str">
        <f>IFERROR(__xludf.DUMMYFUNCTION("GOOGLETRANSLATE(F10,""EN"",""PT"")"),"Antes de fazer o upload do seu conjunto de dados para ADR, verifique se atualizou os arquivos de dados para o período atual de relatórios. ** UPDATE ** Seus arquivos de dados do programa para teste de HIV no arquivo de dados brilhante de 90. A UNAIDS colo"&amp;"cou o último arquivo de teste de 90 HIV final do ano passado no conjunto de dados deste ano para sua conveniência. A UNAIDS recomenda começar com o DataSet final do ano passado e atualizar apenas os arquivos para o período de relatório atual. Você pode ap"&amp;"render mais sobre os elementos de dados necessários no guia 8 Qualidade de dados, matriz de elementos indicadores. Se você não está planejando usar 90 brilhante para estimar seu conhecimento de figuras de status, marque esta tarefa completa no Navegador.")</f>
        <v>Antes de fazer o upload do seu conjunto de dados para ADR, verifique se atualizou os arquivos de dados para o período atual de relatórios. ** UPDATE ** Seus arquivos de dados do programa para teste de HIV no arquivo de dados brilhante de 90. A UNAIDS colocou o último arquivo de teste de 90 HIV final do ano passado no conjunto de dados deste ano para sua conveniência. A UNAIDS recomenda começar com o DataSet final do ano passado e atualizar apenas os arquivos para o período de relatório atual. Você pode aprender mais sobre os elementos de dados necessários no guia 8 Qualidade de dados, matriz de elementos indicadores. Se você não está planejando usar 90 brilhante para estimar seu conhecimento de figuras de status, marque esta tarefa completa no Navegador.</v>
      </c>
      <c r="I10" s="81" t="s">
        <v>122</v>
      </c>
      <c r="J10" s="16" t="str">
        <f>IFERROR(__xludf.DUMMYFUNCTION("GOOGLETRANSLATE(I10,""EN"",""FR"")"),"Repositoire de données SIDA https://adr.unaids.org/
Guide 8, Qualité des données, élément d'indicateur Matrix HTTPS //HIVTOOLS.UNAIDS.ORG/HIV-ESTIMES-RONNAINE-Material-fen/")</f>
        <v>Repositoire de données SIDA https://adr.unaids.org/
Guide 8, Qualité des données, élément d'indicateur Matrix HTTPS //HIVTOOLS.UNAIDS.ORG/HIV-ESTIMES-RONNAINE-Material-fen/</v>
      </c>
      <c r="K10" s="16" t="str">
        <f>IFERROR(__xludf.DUMMYFUNCTION("GOOGLETRANSLATE(I10,""EN"",""PT"")"),"Repositório de dados de AIDS https://adr.unaids.org/
Guia 8, qualidade de dados, elemento indicador matrix https //hivtools.unaids.org/hiv-estimates-training-material-en/")</f>
        <v>Repositório de dados de AIDS https://adr.unaids.org/
Guia 8, qualidade de dados, elemento indicador matrix https //hivtools.unaids.org/hiv-estimates-training-material-en/</v>
      </c>
      <c r="L10" s="77"/>
      <c r="M10" s="39"/>
      <c r="N10" s="52"/>
      <c r="O10" s="52" t="s">
        <v>123</v>
      </c>
      <c r="P10" s="69"/>
      <c r="Q10" s="69"/>
      <c r="R10" s="69"/>
      <c r="S10" s="69"/>
      <c r="T10" s="69"/>
      <c r="U10" s="69"/>
      <c r="V10" s="69"/>
      <c r="W10" s="69"/>
      <c r="X10" s="69"/>
      <c r="Y10" s="69"/>
      <c r="Z10" s="69"/>
      <c r="AA10" s="69"/>
      <c r="AB10" s="69"/>
      <c r="AC10" s="69"/>
      <c r="AD10" s="69"/>
      <c r="AE10" s="69"/>
    </row>
    <row r="11" ht="19.5" customHeight="1">
      <c r="A11" s="80" t="s">
        <v>124</v>
      </c>
      <c r="B11" s="79" t="s">
        <v>125</v>
      </c>
      <c r="C11" s="16" t="str">
        <f>IFERROR(__xludf.DUMMYFUNCTION("GOOGLETRANSLATE(B11,""EN"",""FR"")"),"Passez en revue votre fichier de données Shiny 90 de l'enquête dans votre jeu de données")</f>
        <v>Passez en revue votre fichier de données Shiny 90 de l'enquête dans votre jeu de données</v>
      </c>
      <c r="D11" s="16" t="str">
        <f>IFERROR(__xludf.DUMMYFUNCTION("GOOGLETRANSLATE(B11,""EN"",""PT"")"),"Revise seu arquivo de dados de pesquisa brilhante 90 no seu conjunto de dados")</f>
        <v>Revise seu arquivo de dados de pesquisa brilhante 90 no seu conjunto de dados</v>
      </c>
      <c r="E11" s="81" t="s">
        <v>126</v>
      </c>
      <c r="F11" s="85" t="s">
        <v>127</v>
      </c>
      <c r="G11" s="16" t="str">
        <f>IFERROR(__xludf.DUMMYFUNCTION("GOOGLETRANSLATE(F11,""EN"",""FR"")"),"L'ONUSIDA a placé un fichier * Shiny 90 Sondage * dans votre ensemble de données dans le référentiel de données AIDS (ADR). Avant de commencer le processus d'estimations, veuillez consulter ce fichier. Si vous êtes satisfait des données dans ce fichier, i"&amp;"ndiquez cette tâche terminée. Si vous voyez des problèmes avec ce fichier, contactez l'ONUSIDA ou l'un de ses partenaires pour le faire corriger. Si vous ne prévoyez pas d'utiliser Shiny 90 pour estimer votre connaissance des figurines d'état, marquez cet"&amp;"te tâche terminée dans Navigator et cliquez sur «Quelle est la prochaine fois?».")</f>
        <v>L'ONUSIDA a placé un fichier * Shiny 90 Sondage * dans votre ensemble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 Si vous ne prévoyez pas d'utiliser Shiny 90 pour estimer votre connaissance des figurines d'état, marquez cette tâche terminée dans Navigator et cliquez sur «Quelle est la prochaine fois?».</v>
      </c>
      <c r="H11" s="16" t="str">
        <f>IFERROR(__xludf.DUMMYFUNCTION("GOOGLETRANSLATE(F11,""EN"",""PT"")"),"A UNAIDS colocou um arquivo * Shiny 90 Survey * no seu conjunto de dados no repositório de dados de AIDS (ADR). Antes de começarmos o processo de estimativas, por favor, revise este arquivo. Se você estiver satisfeito com os dados nesse arquivo, marque es"&amp;"ta tarefa completa. Se você ver problemas com este arquivo, entre em contato com a UNAIDS ou um de seus parceiros para que ele tenha corrigido. Se você não estiver planejando usar 90 brilhante para estimar seu conhecimento de figuras de status, marque est"&amp;"a tarefa completa no Navegador e clique em ""O que vem a seguir?""")</f>
        <v>A UNAIDS colocou um arquivo * Shiny 90 Survey *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 Se você não estiver planejando usar 90 brilhante para estimar seu conhecimento de figuras de status, marque esta tarefa completa no Navegador e clique em "O que vem a seguir?"</v>
      </c>
      <c r="I11" s="81" t="s">
        <v>128</v>
      </c>
      <c r="J11" s="16" t="str">
        <f>IFERROR(__xludf.DUMMYFUNCTION("GOOGLETRANSLATE(I11,""EN"",""FR"")"),"Repositoire de données SIDA https://adr.unaids.org/")</f>
        <v>Repositoire de données SIDA https://adr.unaids.org/</v>
      </c>
      <c r="K11" s="16" t="str">
        <f>IFERROR(__xludf.DUMMYFUNCTION("GOOGLETRANSLATE(I11,""EN"",""PT"")"),"Repositório de dados de AIDS https://adr.unaids.org/")</f>
        <v>Repositório de dados de AIDS https://adr.unaids.org/</v>
      </c>
      <c r="L11" s="77"/>
      <c r="M11" s="39"/>
      <c r="N11" s="52"/>
      <c r="O11" s="52" t="s">
        <v>129</v>
      </c>
      <c r="P11" s="69"/>
      <c r="Q11" s="69"/>
      <c r="R11" s="69"/>
      <c r="S11" s="69"/>
      <c r="T11" s="69"/>
      <c r="U11" s="69"/>
      <c r="V11" s="69"/>
      <c r="W11" s="69"/>
      <c r="X11" s="69"/>
      <c r="Y11" s="69"/>
      <c r="Z11" s="69"/>
      <c r="AA11" s="69"/>
      <c r="AB11" s="69"/>
      <c r="AC11" s="69"/>
      <c r="AD11" s="69"/>
      <c r="AE11" s="69"/>
    </row>
    <row r="12" ht="19.5" customHeight="1">
      <c r="A12" s="80" t="s">
        <v>130</v>
      </c>
      <c r="B12" s="79" t="s">
        <v>131</v>
      </c>
      <c r="C12" s="16" t="str">
        <f>IFERROR(__xludf.DUMMYFUNCTION("GOOGLETRANSLATE(B12,""EN"",""FR"")"),"Examinez votre fichier de données de l'enquête Naomi dans votre jeu de données")</f>
        <v>Examinez votre fichier de données de l'enquête Naomi dans votre jeu de données</v>
      </c>
      <c r="D12" s="16" t="str">
        <f>IFERROR(__xludf.DUMMYFUNCTION("GOOGLETRANSLATE(B12,""EN"",""PT"")"),"Revise seu arquivo de dados de pesquisa Naomi no seu conjunto de dados")</f>
        <v>Revise seu arquivo de dados de pesquisa Naomi no seu conjunto de dados</v>
      </c>
      <c r="E12" s="81" t="s">
        <v>132</v>
      </c>
      <c r="F12" s="85" t="s">
        <v>133</v>
      </c>
      <c r="G12" s="16" t="str">
        <f>IFERROR(__xludf.DUMMYFUNCTION("GOOGLETRANSLATE(F12,""EN"",""FR"")"),"L'ONUSIDA a placé une enquête * Naomi * Fichier dans votre jeu de données dans le référentiel de données AIDS (ADR). Avant de commencer le processus d'estimations, veuillez consulter ce fichier. Si vous êtes satisfait des données dans ce fichier, indiquez"&amp;" cette tâche terminée. Si vous voyez des problèmes avec ce fichier, contactez l'ONUSIDA ou l'un de ses partenaires pour le faire corriger.Si vous ne prévoyez pas d'utiliser Naomi pour produire des estimations du VIH au niveau du district, marquez cette tâ"&amp;"che complète dans Navigator et cliquez sur ""Quelle est la prochaine fois?"" au dessous de.")</f>
        <v>L'ONUSIDA a placé une enquête * Naomi * Fichier dans votre jeu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corriger.Si vous ne prévoyez pas d'utiliser Naomi pour produire des estimations du VIH au niveau du district, marquez cette tâche complète dans Navigator et cliquez sur "Quelle est la prochaine fois?" au dessous de.</v>
      </c>
      <c r="H12" s="16" t="str">
        <f>IFERROR(__xludf.DUMMYFUNCTION("GOOGLETRANSLATE(F12,""EN"",""PT"")"),"O UNAIDS colocou um arquivo * Naomi Survey * em seu conjunto de dados no repositório de dados de AIDS (ADR). Antes de começarmos o processo de estimativas, por favor, revise este arquivo. Se você estiver satisfeito com os dados nesse arquivo, marque esta "&amp;"tarefa completa. Se você vir problemas com este arquivo, entre em contato com a UNAIDS ou um de seus parceiros para que ele tenha corrigido. Se você não estiver planejando usar Naomi para produzir estimativas de HIV no nível do distrito, marque esta taref"&amp;"a completa no Navegador e clique em ""O que vem a seguir?"" abaixo.")</f>
        <v>O UNAIDS colocou um arquivo * Naomi Survey * em seu conjunto de dados no repositório de dados de AIDS (ADR). Antes de começarmos o processo de estimativas, por favor, revise este arquivo. Se você estiver satisfeito com os dados nesse arquivo, marque esta tarefa completa. Se você vir problemas com este arquivo, entre em contato com a UNAIDS ou um de seus parceiros para que ele tenha corrigido. Se você não estiver planejando usar Naomi para produzir estimativas de HIV no nível do distrito, marque esta tarefa completa no Navegador e clique em "O que vem a seguir?" abaixo.</v>
      </c>
      <c r="I12" s="81" t="s">
        <v>128</v>
      </c>
      <c r="J12" s="16" t="str">
        <f>IFERROR(__xludf.DUMMYFUNCTION("GOOGLETRANSLATE(I12,""EN"",""FR"")"),"Repositoire de données SIDA https://adr.unaids.org/")</f>
        <v>Repositoire de données SIDA https://adr.unaids.org/</v>
      </c>
      <c r="K12" s="16" t="str">
        <f>IFERROR(__xludf.DUMMYFUNCTION("GOOGLETRANSLATE(I12,""EN"",""PT"")"),"Repositório de dados de AIDS https://adr.unaids.org/")</f>
        <v>Repositório de dados de AIDS https://adr.unaids.org/</v>
      </c>
      <c r="L12" s="77"/>
      <c r="M12" s="39"/>
      <c r="N12" s="52"/>
      <c r="O12" s="52" t="s">
        <v>134</v>
      </c>
      <c r="P12" s="69"/>
      <c r="Q12" s="69"/>
      <c r="R12" s="69"/>
      <c r="S12" s="69"/>
      <c r="T12" s="69"/>
      <c r="U12" s="69"/>
      <c r="V12" s="69"/>
      <c r="W12" s="69"/>
      <c r="X12" s="69"/>
      <c r="Y12" s="69"/>
      <c r="Z12" s="69"/>
      <c r="AA12" s="69"/>
      <c r="AB12" s="69"/>
      <c r="AC12" s="69"/>
      <c r="AD12" s="69"/>
      <c r="AE12" s="69"/>
    </row>
    <row r="13" ht="19.5" customHeight="1">
      <c r="A13" s="80" t="s">
        <v>135</v>
      </c>
      <c r="B13" s="79" t="s">
        <v>136</v>
      </c>
      <c r="C13" s="16" t="str">
        <f>IFERROR(__xludf.DUMMYFUNCTION("GOOGLETRANSLATE(B13,""EN"",""FR"")"),"Examinez votre fichier de limite de zone dans votre jeu de données")</f>
        <v>Examinez votre fichier de limite de zone dans votre jeu de données</v>
      </c>
      <c r="D13" s="16" t="str">
        <f>IFERROR(__xludf.DUMMYFUNCTION("GOOGLETRANSLATE(B13,""EN"",""PT"")"),"Revise seu arquivo de limite da sua área no seu conjunto de dados")</f>
        <v>Revise seu arquivo de limite da sua área no seu conjunto de dados</v>
      </c>
      <c r="E13" s="81" t="s">
        <v>137</v>
      </c>
      <c r="F13" s="85" t="s">
        <v>138</v>
      </c>
      <c r="G13" s="16" t="str">
        <f>IFERROR(__xludf.DUMMYFUNCTION("GOOGLETRANSLATE(F13,""EN"",""FR"")"),"L'ONUSIDA a placé une * limite de zone * Fichier de données (alias ""Données géographiques"") dans votre jeu de données dans le référentiel de données AIDS (ADR). Avant de commencer le processus d'estimations, veuillez consulter ce fichier. Si vous êtes s"&amp;"atisfait des données dans ce fichier, indiquez cette tâche terminée. Si vous voyez des problèmes avec ce fichier, contactez l'ONUSIDA ou l'un de ses partenaires pour le faire corriger.")</f>
        <v>L'ONUSIDA a placé une * limite de zone * Fichier de données (alias "Données géographiques") dans votre jeu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v>
      </c>
      <c r="H13" s="16" t="str">
        <f>IFERROR(__xludf.DUMMYFUNCTION("GOOGLETRANSLATE(F13,""EN"",""PT"")"),"A UNAIDS colocou um arquivo de dados * da área * (aka ""dados geográficos"") no seu conjunto de dados no repositório de dados de AIDS (ADR). Antes de começarmos o processo de estimativas, por favor, revise este arquivo. Se você estiver satisfeito com os d"&amp;"ados nesse arquivo, marque esta tarefa completa. Se você ver problemas com este arquivo, entre em contato com a UNAIDS ou um de seus parceiros para que ele tenha corrigido.")</f>
        <v>A UNAIDS colocou um arquivo de dados * da área * (aka "dados geográficos")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v>
      </c>
      <c r="I13" s="81" t="s">
        <v>128</v>
      </c>
      <c r="J13" s="16" t="str">
        <f>IFERROR(__xludf.DUMMYFUNCTION("GOOGLETRANSLATE(I13,""EN"",""FR"")"),"Repositoire de données SIDA https://adr.unaids.org/")</f>
        <v>Repositoire de données SIDA https://adr.unaids.org/</v>
      </c>
      <c r="K13" s="16" t="str">
        <f>IFERROR(__xludf.DUMMYFUNCTION("GOOGLETRANSLATE(I13,""EN"",""PT"")"),"Repositório de dados de AIDS https://adr.unaids.org/")</f>
        <v>Repositório de dados de AIDS https://adr.unaids.org/</v>
      </c>
      <c r="L13" s="77"/>
      <c r="M13" s="39"/>
      <c r="N13" s="52"/>
      <c r="O13" s="52" t="s">
        <v>139</v>
      </c>
      <c r="P13" s="69"/>
      <c r="Q13" s="69"/>
      <c r="R13" s="69"/>
      <c r="S13" s="69"/>
      <c r="T13" s="69"/>
      <c r="U13" s="69"/>
      <c r="V13" s="69"/>
      <c r="W13" s="69"/>
      <c r="X13" s="69"/>
      <c r="Y13" s="69"/>
      <c r="Z13" s="69"/>
      <c r="AA13" s="69"/>
      <c r="AB13" s="69"/>
      <c r="AC13" s="69"/>
      <c r="AD13" s="69"/>
      <c r="AE13" s="69"/>
    </row>
    <row r="14" ht="19.5" customHeight="1">
      <c r="A14" s="80" t="s">
        <v>140</v>
      </c>
      <c r="B14" s="79" t="s">
        <v>141</v>
      </c>
      <c r="C14" s="16" t="str">
        <f>IFERROR(__xludf.DUMMYFUNCTION("GOOGLETRANSLATE(B14,""EN"",""FR"")"),"Examinez votre fichier de population dans votre jeu de données")</f>
        <v>Examinez votre fichier de population dans votre jeu de données</v>
      </c>
      <c r="D14" s="16" t="str">
        <f>IFERROR(__xludf.DUMMYFUNCTION("GOOGLETRANSLATE(B14,""EN"",""PT"")"),"Revise seu arquivo de população no seu conjunto de dados")</f>
        <v>Revise seu arquivo de população no seu conjunto de dados</v>
      </c>
      <c r="E14" s="81" t="s">
        <v>142</v>
      </c>
      <c r="F14" s="85" t="s">
        <v>143</v>
      </c>
      <c r="G14" s="16" t="str">
        <f>IFERROR(__xludf.DUMMYFUNCTION("GOOGLETRANSLATE(F14,""EN"",""FR"")"),"L'ONUSIDA a placé un fichier de données * population * dans votre jeu de données dans le référentiel de données d'AIDS (ADR). Avant de commencer le processus d'estimations, veuillez consulter ce fichier. Si vous êtes satisfait des données dans ce fichier,"&amp;" indiquez cette tâche terminée. Si vous voyez des problèmes avec ce fichier, contactez l'ONUSIDA ou l'un de ses partenaires pour le faire corriger.")</f>
        <v>L'ONUSIDA a placé un fichier de données * population * dans votre jeu de données dans le référentiel de données d'AIDS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v>
      </c>
      <c r="H14" s="16" t="str">
        <f>IFERROR(__xludf.DUMMYFUNCTION("GOOGLETRANSLATE(F14,""EN"",""PT"")"),"A UNAIDS colocou um arquivo de dados * Population * no seu conjunto de dados no repositório de dados de AIDS (ADR). Antes de começarmos o processo de estimativas, por favor, revise este arquivo. Se você estiver satisfeito com os dados nesse arquivo, marqu"&amp;"e esta tarefa completa. Se você ver problemas com este arquivo, entre em contato com a UNAIDS ou um de seus parceiros para que ele tenha corrigido.")</f>
        <v>A UNAIDS colocou um arquivo de dados * Population *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v>
      </c>
      <c r="I14" s="81" t="s">
        <v>128</v>
      </c>
      <c r="J14" s="16" t="str">
        <f>IFERROR(__xludf.DUMMYFUNCTION("GOOGLETRANSLATE(I14,""EN"",""FR"")"),"Repositoire de données SIDA https://adr.unaids.org/")</f>
        <v>Repositoire de données SIDA https://adr.unaids.org/</v>
      </c>
      <c r="K14" s="16" t="str">
        <f>IFERROR(__xludf.DUMMYFUNCTION("GOOGLETRANSLATE(I14,""EN"",""PT"")"),"Repositório de dados de AIDS https://adr.unaids.org/")</f>
        <v>Repositório de dados de AIDS https://adr.unaids.org/</v>
      </c>
      <c r="L14" s="77"/>
      <c r="M14" s="39"/>
      <c r="N14" s="52"/>
      <c r="O14" s="52" t="s">
        <v>144</v>
      </c>
      <c r="P14" s="69"/>
      <c r="Q14" s="69"/>
      <c r="R14" s="69"/>
      <c r="S14" s="69"/>
      <c r="T14" s="69"/>
      <c r="U14" s="69"/>
      <c r="V14" s="69"/>
      <c r="W14" s="69"/>
      <c r="X14" s="69"/>
      <c r="Y14" s="69"/>
      <c r="Z14" s="69"/>
      <c r="AA14" s="69"/>
      <c r="AB14" s="69"/>
      <c r="AC14" s="69"/>
      <c r="AD14" s="69"/>
      <c r="AE14" s="69"/>
    </row>
    <row r="15" ht="12.0" customHeight="1">
      <c r="A15" s="69"/>
      <c r="B15" s="69"/>
      <c r="C15" s="70"/>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row>
    <row r="16" ht="12.0" customHeight="1">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hyperlinks>
    <hyperlink r:id="rId2" ref="I5"/>
    <hyperlink r:id="rId3" ref="I6"/>
  </hyperlinks>
  <printOptions/>
  <pageMargins bottom="0.75" footer="0.0" header="0.0" left="0.7" right="0.7" top="0.75"/>
  <pageSetup orientation="portrait"/>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13"/>
    <col customWidth="1" min="2" max="2" width="21.25"/>
    <col customWidth="1" hidden="1" min="3" max="3" width="21.38"/>
    <col customWidth="1" hidden="1" min="4" max="4" width="49.0"/>
    <col customWidth="1" min="5" max="5" width="39.63"/>
    <col customWidth="1" min="6" max="6" width="19.25"/>
    <col customWidth="1" hidden="1" min="7" max="7" width="23.0"/>
    <col customWidth="1" hidden="1" min="8" max="8" width="38.63"/>
    <col customWidth="1" min="9" max="9" width="48.38"/>
    <col customWidth="1" hidden="1" min="10" max="10" width="32.63"/>
    <col customWidth="1" hidden="1" min="11" max="11" width="12.63"/>
    <col customWidth="1" min="12" max="24" width="7.63"/>
  </cols>
  <sheetData>
    <row r="1" ht="12.0" customHeight="1">
      <c r="A1" s="1" t="s">
        <v>0</v>
      </c>
      <c r="B1" s="58" t="s">
        <v>1</v>
      </c>
      <c r="C1" s="3" t="s">
        <v>2</v>
      </c>
      <c r="D1" s="71" t="s">
        <v>3</v>
      </c>
      <c r="E1" s="72"/>
      <c r="F1" s="8" t="s">
        <v>4</v>
      </c>
      <c r="G1" s="3" t="s">
        <v>5</v>
      </c>
      <c r="H1" s="3" t="s">
        <v>6</v>
      </c>
      <c r="I1" s="5" t="s">
        <v>7</v>
      </c>
      <c r="J1" s="7" t="s">
        <v>8</v>
      </c>
      <c r="K1" s="7" t="s">
        <v>9</v>
      </c>
      <c r="L1" s="61" t="s">
        <v>10</v>
      </c>
    </row>
    <row r="2" ht="34.5" customHeight="1">
      <c r="A2" s="29" t="s">
        <v>37</v>
      </c>
      <c r="B2" s="62" t="s">
        <v>145</v>
      </c>
      <c r="C2" s="16" t="str">
        <f>IFERROR(__xludf.DUMMYFUNCTION("GOOGLETRANSLATE(B2,""EN"",""FR"")"),"Télécharger et examiner les fichiers de données dans votre jeu de données sur ADR")</f>
        <v>Télécharger et examiner les fichiers de données dans votre jeu de données sur ADR</v>
      </c>
      <c r="D2" s="73" t="str">
        <f>IFERROR(__xludf.DUMMYFUNCTION("GOOGLETRANSLATE(B2,""EN"",""PT"")"),"Carregar e revisar arquivos de dados no seu conjunto de dados no ADR")</f>
        <v>Carregar e revisar arquivos de dados no seu conjunto de dados no ADR</v>
      </c>
      <c r="E2" s="74"/>
      <c r="F2" s="75" t="s">
        <v>146</v>
      </c>
      <c r="G2" s="18" t="str">
        <f>IFERROR(__xludf.DUMMYFUNCTION("GOOGLETRANSLATE(F2,""EN"",""FR"")"),"Pour votre commodité, l'ONUSIDA a placé les fichiers de données de l'année dernière dans le jeu de données de cette année dans les ensembles de données d'organisation / pays ADR. Les fichiers de données de programme (par exemple, l'art, l'ANC, la VMMC, le"&amp;" dépistage de VIH Shiny 90) devront être mis à jour avec les données de l'année en cours. D'autres fichiers de données (par exemple, la limite de zone, la population, les enquêtes) devront seulement être examinés et confirmés. Une fois que vous avez mis à"&amp;" jour vos fichiers de données de programme DataSet, vous pouvez télécharger les fichiers à votre organisation / pays sur le référentiel de données AIDS (ADR). Il existe de nombreux avantages à utiliser ADR, y compris l'intégration avec des modèles d'estim"&amp;"ations clés telles que Naomi. Avant de commencer cette étape, vous devez être sûr que vous avez mis à jour tous les fichiers de données de programme requis pour la période de reporting actuelle (par exemple, Test de l'ANC, Art, Hiny 90 VIH et VMMC le cas "&amp;"échéant). Vous pouvez également consulter vos autres fichiers de données (par exemple, enquêtes, population, limite de zone). Vous devrez avoir un compte utilisateur ADR et être associé à une organisation (pays) avec un rôle de rédacteur en chef.")</f>
        <v>Pour votre commodité, l'ONUSIDA a placé les fichiers de données de l'année dernière dans le jeu de données de cette année dans les ensembles de données d'organisation / pays ADR. Les fichiers de données de programme (par exemple, l'art, l'ANC, la VMMC, le dépistage de VIH Shiny 90) devront être mis à jour avec les données de l'année en cours. D'autres fichiers de données (par exemple, la limite de zone, la population, les enquêtes) devront seulement être examinés et confirmés. Une fois que vous avez mis à jour vos fichiers de données de programme DataSet, vous pouvez télécharger les fichiers à votre organisation / pays sur le référentiel de données AIDS (ADR). Il existe de nombreux avantages à utiliser ADR, y compris l'intégration avec des modèles d'estimations clés telles que Naomi. Avant de commencer cette étape, vous devez être sûr que vous avez mis à jour tous les fichiers de données de programme requis pour la période de reporting actuelle (par exemple, Test de l'ANC, Art, Hiny 90 VIH et VMMC le cas échéant). Vous pouvez également consulter vos autres fichiers de données (par exemple, enquêtes, population, limite de zone). Vous devrez avoir un compte utilisateur ADR et être associé à une organisation (pays) avec un rôle de rédacteur en chef.</v>
      </c>
      <c r="H2" s="18" t="str">
        <f>IFERROR(__xludf.DUMMYFUNCTION("GOOGLETRANSLATE(F2,""EN"",""PT"")"),"Para sua conveniência, a UNAIDS colocou os arquivos de dados do ano passado para o conjunto de dados deste ano em seus conjuntos de dados de organização / país ADR. Arquivos de dados do programa (por exemplo, arte, ANC, VMMC, teste brilhante de 90 HIV) pr"&amp;"ecisarão ser atualizados com os dados do ano atual. Outros arquivos de dados (por exemplo, limite de área, população, pesquisas) só precisarão ser revisado e confirmado. Depois de atualizar seus arquivos de dados do DataSet Program, você pode carregar os "&amp;"arquivos para sua organização / país no repositório de dados de AIDS (ADR). Há muitas vantagens para usar o ADR, incluindo integração com modelos de estimativas principais, como Naomi. Antes de começar esta etapa, você deve ter certeza de que atualizou to"&amp;"dos os arquivos de dados do programa necessários para o período de relatório atual (por exemplo, ANC, Arte, Testing Brilhante de 90 HIV e VMMC, quando relevante). Você também pode rever seus outros arquivos de dados (por exemplo, pesquisas, população, lim"&amp;"ite de área). Você precisará ter uma conta de usuário de ADR e ser associada a uma organização (país) com uma função de editor.")</f>
        <v>Para sua conveniência, a UNAIDS colocou os arquivos de dados do ano passado para o conjunto de dados deste ano em seus conjuntos de dados de organização / país ADR. Arquivos de dados do programa (por exemplo, arte, ANC, VMMC, teste brilhante de 90 HIV) precisarão ser atualizados com os dados do ano atual. Outros arquivos de dados (por exemplo, limite de área, população, pesquisas) só precisarão ser revisado e confirmado. Depois de atualizar seus arquivos de dados do DataSet Program, você pode carregar os arquivos para sua organização / país no repositório de dados de AIDS (ADR). Há muitas vantagens para usar o ADR, incluindo integração com modelos de estimativas principais, como Naomi. Antes de começar esta etapa, você deve ter certeza de que atualizou todos os arquivos de dados do programa necessários para o período de relatório atual (por exemplo, ANC, Arte, Testing Brilhante de 90 HIV e VMMC, quando relevante). Você também pode rever seus outros arquivos de dados (por exemplo, pesquisas, população, limite de área). Você precisará ter uma conta de usuário de ADR e ser associada a uma organização (país) com uma função de editor.</v>
      </c>
      <c r="I2" s="76" t="s">
        <v>147</v>
      </c>
      <c r="J2" s="15" t="str">
        <f>IFERROR(__xludf.DUMMYFUNCTION("GOOGLETRANSLATE(I2,""EN"",""FR"")")," Les fichiers d'entrée de données sont disponibles
 L'utilisateur a un compte ADR associé à une organisation de pays dans ADR
 L'utilisateur a au moins un rôle de rédaction attribué au sein de l'organisation du pays")</f>
        <v> Les fichiers d'entrée de données sont disponibles
 L'utilisateur a un compte ADR associé à une organisation de pays dans ADR
 L'utilisateur a au moins un rôle de rédaction attribué au sein de l'organisation du pays</v>
      </c>
      <c r="K2" s="15" t="str">
        <f>IFERROR(__xludf.DUMMYFUNCTION("GOOGLETRANSLATE(I2,""EN"",""PT"")")," Arquivos de entrada de dados estão disponíveis
 O usuário tem uma conta ADR associada a uma organização do país em ADR
 O usuário tem pelo menos a função do editor atribuída dentro da organização do país")</f>
        <v> Arquivos de entrada de dados estão disponíveis
 O usuário tem uma conta ADR associada a uma organização do país em ADR
 O usuário tem pelo menos a função do editor atribuída dentro da organização do país</v>
      </c>
      <c r="L2" s="77">
        <v>0.2</v>
      </c>
    </row>
    <row r="3" ht="12.0" customHeight="1">
      <c r="A3" s="88"/>
      <c r="B3" s="88"/>
      <c r="C3" s="89"/>
      <c r="D3" s="89"/>
      <c r="E3" s="89"/>
      <c r="F3" s="89"/>
      <c r="G3" s="89"/>
    </row>
    <row r="4" ht="11.25" customHeight="1">
      <c r="A4" s="90" t="s">
        <v>0</v>
      </c>
      <c r="B4" s="66" t="s">
        <v>19</v>
      </c>
      <c r="C4" s="28" t="s">
        <v>20</v>
      </c>
      <c r="D4" s="28" t="s">
        <v>21</v>
      </c>
      <c r="E4" s="66" t="s">
        <v>22</v>
      </c>
      <c r="F4" s="66" t="s">
        <v>23</v>
      </c>
      <c r="G4" s="28" t="str">
        <f>CONCAT(F4,"::fr")</f>
        <v>If test fails, present this to user:::fr</v>
      </c>
      <c r="H4" s="28" t="str">
        <f>CONCAT(F4,"::pt_PT")</f>
        <v>If test fails, present this to user:::pt_PT</v>
      </c>
      <c r="I4" s="66" t="s">
        <v>24</v>
      </c>
      <c r="J4" s="28" t="s">
        <v>25</v>
      </c>
      <c r="K4" s="28" t="s">
        <v>26</v>
      </c>
      <c r="L4" s="66"/>
      <c r="M4" s="66" t="s">
        <v>27</v>
      </c>
      <c r="N4" s="66" t="s">
        <v>30</v>
      </c>
      <c r="O4" s="27" t="s">
        <v>29</v>
      </c>
      <c r="P4" s="67" t="s">
        <v>28</v>
      </c>
    </row>
    <row r="5" ht="19.5" customHeight="1">
      <c r="A5" s="91" t="s">
        <v>148</v>
      </c>
      <c r="B5" s="85" t="s">
        <v>149</v>
      </c>
      <c r="C5" s="31" t="str">
        <f>IFERROR(__xludf.DUMMYFUNCTION("GOOGLETRANSLATE(B5,""EN"",""FR"")"),"Vérifiez que les données requises ont été préchargées dans votre jeu de données ADR.")</f>
        <v>Vérifiez que les données requises ont été préchargées dans votre jeu de données ADR.</v>
      </c>
      <c r="D5" s="31" t="str">
        <f>IFERROR(__xludf.DUMMYFUNCTION("GOOGLETRANSLATE(B5,""EN"",""PT"")"),"Verifique se os dados necessários foram pré-carregados no seu DataSet AdR")</f>
        <v>Verifique se os dados necessários foram pré-carregados no seu DataSet AdR</v>
      </c>
      <c r="E5" s="85" t="s">
        <v>150</v>
      </c>
      <c r="F5" s="85" t="s">
        <v>151</v>
      </c>
      <c r="G5" s="31" t="str">
        <f>IFERROR(__xludf.DUMMYFUNCTION("GOOGLETRANSLATE(F5,""EN"",""FR"")"),"Votre référence d'estimations dans l'ADR devrait déjà avoir les données suivantes préchargées:
- fichier de spectre de l'année précédente
- Fichier de données géographiques (limites de la zone sous-nationale)
- Fichier de données d'enquête pour Naomi
- F"&amp;"ichier de données d'enquête pour Shiny 90 (le cas échéant)
- fichier de données de population
Si l'une de ces données est manquante ou incorrecte, veuillez parler de l'ONUSIDA ou d'un facilitateur pour vous aider à compiler ces données manquantes et à le"&amp;" télécharger à l'ADR.")</f>
        <v>Votre référence d'estimations dans l'ADR devrait déjà avoir les données suivantes préchargées:
- fichier de spectre de l'année précédente
- Fichier de données géographiques (limites de la zone sous-nationale)
- Fichier de données d'enquête pour Naomi
- Fichier de données d'enquête pour Shiny 90 (le cas échéant)
- fichier de données de population
Si l'une de ces données est manquante ou incorrecte, veuillez parler de l'ONUSIDA ou d'un facilitateur pour vous aider à compiler ces données manquantes et à le télécharger à l'ADR.</v>
      </c>
      <c r="H5" s="31" t="str">
        <f>IFERROR(__xludf.DUMMYFUNCTION("GOOGLETRANSLATE(F5,""EN"",""PT"")"),"Seu conjunto de dados de estimativas no ADR já deve ter os seguintes dados pré-carregados para ele:
- Arquivo do espectro do ano anterior
- Arquivo de dados Geograph (limites da área subnacional)
- Arquivo de dados da pesquisa para Naomi
- Arquivo de dad"&amp;"os da pesquisa para 90 (se relevante)
- Arquivo de dados da população
Se algum desses dados estiver faltando ou incorreto, fale com a UNAIDS ou um facilitador para ajudá-lo a compilar esses dados ausentes e enviá-lo para o ADR.")</f>
        <v>Seu conjunto de dados de estimativas no ADR já deve ter os seguintes dados pré-carregados para ele:
- Arquivo do espectro do ano anterior
- Arquivo de dados Geograph (limites da área subnacional)
- Arquivo de dados da pesquisa para Naomi
- Arquivo de dados da pesquisa para 90 (se relevante)
- Arquivo de dados da população
Se algum desses dados estiver faltando ou incorreto, fale com a UNAIDS ou um facilitador para ajudá-lo a compilar esses dados ausentes e enviá-lo para o ADR.</v>
      </c>
      <c r="I5" s="81"/>
      <c r="J5" s="92"/>
      <c r="K5" s="92"/>
      <c r="L5" s="92"/>
      <c r="M5" s="92"/>
      <c r="N5" s="93" t="s">
        <v>152</v>
      </c>
      <c r="O5" s="53"/>
      <c r="P5" s="52" t="s">
        <v>153</v>
      </c>
    </row>
    <row r="6" ht="19.5" customHeight="1">
      <c r="A6" s="91" t="s">
        <v>154</v>
      </c>
      <c r="B6" s="94" t="s">
        <v>155</v>
      </c>
      <c r="C6" s="31" t="str">
        <f>IFERROR(__xludf.DUMMYFUNCTION("GOOGLETRANSLATE(B6,""EN"",""FR"")"),"Téléchargez des entrées de données sur l'ADR à l'aide des modèles requis")</f>
        <v>Téléchargez des entrées de données sur l'ADR à l'aide des modèles requis</v>
      </c>
      <c r="D6" s="31" t="str">
        <f>IFERROR(__xludf.DUMMYFUNCTION("GOOGLETRANSLATE(B6,""EN"",""PT"")"),"Carregar entradas de dados para o ADR usando os modelos obrigatórios")</f>
        <v>Carregar entradas de dados para o ADR usando os modelos obrigatórios</v>
      </c>
      <c r="E6" s="94" t="s">
        <v>156</v>
      </c>
      <c r="F6" s="94" t="s">
        <v>157</v>
      </c>
      <c r="G6" s="31" t="str">
        <f>IFERROR(__xludf.DUMMYFUNCTION("GOOGLETRANSLATE(F6,""EN"",""FR"")"),"L'ONUSIDA recommande vivement l'utilisation du référentiel de données de sida (ADR) pour stocker vos données d'estimations, à la fois des entrées et des sorties. L'utilisation de ADR fournit un certain nombre d'avantages et d'efficacité de votre processus"&amp;" d'estimations, y compris un emplacement sécurisé pour stocker vos fichiers de données ainsi que la fonction de validation automatisée pour vous assurer que vos données répondent aux exigences de la qualité des données minimales avant de commencer les don"&amp;"nées. Accédez à votre organisation sur ADR et trouvez le jeu de données de cette année. Téléchargez chacun des fichiers requis pour le processus d'estimation de cette année dans le format requis. Pour votre commodité, l'ONUSIDA a importé les fichiers de d"&amp;"onnées finaux de l'année dernière. Vous devez seulement mettre à jour les fichiers avec des données de l'année en cours.
Vous devez vous assurer que vous avez inclus les données de l'année en cours dans les fichiers de données suivants:
- Données de tes"&amp;"t du VIH Shiny90
- données d'art
- Données d'ANC
- Données VMMC (si pertinentes)
** Pour mettre à jour un fichier de données sur votre jeu de données dans l'ADR: **
- Ouvrez votre estimation 2022 Dataset dans l'ADR
- Recherchez le fichier que vous souh"&amp;"aitez mettre à jour et cliquez sur le bouton Red Explorer et choisissez Télécharger
- Ouvrez le fichier sur votre ordinateur et ajoutez des données de l'année en cours
- Retournez à ADR et ouvrez votre estimations 2022 Dataset
- Faites glisser et déposez "&amp;"votre fichier de données mis à jour au centre de la page Web ADR.
- Une pop up ouvrira avec le nom de votre fichier.
- Dans la liste déroulante à côté du nom de fichier, sélectionnez la saisie de données que vous téléchargez.
- Cliquez sur ""Télécharger d"&amp;"es fichiers""")</f>
        <v>L'ONUSIDA recommande vivement l'utilisation du référentiel de données de sida (ADR) pour stocker vos données d'estimations, à la fois des entrées et des sorties. L'utilisation de ADR fournit un certain nombre d'avantages et d'efficacité de votre processus d'estimations, y compris un emplacement sécurisé pour stocker vos fichiers de données ainsi que la fonction de validation automatisée pour vous assurer que vos données répondent aux exigences de la qualité des données minimales avant de commencer les données. Accédez à votre organisation sur ADR et trouvez le jeu de données de cette année. Téléchargez chacun des fichiers requis pour le processus d'estimation de cette année dans le format requis. Pour votre commodité, l'ONUSIDA a importé les fichiers de données finaux de l'année dernière. Vous devez seulement mettre à jour les fichiers avec des données de l'année en cours.
Vous devez vous assurer que vous avez inclus les données de l'année en cours dans les fichiers de données suivants:
- Données de test du VIH Shiny90
- données d'art
- Données d'ANC
- Données VMMC (si pertinentes)
** Pour mettre à jour un fichier de données sur votre jeu de données dans l'ADR: **
- Ouvrez votre estimation 2022 Dataset dans l'ADR
- Recherchez le fichier que vous souhaitez mettre à jour et cliquez sur le bouton Red Explorer et choisissez Télécharger
- Ouvrez le fichier sur votre ordinateur et ajoutez des données de l'année en cours
- Retournez à ADR et ouvrez votre estimations 2022 Dataset
- Faites glisser et déposez votre fichier de données mis à jour au centre de la page Web ADR.
- Une pop up ouvrira avec le nom de votre fichier.
- Dans la liste déroulante à côté du nom de fichier, sélectionnez la saisie de données que vous téléchargez.
- Cliquez sur "Télécharger des fichiers"</v>
      </c>
      <c r="H6" s="31" t="str">
        <f>IFERROR(__xludf.DUMMYFUNCTION("GOOGLETRANSLATE(F6,""EN"",""PT"")"),"A UNAIDS recomenda fortemente o uso do repositório de dados da AIDS (ADR) para armazenar seus dados de estimativas, ambas as entradas e saídas. O uso de ADR fornece uma série de vantagens e eficiências para o processo de estimativa, incluindo um local seg"&amp;"uro para armazenar seus arquivos de dados, bem como função de validação automatizada para garantir que seus dados atendam a formatação e os requisitos mínimos de qualidade de dados antes de iniciar os dados. Acesse sua organização no ADR e encontre o conj"&amp;"unto de dados deste ano. Carregue cada um dos arquivos necessários para o processo de estimativas deste ano no formato requerido. Para sua conveniência, a UNAIDS importou os arquivos de dados finais do ano passado. Você só precisa atualizar os arquivos co"&amp;"m dados do ano atual.
Você deve garantir que tenha incluído dados do ano atual nos seguintes arquivos de dados:
- Dados de teste de HIV Shiny90
- Dados de arte
- Dados do ANC.
- Dados VMMC (se relevante)
** Para atualizar um arquivo de dados no seu co"&amp;"njunto de dados no ADR: **
- Abra suas estimativas 2022 DataSet no ADR
- Encontre o arquivo que você deseja atualizar e clique no botão Red Explore e selecione Download
- Abra o arquivo no seu computador e adicione dados do ano atual
- Retorne ao ADR e a"&amp;"bra suas estimativas 2022 DataSet
- Arraste e solte seu arquivo de dados atualizado no centro da página da Web ADR.
- Um pop-up abrirá com o nome do seu arquivo nele.
- Na lista suspensa ao lado do nome do arquivo, selecione qual entrada de dados você est"&amp;"á fazendo upload.
- Clique em ""Upload Arquivos""")</f>
        <v>A UNAIDS recomenda fortemente o uso do repositório de dados da AIDS (ADR) para armazenar seus dados de estimativas, ambas as entradas e saídas. O uso de ADR fornece uma série de vantagens e eficiências para o processo de estimativa, incluindo um local seguro para armazenar seus arquivos de dados, bem como função de validação automatizada para garantir que seus dados atendam a formatação e os requisitos mínimos de qualidade de dados antes de iniciar os dados. Acesse sua organização no ADR e encontre o conjunto de dados deste ano. Carregue cada um dos arquivos necessários para o processo de estimativas deste ano no formato requerido. Para sua conveniência, a UNAIDS importou os arquivos de dados finais do ano passado. Você só precisa atualizar os arquivos com dados do ano atual.
Você deve garantir que tenha incluído dados do ano atual nos seguintes arquivos de dados:
- Dados de teste de HIV Shiny90
- Dados de arte
- Dados do ANC.
- Dados VMMC (se relevante)
** Para atualizar um arquivo de dados no seu conjunto de dados no ADR: **
- Abra suas estimativas 2022 DataSet no ADR
- Encontre o arquivo que você deseja atualizar e clique no botão Red Explore e selecione Download
- Abra o arquivo no seu computador e adicione dados do ano atual
- Retorne ao ADR e abra suas estimativas 2022 DataSet
- Arraste e solte seu arquivo de dados atualizado no centro da página da Web ADR.
- Um pop-up abrirá com o nome do seu arquivo nele.
- Na lista suspensa ao lado do nome do arquivo, selecione qual entrada de dados você está fazendo upload.
- Clique em "Upload Arquivos"</v>
      </c>
      <c r="I6" s="81"/>
      <c r="J6" s="92"/>
      <c r="K6" s="92"/>
      <c r="L6" s="92"/>
      <c r="M6" s="92"/>
      <c r="N6" s="95"/>
      <c r="O6" s="53"/>
      <c r="P6" s="96" t="s">
        <v>158</v>
      </c>
      <c r="Q6" s="97"/>
      <c r="R6" s="97"/>
      <c r="S6" s="97"/>
      <c r="T6" s="97"/>
      <c r="U6" s="97"/>
      <c r="V6" s="97"/>
      <c r="W6" s="97"/>
      <c r="X6" s="97"/>
      <c r="Y6" s="97"/>
      <c r="Z6" s="97"/>
      <c r="AA6" s="97"/>
      <c r="AB6" s="97"/>
      <c r="AC6" s="97"/>
      <c r="AD6" s="97"/>
      <c r="AE6" s="97"/>
      <c r="AF6" s="97"/>
    </row>
    <row r="7" ht="19.5" customHeight="1">
      <c r="A7" s="83" t="s">
        <v>159</v>
      </c>
      <c r="B7" s="81" t="s">
        <v>160</v>
      </c>
      <c r="C7" s="31" t="str">
        <f>IFERROR(__xludf.DUMMYFUNCTION("GOOGLETRANSLATE(B7,""EN"",""FR"")"),"Téléchargez vos fichiers de données shiny 90 VIH à ADR")</f>
        <v>Téléchargez vos fichiers de données shiny 90 VIH à ADR</v>
      </c>
      <c r="D7" s="31" t="str">
        <f>IFERROR(__xludf.DUMMYFUNCTION("GOOGLETRANSLATE(B7,""EN"",""PT"")"),"Carregue seus arquivos de dados de teste de 90 HIV brilhantes para ADR")</f>
        <v>Carregue seus arquivos de dados de teste de 90 HIV brilhantes para ADR</v>
      </c>
      <c r="E7" s="81" t="s">
        <v>161</v>
      </c>
      <c r="F7" s="85" t="s">
        <v>162</v>
      </c>
      <c r="G7" s="31" t="str">
        <f>IFERROR(__xludf.DUMMYFUNCTION("GOOGLETRANSLATE(F7,""EN"",""FR"")"),"Votre DataSet ADR devrait inclure une ressource * brillante de 90 DATA).
L'ONUSIDA recommande vivement l'utilisation du référentiel de données de sida (ADR) pour stocker vos données d'estimations, à la fois des entrées et des sorties. L'utilisation d'ADR"&amp;" fournit un certain nombre d'avantages et d'efficacité de votre processus d'estimations, y compris un emplacement sécurisé pour stocker vos fichiers de données ainsi que la fonction de validation automatisée afin de garantir que vos données répondent aux "&amp;"exigences de mise en forme et de qualité des données minimales avant de commencer le processus d'estimation. Accédez à votre organisation sur ADR et trouvez le jeu de données de cette année. Téléchargez le fichier de données de test chiné 90 Shiny 90 mis "&amp;"à jour * dans le format requis. L'ONUSIDA a importé les fichiers de données finaux de l'année dernière. Vous devez seulement mettre à jour les fichiers avec des données de l'année en cours.
** Pour télécharger votre fichier de données de test Shiny 90 VI"&amp;"H à l'ADR: **
- Ouvrez votre estimation 2022 Dataset dans l'ADR
- Sous * Ressources manquantes * Trouver ""Données de test de 90 Shiny"" et cliquez sur * Ajouter des données *
- Faites glisser votre fichier de données dans la zone de téléchargement de fi"&amp;"chier
- Ajoutez toutes les notes utiles sur le fichier sous * Description *
- Confirmez que le champ Format est correct
- Si vous souhaitez partager le fichier avec une personne en dehors de votre organisation, vous pouvez le faire sous * restriction d'ac"&amp;"cès *
- Cliquez sur ""Ajouter"" pour télécharger le fichier")</f>
        <v>Votre DataSet ADR devrait inclure une ressource * brillante de 90 DATA).
L'ONUSIDA recommande vivement l'utilisation du référentiel de données de sida (ADR) pour stocker vos données d'estimations, à la fois des entrées et des sorties. L'utilisation d'ADR fournit un certain nombre d'avantages et d'efficacité de votre processus d'estimations, y compris un emplacement sécurisé pour stocker vos fichiers de données ainsi que la fonction de validation automatisée afin de garantir que vos données répondent aux exigences de mise en forme et de qualité des données minimales avant de commencer le processus d'estimation. Accédez à votre organisation sur ADR et trouvez le jeu de données de cette année. Téléchargez le fichier de données de test chiné 90 Shiny 90 mis à jour * dans le format requis. L'ONUSIDA a importé les fichiers de données finaux de l'année dernière. Vous devez seulement mettre à jour les fichiers avec des données de l'année en cours.
** Pour télécharger votre fichier de données de test Shiny 90 VIH à l'ADR: **
- Ouvrez votre estimation 2022 Dataset dans l'ADR
- Sous * Ressources manquantes * Trouver "Données de test de 90 Shiny" et cliquez sur * Ajouter des données *
- Faites glisser votre fichier de données dans la zone de téléchargement de fichier
- Ajoutez toutes les notes utiles sur le fichier sous * Description *
- Confirmez que le champ Format est correct
- Si vous souhaitez partager le fichier avec une personne en dehors de votre organisation, vous pouvez le faire sous * restriction d'accès *
- Cliquez sur "Ajouter" pour télécharger le fichier</v>
      </c>
      <c r="H7" s="31" t="str">
        <f>IFERROR(__xludf.DUMMYFUNCTION("GOOGLETRANSLATE(F7,""EN"",""PT"")"),"Seu conjunto de dados do ADR deve incluir um recurso * Recurso de teste de teste de 90 HIV *.
A UNAIDS recomenda fortemente o uso do repositório de dados da AIDS (ADR) para armazenar seus dados de estimativas, ambas as entradas e saídas. O uso de ADR for"&amp;"nece uma série de vantagens e eficiências para o processo de estimativa, incluindo um local seguro para armazenar seus arquivos de dados, bem como função de validação automatizada para garantir que seus dados atendam a formatação e os requisitos mínimos d"&amp;"e qualidade de dados antes de iniciar o processo de estimativas. Acesse sua organização no ADR e encontre o conjunto de dados deste ano. Envie o arquivo * Atualizado Shiny 90 HIV teste de dados * no formato requerido. A UNAIDS importou os arquivos de dado"&amp;"s finais do ano passado. Você só precisa atualizar os arquivos com dados do ano atual.
** Para fazer upload do seu arquivo de dados de teste de US $ 90 anos para o ADR: **
- Abra suas estimativas 2022 DataSet no ADR
- Em * Faltando Recursos * Encontre "&amp;"""Dados de Testagem Brilhantes 90"" e clique em * Adicionar dados *
- Arraste seu arquivo de dados para a zona de upload do arquivo
- Adicione qualquer anotações úteis sobre o arquivo em * Descrição *
- Confirme o campo Formatar está correto
- Se você des"&amp;"eja compartilhar o arquivo com alguém fora de sua organização, você pode fazê-lo sob * Restrição de acesso *
- Clique em ""Adicionar"" para carregar o arquivo")</f>
        <v>Seu conjunto de dados do ADR deve incluir um recurso * Recurso de teste de teste de 90 HIV *.
A UNAIDS recomenda fortemente o uso do repositório de dados da AIDS (ADR) para armazenar seus dados de estimativas, ambas as entradas e saídas. O uso de ADR fornece uma série de vantagens e eficiências para o processo de estimativa, incluindo um local seguro para armazenar seus arquivos de dados, bem como função de validação automatizada para garantir que seus dados atendam a formatação e os requisitos mínimos de qualidade de dados antes de iniciar o processo de estimativas. Acesse sua organização no ADR e encontre o conjunto de dados deste ano. Envie o arquivo * Atualizado Shiny 90 HIV teste de dados * no formato requerido. A UNAIDS importou os arquivos de dados finais do ano passado. Você só precisa atualizar os arquivos com dados do ano atual.
** Para fazer upload do seu arquivo de dados de teste de US $ 90 anos para o ADR: **
- Abra suas estimativas 2022 DataSet no ADR
- Em * Faltando Recursos * Encontre "Dados de Testagem Brilhantes 90" e clique em * Adicionar dados *
- Arraste seu arquivo de dados para a zona de upload do arquivo
- Adicione qualquer anotações úteis sobre o arquivo em * Descrição *
- Confirme o campo Formatar está correto
- Se você deseja compartilhar o arquivo com alguém fora de sua organização, você pode fazê-lo sob * Restrição de acesso *
- Clique em "Adicionar" para carregar o arquivo</v>
      </c>
      <c r="I7" s="81"/>
      <c r="J7" s="92"/>
      <c r="K7" s="92"/>
      <c r="L7" s="92"/>
      <c r="M7" s="92"/>
      <c r="N7" s="95"/>
      <c r="O7" s="53"/>
      <c r="P7" s="52" t="s">
        <v>163</v>
      </c>
      <c r="Q7" s="97"/>
      <c r="R7" s="97"/>
      <c r="S7" s="97"/>
      <c r="T7" s="97"/>
      <c r="U7" s="97"/>
      <c r="V7" s="97"/>
      <c r="W7" s="97"/>
      <c r="X7" s="97"/>
      <c r="Y7" s="97"/>
      <c r="Z7" s="97"/>
      <c r="AA7" s="97"/>
      <c r="AB7" s="97"/>
      <c r="AC7" s="97"/>
      <c r="AD7" s="97"/>
      <c r="AE7" s="97"/>
      <c r="AF7" s="97"/>
    </row>
    <row r="8" ht="19.5" customHeight="1">
      <c r="A8" s="83" t="s">
        <v>164</v>
      </c>
      <c r="B8" s="85" t="s">
        <v>165</v>
      </c>
      <c r="C8" s="31" t="str">
        <f>IFERROR(__xludf.DUMMYFUNCTION("GOOGLETRANSLATE(B8,""EN"",""FR"")"),"Téléchargez votre fichier de données de programme d'art sur votre jeu de données sur l'ADR")</f>
        <v>Téléchargez votre fichier de données de programme d'art sur votre jeu de données sur l'ADR</v>
      </c>
      <c r="D8" s="31" t="str">
        <f>IFERROR(__xludf.DUMMYFUNCTION("GOOGLETRANSLATE(B8,""EN"",""PT"")"),"Envie seu arquivo de dados do programa de arte para o seu conjunto de dados no ADR")</f>
        <v>Envie seu arquivo de dados do programa de arte para o seu conjunto de dados no ADR</v>
      </c>
      <c r="E8" s="81" t="s">
        <v>166</v>
      </c>
      <c r="F8" s="85" t="s">
        <v>167</v>
      </c>
      <c r="G8" s="31" t="str">
        <f>IFERROR(__xludf.DUMMYFUNCTION("GOOGLETRANSLATE(F8,""EN"",""FR"")"),"Votre DataSet ADR devrait inclure une ressource * Art Data *.
L'ONUSIDA recommande vivement l'utilisation du référentiel de données de sida (ADR) pour stocker vos données d'estimations, à la fois des entrées et des sorties. L'utilisation d'ADR fournit un"&amp;" certain nombre d'avantages et d'efficacité de votre processus d'estimations, y compris un emplacement sécurisé pour stocker vos fichiers de données ainsi que la fonction de validation automatisée afin de garantir que vos données répondent aux exigences d"&amp;"e mise en forme et de qualité des données minimales avant de commencer le processus d'estimation. Accédez à votre organisation sur ADR et trouvez le jeu de données de cette année. Téléchargez le fichier de données d'art * mis à jour * dans le format requi"&amp;"s.
** Pour télécharger vos données d'art sur l'ADR: **
- Ouvrez votre estimation 2022 Dataset dans l'ADR
- Sous * Ressources manquantes * Trouver ""Data Art"" et cliquez sur * Ajouter des données *
- Faites glisser votre fichier de modèle d'art dans la "&amp;"zone de téléchargement de fichier
- Ajoutez toutes les notes utiles sur le fichier sous * Description *
- Confirmez que le champ Format est correct
- Si vous souhaitez partager le fichier avec une personne en dehors de votre organisation, vous pouvez le f"&amp;"aire sous * restriction d'accès *
- Cliquez sur ""Ajouter"" pour télécharger le fichier")</f>
        <v>Votre DataSet ADR devrait inclure une ressource * Art Data *.
L'ONUSIDA recommande vivement l'utilisation du référentiel de données de sida (ADR) pour stocker vos données d'estimations, à la fois des entrées et des sorties. L'utilisation d'ADR fournit un certain nombre d'avantages et d'efficacité de votre processus d'estimations, y compris un emplacement sécurisé pour stocker vos fichiers de données ainsi que la fonction de validation automatisée afin de garantir que vos données répondent aux exigences de mise en forme et de qualité des données minimales avant de commencer le processus d'estimation. Accédez à votre organisation sur ADR et trouvez le jeu de données de cette année. Téléchargez le fichier de données d'art * mis à jour * dans le format requis.
** Pour télécharger vos données d'art sur l'ADR: **
- Ouvrez votre estimation 2022 Dataset dans l'ADR
- Sous * Ressources manquantes * Trouver "Data Art" et cliquez sur * Ajouter des données *
- Faites glisser votre fichier de modèle d'art dans la zone de téléchargement de fichier
- Ajoutez toutes les notes utiles sur le fichier sous * Description *
- Confirmez que le champ Format est correct
- Si vous souhaitez partager le fichier avec une personne en dehors de votre organisation, vous pouvez le faire sous * restriction d'accès *
- Cliquez sur "Ajouter" pour télécharger le fichier</v>
      </c>
      <c r="H8" s="31" t="str">
        <f>IFERROR(__xludf.DUMMYFUNCTION("GOOGLETRANSLATE(F8,""EN"",""PT"")"),"Seu DataSet ADR deve incluir um recurso * Data de arte *.
A UNAIDS recomenda fortemente o uso do repositório de dados da AIDS (ADR) para armazenar seus dados de estimativas, ambas as entradas e saídas. O uso de ADR fornece uma série de vantagens e eficiê"&amp;"ncias para o processo de estimativa, incluindo um local seguro para armazenar seus arquivos de dados, bem como função de validação automatizada para garantir que seus dados atendam a formatação e os requisitos mínimos de qualidade de dados antes de inicia"&amp;"r o processo de estimativas. Acesse sua organização no ADR e encontre o conjunto de dados deste ano. Carregar o arquivo de dados de arte * atualizado * no formato requerido.
** Para carregar seus dados de arte para o ADR: **
- Abra suas estimativas 2022"&amp;" DataSet no ADR
- Under * Faltando Recursos * Encontrar ""Art Data"" e clique em * Adicionar dados *
- Arraste o arquivo de modelo de arte para a zona de upload do arquivo
- Adicione qualquer anotações úteis sobre o arquivo em * Descrição *
- Confirme o c"&amp;"ampo Formatar está correto
- Se você deseja compartilhar o arquivo com alguém fora de sua organização, você pode fazê-lo sob * Restrição de acesso *
- Clique em ""Adicionar"" para carregar o arquivo")</f>
        <v>Seu DataSet ADR deve incluir um recurso * Data de arte *.
A UNAIDS recomenda fortemente o uso do repositório de dados da AIDS (ADR) para armazenar seus dados de estimativas, ambas as entradas e saídas. O uso de ADR fornece uma série de vantagens e eficiências para o processo de estimativa, incluindo um local seguro para armazenar seus arquivos de dados, bem como função de validação automatizada para garantir que seus dados atendam a formatação e os requisitos mínimos de qualidade de dados antes de iniciar o processo de estimativas. Acesse sua organização no ADR e encontre o conjunto de dados deste ano. Carregar o arquivo de dados de arte * atualizado * no formato requerido.
** Para carregar seus dados de arte para o ADR: **
- Abra suas estimativas 2022 DataSet no ADR
- Under * Faltando Recursos * Encontrar "Art Data" e clique em * Adicionar dados *
- Arraste o arquivo de modelo de arte para a zona de upload do arquivo
- Adicione qualquer anotações úteis sobre o arquivo em * Descrição *
- Confirme o campo Formatar está correto
- Se você deseja compartilhar o arquivo com alguém fora de sua organização, você pode fazê-lo sob * Restrição de acesso *
- Clique em "Adicionar" para carregar o arquivo</v>
      </c>
      <c r="I8" s="86" t="s">
        <v>168</v>
      </c>
      <c r="J8" s="31" t="str">
        <f>IFERROR(__xludf.DUMMYFUNCTION("GOOGLETRANSLATE(I8,""EN"",""FR"")"),"Repositoire de données SIDA https://adr.unaids.org/")</f>
        <v>Repositoire de données SIDA https://adr.unaids.org/</v>
      </c>
      <c r="K8" s="31" t="str">
        <f>IFERROR(__xludf.DUMMYFUNCTION("GOOGLETRANSLATE(I8,""EN"",""PT"")"),"Repositório de dados de AIDS https://adr.unaids.org/")</f>
        <v>Repositório de dados de AIDS https://adr.unaids.org/</v>
      </c>
      <c r="L8" s="92"/>
      <c r="M8" s="92"/>
      <c r="N8" s="81"/>
      <c r="O8" s="53"/>
      <c r="P8" s="53" t="s">
        <v>169</v>
      </c>
      <c r="Q8" s="13"/>
      <c r="R8" s="13"/>
      <c r="S8" s="13"/>
      <c r="T8" s="13"/>
      <c r="U8" s="13"/>
      <c r="V8" s="13"/>
      <c r="W8" s="13"/>
      <c r="X8" s="13"/>
      <c r="Y8" s="13"/>
      <c r="Z8" s="13"/>
      <c r="AA8" s="13"/>
      <c r="AB8" s="13"/>
      <c r="AC8" s="13"/>
      <c r="AD8" s="13"/>
      <c r="AE8" s="13"/>
      <c r="AF8" s="13"/>
    </row>
    <row r="9" ht="19.5" customHeight="1">
      <c r="A9" s="83" t="s">
        <v>170</v>
      </c>
      <c r="B9" s="85" t="s">
        <v>171</v>
      </c>
      <c r="C9" s="31" t="str">
        <f>IFERROR(__xludf.DUMMYFUNCTION("GOOGLETRANSLATE(B9,""EN"",""FR"")"),"Téléchargez votre fichier de données ANC sur votre jeu de données sur l'ADR")</f>
        <v>Téléchargez votre fichier de données ANC sur votre jeu de données sur l'ADR</v>
      </c>
      <c r="D9" s="31" t="str">
        <f>IFERROR(__xludf.DUMMYFUNCTION("GOOGLETRANSLATE(B9,""EN"",""PT"")"),"Carregue seu arquivo de dados do ANC para o seu conjunto de dados no ADR")</f>
        <v>Carregue seu arquivo de dados do ANC para o seu conjunto de dados no ADR</v>
      </c>
      <c r="E9" s="81" t="s">
        <v>172</v>
      </c>
      <c r="F9" s="85" t="s">
        <v>173</v>
      </c>
      <c r="G9" s="31" t="str">
        <f>IFERROR(__xludf.DUMMYFUNCTION("GOOGLETRANSLATE(F9,""EN"",""FR"")"),"Votre jeu de données ADR devrait inclure une ressource * ANC DATA *.
L'ONUSIDA recommande vivement l'utilisation du référentiel de données de sida (ADR) pour stocker vos données d'estimations, à la fois des entrées et des sorties. L'utilisation d'ADR fou"&amp;"rnit un certain nombre d'avantages et d'efficacité de votre processus d'estimations, y compris un emplacement sécurisé pour stocker vos fichiers de données ainsi que la fonction de validation automatisée afin de garantir que vos données répondent aux exig"&amp;"ences de mise en forme et de qualité des données minimales avant de commencer le processus d'estimation. Accédez à votre organisation sur ADR et trouvez le jeu de données de cette année. Téléchargez le fichier de données ANC mis à jour * dans le format re"&amp;"quis.
** Pour télécharger votre fichier de données de l'ANC à l'ADR: **
- Ouvrez votre estimation 2022 Dataset dans l'ADR
- Sous * Ressources manquantes * Trouver ""Data ANC"" et cliquez sur * Ajouter des données *
- Faites glisser votre fichier de modè"&amp;"le d'alternatif dans la zone de téléchargement de fichier
- Ajoutez toutes les notes utiles sur le fichier sous * Description *
- Confirmez que le champ Format est correct
- Si vous souhaitez partager le fichier avec une personne en dehors de votre organi"&amp;"sation, vous pouvez le faire sous * restriction d'accès *
- Cliquez sur ""Ajouter"" pour télécharger le fichier")</f>
        <v>Votre jeu de données ADR devrait inclure une ressource * ANC DATA *.
L'ONUSIDA recommande vivement l'utilisation du référentiel de données de sida (ADR) pour stocker vos données d'estimations, à la fois des entrées et des sorties. L'utilisation d'ADR fournit un certain nombre d'avantages et d'efficacité de votre processus d'estimations, y compris un emplacement sécurisé pour stocker vos fichiers de données ainsi que la fonction de validation automatisée afin de garantir que vos données répondent aux exigences de mise en forme et de qualité des données minimales avant de commencer le processus d'estimation. Accédez à votre organisation sur ADR et trouvez le jeu de données de cette année. Téléchargez le fichier de données ANC mis à jour * dans le format requis.
** Pour télécharger votre fichier de données de l'ANC à l'ADR: **
- Ouvrez votre estimation 2022 Dataset dans l'ADR
- Sous * Ressources manquantes * Trouver "Data ANC" et cliquez sur * Ajouter des données *
- Faites glisser votre fichier de modèle d'alternatif dans la zone de téléchargement de fichier
- Ajoutez toutes les notes utiles sur le fichier sous * Description *
- Confirmez que le champ Format est correct
- Si vous souhaitez partager le fichier avec une personne en dehors de votre organisation, vous pouvez le faire sous * restriction d'accès *
- Cliquez sur "Ajouter" pour télécharger le fichier</v>
      </c>
      <c r="H9" s="31" t="str">
        <f>IFERROR(__xludf.DUMMYFUNCTION("GOOGLETRANSLATE(F9,""EN"",""PT"")"),"Seu DataSet ADR deve incluir um recurso * Data * ANC.
A UNAIDS recomenda fortemente o uso do repositório de dados da AIDS (ADR) para armazenar seus dados de estimativas, ambas as entradas e saídas. O uso de ADR fornece uma série de vantagens e eficiência"&amp;"s para o processo de estimativa, incluindo um local seguro para armazenar seus arquivos de dados, bem como função de validação automatizada para garantir que seus dados atendam a formatação e os requisitos mínimos de qualidade de dados antes de iniciar o "&amp;"processo de estimativas. Acesse sua organização no ADR e encontre o conjunto de dados deste ano. Carregue o arquivo de dados * atualizado ANC * no formato requerido.
** Para carregar o seu arquivo de dados do ANC para o ADR: **
- Abra suas estimativas 2"&amp;"022 DataSet no ADR
- Under * Faltando recursos * Encontre ""Dados do ANC"" e clique em * Adicionar dados *
- Arraste seu arquivo de modelo ANC para a zona de upload do arquivo
- Adicione qualquer anotações úteis sobre o arquivo em * Descrição *
- Confirme"&amp;" o campo Formatar está correto
- Se você deseja compartilhar o arquivo com alguém fora de sua organização, você pode fazê-lo sob * Restrição de acesso *
- Clique em ""Adicionar"" para carregar o arquivo")</f>
        <v>Seu DataSet ADR deve incluir um recurso * Data * ANC.
A UNAIDS recomenda fortemente o uso do repositório de dados da AIDS (ADR) para armazenar seus dados de estimativas, ambas as entradas e saídas. O uso de ADR fornece uma série de vantagens e eficiências para o processo de estimativa, incluindo um local seguro para armazenar seus arquivos de dados, bem como função de validação automatizada para garantir que seus dados atendam a formatação e os requisitos mínimos de qualidade de dados antes de iniciar o processo de estimativas. Acesse sua organização no ADR e encontre o conjunto de dados deste ano. Carregue o arquivo de dados * atualizado ANC * no formato requerido.
** Para carregar o seu arquivo de dados do ANC para o ADR: **
- Abra suas estimativas 2022 DataSet no ADR
- Under * Faltando recursos * Encontre "Dados do ANC" e clique em * Adicionar dados *
- Arraste seu arquivo de modelo ANC para a zona de upload do arquivo
- Adicione qualquer anotações úteis sobre o arquivo em * Descrição *
- Confirme o campo Formatar está correto
- Se você deseja compartilhar o arquivo com alguém fora de sua organização, você pode fazê-lo sob * Restrição de acesso *
- Clique em "Adicionar" para carregar o arquivo</v>
      </c>
      <c r="I9" s="86" t="s">
        <v>174</v>
      </c>
      <c r="J9" s="31" t="str">
        <f>IFERROR(__xludf.DUMMYFUNCTION("GOOGLETRANSLATE(I9,""EN"",""FR"")"),"Repositoire de données SIDA https://adr.unaids.org/")</f>
        <v>Repositoire de données SIDA https://adr.unaids.org/</v>
      </c>
      <c r="K9" s="31" t="str">
        <f>IFERROR(__xludf.DUMMYFUNCTION("GOOGLETRANSLATE(I9,""EN"",""PT"")"),"Repositório de dados de AIDS https://adr.unaids.org/")</f>
        <v>Repositório de dados de AIDS https://adr.unaids.org/</v>
      </c>
      <c r="L9" s="92"/>
      <c r="M9" s="92"/>
      <c r="N9" s="81"/>
      <c r="O9" s="53"/>
      <c r="P9" s="53" t="s">
        <v>175</v>
      </c>
      <c r="Q9" s="13"/>
      <c r="R9" s="13"/>
      <c r="S9" s="13"/>
      <c r="T9" s="13"/>
      <c r="U9" s="13"/>
      <c r="V9" s="13"/>
      <c r="W9" s="13"/>
      <c r="X9" s="13"/>
      <c r="Y9" s="13"/>
      <c r="Z9" s="13"/>
      <c r="AA9" s="13"/>
      <c r="AB9" s="13"/>
      <c r="AC9" s="13"/>
      <c r="AD9" s="13"/>
      <c r="AE9" s="13"/>
      <c r="AF9" s="13"/>
    </row>
    <row r="10" ht="19.5" customHeight="1">
      <c r="A10" s="98" t="s">
        <v>176</v>
      </c>
      <c r="B10" s="99" t="s">
        <v>177</v>
      </c>
      <c r="C10" s="99" t="str">
        <f>IFERROR(__xludf.DUMMYFUNCTION("GOOGLETRANSLATE(B10,""EN"",""FR"")"),"Téléchargez le fichier de données VMMC sur votre jeu de données sur l'ADR")</f>
        <v>Téléchargez le fichier de données VMMC sur votre jeu de données sur l'ADR</v>
      </c>
      <c r="D10" s="99" t="str">
        <f>IFERROR(__xludf.DUMMYFUNCTION("GOOGLETRANSLATE(B10,""EN"",""PT"")"),"Carregar o arquivo de dados VMMC para o seu conjunto de dados no ADR")</f>
        <v>Carregar o arquivo de dados VMMC para o seu conjunto de dados no ADR</v>
      </c>
      <c r="E10" s="100" t="s">
        <v>178</v>
      </c>
      <c r="F10" s="99" t="s">
        <v>179</v>
      </c>
      <c r="G10" s="99" t="str">
        <f>IFERROR(__xludf.DUMMYFUNCTION("GOOGLETRANSLATE(F10,""EN"",""FR"")"),"Cette exigence ne s'applique qu'aux 15 pays prioritaires pour la VMMC (voir la liste ci-dessous). Les données seront utilisées pour créer des estimations de couverture de niveau de district de la VMMC dans votre pays. L'ONUSIDA recommande vivement l'utili"&amp;"sation du référentiel de données de sida (ADR) pour stocker vos données d'estimations, à la fois des entrées et des sorties. L'utilisation d'ADR fournit un certain nombre d'avantages et d'efficacité de votre processus d'estimations, y compris un emplaceme"&amp;"nt sécurisé pour stocker vos fichiers de données ainsi que la fonction de validation automatisée afin de garantir que vos données répondent aux exigences de mise en forme et de qualité des données minimales avant de commencer le processus d'estimation. Ac"&amp;"cédez à votre organisation sur ADR et trouvez le jeu de données de cette année. Téléchargez chacun des fichiers requis pour le processus d'estimation de cette année dans le format requis.
Si vous n'êtes * pas * de l'un des 15 pays priorisant la VMMC (voi"&amp;"r ci-dessous), vous pouvez marquer cette tâche complète pour la sauter.
VMMC Pays prioritaires: Botswana, Eswatina, Éthiopie, Kenya, Lesotho, Malawi, Mozambique, Namibie, Rwanda, Afrique du Sud, Ouganda, République-Unie de Tanzanie, Zambie, Zimbabwe.")</f>
        <v>Cette exigence ne s'applique qu'aux 15 pays prioritaires pour la VMMC (voir la liste ci-dessous). Les données seront utilisées pour créer des estimations de couverture de niveau de district de la VMMC dans votre pays. L'ONUSIDA recommande vivement l'utilisation du référentiel de données de sida (ADR) pour stocker vos données d'estimations, à la fois des entrées et des sorties. L'utilisation d'ADR fournit un certain nombre d'avantages et d'efficacité de votre processus d'estimations, y compris un emplacement sécurisé pour stocker vos fichiers de données ainsi que la fonction de validation automatisée afin de garantir que vos données répondent aux exigences de mise en forme et de qualité des données minimales avant de commencer le processus d'estimation. Accédez à votre organisation sur ADR et trouvez le jeu de données de cette année. Téléchargez chacun des fichiers requis pour le processus d'estimation de cette année dans le format requis.
Si vous n'êtes * pas * de l'un des 15 pays priorisant la VMMC (voir ci-dessous), vous pouvez marquer cette tâche complète pour la sauter.
VMMC Pays prioritaires: Botswana, Eswatina, Éthiopie, Kenya, Lesotho, Malawi, Mozambique, Namibie, Rwanda, Afrique du Sud, Ouganda, République-Unie de Tanzanie, Zambie, Zimbabwe.</v>
      </c>
      <c r="H10" s="99" t="str">
        <f>IFERROR(__xludf.DUMMYFUNCTION("GOOGLETRANSLATE(F10,""EN"",""PT"")"),"Este requisito aplica-se apenas aos 15 países que são priorizados para o VMMC (ver lista abaixo). Os dados serão usados ​​para criar estimativas de cobertura de nível distrital do VMMC em seu país. A UNAIDS recomenda fortemente o uso do repositório de dad"&amp;"os da AIDS (ADR) para armazenar seus dados de estimativas, ambas as entradas e saídas. O uso de ADR fornece uma série de vantagens e eficiências para o processo de estimativa, incluindo um local seguro para armazenar seus arquivos de dados, bem como funçã"&amp;"o de validação automatizada para garantir que seus dados atendam a formatação e os requisitos mínimos de qualidade de dados antes de iniciar o processo de estimativas. Acesse sua organização no ADR e encontre o conjunto de dados deste ano. Carregue cada u"&amp;"m dos arquivos necessários para o processo de estimativas deste ano no formato requerido.
Se você não é * de um dos 15 países que priorizam o VMMC (veja abaixo), você pode marcar esta tarefa completa para pular.
VMMC Priority Países: Botsuana, Eswatini"&amp;", Etiópia, Quênia, Lesoto, Malawi, Moçambique, Namíbia, Ruanda, África do Sul, Uganda, República Unida da Tanzânia, Zâmbia, Zimbábue.")</f>
        <v>Este requisito aplica-se apenas aos 15 países que são priorizados para o VMMC (ver lista abaixo). Os dados serão usados ​​para criar estimativas de cobertura de nível distrital do VMMC em seu país. A UNAIDS recomenda fortemente o uso do repositório de dados da AIDS (ADR) para armazenar seus dados de estimativas, ambas as entradas e saídas. O uso de ADR fornece uma série de vantagens e eficiências para o processo de estimativa, incluindo um local seguro para armazenar seus arquivos de dados, bem como função de validação automatizada para garantir que seus dados atendam a formatação e os requisitos mínimos de qualidade de dados antes de iniciar o processo de estimativas. Acesse sua organização no ADR e encontre o conjunto de dados deste ano. Carregue cada um dos arquivos necessários para o processo de estimativas deste ano no formato requerido.
Se você não é * de um dos 15 países que priorizam o VMMC (veja abaixo), você pode marcar esta tarefa completa para pular.
VMMC Priority Países: Botsuana, Eswatini, Etiópia, Quênia, Lesoto, Malawi, Moçambique, Namíbia, Ruanda, África do Sul, Uganda, República Unida da Tanzânia, Zâmbia, Zimbábue.</v>
      </c>
      <c r="I10" s="101" t="s">
        <v>180</v>
      </c>
      <c r="J10" s="102"/>
      <c r="K10" s="102"/>
      <c r="L10" s="102"/>
      <c r="M10" s="102"/>
      <c r="N10" s="103"/>
      <c r="O10" s="104"/>
      <c r="P10" s="105" t="s">
        <v>181</v>
      </c>
      <c r="Q10" s="13"/>
      <c r="R10" s="13"/>
      <c r="S10" s="13"/>
      <c r="T10" s="13"/>
      <c r="U10" s="13"/>
      <c r="V10" s="13"/>
      <c r="W10" s="13"/>
      <c r="X10" s="13"/>
      <c r="Y10" s="13"/>
      <c r="Z10" s="13"/>
      <c r="AA10" s="13"/>
      <c r="AB10" s="13"/>
      <c r="AC10" s="13"/>
      <c r="AD10" s="13"/>
      <c r="AE10" s="13"/>
      <c r="AF10" s="13"/>
    </row>
    <row r="11" ht="19.5" customHeight="1">
      <c r="A11" s="83" t="s">
        <v>182</v>
      </c>
      <c r="B11" s="85" t="s">
        <v>183</v>
      </c>
      <c r="C11" s="31" t="str">
        <f>IFERROR(__xludf.DUMMYFUNCTION("GOOGLETRANSLATE(B11,""EN"",""FR"")"),"Assurez-vous que ADR a validé chacun des fichiers de données de votre ensemble de données")</f>
        <v>Assurez-vous que ADR a validé chacun des fichiers de données de votre ensemble de données</v>
      </c>
      <c r="D11" s="31" t="str">
        <f>IFERROR(__xludf.DUMMYFUNCTION("GOOGLETRANSLATE(B11,""EN"",""PT"")"),"Certifique-se de que o ADR validado cada um dos arquivos de dados no seu conjunto de dados")</f>
        <v>Certifique-se de que o ADR validado cada um dos arquivos de dados no seu conjunto de dados</v>
      </c>
      <c r="E11" s="81" t="s">
        <v>184</v>
      </c>
      <c r="F11" s="85" t="s">
        <v>185</v>
      </c>
      <c r="G11" s="31" t="str">
        <f>IFERROR(__xludf.DUMMYFUNCTION("GOOGLETRANSLATE(F11,""EN"",""FR"")"),"ADR fournit une vérification de la qualité des données Cursory sur tous les fichiers de l'ensemble de données. Assurez-vous de confirmer le badge ""valide"" vert à côté de chaque fichier. Si des fichiers manquent le badge ""valide"" vert, assurez-vous de "&amp;"revoir les problèmes de données identifiés par ADR et de les corriger. Si des modifications sont apportées aux données des fichiers de données estimées, assurez-vous que les modifications sont en cascades sur les systèmes source (par exemple, DHIS2) au be"&amp;"soin. Une fois que les fichiers de données sont téléchargés et valables dans ADR, vous pouvez procéder à Shinyrob pour effectuer des examens plus approfondis de la qualité des données.
Pour résoudre un badge de validation rouge à côté d'une ressource de "&amp;"votre jeu de données, cliquez sur le lien ""Rapport d'erreur"" juste sous le badge. Le rapport d'erreur indiquera les problèmes rencontrés avec vos données. Vous devriez résoudre ces problèmes un par un de l'ordre dans l'ordre dans lequel ils vous sont pr"&amp;"ésentés, car la résolution du premier problème peut à son tour résoudre des problèmes ultérieurs.")</f>
        <v>ADR fournit une vérification de la qualité des données Cursory sur tous les fichiers de l'ensemble de données. Assurez-vous de confirmer le badge "valide" vert à côté de chaque fichier. Si des fichiers manquent le badge "valide" vert, assurez-vous de revoir les problèmes de données identifiés par ADR et de les corriger. Si des modifications sont apportées aux données des fichiers de données estimées, assurez-vous que les modifications sont en cascades sur les systèmes source (par exemple, DHIS2) au besoin. Une fois que les fichiers de données sont téléchargés et valables dans ADR, vous pouvez procéder à Shinyrob pour effectuer des examens plus approfondis de la qualité des données.
Pour résoudre un badge de validation rouge à côté d'une ressource de votre jeu de données, cliquez sur le lien "Rapport d'erreur" juste sous le badge. Le rapport d'erreur indiquera les problèmes rencontrés avec vos données. Vous devriez résoudre ces problèmes un par un de l'ordre dans l'ordre dans lequel ils vous sont présentés, car la résolution du premier problème peut à son tour résoudre des problèmes ultérieurs.</v>
      </c>
      <c r="H11" s="31" t="str">
        <f>IFERROR(__xludf.DUMMYFUNCTION("GOOGLETRANSLATE(F11,""EN"",""PT"")"),"ADR fornece uma verificação de qualidade de dados superficial em todos os arquivos no conjunto de dados. Certifique-se de confirmar o crachá verde ""válido"" ao lado de cada arquivo. Se algum arquivo estiver faltando o emblema verde ""válido"", certifique"&amp;"-se de revisar os problemas de dados identificados pela ADR e corrigi-los. Se quaisquer alterações forem feitas nos dados nas estimativas de arquivos de dados, certifique-se de que as alterações estejam em cascata para os sistemas de origem (por exemplo, "&amp;"DHIS2) conforme necessário. Depois que os arquivos de dados são carregados e válidos em ADR, você pode prosseguir para Shinyrob para realizar revisões mais completas de qualidade de dados.
Para resolver um crachá de validação vermelho ao lado de um recur"&amp;"so no seu conjunto de dados, clique no link ""Relatório de erro"" apenas sob o crachá. O relatório de erros listará os problemas que encontrou com seus dados. Você deve abordar esses problemas um por um na ordem em que eles são apresentados, já que resolv"&amp;"er o primeiro problema pode, por sua vez, resolver problemas posteriores.")</f>
        <v>ADR fornece uma verificação de qualidade de dados superficial em todos os arquivos no conjunto de dados. Certifique-se de confirmar o crachá verde "válido" ao lado de cada arquivo. Se algum arquivo estiver faltando o emblema verde "válido", certifique-se de revisar os problemas de dados identificados pela ADR e corrigi-los. Se quaisquer alterações forem feitas nos dados nas estimativas de arquivos de dados, certifique-se de que as alterações estejam em cascata para os sistemas de origem (por exemplo, DHIS2) conforme necessário. Depois que os arquivos de dados são carregados e válidos em ADR, você pode prosseguir para Shinyrob para realizar revisões mais completas de qualidade de dados.
Para resolver um crachá de validação vermelho ao lado de um recurso no seu conjunto de dados, clique no link "Relatório de erro" apenas sob o crachá. O relatório de erros listará os problemas que encontrou com seus dados. Você deve abordar esses problemas um por um na ordem em que eles são apresentados, já que resolver o primeiro problema pode, por sua vez, resolver problemas posteriores.</v>
      </c>
      <c r="I11" s="86" t="s">
        <v>186</v>
      </c>
      <c r="J11" s="31" t="str">
        <f>IFERROR(__xludf.DUMMYFUNCTION("GOOGLETRANSLATE(I11,""EN"",""FR"")"),"Repositoire de données SIDA https://adr.unaids.org/")</f>
        <v>Repositoire de données SIDA https://adr.unaids.org/</v>
      </c>
      <c r="K11" s="31" t="str">
        <f>IFERROR(__xludf.DUMMYFUNCTION("GOOGLETRANSLATE(I11,""EN"",""PT"")"),"Repositório de dados de AIDS https://adr.unaids.org/")</f>
        <v>Repositório de dados de AIDS https://adr.unaids.org/</v>
      </c>
      <c r="L11" s="81"/>
      <c r="M11" s="81"/>
      <c r="N11" s="81"/>
      <c r="O11" s="53"/>
      <c r="P11" s="53" t="s">
        <v>187</v>
      </c>
      <c r="Q11" s="106"/>
      <c r="R11" s="106"/>
      <c r="S11" s="106"/>
      <c r="T11" s="106"/>
      <c r="U11" s="106"/>
      <c r="V11" s="106"/>
      <c r="W11" s="106"/>
      <c r="X11" s="106"/>
      <c r="Y11" s="106"/>
      <c r="Z11" s="106"/>
      <c r="AA11" s="106"/>
      <c r="AB11" s="106"/>
      <c r="AC11" s="106"/>
      <c r="AD11" s="106"/>
      <c r="AE11" s="106"/>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sheetData>
  <hyperlinks>
    <hyperlink r:id="rId2" ref="I8"/>
    <hyperlink r:id="rId3" ref="I9"/>
    <hyperlink r:id="rId4" ref="I10"/>
    <hyperlink r:id="rId5" ref="I11"/>
  </hyperlinks>
  <printOptions/>
  <pageMargins bottom="0.75" footer="0.0" header="0.0" left="0.7" right="0.7" top="0.75"/>
  <pageSetup orientation="landscape"/>
  <drawing r:id="rId6"/>
  <legacy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0"/>
    <col customWidth="1" min="2" max="2" width="19.75"/>
    <col customWidth="1" hidden="1" min="3" max="3" width="12.63"/>
    <col customWidth="1" hidden="1" min="4" max="4" width="42.88"/>
    <col customWidth="1" min="5" max="5" width="31.0"/>
    <col customWidth="1" min="6" max="6" width="11.75"/>
    <col customWidth="1" hidden="1" min="7" max="7" width="6.38"/>
    <col customWidth="1" hidden="1" min="8" max="8" width="11.0"/>
    <col customWidth="1" min="9" max="9" width="19.13"/>
    <col customWidth="1" hidden="1" min="10" max="10" width="15.25"/>
    <col hidden="1" min="11" max="11" width="12.63"/>
    <col customWidth="1" min="13" max="13" width="34.88"/>
  </cols>
  <sheetData>
    <row r="1" ht="15.75" customHeight="1">
      <c r="A1" s="1" t="s">
        <v>0</v>
      </c>
      <c r="B1" s="107" t="s">
        <v>1</v>
      </c>
      <c r="C1" s="3" t="s">
        <v>2</v>
      </c>
      <c r="D1" s="71" t="s">
        <v>3</v>
      </c>
      <c r="E1" s="108"/>
      <c r="F1" s="109" t="s">
        <v>4</v>
      </c>
      <c r="G1" s="3" t="s">
        <v>5</v>
      </c>
      <c r="H1" s="3" t="s">
        <v>6</v>
      </c>
      <c r="I1" s="60" t="s">
        <v>7</v>
      </c>
      <c r="J1" s="7" t="s">
        <v>8</v>
      </c>
      <c r="K1" s="7" t="s">
        <v>9</v>
      </c>
      <c r="L1" s="61" t="s">
        <v>10</v>
      </c>
    </row>
    <row r="2" ht="48.0" customHeight="1">
      <c r="A2" s="29" t="s">
        <v>40</v>
      </c>
      <c r="B2" s="62" t="s">
        <v>188</v>
      </c>
      <c r="C2" s="16" t="str">
        <f>IFERROR(__xludf.DUMMYFUNCTION("GOOGLETRANSLATE(B2,""EN"",""FR"")"),"Examiner la qualité des entrées de données de programme à l'aide de la fonction de révision des entrées dans Naomi")</f>
        <v>Examiner la qualité des entrées de données de programme à l'aide de la fonction de révision des entrées dans Naomi</v>
      </c>
      <c r="D2" s="73" t="str">
        <f>IFERROR(__xludf.DUMMYFUNCTION("GOOGLETRANSLATE(B2,""EN"",""PT"")"),"Revise a qualidade das entradas de dados do programa usando a função de insumos de revisão em Naomi")</f>
        <v>Revise a qualidade das entradas de dados do programa usando a função de insumos de revisão em Naomi</v>
      </c>
      <c r="E2" s="74"/>
      <c r="F2" s="75" t="s">
        <v>189</v>
      </c>
      <c r="G2" s="16" t="str">
        <f>IFERROR(__xludf.DUMMYFUNCTION("GOOGLETRANSLATE(F2,""EN"",""FR"")"),"La qualité des entrées de données est l'un des déterminants les plus influents de vos estimations du VIH. La fonction des intrants de révision dans Naomi a été développée pour aider les pays à identifier et à résoudre les problèmes de qualité des données "&amp;"dans les entrées de données de programme avant leur utilisation par des modèles estimés. L'ONUSIDA recommande fortement à examiner les équipes de pays et à valider leurs entrées de données de programme à l'aide de la fonction d'intrants d'examen dans Naom"&amp;"i avant le début des travaux dans les modèles.")</f>
        <v>La qualité des entrées de données est l'un des déterminants les plus influents de vos estimations du VIH. La fonction des intrants de révision dans Naomi a été développée pour aider les pays à identifier et à résoudre les problèmes de qualité des données dans les entrées de données de programme avant leur utilisation par des modèles estimés. L'ONUSIDA recommande fortement à examiner les équipes de pays et à valider leurs entrées de données de programme à l'aide de la fonction d'intrants d'examen dans Naomi avant le début des travaux dans les modèles.</v>
      </c>
      <c r="H2" s="73" t="str">
        <f>IFERROR(__xludf.DUMMYFUNCTION("GOOGLETRANSLATE(F2,""EN"",""PT"")"),"A qualidade das entradas de dados é um dos determinantes mais influentes de suas estimativas de HIV. A função de insumos de revisão em Naomi foi desenvolvida para ajudar os países a identificar e resolver problemas de qualidade de dados dentro de insumos "&amp;"de dados de programa antes de serem usados ​​por modelos de estimativas. A UNAIDS recomenda fortemente as equipes do país revisa e validam suas entradas de dados do programa usando a função de insumos de revisão em Naomi antes do início do trabalho nos mo"&amp;"delos.")</f>
        <v>A qualidade das entradas de dados é um dos determinantes mais influentes de suas estimativas de HIV. A função de insumos de revisão em Naomi foi desenvolvida para ajudar os países a identificar e resolver problemas de qualidade de dados dentro de insumos de dados de programa antes de serem usados ​​por modelos de estimativas. A UNAIDS recomenda fortemente as equipes do país revisa e validam suas entradas de dados do programa usando a função de insumos de revisão em Naomi antes do início do trabalho nos modelos.</v>
      </c>
      <c r="I2" s="63" t="s">
        <v>190</v>
      </c>
      <c r="J2" s="16" t="str">
        <f>IFERROR(__xludf.DUMMYFUNCTION("GOOGLETRANSLATE(I2,""EN"",""FR"")"),"L'utilisateur a un compte ADR et une clé ADR et un compte Naomi
L'utilisateur est associé à une organisation de pays dans ADR
Les fichiers de jeu de données du pays pour l'ANC et l'art, y compris le jeu de données sur la hiérarchie de la zone, ont été tél"&amp;"échargés et ont une validation ADR.")</f>
        <v>L'utilisateur a un compte ADR et une clé ADR et un compte Naomi
L'utilisateur est associé à une organisation de pays dans ADR
Les fichiers de jeu de données du pays pour l'ANC et l'art, y compris le jeu de données sur la hiérarchie de la zone, ont été téléchargés et ont une validation ADR.</v>
      </c>
      <c r="K2" s="73" t="str">
        <f>IFERROR(__xludf.DUMMYFUNCTION("GOOGLETRANSLATE(I2,""EN"",""PT"")"),"O usuário possui conta ADR e chave de ADR e conta Naomi
O usuário está associado a uma organização do país em ADR
Arquivos de conjunto de dados do país para ANC e Arte, incluindo o DataSet de Hierarquia de Área, foram carregados e têm uma validação de ADR")</f>
        <v>O usuário possui conta ADR e chave de ADR e conta Naomi
O usuário está associado a uma organização do país em ADR
Arquivos de conjunto de dados do país para ANC e Arte, incluindo o DataSet de Hierarquia de Área, foram carregados e têm uma validação de ADR</v>
      </c>
      <c r="L2" s="77">
        <v>0.2</v>
      </c>
    </row>
    <row r="3" ht="14.25" customHeight="1">
      <c r="A3" s="64"/>
      <c r="B3" s="64"/>
      <c r="C3" s="65"/>
      <c r="D3" s="65"/>
      <c r="E3" s="65"/>
      <c r="F3" s="65"/>
      <c r="G3" s="65"/>
    </row>
    <row r="4" ht="15.75" customHeight="1">
      <c r="A4" s="66" t="s">
        <v>0</v>
      </c>
      <c r="B4" s="66" t="s">
        <v>19</v>
      </c>
      <c r="C4" s="28" t="s">
        <v>20</v>
      </c>
      <c r="D4" s="28" t="s">
        <v>21</v>
      </c>
      <c r="E4" s="66" t="s">
        <v>22</v>
      </c>
      <c r="F4" s="66" t="s">
        <v>23</v>
      </c>
      <c r="G4" s="28" t="s">
        <v>191</v>
      </c>
      <c r="H4" s="28" t="s">
        <v>192</v>
      </c>
      <c r="I4" s="66" t="s">
        <v>24</v>
      </c>
      <c r="J4" s="28" t="s">
        <v>25</v>
      </c>
      <c r="K4" s="28" t="s">
        <v>26</v>
      </c>
      <c r="L4" s="66" t="s">
        <v>27</v>
      </c>
      <c r="M4" s="66" t="s">
        <v>30</v>
      </c>
      <c r="N4" s="67" t="s">
        <v>29</v>
      </c>
      <c r="O4" s="67" t="s">
        <v>28</v>
      </c>
    </row>
    <row r="5" ht="19.5" customHeight="1">
      <c r="A5" s="110" t="s">
        <v>193</v>
      </c>
      <c r="B5" s="110"/>
      <c r="C5" s="111"/>
      <c r="D5" s="111"/>
      <c r="E5" s="111" t="s">
        <v>194</v>
      </c>
      <c r="F5" s="110"/>
      <c r="G5" s="110"/>
      <c r="H5" s="110"/>
      <c r="I5" s="110"/>
      <c r="J5" s="112"/>
      <c r="K5" s="112"/>
      <c r="L5" s="112">
        <v>1.0</v>
      </c>
      <c r="M5" s="113" t="s">
        <v>195</v>
      </c>
      <c r="N5" s="114"/>
      <c r="O5" s="115" t="s">
        <v>196</v>
      </c>
    </row>
    <row r="6" ht="19.5" customHeight="1">
      <c r="A6" s="81" t="s">
        <v>197</v>
      </c>
      <c r="B6" s="39" t="s">
        <v>198</v>
      </c>
      <c r="C6" s="16" t="str">
        <f>IFERROR(__xludf.DUMMYFUNCTION("GOOGLETRANSLATE(B6,""EN"",""FR"")"),"Créer un compte d'utilisateur Naomi")</f>
        <v>Créer un compte d'utilisateur Naomi</v>
      </c>
      <c r="D6" s="73" t="str">
        <f>IFERROR(__xludf.DUMMYFUNCTION("GOOGLETRANSLATE(B6,""EN"",""PT"")"),"Crie uma conta de usuário naomi")</f>
        <v>Crie uma conta de usuário naomi</v>
      </c>
      <c r="E6" s="39" t="s">
        <v>199</v>
      </c>
      <c r="F6" s="41" t="s">
        <v>200</v>
      </c>
      <c r="G6" s="16" t="str">
        <f>IFERROR(__xludf.DUMMYFUNCTION("GOOGLETRANSLATE(F6,""EN"",""FR"")"),"Félicitations, vous avez terminé les estimations précédentes Milestone. Vous êtes maintenant prêt à examiner la qualité de vos données à Naomi (anciennement Shinyrob). Afin d'utiliser la fonction de révision des entrées Naomi, l'ONUSIDA vous recommande de"&amp;" créer un compte utilisateur Naomi. Un compte d'utilisateur Naomi présente de multiples avantages, notamment l'intégration avec ADR et l'accès direct à votre ensemble de données, économie de projet et partage de résultats de projet et de projet final. Si "&amp;"vous n'avez pas déjà de compte, vous pouvez en demander un en remplissant le formulaire de demande de compte d'utilisateur Naomi. Les réponses doivent être immédiates, surtout pendant le temps des ateliers estimés. Si vous préférez, vous pouvez utiliser N"&amp;"aomi comme invité, mais il n'est pas recommandé.")</f>
        <v>Félicitations, vous avez terminé les estimations précédentes Milestone. Vous êtes maintenant prêt à examiner la qualité de vos données à Naomi (anciennement Shinyrob). Afin d'utiliser la fonction de révision des entrées Naomi, l'ONUSIDA vous recommande de créer un compte utilisateur Naomi. Un compte d'utilisateur Naomi présente de multiples avantages, notamment l'intégration avec ADR et l'accès direct à votre ensemble de données, économie de projet et partage de résultats de projet et de projet final. Si vous n'avez pas déjà de compte, vous pouvez en demander un en remplissant le formulaire de demande de compte d'utilisateur Naomi. Les réponses doivent être immédiates, surtout pendant le temps des ateliers estimés. Si vous préférez, vous pouvez utiliser Naomi comme invité, mais il n'est pas recommandé.</v>
      </c>
      <c r="H6" s="73" t="str">
        <f>IFERROR(__xludf.DUMMYFUNCTION("GOOGLETRANSLATE(F6,""EN"",""PT"")"),"Parabéns, você completou o marco da estimativa anterior. Agora você está pronto para rever a qualidade de seus dados em Naomi (anteriormente Shinyrob). Para usar a função de revisão de entradas Naomi, a UNAIDS recomenda que você crie uma conta de usuário "&amp;"naomi. Uma conta de usuário naomi possui várias vantagens, incluindo a integração com ADR e acesso direto ao seu conjunto de dados, economia de projetos e compartilhamento de resultados de projetos de rascunho e final. Se você ainda não tiver uma conta, v"&amp;"ocê poderá solicitar um preenchendo o formulário BREVE do Solicitação da Conta de Usuário Naomi. As respostas devem ser imediatas, especialmente durante o tempo das estimativas de workshops. Se preferir, você pode usar Naomi como convidado, mas não é reco"&amp;"mendado.")</f>
        <v>Parabéns, você completou o marco da estimativa anterior. Agora você está pronto para rever a qualidade de seus dados em Naomi (anteriormente Shinyrob). Para usar a função de revisão de entradas Naomi, a UNAIDS recomenda que você crie uma conta de usuário naomi. Uma conta de usuário naomi possui várias vantagens, incluindo a integração com ADR e acesso direto ao seu conjunto de dados, economia de projetos e compartilhamento de resultados de projetos de rascunho e final. Se você ainda não tiver uma conta, você poderá solicitar um preenchendo o formulário BREVE do Solicitação da Conta de Usuário Naomi. As respostas devem ser imediatas, especialmente durante o tempo das estimativas de workshops. Se preferir, você pode usar Naomi como convidado, mas não é recomendado.</v>
      </c>
      <c r="I6" s="39" t="s">
        <v>201</v>
      </c>
      <c r="J6" s="16" t="str">
        <f>IFERROR(__xludf.DUMMYFUNCTION("GOOGLETRANSLATE(I6,""EN"",""FR"")"),"Formulaire de demande de compte d'utilisateur Naomi https://forms.office.com/r/7s9emiggr4")</f>
        <v>Formulaire de demande de compte d'utilisateur Naomi https://forms.office.com/r/7s9emiggr4</v>
      </c>
      <c r="K6" s="73" t="str">
        <f>IFERROR(__xludf.DUMMYFUNCTION("GOOGLETRANSLATE(I6,""EN"",""PT"")"),"Formulário de solicitação de conta de usuário naomi https://forms.office.com/r/7s9emiggr4")</f>
        <v>Formulário de solicitação de conta de usuário naomi https://forms.office.com/r/7s9emiggr4</v>
      </c>
      <c r="L6" s="116">
        <v>1.0</v>
      </c>
      <c r="M6" s="117"/>
      <c r="N6" s="39"/>
      <c r="O6" s="41" t="s">
        <v>202</v>
      </c>
    </row>
    <row r="7" ht="19.5" customHeight="1">
      <c r="A7" s="81" t="s">
        <v>203</v>
      </c>
      <c r="B7" s="39" t="s">
        <v>204</v>
      </c>
      <c r="C7" s="16" t="str">
        <f>IFERROR(__xludf.DUMMYFUNCTION("GOOGLETRANSLATE(B7,""EN"",""FR"")"),"Connectez-vous à Naomi")</f>
        <v>Connectez-vous à Naomi</v>
      </c>
      <c r="D7" s="73" t="str">
        <f>IFERROR(__xludf.DUMMYFUNCTION("GOOGLETRANSLATE(B7,""EN"",""PT"")"),"Faça o login em Naomi")</f>
        <v>Faça o login em Naomi</v>
      </c>
      <c r="E7" s="39" t="s">
        <v>205</v>
      </c>
      <c r="F7" s="41" t="s">
        <v>206</v>
      </c>
      <c r="G7" s="16" t="str">
        <f>IFERROR(__xludf.DUMMYFUNCTION("GOOGLETRANSLATE(F7,""EN"",""FR"")"),"Afin de tirer pleinement parti des fonctionnalités de Naomi, l'ONUSIDA vous recommande de vous connecter au système avec votre compte d'utilisateur. Il existe de nombreux avantages à se connecter à Naomi, tels que l'intégration avec l'ADR et l'accès direc"&amp;"t à votre ensemble de données d'estimations, à la sauvegarde de projet et au partage des résultats du projet et de projet final. Si vous ne vous connectez pas, vous ne pourrez pas tirer vos données. d'ADR ni d'enregistrement de projets et de versions. Se "&amp;"connecter à Naomi, allez à Naomi.Unaids.org. Cliquez sur le bouton ""Connexion"" dans le coin supérieur droit de la page d'accueil pour entrer vos informations de connexion.")</f>
        <v>Afin de tirer pleinement parti des fonctionnalités de Naomi, l'ONUSIDA vous recommande de vous connecter au système avec votre compte d'utilisateur. Il existe de nombreux avantages à se connecter à Naomi, tels que l'intégration avec l'ADR et l'accès direct à votre ensemble de données d'estimations, à la sauvegarde de projet et au partage des résultats du projet et de projet final. Si vous ne vous connectez pas, vous ne pourrez pas tirer vos données. d'ADR ni d'enregistrement de projets et de versions. Se connecter à Naomi, allez à Naomi.Unaids.org. Cliquez sur le bouton "Connexion" dans le coin supérieur droit de la page d'accueil pour entrer vos informations de connexion.</v>
      </c>
      <c r="H7" s="73" t="str">
        <f>IFERROR(__xludf.DUMMYFUNCTION("GOOGLETRANSLATE(F7,""EN"",""PT"")"),"Para aproveitar ao máximo a funcionalidade da Naomi, a UNAIDS recomenda que você faça login no sistema com sua conta de usuário. Existem muitas vantagens em fazer login em Naomi, como integração com ADR e acesso direto às suas estimativas de dados, econom"&amp;"ia de projetos e compartilhamento de resultados de projetos de rascunho e final .. Se você não fizer login, você não poderá realizar seus dados de ADR nem salvar projetos e versões. Para entrar em Naomi, vá para Naomi.Unaids.org. Clique no botão 'Login' n"&amp;"o canto superior direito da página inicial para inserir seus detalhes de login.")</f>
        <v>Para aproveitar ao máximo a funcionalidade da Naomi, a UNAIDS recomenda que você faça login no sistema com sua conta de usuário. Existem muitas vantagens em fazer login em Naomi, como integração com ADR e acesso direto às suas estimativas de dados, economia de projetos e compartilhamento de resultados de projetos de rascunho e final .. Se você não fizer login, você não poderá realizar seus dados de ADR nem salvar projetos e versões. Para entrar em Naomi, vá para Naomi.Unaids.org. Clique no botão 'Login' no canto superior direito da página inicial para inserir seus detalhes de login.</v>
      </c>
      <c r="I7" s="118" t="s">
        <v>207</v>
      </c>
      <c r="J7" s="16" t="str">
        <f>IFERROR(__xludf.DUMMYFUNCTION("GOOGLETRANSLATE(I7,""EN"",""FR"")"),"Connectez-vous à Naomi https://naomi.unaids.org/login")</f>
        <v>Connectez-vous à Naomi https://naomi.unaids.org/login</v>
      </c>
      <c r="K7" s="73" t="str">
        <f>IFERROR(__xludf.DUMMYFUNCTION("GOOGLETRANSLATE(I7,""EN"",""PT"")"),"Entrar para Naomi https://naomi.onaids.org/login")</f>
        <v>Entrar para Naomi https://naomi.onaids.org/login</v>
      </c>
      <c r="L7" s="116">
        <v>1.0</v>
      </c>
      <c r="M7" s="117"/>
      <c r="N7" s="39"/>
      <c r="O7" s="41" t="s">
        <v>208</v>
      </c>
    </row>
    <row r="8" ht="19.5" customHeight="1">
      <c r="A8" s="81" t="s">
        <v>209</v>
      </c>
      <c r="B8" s="39" t="s">
        <v>210</v>
      </c>
      <c r="C8" s="16" t="str">
        <f>IFERROR(__xludf.DUMMYFUNCTION("GOOGLETRANSLATE(B8,""EN"",""FR"")"),"Créer un projet à Naomi pour la période de reporting actuelle")</f>
        <v>Créer un projet à Naomi pour la période de reporting actuelle</v>
      </c>
      <c r="D8" s="73" t="str">
        <f>IFERROR(__xludf.DUMMYFUNCTION("GOOGLETRANSLATE(B8,""EN"",""PT"")"),"Crie um projeto em Naomi para o período atual de relatórios")</f>
        <v>Crie um projeto em Naomi para o período atual de relatórios</v>
      </c>
      <c r="E8" s="39" t="s">
        <v>211</v>
      </c>
      <c r="F8" s="39" t="s">
        <v>212</v>
      </c>
      <c r="G8" s="16" t="str">
        <f>IFERROR(__xludf.DUMMYFUNCTION("GOOGLETRANSLATE(F8,""EN"",""FR"")"),"La première étape pour utiliser Naomi, même pour la fonction d'examen des entrées, est de créer un projet. Chaque projet Naomi aura ses propres données et paramètres. Si vous êtes connecté, vous pouvez enregistrer plusieurs projets et tester différentes o"&amp;"ptions de données et de modèles à comparaison. Pour créer un projet, entrez simplement un nom pour le projet, puis cliquez sur le bouton ""Créer le projet"".")</f>
        <v>La première étape pour utiliser Naomi, même pour la fonction d'examen des entrées, est de créer un projet. Chaque projet Naomi aura ses propres données et paramètres. Si vous êtes connecté, vous pouvez enregistrer plusieurs projets et tester différentes options de données et de modèles à comparaison. Pour créer un projet, entrez simplement un nom pour le projet, puis cliquez sur le bouton "Créer le projet".</v>
      </c>
      <c r="H8" s="73" t="str">
        <f>IFERROR(__xludf.DUMMYFUNCTION("GOOGLETRANSLATE(F8,""EN"",""PT"")"),"O primeiro passo para usar Naomi, mesmo para a função de revisão de insumos, é criar um projeto. Cada projeto Naomi terá seus próprios dados e configurações. Se você estiver logado, poderá salvar vários projetos e testar dados diferentes e opções de model"&amp;"os para comparação. Para criar um projeto, basta digitar um nome para o projeto e clicar no botão 'Create Project'.")</f>
        <v>O primeiro passo para usar Naomi, mesmo para a função de revisão de insumos, é criar um projeto. Cada projeto Naomi terá seus próprios dados e configurações. Se você estiver logado, poderá salvar vários projetos e testar dados diferentes e opções de modelos para comparação. Para criar um projeto, basta digitar um nome para o projeto e clicar no botão 'Create Project'.</v>
      </c>
      <c r="I8" s="118" t="s">
        <v>213</v>
      </c>
      <c r="J8" s="16" t="str">
        <f>IFERROR(__xludf.DUMMYFUNCTION("GOOGLETRANSLATE(I8,""EN"",""FR"")"),"Naomi https://naomi.unaids.org/")</f>
        <v>Naomi https://naomi.unaids.org/</v>
      </c>
      <c r="K8" s="73" t="str">
        <f>IFERROR(__xludf.DUMMYFUNCTION("GOOGLETRANSLATE(I8,""EN"",""PT"")"),"Naomi https://naomi.onaids.org/")</f>
        <v>Naomi https://naomi.onaids.org/</v>
      </c>
      <c r="L8" s="116">
        <v>1.0</v>
      </c>
      <c r="M8" s="117"/>
      <c r="N8" s="39"/>
      <c r="O8" s="41" t="s">
        <v>214</v>
      </c>
    </row>
    <row r="9" ht="19.5" customHeight="1">
      <c r="A9" s="81" t="s">
        <v>215</v>
      </c>
      <c r="B9" s="85" t="s">
        <v>216</v>
      </c>
      <c r="C9" s="16" t="str">
        <f>IFERROR(__xludf.DUMMYFUNCTION("GOOGLETRANSLATE(B9,""EN"",""FR"")"),"Sélectionnez les jeux de données que vous souhaitez examiner")</f>
        <v>Sélectionnez les jeux de données que vous souhaitez examiner</v>
      </c>
      <c r="D9" s="73" t="str">
        <f>IFERROR(__xludf.DUMMYFUNCTION("GOOGLETRANSLATE(B9,""EN"",""PT"")"),"Selecione os conjuntos de dados que você gostaria de rever")</f>
        <v>Selecione os conjuntos de dados que você gostaria de rever</v>
      </c>
      <c r="E9" s="119" t="s">
        <v>217</v>
      </c>
      <c r="F9" s="85" t="s">
        <v>218</v>
      </c>
      <c r="G9" s="16" t="str">
        <f>IFERROR(__xludf.DUMMYFUNCTION("GOOGLETRANSLATE(F9,""EN"",""FR"")"),"Afin d'utiliser les puissantes analyses de qualité de données fournies par la fonction d'examen des entrées de Naomi, vous devez sélectionner le jeu de données correspondant pour cette année, y compris le package de données géographiques (fichier de limit"&amp;"e de zone nommé dans ADR), le package de données d'art et le package de données ANC. Bien que non recommandé par l'ONUSIDA, vous pouvez également télécharger les fichiers individuellement à Naomi.
** Vous pouvez utiliser le fichier de spectre de l'année "&amp;"dernière pour le processus de révision des données. Le fichier de spectre n'est requis que pour créer un nouveau projet et ne sera pas utilisé dans ce processus. **")</f>
        <v>Afin d'utiliser les puissantes analyses de qualité de données fournies par la fonction d'examen des entrées de Naomi, vous devez sélectionner le jeu de données correspondant pour cette année, y compris le package de données géographiques (fichier de limite de zone nommé dans ADR), le package de données d'art et le package de données ANC. Bien que non recommandé par l'ONUSIDA, vous pouvez également télécharger les fichiers individuellement à Naomi.
** Vous pouvez utiliser le fichier de spectre de l'année dernière pour le processus de révision des données. Le fichier de spectre n'est requis que pour créer un nouveau projet et ne sera pas utilisé dans ce processus. **</v>
      </c>
      <c r="H9" s="73" t="str">
        <f>IFERROR(__xludf.DUMMYFUNCTION("GOOGLETRANSLATE(F9,""EN"",""PT"")"),"Para utilizar as poderosas análises de qualidade de dados fornecidas pela função de revisão de entradas da Naomi, você deve selecionar o conjunto de dados relevante para este ano, incluindo o pacote de dados geográficos (arquivo de limite de área nomeado "&amp;"em ADR), pacote de dados de arte e pacote de dados do ANC. Embora não seja recomendado pela UNAIDS, você também pode carregar os arquivos individualmente para Naomi.
** Você pode usar o arquivo de espectro do ano passado para o processo de revisão de dad"&amp;"os. O arquivo de espectro é necessário apenas para criar um novo projeto e não será usado neste processo. **")</f>
        <v>Para utilizar as poderosas análises de qualidade de dados fornecidas pela função de revisão de entradas da Naomi, você deve selecionar o conjunto de dados relevante para este ano, incluindo o pacote de dados geográficos (arquivo de limite de área nomeado em ADR), pacote de dados de arte e pacote de dados do ANC. Embora não seja recomendado pela UNAIDS, você também pode carregar os arquivos individualmente para Naomi.
** Você pode usar o arquivo de espectro do ano passado para o processo de revisão de dados. O arquivo de espectro é necessário apenas para criar um novo projeto e não será usado neste processo. **</v>
      </c>
      <c r="I9" s="118" t="s">
        <v>219</v>
      </c>
      <c r="J9" s="16" t="str">
        <f>IFERROR(__xludf.DUMMYFUNCTION("GOOGLETRANSLATE(I9,""EN"",""FR"")"),"Naomi https://naomi.unaids.org/")</f>
        <v>Naomi https://naomi.unaids.org/</v>
      </c>
      <c r="K9" s="73" t="str">
        <f>IFERROR(__xludf.DUMMYFUNCTION("GOOGLETRANSLATE(I9,""EN"",""PT"")"),"Naomi https://naomi.onaids.org/")</f>
        <v>Naomi https://naomi.onaids.org/</v>
      </c>
      <c r="L9" s="116">
        <v>1.0</v>
      </c>
      <c r="M9" s="117"/>
      <c r="N9" s="39"/>
      <c r="O9" s="41" t="s">
        <v>220</v>
      </c>
    </row>
    <row r="10" ht="19.5" customHeight="1">
      <c r="A10" s="81" t="s">
        <v>221</v>
      </c>
      <c r="B10" s="85" t="s">
        <v>222</v>
      </c>
      <c r="C10" s="16" t="str">
        <f>IFERROR(__xludf.DUMMYFUNCTION("GOOGLETRANSLATE(B10,""EN"",""FR"")"),"Examiner les résultats de la série temporelle pour votre fichier de données de l'ANC et d'art")</f>
        <v>Examiner les résultats de la série temporelle pour votre fichier de données de l'ANC et d'art</v>
      </c>
      <c r="D10" s="73" t="str">
        <f>IFERROR(__xludf.DUMMYFUNCTION("GOOGLETRANSLATE(B10,""EN"",""PT"")"),"Resultados da série temporal de revisão para o seu arquivo de dados do ANC e da arte")</f>
        <v>Resultados da série temporal de revisão para o seu arquivo de dados do ANC e da arte</v>
      </c>
      <c r="E10" s="119" t="s">
        <v>223</v>
      </c>
      <c r="F10" s="85" t="s">
        <v>224</v>
      </c>
      <c r="G10" s="16" t="str">
        <f>IFERROR(__xludf.DUMMYFUNCTION("GOOGLETRANSLATE(F10,""EN"",""FR"")"),"La fonction de révision des entrées Naomi fournit un certain nombre de visualisations puissantes pour aider les équipes de pays à identifier des problèmes de qualité des données. L'ONUSIDA recommande aux équipes de pays de voir chacune des options de parc"&amp;"elle disponibles pour l'art et l'ANC. La sélection de ces différentes options vous présentera les tendances de données de chaque district pour les années incluses dans votre fichier de données. Les anomolies de données potentielles seront mises en évidenc"&amp;"e par des lignes rouges.
Il est important de documenter les anomoliens avec votre équipe pour enquêter plus loin. Engagez vos homologues de district pour rechercher et résoudre des anomolies. N'oubliez pas que les problèmes de qualité des données peuvent"&amp;" avoir un impact majeur sur vos estimations. ** Vos résultats des estimations ne sont que aussi bons que la qualité de votre ensemble de données. L'ONUSIDA recommande fortement de corriger toutes les données erronées dans le système source et les modèles "&amp;"d'entrée avant de procéder au processus de votre estimation. ** Une fois vos fichiers de données corrigés, vous pouvez les télécharger à ADR au lieu des versions précédentes avec des erreurs. Une fois que vous êtes pleinement satisfait de la qualité de to"&amp;"us les fichiers de données, vous pouvez poursuivre le processus d'estimation, en commençant par MILESTONE 4 - Entrez des données dans Spectrum.
** Remarque Vous ne devez utiliser que la fonction de révision des entrées à ce stade. Ne continuez pas avec l"&amp;"es autres fonctions de Naomi. Vous terminerez le jalon de spectre avant de retourner à Naomi. Une fois que vous avez terminé votre examen de la qualité des données et vos corrections, vous pouvez quitter Naomi et revenir à Navigator pour passer au Spectru"&amp;"m Milestone. ***")</f>
        <v>La fonction de révision des entrées Naomi fournit un certain nombre de visualisations puissantes pour aider les équipes de pays à identifier des problèmes de qualité des données. L'ONUSIDA recommande aux équipes de pays de voir chacune des options de parcelle disponibles pour l'art et l'ANC. La sélection de ces différentes options vous présentera les tendances de données de chaque district pour les années incluses dans votre fichier de données. Les anomolies de données potentielles seront mises en évidence par des lignes rouges.
Il est important de documenter les anomoliens avec votre équipe pour enquêter plus loin. Engagez vos homologues de district pour rechercher et résoudre des anomolies. N'oubliez pas que les problèmes de qualité des données peuvent avoir un impact majeur sur vos estimations. ** Vos résultats des estimations ne sont que aussi bons que la qualité de votre ensemble de données. L'ONUSIDA recommande fortement de corriger toutes les données erronées dans le système source et les modèles d'entrée avant de procéder au processus de votre estimation. ** Une fois vos fichiers de données corrigés, vous pouvez les télécharger à ADR au lieu des versions précédentes avec des erreurs. Une fois que vous êtes pleinement satisfait de la qualité de tous les fichiers de données, vous pouvez poursuivre le processus d'estimation, en commençant par MILESTONE 4 - Entrez des données dans Spectrum.
** Remarque Vous ne devez utiliser que la fonction de révision des entrées à ce stade. Ne continuez pas avec les autres fonctions de Naomi. Vous terminerez le jalon de spectre avant de retourner à Naomi. Une fois que vous avez terminé votre examen de la qualité des données et vos corrections, vous pouvez quitter Naomi et revenir à Navigator pour passer au Spectrum Milestone. ***</v>
      </c>
      <c r="H10" s="73" t="str">
        <f>IFERROR(__xludf.DUMMYFUNCTION("GOOGLETRANSLATE(F10,""EN"",""PT"")"),"A função de revisão de entradas Naomi fornece uma série de visualizações poderosas para ajudar as equipes do país a identificar problemas de qualidade de dados. A UNAIDS recomenda que as equipes do país vejam cada uma das opções de enredo disponíveis para"&amp;" a arte e ANC. Selecionar essas opções diferentes apresentará você com as tendências de dados de cada distrito para os anos incluídos no seu arquivo de dados. Anomólias potenciais de dados serão destacadas por linhas vermelhas.
É importante documentar qu"&amp;"aisquer anomólias com sua equipe para investigar mais. Envolva suas contrapartes distritais para investigar e resolver anomolias. Lembre-se, os problemas de qualidade de dados podem ter um grande impacto em suas estimativas. ** Suas saídas das estimativas"&amp;" são tão boas quanto a qualidade do seu conjunto de dados. A UNAIDS recomenda fortemente corrigir quaisquer dados errados no sistema de origem e nos modelos de entradas antes de prosseguir com o processo de estimativas. ** Uma vez que seus arquivos de dad"&amp;"os tenham sido corrigidos, você pode enviá-los para ADR em vez das versões anteriores com erros. Depois de estar totalmente satisfeito com a qualidade de todos os arquivos de dados, você pode prosseguir com o processo de estimativas, começando com o Miles"&amp;"tone 4 - insira os dados no espectro.
** Nota Você só deve estar usando a função de revisão de entradas neste momento. Não prossiga com as outras funções de Naomi. Você completará o marco do espectro antes de retornar a Naomi. Depois de concluir sua revi"&amp;"são e correções de qualidade de dados, você pode deixar Naomi e retornar ao Navegador para prosseguir para o marco do espectro. ***")</f>
        <v>A função de revisão de entradas Naomi fornece uma série de visualizações poderosas para ajudar as equipes do país a identificar problemas de qualidade de dados. A UNAIDS recomenda que as equipes do país vejam cada uma das opções de enredo disponíveis para a arte e ANC. Selecionar essas opções diferentes apresentará você com as tendências de dados de cada distrito para os anos incluídos no seu arquivo de dados. Anomólias potenciais de dados serão destacadas por linhas vermelhas.
É importante documentar quaisquer anomólias com sua equipe para investigar mais. Envolva suas contrapartes distritais para investigar e resolver anomolias. Lembre-se, os problemas de qualidade de dados podem ter um grande impacto em suas estimativas. ** Suas saídas das estimativas são tão boas quanto a qualidade do seu conjunto de dados. A UNAIDS recomenda fortemente corrigir quaisquer dados errados no sistema de origem e nos modelos de entradas antes de prosseguir com o processo de estimativas. ** Uma vez que seus arquivos de dados tenham sido corrigidos, você pode enviá-los para ADR em vez das versões anteriores com erros. Depois de estar totalmente satisfeito com a qualidade de todos os arquivos de dados, você pode prosseguir com o processo de estimativas, começando com o Milestone 4 - insira os dados no espectro.
** Nota Você só deve estar usando a função de revisão de entradas neste momento. Não prossiga com as outras funções de Naomi. Você completará o marco do espectro antes de retornar a Naomi. Depois de concluir sua revisão e correções de qualidade de dados, você pode deixar Naomi e retornar ao Navegador para prosseguir para o marco do espectro. ***</v>
      </c>
      <c r="I10" s="118" t="s">
        <v>225</v>
      </c>
      <c r="J10" s="16" t="str">
        <f>IFERROR(__xludf.DUMMYFUNCTION("GOOGLETRANSLATE(I10,""EN"",""FR"")"),"Naomi https://naomi.unaids.org/")</f>
        <v>Naomi https://naomi.unaids.org/</v>
      </c>
      <c r="K10" s="73" t="str">
        <f>IFERROR(__xludf.DUMMYFUNCTION("GOOGLETRANSLATE(I10,""EN"",""PT"")"),"Naomi https://naomi.onaids.org/")</f>
        <v>Naomi https://naomi.onaids.org/</v>
      </c>
      <c r="L10" s="120">
        <v>1.0</v>
      </c>
      <c r="M10" s="121"/>
      <c r="N10" s="38"/>
      <c r="O10" s="41" t="s">
        <v>226</v>
      </c>
    </row>
    <row r="11" ht="14.25" customHeight="1">
      <c r="C11" s="45"/>
      <c r="D11" s="45"/>
      <c r="E11" s="45"/>
      <c r="F11" s="45"/>
      <c r="G11" s="45"/>
    </row>
    <row r="12" ht="14.25" customHeight="1">
      <c r="C12" s="45"/>
      <c r="D12" s="45"/>
      <c r="E12" s="45"/>
      <c r="F12" s="45"/>
      <c r="G12" s="45"/>
    </row>
    <row r="13" ht="14.25" customHeight="1">
      <c r="C13" s="45"/>
      <c r="D13" s="45"/>
      <c r="E13" s="45"/>
      <c r="F13" s="45"/>
      <c r="G13" s="45"/>
    </row>
    <row r="14" ht="14.25" customHeight="1">
      <c r="C14" s="45"/>
      <c r="D14" s="45"/>
      <c r="E14" s="45"/>
      <c r="F14" s="45"/>
      <c r="G14" s="45"/>
    </row>
    <row r="15" ht="14.25" customHeight="1">
      <c r="C15" s="45"/>
      <c r="D15" s="45"/>
      <c r="E15" s="45"/>
      <c r="F15" s="45"/>
      <c r="G15" s="45"/>
    </row>
    <row r="16" ht="14.25" customHeight="1">
      <c r="C16" s="45"/>
      <c r="D16" s="45"/>
      <c r="E16" s="45"/>
      <c r="F16" s="45"/>
      <c r="G16" s="45"/>
    </row>
    <row r="17" ht="14.25" customHeight="1">
      <c r="C17" s="45"/>
      <c r="D17" s="45"/>
      <c r="E17" s="45"/>
      <c r="F17" s="45"/>
      <c r="G17" s="45"/>
    </row>
    <row r="18" ht="14.25" customHeight="1">
      <c r="C18" s="45"/>
      <c r="D18" s="45"/>
      <c r="E18" s="45"/>
      <c r="F18" s="45"/>
      <c r="G18" s="45"/>
    </row>
    <row r="19" ht="14.25" customHeight="1">
      <c r="C19" s="45"/>
      <c r="D19" s="45"/>
      <c r="E19" s="45"/>
      <c r="F19" s="45"/>
      <c r="G19" s="45"/>
    </row>
    <row r="20" ht="14.25" customHeight="1">
      <c r="C20" s="45"/>
      <c r="D20" s="45"/>
      <c r="E20" s="45"/>
      <c r="F20" s="45"/>
      <c r="G20" s="45"/>
    </row>
    <row r="21" ht="14.25" customHeight="1">
      <c r="C21" s="45"/>
      <c r="D21" s="45"/>
      <c r="E21" s="45"/>
      <c r="F21" s="45"/>
      <c r="G21" s="45"/>
    </row>
    <row r="22" ht="14.25" customHeight="1">
      <c r="C22" s="45"/>
      <c r="D22" s="45"/>
      <c r="E22" s="45"/>
      <c r="F22" s="45"/>
      <c r="G22" s="45"/>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7"/>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8.13"/>
    <col customWidth="1" min="2" max="2" width="22.38"/>
    <col customWidth="1" min="3" max="3" width="12.75"/>
    <col customWidth="1" hidden="1" min="4" max="4" width="17.5"/>
    <col customWidth="1" hidden="1" min="5" max="5" width="24.13"/>
    <col customWidth="1" min="6" max="6" width="40.63"/>
    <col customWidth="1" min="7" max="7" width="12.13"/>
    <col customWidth="1" hidden="1" min="8" max="8" width="12.13"/>
    <col customWidth="1" hidden="1" min="9" max="9" width="17.13"/>
    <col customWidth="1" min="10" max="10" width="30.75"/>
    <col customWidth="1" hidden="1" min="11" max="11" width="27.13"/>
    <col hidden="1" min="12" max="12" width="12.63"/>
  </cols>
  <sheetData>
    <row r="1" ht="12.0" customHeight="1">
      <c r="A1" s="122"/>
      <c r="B1" s="1" t="s">
        <v>0</v>
      </c>
      <c r="C1" s="107" t="s">
        <v>1</v>
      </c>
      <c r="D1" s="3" t="s">
        <v>2</v>
      </c>
      <c r="E1" s="71" t="s">
        <v>3</v>
      </c>
      <c r="F1" s="108"/>
      <c r="G1" s="109" t="s">
        <v>4</v>
      </c>
      <c r="H1" s="3" t="s">
        <v>5</v>
      </c>
      <c r="I1" s="3" t="s">
        <v>6</v>
      </c>
      <c r="J1" s="60" t="s">
        <v>7</v>
      </c>
      <c r="K1" s="7" t="s">
        <v>8</v>
      </c>
      <c r="L1" s="7" t="s">
        <v>9</v>
      </c>
      <c r="M1" s="61" t="s">
        <v>10</v>
      </c>
    </row>
    <row r="2" ht="19.5" customHeight="1">
      <c r="A2" s="123"/>
      <c r="B2" s="29" t="s">
        <v>43</v>
      </c>
      <c r="C2" s="77" t="s">
        <v>227</v>
      </c>
      <c r="D2" s="16" t="str">
        <f>IFERROR(__xludf.DUMMYFUNCTION("GOOGLETRANSLATE(C2,""EN"",""FR"")"),"Entrez les données dans Spectrum")</f>
        <v>Entrez les données dans Spectrum</v>
      </c>
      <c r="E2" s="73" t="str">
        <f>IFERROR(__xludf.DUMMYFUNCTION("GOOGLETRANSLATE(C2,""EN"",""PT"")"),"Digite os dados no espectro")</f>
        <v>Digite os dados no espectro</v>
      </c>
      <c r="F2" s="124"/>
      <c r="G2" s="125" t="s">
        <v>228</v>
      </c>
      <c r="H2" s="16" t="str">
        <f>IFERROR(__xludf.DUMMYFUNCTION("GOOGLETRANSLATE(G2,""EN"",""FR"")"),"Vous utiliserez le modèle Spectrum pour de nombreuses tâches à venir. Le premier jalon dans Spectrum vous fera entrer des entrées de données dans le logiciel avant d'estimer l'incidence et la connaissance du statut de VIH. Vous compléterez votre spectre d"&amp;"es résultats dans une deuxième étape de spectre. Pour les pays producteurs d'estimations du spectre sous-national (par exemple, provincial), les tâches ci-dessous doivent être remplies pour chaque fichier de spectre.")</f>
        <v>Vous utiliserez le modèle Spectrum pour de nombreuses tâches à venir. Le premier jalon dans Spectrum vous fera entrer des entrées de données dans le logiciel avant d'estimer l'incidence et la connaissance du statut de VIH. Vous compléterez votre spectre des résultats dans une deuxième étape de spectre. Pour les pays producteurs d'estimations du spectre sous-national (par exemple, provincial), les tâches ci-dessous doivent être remplies pour chaque fichier de spectre.</v>
      </c>
      <c r="I2" s="73" t="str">
        <f>IFERROR(__xludf.DUMMYFUNCTION("GOOGLETRANSLATE(G2,""EN"",""PT"")"),"Você estará usando o modelo de espectro para muitas das próximas tarefas. O primeiro marco no espectro terá você inserir insumos de dados no software antes de estimar a incidência de HIV e o conhecimento do status. Você completará seu espectro resulta em "&amp;"um segundo marco de espectro. Para os países que produzem estimativas de espectro sub-nacionais (e., Provinciais), as tarefas abaixo devem ser concluídas para cada arquivo de espectro.")</f>
        <v>Você estará usando o modelo de espectro para muitas das próximas tarefas. O primeiro marco no espectro terá você inserir insumos de dados no software antes de estimar a incidência de HIV e o conhecimento do status. Você completará seu espectro resulta em um segundo marco de espectro. Para os países que produzem estimativas de espectro sub-nacionais (e., Provinciais), as tarefas abaixo devem ser concluídas para cada arquivo de espectro.</v>
      </c>
      <c r="J2" s="76" t="s">
        <v>229</v>
      </c>
      <c r="K2" s="16" t="str">
        <f>IFERROR(__xludf.DUMMYFUNCTION("GOOGLETRANSLATE(J2,""EN"",""FR"")"),"L'utilisateur dispose d'un logiciel de spectre correct disponible, dispose du fichier de spectre de l'année dernière et des données de programme PMT et d'art disponibles")</f>
        <v>L'utilisateur dispose d'un logiciel de spectre correct disponible, dispose du fichier de spectre de l'année dernière et des données de programme PMT et d'art disponibles</v>
      </c>
      <c r="L2" s="73" t="str">
        <f>IFERROR(__xludf.DUMMYFUNCTION("GOOGLETRANSLATE(J2,""EN"",""PT"")"),"O usuário tem software de espectro correto disponível, tem o arquivo de espectro do ano passado e os dados do programa PMTCT e Art")</f>
        <v>O usuário tem software de espectro correto disponível, tem o arquivo de espectro do ano passado e os dados do programa PMTCT e Art</v>
      </c>
      <c r="M2" s="77">
        <v>0.2</v>
      </c>
    </row>
    <row r="3" ht="12.0" customHeight="1"/>
    <row r="4" ht="12.0" customHeight="1">
      <c r="A4" s="126" t="s">
        <v>0</v>
      </c>
      <c r="B4" s="127" t="s">
        <v>230</v>
      </c>
      <c r="C4" s="126" t="s">
        <v>19</v>
      </c>
      <c r="D4" s="126" t="s">
        <v>20</v>
      </c>
      <c r="E4" s="126" t="s">
        <v>21</v>
      </c>
      <c r="F4" s="126" t="s">
        <v>22</v>
      </c>
      <c r="G4" s="128" t="s">
        <v>23</v>
      </c>
      <c r="H4" s="128" t="s">
        <v>191</v>
      </c>
      <c r="I4" s="128" t="s">
        <v>192</v>
      </c>
      <c r="J4" s="126" t="s">
        <v>24</v>
      </c>
      <c r="K4" s="28" t="s">
        <v>25</v>
      </c>
      <c r="L4" s="28" t="s">
        <v>26</v>
      </c>
      <c r="M4" s="126" t="s">
        <v>27</v>
      </c>
      <c r="N4" s="126" t="s">
        <v>30</v>
      </c>
      <c r="O4" s="129" t="s">
        <v>29</v>
      </c>
      <c r="P4" s="67" t="s">
        <v>28</v>
      </c>
    </row>
    <row r="5" ht="19.5" customHeight="1">
      <c r="A5" s="39" t="s">
        <v>231</v>
      </c>
      <c r="B5" s="130"/>
      <c r="C5" s="39" t="s">
        <v>232</v>
      </c>
      <c r="D5" s="16" t="str">
        <f>IFERROR(__xludf.DUMMYFUNCTION("GOOGLETRANSLATE(C5,""EN"",""FR"")"),"Confirmez que vous utilisez le logiciel Client Spectrum AIM installé sur un ordinateur")</f>
        <v>Confirmez que vous utilisez le logiciel Client Spectrum AIM installé sur un ordinateur</v>
      </c>
      <c r="E5" s="73" t="str">
        <f>IFERROR(__xludf.DUMMYFUNCTION("GOOGLETRANSLATE(C5,""EN"",""PT"")"),"Confirme você está usando o software do cliente Spectrum AIM instalado em um computador")</f>
        <v>Confirme você está usando o software do cliente Spectrum AIM instalado em um computador</v>
      </c>
      <c r="F5" s="39" t="s">
        <v>233</v>
      </c>
      <c r="G5" s="131" t="s">
        <v>234</v>
      </c>
      <c r="H5" s="16" t="str">
        <f>IFERROR(__xludf.DUMMYFUNCTION("GOOGLETRANSLATE(G5,""EN"",""FR"")"),"Félicitations pour avoir terminé les trois premières estimations jalons. Maintenant, il est temps de commencer le premier jalon de spectre.
Spectrum a deux versions disponibles pour les pays - i) Spectrum AIM Software disponible au téléchargement et à l'"&amp;"installation sur un ordinateur d'équipe ou II) Spectrum Web, un navigateur et une version en nuage du logiciel. * Si vous envisagez d'utiliser Spectrum Desktop Software (AKA Windows Version of Spectrum), vous pouvez passer à la tâche suivante en marquant "&amp;"cette tâche terminée et en cliquant sur «Quelle est la prochaine fois?». * Pour utiliser Spectrum Web, vous devez d'abord créer un utilisateur. Compte. Si vous n'avez pas de compte utilisateur existant, vous pouvez en créer un sur Spectrum Web.
Une fois "&amp;"que vous avez choisi la version du spectre que vous utiliserez, vous pouvez marquer cette tâche comme complète dans Navigator.")</f>
        <v>Félicitations pour avoir terminé les trois premières estimations jalons. Maintenant, il est temps de commencer le premier jalon de spectre.
Spectrum a deux versions disponibles pour les pays - i) Spectrum AIM Software disponible au téléchargement et à l'installation sur un ordinateur d'équipe ou II) Spectrum Web, un navigateur et une version en nuage du logiciel. * Si vous envisagez d'utiliser Spectrum Desktop Software (AKA Windows Version of Spectrum), vous pouvez passer à la tâche suivante en marquant cette tâche terminée et en cliquant sur «Quelle est la prochaine fois?». * Pour utiliser Spectrum Web, vous devez d'abord créer un utilisateur. Compte. Si vous n'avez pas de compte utilisateur existant, vous pouvez en créer un sur Spectrum Web.
Une fois que vous avez choisi la version du spectre que vous utiliserez, vous pouvez marquer cette tâche comme complète dans Navigator.</v>
      </c>
      <c r="I5" s="73" t="str">
        <f>IFERROR(__xludf.DUMMYFUNCTION("GOOGLETRANSLATE(G5,""EN"",""PT"")"),"Parabéns pela conclusão das três primeiras estimativas marcos. Agora é hora de começar o primeiro marco do espectro.
O espectro possui duas versões disponíveis para os países - i) Spectrum Meim Client Software disponível para download e instalação na Web"&amp;" do espectro do computador ou II) de um membro da equipe, um navegador e a versão em nuvem do software. * Se você estiver planejando usar o Spectrum Desktop Software (AKA Windows versão do espectro), você pode prosseguir para a próxima tarefa marcando est"&amp;"a tarefa completa e clicando em ""O que vem a seguir?"" * Para usar a Web do espectro, você deve primeiro criar um usuário conta. Se você não tiver uma conta de usuário existente, poderá criar uma na Web do espectro.
Depois de ter escolhido qual versão d"&amp;"o espectro você usará, você poderá marcar essa tarefa como completa no Navegador.")</f>
        <v>Parabéns pela conclusão das três primeiras estimativas marcos. Agora é hora de começar o primeiro marco do espectro.
O espectro possui duas versões disponíveis para os países - i) Spectrum Meim Client Software disponível para download e instalação na Web do espectro do computador ou II) de um membro da equipe, um navegador e a versão em nuvem do software. * Se você estiver planejando usar o Spectrum Desktop Software (AKA Windows versão do espectro), você pode prosseguir para a próxima tarefa marcando esta tarefa completa e clicando em "O que vem a seguir?" * Para usar a Web do espectro, você deve primeiro criar um usuário conta. Se você não tiver uma conta de usuário existente, poderá criar uma na Web do espectro.
Depois de ter escolhido qual versão do espectro você usará, você poderá marcar essa tarefa como completa no Navegador.</v>
      </c>
      <c r="J5" s="132" t="s">
        <v>235</v>
      </c>
      <c r="K5" s="16" t="str">
        <f>IFERROR(__xludf.DUMMYFUNCTION("GOOGLETRANSLATE(J5,""EN"",""FR"")"),"Spectrum https://aim.spectrumweb.org/")</f>
        <v>Spectrum https://aim.spectrumweb.org/</v>
      </c>
      <c r="L5" s="73" t="str">
        <f>IFERROR(__xludf.DUMMYFUNCTION("GOOGLETRANSLATE(J5,""EN"",""PT"")"),"Spectrum https://im.spectrumweb.org/")</f>
        <v>Spectrum https://im.spectrumweb.org/</v>
      </c>
      <c r="M5" s="39"/>
      <c r="N5" s="39" t="s">
        <v>236</v>
      </c>
      <c r="O5" s="39"/>
      <c r="P5" s="41" t="s">
        <v>237</v>
      </c>
    </row>
    <row r="6" ht="19.5" customHeight="1">
      <c r="A6" s="39" t="s">
        <v>238</v>
      </c>
      <c r="B6" s="130"/>
      <c r="C6" s="39" t="s">
        <v>239</v>
      </c>
      <c r="D6" s="16" t="str">
        <f>IFERROR(__xludf.DUMMYFUNCTION("GOOGLETRANSLATE(C6,""EN"",""FR"")"),"Assurez-vous d'utiliser la dernière version de Spectrum AIM")</f>
        <v>Assurez-vous d'utiliser la dernière version de Spectrum AIM</v>
      </c>
      <c r="E6" s="73" t="str">
        <f>IFERROR(__xludf.DUMMYFUNCTION("GOOGLETRANSLATE(C6,""EN"",""PT"")"),"Certifique-se de que você está usando a última versão do objetivo do espectro")</f>
        <v>Certifique-se de que você está usando a última versão do objetivo do espectro</v>
      </c>
      <c r="F6" s="39" t="s">
        <v>240</v>
      </c>
      <c r="G6" s="133" t="s">
        <v>241</v>
      </c>
      <c r="H6" s="16" t="str">
        <f>IFERROR(__xludf.DUMMYFUNCTION("GOOGLETRANSLATE(G6,""EN"",""FR"")"),"L'ONUSIDA vous recommande fortement d'utiliser la dernière version de Spectrum Viser votre estimation. Les anciennes versions peuvent être incompatibles avec le processus en cours. En outre, vous risquez de manquer de nouvelles fonctionnalités développées"&amp;" dans la version la plus récente. Pour télécharger et installer la version la plus récente, visitez le lien logiciel Spectrum ci-dessous. Sur le côté droit de la page, trouvez la section des versions AIM et téléchargez la version la plus récente. Une fois"&amp;" que vous avez le fichier sur votre ordinateur portable, vous pouvez double-cliquer sur le fichier * EXE * et suivez les instructions d'installation normales.")</f>
        <v>L'ONUSIDA vous recommande fortement d'utiliser la dernière version de Spectrum Viser votre estimation. Les anciennes versions peuvent être incompatibles avec le processus en cours. En outre, vous risquez de manquer de nouvelles fonctionnalités développées dans la version la plus récente. Pour télécharger et installer la version la plus récente, visitez le lien logiciel Spectrum ci-dessous. Sur le côté droit de la page, trouvez la section des versions AIM et téléchargez la version la plus récente. Une fois que vous avez le fichier sur votre ordinateur portable, vous pouvez double-cliquer sur le fichier * EXE * et suivez les instructions d'installation normales.</v>
      </c>
      <c r="I6" s="73" t="str">
        <f>IFERROR(__xludf.DUMMYFUNCTION("GOOGLETRANSLATE(G6,""EN"",""PT"")"),"A UNAIDS recomendam fortemente usando a versão mais recente do objetivo do espectro para suas estimativas. Versões mais antigas podem ser incompatíveis com o processo atual. Além disso, você pode perder uma nova funcionalidade desenvolvida na versão mais "&amp;"recente. Para baixar e instalar a versão mais recente, visite o link do software Spectrum abaixo. No lado direito da página, encontre a seção de lançamentos do AIM e faça o download da versão mais recente. Depois de ter o arquivo no seu laptop, você pode "&amp;"clicar duas vezes no arquivo * EXE * e siga as instruções de instalação normais.")</f>
        <v>A UNAIDS recomendam fortemente usando a versão mais recente do objetivo do espectro para suas estimativas. Versões mais antigas podem ser incompatíveis com o processo atual. Além disso, você pode perder uma nova funcionalidade desenvolvida na versão mais recente. Para baixar e instalar a versão mais recente, visite o link do software Spectrum abaixo. No lado direito da página, encontre a seção de lançamentos do AIM e faça o download da versão mais recente. Depois de ter o arquivo no seu laptop, você pode clicar duas vezes no arquivo * EXE * e siga as instruções de instalação normais.</v>
      </c>
      <c r="J6" s="39" t="s">
        <v>242</v>
      </c>
      <c r="K6" s="16" t="str">
        <f>IFERROR(__xludf.DUMMYFUNCTION("GOOGLETRANSLATE(J6,""EN"",""FR"")"),"Spectrum Software https://www.avenirhealth.org/software-spectrum.php")</f>
        <v>Spectrum Software https://www.avenirhealth.org/software-spectrum.php</v>
      </c>
      <c r="L6" s="73" t="str">
        <f>IFERROR(__xludf.DUMMYFUNCTION("GOOGLETRANSLATE(J6,""EN"",""PT"")"),"Spectrum Software https://www.avenirhealth.org/software-spectrum.php.")</f>
        <v>Spectrum Software https://www.avenirhealth.org/software-spectrum.php.</v>
      </c>
      <c r="M6" s="39">
        <v>1.0</v>
      </c>
      <c r="N6" s="40"/>
      <c r="O6" s="39"/>
      <c r="P6" s="41" t="s">
        <v>243</v>
      </c>
    </row>
    <row r="7" ht="19.5" customHeight="1">
      <c r="A7" s="39" t="s">
        <v>244</v>
      </c>
      <c r="B7" s="134"/>
      <c r="C7" s="39" t="s">
        <v>245</v>
      </c>
      <c r="D7" s="16" t="str">
        <f>IFERROR(__xludf.DUMMYFUNCTION("GOOGLETRANSLATE(C7,""EN"",""FR"")"),"Ouvrez votre fichier de spectre")</f>
        <v>Ouvrez votre fichier de spectre</v>
      </c>
      <c r="E7" s="73" t="str">
        <f>IFERROR(__xludf.DUMMYFUNCTION("GOOGLETRANSLATE(C7,""EN"",""PT"")"),"Abra seu arquivo de espectro")</f>
        <v>Abra seu arquivo de espectro</v>
      </c>
      <c r="F7" s="39" t="s">
        <v>246</v>
      </c>
      <c r="G7" s="131" t="s">
        <v>247</v>
      </c>
      <c r="H7" s="16" t="str">
        <f>IFERROR(__xludf.DUMMYFUNCTION("GOOGLETRANSLATE(G7,""EN"",""FR"")"),"Une fois que vous êtes connecté (ou ouvrez votre programme Spectrum AIM sur votre ordinateur), vous devez télécharger votre fichier de projection de spectre existant (par exemple, de l'année dernière). Vous trouverez le fichier Spectrum de l'année dernièr"&amp;"e dans le jeu de données de votre organisation pour cette année, car l'ONUSIDA a placé tous les fichiers de spectre de l'année précédente dans leur ensemble de données respectif pour votre commodité. Si votre pays n'utilisera qu'un seul fichier spectre au"&amp;" niveau national, vous n'avez besoin que de le faire une fois. Si vous utilisez des fichiers de spectre distincts pour différentes zones géographiques (facultatif), vous mettrez à jour un fichier de spectre pour chaque zone.")</f>
        <v>Une fois que vous êtes connecté (ou ouvrez votre programme Spectrum AIM sur votre ordinateur), vous devez télécharger votre fichier de projection de spectre existant (par exemple, de l'année dernière). Vous trouverez le fichier Spectrum de l'année dernière dans le jeu de données de votre organisation pour cette année, car l'ONUSIDA a placé tous les fichiers de spectre de l'année précédente dans leur ensemble de données respectif pour votre commodité. Si votre pays n'utilisera qu'un seul fichier spectre au niveau national, vous n'avez besoin que de le faire une fois. Si vous utilisez des fichiers de spectre distincts pour différentes zones géographiques (facultatif), vous mettrez à jour un fichier de spectre pour chaque zone.</v>
      </c>
      <c r="I7" s="73" t="str">
        <f>IFERROR(__xludf.DUMMYFUNCTION("GOOGLETRANSLATE(G7,""EN"",""PT"")"),"Depois de efetuar login (ou abriu seu programa Spectrum AIM no seu computador), você deve fazer o upload do seu arquivo de projeção de espectro existente (por exemplo, do ano passado). Você pode encontrar o arquivo de espectro do ano passado no conjunto d"&amp;"e dados do seu organizador para este ano, pois a UNAIDS colocou todos os arquivos de espectro do ano anterior em seu respectivo conjunto de dados para sua conveniência. Se o seu país só usará um arquivo de espectro para o nível nacional, você só precisa f"&amp;"azer isso uma vez. Se você usar arquivos de espectro separados para diferentes áreas geográficas (opcional), atualizará um arquivo de espectro para cada área.")</f>
        <v>Depois de efetuar login (ou abriu seu programa Spectrum AIM no seu computador), você deve fazer o upload do seu arquivo de projeção de espectro existente (por exemplo, do ano passado). Você pode encontrar o arquivo de espectro do ano passado no conjunto de dados do seu organizador para este ano, pois a UNAIDS colocou todos os arquivos de espectro do ano anterior em seu respectivo conjunto de dados para sua conveniência. Se o seu país só usará um arquivo de espectro para o nível nacional, você só precisa fazer isso uma vez. Se você usar arquivos de espectro separados para diferentes áreas geográficas (opcional), atualizará um arquivo de espectro para cada área.</v>
      </c>
      <c r="J7" s="39"/>
      <c r="K7" s="16"/>
      <c r="L7" s="73"/>
      <c r="M7" s="39">
        <v>1.0</v>
      </c>
      <c r="N7" s="39"/>
      <c r="O7" s="39"/>
      <c r="P7" s="41" t="s">
        <v>248</v>
      </c>
    </row>
    <row r="8" ht="19.5" customHeight="1">
      <c r="A8" s="39" t="s">
        <v>249</v>
      </c>
      <c r="B8" s="130"/>
      <c r="C8" s="39" t="s">
        <v>250</v>
      </c>
      <c r="D8" s="16" t="str">
        <f>IFERROR(__xludf.DUMMYFUNCTION("GOOGLETRANSLATE(C8,""EN"",""FR"")"),"Assurer les estimations de la population dans votre dossier de spectre correspond aux estimations officielles")</f>
        <v>Assurer les estimations de la population dans votre dossier de spectre correspond aux estimations officielles</v>
      </c>
      <c r="E8" s="73" t="str">
        <f>IFERROR(__xludf.DUMMYFUNCTION("GOOGLETRANSLATE(C8,""EN"",""PT"")"),"Garantir que as estimativas da população no seu arquivo de espectro correspondam a estimativas oficiais")</f>
        <v>Garantir que as estimativas da população no seu arquivo de espectro correspondam a estimativas oficiais</v>
      </c>
      <c r="F8" s="39" t="s">
        <v>251</v>
      </c>
      <c r="G8" s="131" t="s">
        <v>252</v>
      </c>
      <c r="H8" s="16" t="str">
        <f>IFERROR(__xludf.DUMMYFUNCTION("GOOGLETRANSLATE(G8,""EN"",""FR"")"),"Par défaut, Spectrum utilise les estimations des perspectives de population mondiale des Nations Unies (WPP). Vous pouvez soit utiliser ceux-ci ou les remplacer par des estimations officielles du pays.
Pour mettre à jour les estimations du WPP, sélection"&amp;"nez Gestionnaire et recharger les données DEMPROJ. Pour modifier les données démographiques, dans la version en ligne, sélectionnez ""DemProj"", puis l'entrée à modifier; Dans la version Desktop, sélectionnez «DemProj» puis «Données démographiques» puis s"&amp;"électionnez l'onglet que vous souhaitez modifier.")</f>
        <v>Par défaut, Spectrum utilise les estimations des perspectives de population mondiale des Nations Unies (WPP). Vous pouvez soit utiliser ceux-ci ou les remplacer par des estimations officielles du pays.
Pour mettre à jour les estimations du WPP, sélectionnez Gestionnaire et recharger les données DEMPROJ. Pour modifier les données démographiques, dans la version en ligne, sélectionnez "DemProj", puis l'entrée à modifier; Dans la version Desktop, sélectionnez «DemProj» puis «Données démographiques» puis sélectionnez l'onglet que vous souhaitez modifier.</v>
      </c>
      <c r="I8" s="73" t="str">
        <f>IFERROR(__xludf.DUMMYFUNCTION("GOOGLETRANSLATE(G8,""EN"",""PT"")"),"Por padrão, o espectro usa as estimativas da ONU World Population Clects (WPP). Você pode usá-los ou substituí-los por estimativas oficiais do país.
Para atualizar as estimativas do WPP, selecione Gerenciador e recarregue os dados DemProj. Para editar os"&amp;" dados demográficos, na versão online, selecione 'DemProj' e, em seguida, a entrada para editar; Na versão desktop, selecione 'DemProj' e ""Dados Demográficos"", selecione a guia que deseja editar.")</f>
        <v>Por padrão, o espectro usa as estimativas da ONU World Population Clects (WPP). Você pode usá-los ou substituí-los por estimativas oficiais do país.
Para atualizar as estimativas do WPP, selecione Gerenciador e recarregue os dados DemProj. Para editar os dados demográficos, na versão online, selecione 'DemProj' e, em seguida, a entrada para editar; Na versão desktop, selecione 'DemProj' e "Dados Demográficos", selecione a guia que deseja editar.</v>
      </c>
      <c r="J8" s="39"/>
      <c r="K8" s="16"/>
      <c r="L8" s="73"/>
      <c r="M8" s="39"/>
      <c r="N8" s="39" t="s">
        <v>253</v>
      </c>
      <c r="O8" s="39"/>
      <c r="P8" s="41" t="s">
        <v>254</v>
      </c>
    </row>
    <row r="9" ht="19.5" customHeight="1">
      <c r="A9" s="39" t="s">
        <v>255</v>
      </c>
      <c r="B9" s="134" t="s">
        <v>256</v>
      </c>
      <c r="C9" s="39" t="s">
        <v>257</v>
      </c>
      <c r="D9" s="16" t="str">
        <f>IFERROR(__xludf.DUMMYFUNCTION("GOOGLETRANSLATE(C9,""EN"",""FR"")"),"Entrez des données PTME pour l'année de référence en cours dans Spectrum")</f>
        <v>Entrez des données PTME pour l'année de référence en cours dans Spectrum</v>
      </c>
      <c r="E9" s="73" t="str">
        <f>IFERROR(__xludf.DUMMYFUNCTION("GOOGLETRANSLATE(C9,""EN"",""PT"")"),"Digite os dados do PMTCT para o ano de relatório atual no espectro")</f>
        <v>Digite os dados do PMTCT para o ano de relatório atual no espectro</v>
      </c>
      <c r="F9" s="39" t="s">
        <v>258</v>
      </c>
      <c r="G9" s="131" t="s">
        <v>259</v>
      </c>
      <c r="H9" s="16" t="str">
        <f>IFERROR(__xludf.DUMMYFUNCTION("GOOGLETRANSLATE(G9,""EN"",""FR"")"),"Afin de produire des estimations mises à jour dans Spectrum, des données de programme de PMT sont nécessaires. Ces données sont nécessaires pour chaque fichier de spectre.
Vous pouvez trouver tous les éléments de données requis dans le guide 8, la qualit"&amp;"é des données, la matrice d'élément indicateur. SPECTRUM fournit également des conseils spécifiques pour chaque régime dans la page de saisie de données PTMT. * Il est fortement recommandé de finaliser vos données de programme avant de continuer. *
Si le"&amp;"s modifications aux données du programme PMTC sont requises ultérieurement dans le processus, vous devrez revenir à cette étape. Pour les pays ayant des estimations sous-normales de spectre (facultatif), cette étape s'applique à chaque fichier.")</f>
        <v>Afin de produire des estimations mises à jour dans Spectrum, des données de programme de PMT sont nécessaires. Ces données sont nécessaires pour chaque fichier de spectre.
Vous pouvez trouver tous les éléments de données requis dans le guide 8, la qualité des données, la matrice d'élément indicateur. SPECTRUM fournit également des conseils spécifiques pour chaque régime dans la page de saisie de données PTMT. * Il est fortement recommandé de finaliser vos données de programme avant de continuer. *
Si les modifications aux données du programme PMTC sont requises ultérieurement dans le processus, vous devrez revenir à cette étape. Pour les pays ayant des estimations sous-normales de spectre (facultatif), cette étape s'applique à chaque fichier.</v>
      </c>
      <c r="I9" s="73" t="str">
        <f>IFERROR(__xludf.DUMMYFUNCTION("GOOGLETRANSLATE(G9,""EN"",""PT"")"),"Para produzir estimativas atualizadas no espectro, os dados do programa PMTCT atualizados são necessários. Esses dados são necessários para cada arquivo de espectro.
Você pode encontrar todos os elementos de dados necessários no guia 8, qualidade de dado"&amp;"s, matriz de elemento indicador. O espectro também fornece orientação específica para cada regime na página de entrada de dados do PMTCT. * É altamente recomendável que você finalize seus dados do programa antes de prosseguir. *
Se as edições para os dad"&amp;"os do programa PMTCT forem necessárias mais tarde no processo, você terá que retornar a esta etapa. Para países com estimativas de espectro sub-nacionais (opcional), esta etapa se aplica a cada arquivo.")</f>
        <v>Para produzir estimativas atualizadas no espectro, os dados do programa PMTCT atualizados são necessários. Esses dados são necessários para cada arquivo de espectro.
Você pode encontrar todos os elementos de dados necessários no guia 8, qualidade de dados, matriz de elemento indicador. O espectro também fornece orientação específica para cada regime na página de entrada de dados do PMTCT. * É altamente recomendável que você finalize seus dados do programa antes de prosseguir. *
Se as edições para os dados do programa PMTCT forem necessárias mais tarde no processo, você terá que retornar a esta etapa. Para países com estimativas de espectro sub-nacionais (opcional), esta etapa se aplica a cada arquivo.</v>
      </c>
      <c r="J9" s="132" t="s">
        <v>260</v>
      </c>
      <c r="K9" s="16" t="str">
        <f>IFERROR(__xludf.DUMMYFUNCTION("GOOGLETRANSLATE(J9,""EN"",""FR"")"),"Guide 8, qualité des données, élément indicateur Matrix https://hivtools.unaids.org/hiv-estimates-training-Material-fr/")</f>
        <v>Guide 8, qualité des données, élément indicateur Matrix https://hivtools.unaids.org/hiv-estimates-training-Material-fr/</v>
      </c>
      <c r="L9" s="73" t="str">
        <f>IFERROR(__xludf.DUMMYFUNCTION("GOOGLETRANSLATE(J9,""EN"",""PT"")"),"Guia 8, Qualidade de Dados, Indicador Element Matrix https://hivtools.unaids.org/hiv-estimates-training-material-en/")</f>
        <v>Guia 8, Qualidade de Dados, Indicador Element Matrix https://hivtools.unaids.org/hiv-estimates-training-material-en/</v>
      </c>
      <c r="M9" s="39"/>
      <c r="N9" s="39"/>
      <c r="O9" s="39"/>
      <c r="P9" s="41" t="s">
        <v>261</v>
      </c>
    </row>
    <row r="10" ht="19.5" customHeight="1">
      <c r="A10" s="39" t="s">
        <v>262</v>
      </c>
      <c r="B10" s="134"/>
      <c r="C10" s="39" t="s">
        <v>263</v>
      </c>
      <c r="D10" s="16" t="str">
        <f>IFERROR(__xludf.DUMMYFUNCTION("GOOGLETRANSLATE(C10,""EN"",""FR"")"),"Mettre à jour les motifs d'allaitement dans le spectre")</f>
        <v>Mettre à jour les motifs d'allaitement dans le spectre</v>
      </c>
      <c r="E10" s="73" t="str">
        <f>IFERROR(__xludf.DUMMYFUNCTION("GOOGLETRANSLATE(C10,""EN"",""PT"")"),"Atualizar padrões de amamentação no espectro")</f>
        <v>Atualizar padrões de amamentação no espectro</v>
      </c>
      <c r="F10" s="39" t="s">
        <v>264</v>
      </c>
      <c r="G10" s="131" t="s">
        <v>265</v>
      </c>
      <c r="H10" s="16" t="str">
        <f>IFERROR(__xludf.DUMMYFUNCTION("GOOGLETRANSLATE(G10,""EN"",""FR"")"),"La durée de l'allaitement est importante pour comprendre combien de temps un enfant est exposé à une éventuelle transmission verticale. Spectrum a des données préparées qui reflètent les données des enquêtes dans votre pays sur les modèles d'allaitement. "&amp;"Ces données sont mises à jour périodiquement pour refléter de nouvelles enquêtes. Dans l'onglet Statistiques de programme \ PMT, veuillez cliquer sur l'allaitement d'allaitement, puis lire le bouton Données d'enquête pour mettre à jour les modèles d'allai"&amp;"tement des femmes qui ne reçoivent pas d'ARV. Un bouton Pop Up vous demandera si vous souhaitez mettre à jour ces données pour les femmes recevant des ARV en même temps. Si vous sélectionnez Oui, il mettra à jour les deux ""ne recevant pas les ARVS"" et "&amp;"""recevoir des ARVS"". Alternativement, si vous avez des données de votre programme PMTC sur la durée de l'allaitement de l'allaitement, vous pourriez pénétrer que pour les femmes recevant des ARV.")</f>
        <v>La durée de l'allaitement est importante pour comprendre combien de temps un enfant est exposé à une éventuelle transmission verticale. Spectrum a des données préparées qui reflètent les données des enquêtes dans votre pays sur les modèles d'allaitement. Ces données sont mises à jour périodiquement pour refléter de nouvelles enquêtes. Dans l'onglet Statistiques de programme \ PMT, veuillez cliquer sur l'allaitement d'allaitement, puis lire le bouton Données d'enquête pour mettre à jour les modèles d'allaitement des femmes qui ne reçoivent pas d'ARV. Un bouton Pop Up vous demandera si vous souhaitez mettre à jour ces données pour les femmes recevant des ARV en même temps. Si vous sélectionnez Oui, il mettra à jour les deux "ne recevant pas les ARVS" et "recevoir des ARVS". Alternativement, si vous avez des données de votre programme PMTC sur la durée de l'allaitement de l'allaitement, vous pourriez pénétrer que pour les femmes recevant des ARV.</v>
      </c>
      <c r="I10" s="73" t="str">
        <f>IFERROR(__xludf.DUMMYFUNCTION("GOOGLETRANSLATE(G10,""EN"",""PT"")"),"A duração da amamentação é importante para entender quanto tempo uma criança é exposta a possível transmissão vertical. O espectro possui dados pré-preenchidos que refletem dados de pesquisas em seu país em padrões de amamentação. Esses dados são atualiza"&amp;"dos periodicamente para refletir novas pesquisas. Na guia Estatísticas do Programa \ PMTCT, por favor clique na amamentação e depois leia o botão Dados da pesquisa para atualizar os padrões de amamentação entre as mulheres que não recebem ARVs. Um botão p"&amp;"op up perguntará se você deseja atualizar esses dados para mulheres que recebem ARVs ao mesmo tempo. Se você selecionar Sim, atualizará os dois ""não receber"" ARVs ""e"" recebendo ARVs "". Alternativamente, se você tiver dados do seu programa PMTCT na du"&amp;"ração da amamentação, você poderia entrar para as mulheres que recebem ARVs.")</f>
        <v>A duração da amamentação é importante para entender quanto tempo uma criança é exposta a possível transmissão vertical. O espectro possui dados pré-preenchidos que refletem dados de pesquisas em seu país em padrões de amamentação. Esses dados são atualizados periodicamente para refletir novas pesquisas. Na guia Estatísticas do Programa \ PMTCT, por favor clique na amamentação e depois leia o botão Dados da pesquisa para atualizar os padrões de amamentação entre as mulheres que não recebem ARVs. Um botão pop up perguntará se você deseja atualizar esses dados para mulheres que recebem ARVs ao mesmo tempo. Se você selecionar Sim, atualizará os dois "não receber" ARVs "e" recebendo ARVs ". Alternativamente, se você tiver dados do seu programa PMTCT na duração da amamentação, você poderia entrar para as mulheres que recebem ARVs.</v>
      </c>
      <c r="J10" s="135"/>
      <c r="K10" s="16"/>
      <c r="L10" s="73"/>
      <c r="M10" s="39"/>
      <c r="N10" s="83" t="s">
        <v>266</v>
      </c>
      <c r="O10" s="38"/>
      <c r="P10" s="41" t="s">
        <v>267</v>
      </c>
    </row>
    <row r="11" ht="19.5" customHeight="1">
      <c r="A11" s="39" t="s">
        <v>268</v>
      </c>
      <c r="B11" s="134"/>
      <c r="C11" s="41" t="s">
        <v>269</v>
      </c>
      <c r="D11" s="16" t="str">
        <f>IFERROR(__xludf.DUMMYFUNCTION("GOOGLETRANSLATE(C11,""EN"",""FR"")"),"Mettre à jour et revoir les données de test d'ANC dans Spectrum")</f>
        <v>Mettre à jour et revoir les données de test d'ANC dans Spectrum</v>
      </c>
      <c r="E11" s="73" t="str">
        <f>IFERROR(__xludf.DUMMYFUNCTION("GOOGLETRANSLATE(C11,""EN"",""PT"")"),"Atualizar e revisar dados de teste do ANC no espectro")</f>
        <v>Atualizar e revisar dados de teste do ANC no espectro</v>
      </c>
      <c r="F11" s="39" t="s">
        <v>270</v>
      </c>
      <c r="G11" s="131" t="s">
        <v>271</v>
      </c>
      <c r="H11" s="16" t="str">
        <f>IFERROR(__xludf.DUMMYFUNCTION("GOOGLETRANSLATE(G11,""EN"",""FR"")"),"Bien que cela ne soit pas obligatoire car il n'a pas d'impact sur le modèle, l'ONUSIDA suggère que l'utilisateur fournisse des données de programme de test de l'ANC à jour pour la période de référence pour vérifier la qualité des données de l'ANC. Ces inf"&amp;"ormations permettent d'identifier les problèmes avec les données de prévalence pour vos estimations. Vous pouvez trouver tous les éléments de données requis dans le guide 8, la qualité des données, la matrice d'élément indicateur. Il est fortement recomma"&amp;"ndé de passer en revue ces données de programme avant de commencer le processus d'ajustement de la courbe d'incidence. Entrez les données de l'ANC dans le cadre de l'onglet Statistiques de programme \ ANC.")</f>
        <v>Bien que cela ne soit pas obligatoire car il n'a pas d'impact sur le modèle, l'ONUSIDA suggère que l'utilisateur fournisse des données de programme de test de l'ANC à jour pour la période de référence pour vérifier la qualité des données de l'ANC. Ces informations permettent d'identifier les problèmes avec les données de prévalence pour vos estimations. Vous pouvez trouver tous les éléments de données requis dans le guide 8, la qualité des données, la matrice d'élément indicateur. Il est fortement recommandé de passer en revue ces données de programme avant de commencer le processus d'ajustement de la courbe d'incidence. Entrez les données de l'ANC dans le cadre de l'onglet Statistiques de programme \ ANC.</v>
      </c>
      <c r="I11" s="73" t="str">
        <f>IFERROR(__xludf.DUMMYFUNCTION("GOOGLETRANSLATE(G11,""EN"",""PT"")"),"Embora não seja obrigatório, por exemplo, não afeta o modelo, a UNAIDS sugere que o usuário fornece dados de programas de teste ANC atualizados para o período de relatórios para verificar a qualidade dos dados do ANC. Essas informações ajudam a identifica"&amp;"r problemas com dados de prevalência para suas estimativas. Você pode encontrar todos os elementos de dados necessários no guia 8, qualidade de dados, matriz de elemento indicador. É altamente recomendável que você analise esses dados do programa antes de"&amp;" iniciar o processo de montagem de curva de incidência. Digite os dados do ANC na guia Estatísticas do programa \ ANC testing.")</f>
        <v>Embora não seja obrigatório, por exemplo, não afeta o modelo, a UNAIDS sugere que o usuário fornece dados de programas de teste ANC atualizados para o período de relatórios para verificar a qualidade dos dados do ANC. Essas informações ajudam a identificar problemas com dados de prevalência para suas estimativas. Você pode encontrar todos os elementos de dados necessários no guia 8, qualidade de dados, matriz de elemento indicador. É altamente recomendável que você analise esses dados do programa antes de iniciar o processo de montagem de curva de incidência. Digite os dados do ANC na guia Estatísticas do programa \ ANC testing.</v>
      </c>
      <c r="J11" s="39" t="s">
        <v>272</v>
      </c>
      <c r="K11" s="16" t="str">
        <f>IFERROR(__xludf.DUMMYFUNCTION("GOOGLETRANSLATE(J11,""EN"",""FR"")"),"Guide 8, qualité des données, élément indicateur Matrix https://hivtools.unaids.org/hiv-estimates-training-Material-fr/")</f>
        <v>Guide 8, qualité des données, élément indicateur Matrix https://hivtools.unaids.org/hiv-estimates-training-Material-fr/</v>
      </c>
      <c r="L11" s="73" t="str">
        <f>IFERROR(__xludf.DUMMYFUNCTION("GOOGLETRANSLATE(J11,""EN"",""PT"")"),"Guia 8, Qualidade de Dados, Indicador Element Matrix https://hivtools.unaids.org/hiv-estimates-training-material-en/")</f>
        <v>Guia 8, Qualidade de Dados, Indicador Element Matrix https://hivtools.unaids.org/hiv-estimates-training-material-en/</v>
      </c>
      <c r="M11" s="39"/>
      <c r="N11" s="136"/>
      <c r="O11" s="40"/>
      <c r="P11" s="41" t="s">
        <v>273</v>
      </c>
    </row>
    <row r="12" ht="19.5" customHeight="1">
      <c r="A12" s="39" t="s">
        <v>274</v>
      </c>
      <c r="B12" s="130" t="s">
        <v>275</v>
      </c>
      <c r="C12" s="39" t="s">
        <v>276</v>
      </c>
      <c r="D12" s="16" t="str">
        <f>IFERROR(__xludf.DUMMYFUNCTION("GOOGLETRANSLATE(C12,""EN"",""FR"")"),"Mettre à jour les données d'art adulte dans Spectrum")</f>
        <v>Mettre à jour les données d'art adulte dans Spectrum</v>
      </c>
      <c r="E12" s="73" t="str">
        <f>IFERROR(__xludf.DUMMYFUNCTION("GOOGLETRANSLATE(C12,""EN"",""PT"")"),"Atualizar dados de arte adulta no espectro")</f>
        <v>Atualizar dados de arte adulta no espectro</v>
      </c>
      <c r="F12" s="39" t="s">
        <v>277</v>
      </c>
      <c r="G12" s="131" t="s">
        <v>278</v>
      </c>
      <c r="H12" s="16" t="str">
        <f>IFERROR(__xludf.DUMMYFUNCTION("GOOGLETRANSLATE(G12,""EN"",""FR"")"),"Spectrum exige des données de programme d'art adultes à jour pour la période de déclaration d'estimation de la couverture du traitement et d'estimation de l'incidence. Vous devez mettre à jour les données d'art avant d'exécuter votre courbe d'incidence. L"&amp;"es données sur le nombre nouvellement initié sur l'art et perdues pour le suivi peuvent améliorer la précision de certaines des sorties du spectre. Si ces données sont disponibles, veillez à les inclure. Vous pouvez trouver tous les éléments de données re"&amp;"quis dans le guide 8, la qualité des données, la matrice d'élément indicateur. * Si les modifications des données du programme d'art sont requises ultérieurement dans le processus, vous devrez respecter votre raccord de courbe d'incidence. *")</f>
        <v>Spectrum exige des données de programme d'art adultes à jour pour la période de déclaration d'estimation de la couverture du traitement et d'estimation de l'incidence. Vous devez mettre à jour les données d'art avant d'exécuter votre courbe d'incidence. Les données sur le nombre nouvellement initié sur l'art et perdues pour le suivi peuvent améliorer la précision de certaines des sorties du spectre. Si ces données sont disponibles, veillez à les inclure. Vous pouvez trouver tous les éléments de données requis dans le guide 8, la qualité des données, la matrice d'élément indicateur. * Si les modifications des données du programme d'art sont requises ultérieurement dans le processus, vous devrez respecter votre raccord de courbe d'incidence. *</v>
      </c>
      <c r="I12" s="73" t="str">
        <f>IFERROR(__xludf.DUMMYFUNCTION("GOOGLETRANSLATE(G12,""EN"",""PT"")"),"O espectro exige dados de programas de arte adultos atualizados para o período de relatório para estimar a cobertura do tratamento e para estimar a incidência. Você deve atualizar os dados da arte antes de executar sua curva de incidência. Os dados no núm"&amp;"ero recentemente iniciado na arte e perdidos para acompanhamento podem melhorar a precisão de algumas das saídas do espectro. Se esses dados estiverem disponíveis, não deixe de incluí-los. Você pode encontrar todos os elementos de dados necessários no gui"&amp;"a 8, qualidade de dados, matriz de elemento indicador. * Se as edições para os dados do programa de arte forem necessárias mais adiante no processo, você terá que executar execute seu encaixe de curva de incidência. *")</f>
        <v>O espectro exige dados de programas de arte adultos atualizados para o período de relatório para estimar a cobertura do tratamento e para estimar a incidência. Você deve atualizar os dados da arte antes de executar sua curva de incidência. Os dados no número recentemente iniciado na arte e perdidos para acompanhamento podem melhorar a precisão de algumas das saídas do espectro. Se esses dados estiverem disponíveis, não deixe de incluí-los. Você pode encontrar todos os elementos de dados necessários no guia 8, qualidade de dados, matriz de elemento indicador. * Se as edições para os dados do programa de arte forem necessárias mais adiante no processo, você terá que executar execute seu encaixe de curva de incidência. *</v>
      </c>
      <c r="J12" s="39" t="s">
        <v>272</v>
      </c>
      <c r="K12" s="16" t="str">
        <f>IFERROR(__xludf.DUMMYFUNCTION("GOOGLETRANSLATE(J12,""EN"",""FR"")"),"Guide 8, qualité des données, élément indicateur Matrix https://hivtools.unaids.org/hiv-estimates-training-Material-fr/")</f>
        <v>Guide 8, qualité des données, élément indicateur Matrix https://hivtools.unaids.org/hiv-estimates-training-Material-fr/</v>
      </c>
      <c r="L12" s="73" t="str">
        <f>IFERROR(__xludf.DUMMYFUNCTION("GOOGLETRANSLATE(J12,""EN"",""PT"")"),"Guia 8, Qualidade de Dados, Indicador Element Matrix https://hivtools.unaids.org/hiv-estimates-training-material-en/")</f>
        <v>Guia 8, Qualidade de Dados, Indicador Element Matrix https://hivtools.unaids.org/hiv-estimates-training-material-en/</v>
      </c>
      <c r="M12" s="39"/>
      <c r="N12" s="83"/>
      <c r="O12" s="39"/>
      <c r="P12" s="41" t="s">
        <v>279</v>
      </c>
    </row>
    <row r="13" ht="19.5" customHeight="1">
      <c r="A13" s="39" t="s">
        <v>280</v>
      </c>
      <c r="B13" s="137"/>
      <c r="C13" s="39" t="s">
        <v>281</v>
      </c>
      <c r="D13" s="16" t="str">
        <f>IFERROR(__xludf.DUMMYFUNCTION("GOOGLETRANSLATE(C13,""EN"",""FR"")"),"Confirmer les données d'art saisies dans Spectrum Match le fichier d'entrée de données Naomi Art sur ADR")</f>
        <v>Confirmer les données d'art saisies dans Spectrum Match le fichier d'entrée de données Naomi Art sur ADR</v>
      </c>
      <c r="E13" s="73" t="str">
        <f>IFERROR(__xludf.DUMMYFUNCTION("GOOGLETRANSLATE(C13,""EN"",""PT"")"),"Confirme os dados da arte inseridos no espectro correspondem ao arquivo de entrada de dados da arte Naomi no ADR")</f>
        <v>Confirme os dados da arte inseridos no espectro correspondem ao arquivo de entrada de dados da arte Naomi no ADR</v>
      </c>
      <c r="F13" s="39" t="s">
        <v>282</v>
      </c>
      <c r="G13" s="131" t="s">
        <v>283</v>
      </c>
      <c r="H13" s="16" t="str">
        <f>IFERROR(__xludf.DUMMYFUNCTION("GOOGLETRANSLATE(G13,""EN"",""FR"")"),"Les pays devraient utiliser une source d'informations unique validée pour les données utilisées dans différents modèles d'estimations, même si certains modèles nécessitent des données sous-nationales (par exemple, NAOMI) et d'autres utilisent des données "&amp;"au niveau national (par exemple, Spectrum dans la plupart des cas). Les données d'art sont l'une de ces sources utilisées par Naomi et Spectrum. Les totaux de l'art que vous avez entré dans un spectre pour les populations de femmes pédiatriques, adultes e"&amp;"t adultes doivent correspondre à la somme des données d'art sous-système pour les mêmes populations de votre jeu de données. * Si ces deux sources de données ne correspondent pas, veuillez consulter et corriger ainsi ce que vous entrez dans Spectrum est l"&amp;"e même que ce que vous avez dans votre fichier d'intrants NAOMI. * Pour les pays producteurs de budgets de spectre de niveau provincial, assurez-vous que les données de district de Naomi Faites correspondre les fichiers de spectre provinciaux auxquels app"&amp;"artiennent les districts.")</f>
        <v>Les pays devraient utiliser une source d'informations unique validée pour les données utilisées dans différents modèles d'estimations, même si certains modèles nécessitent des données sous-nationales (par exemple, NAOMI) et d'autres utilisent des données au niveau national (par exemple, Spectrum dans la plupart des cas). Les données d'art sont l'une de ces sources utilisées par Naomi et Spectrum. Les totaux de l'art que vous avez entré dans un spectre pour les populations de femmes pédiatriques, adultes et adultes doivent correspondre à la somme des données d'art sous-système pour les mêmes populations de votre jeu de données. * Si ces deux sources de données ne correspondent pas, veuillez consulter et corriger ainsi ce que vous entrez dans Spectrum est le même que ce que vous avez dans votre fichier d'intrants NAOMI. * Pour les pays producteurs de budgets de spectre de niveau provincial, assurez-vous que les données de district de Naomi Faites correspondre les fichiers de spectre provinciaux auxquels appartiennent les districts.</v>
      </c>
      <c r="I13" s="73" t="str">
        <f>IFERROR(__xludf.DUMMYFUNCTION("GOOGLETRANSLATE(G13,""EN"",""PT"")"),"Os países devem estar usando uma fonte única e validada de informações para dados usados ​​em diferentes modelos de estimativas, mesmo que alguns modelos exigem dados subnacionais (por exemplo, Naomi) e outros usem dados nacionais nacionais (por exemplo, "&amp;"espectro na maioria dos casos). Os dados da arte são uma dessas fontes usadas por Naomi e pelo espectro. Os totais de arte que você digitou no espectro para populações masculinas pediátricas, adultas e adultas devem corresponder à soma dos dados da arte s"&amp;"ubnacional para as mesmas populações do seu conjunto de dados. * Se estas duas fontes de dados não corresponderem, por favor, revise e corrija para o que você entra no espectro é o mesmo que o que você tem em seu arquivo de insumos Naomi. * Para os países"&amp;" que produzem estimativas de espectro de nível provincial, garantem que os dados do distrito para Naomi Combine os arquivos do espectro provincial ao qual os distritos pertencem.")</f>
        <v>Os países devem estar usando uma fonte única e validada de informações para dados usados ​​em diferentes modelos de estimativas, mesmo que alguns modelos exigem dados subnacionais (por exemplo, Naomi) e outros usem dados nacionais nacionais (por exemplo, espectro na maioria dos casos). Os dados da arte são uma dessas fontes usadas por Naomi e pelo espectro. Os totais de arte que você digitou no espectro para populações masculinas pediátricas, adultas e adultas devem corresponder à soma dos dados da arte subnacional para as mesmas populações do seu conjunto de dados. * Se estas duas fontes de dados não corresponderem, por favor, revise e corrija para o que você entra no espectro é o mesmo que o que você tem em seu arquivo de insumos Naomi. * Para os países que produzem estimativas de espectro de nível provincial, garantem que os dados do distrito para Naomi Combine os arquivos do espectro provincial ao qual os distritos pertencem.</v>
      </c>
      <c r="J13" s="39"/>
      <c r="K13" s="16"/>
      <c r="L13" s="73"/>
      <c r="M13" s="39"/>
      <c r="N13" s="83" t="s">
        <v>284</v>
      </c>
      <c r="O13" s="39"/>
      <c r="P13" s="41" t="s">
        <v>285</v>
      </c>
    </row>
    <row r="14" ht="19.5" customHeight="1">
      <c r="A14" s="39" t="s">
        <v>286</v>
      </c>
      <c r="B14" s="134" t="s">
        <v>287</v>
      </c>
      <c r="C14" s="39" t="s">
        <v>288</v>
      </c>
      <c r="D14" s="16" t="str">
        <f>IFERROR(__xludf.DUMMYFUNCTION("GOOGLETRANSLATE(C14,""EN"",""FR"")"),"Mettre à jour les données d'art pédiatrique dans Spectrum pour la période de rapport en cours")</f>
        <v>Mettre à jour les données d'art pédiatrique dans Spectrum pour la période de rapport en cours</v>
      </c>
      <c r="E14" s="73" t="str">
        <f>IFERROR(__xludf.DUMMYFUNCTION("GOOGLETRANSLATE(C14,""EN"",""PT"")"),"Atualizar dados de arte pediátrica no espectro para o período atual de relatórios")</f>
        <v>Atualizar dados de arte pediátrica no espectro para o período atual de relatórios</v>
      </c>
      <c r="F14" s="39" t="s">
        <v>289</v>
      </c>
      <c r="G14" s="133" t="s">
        <v>290</v>
      </c>
      <c r="H14" s="16" t="str">
        <f>IFERROR(__xludf.DUMMYFUNCTION("GOOGLETRANSLATE(G14,""EN"",""FR"")"),"Spectrum exige des données de programme d'art pédiatrique à jour pour la période de référence. Vous pouvez trouver tous les éléments de données requis dans le guide 8, la qualité des données, la matrice d'élément indicateur. Il est fortement recommandé de"&amp;" finaliser vos données de programme avant de commencer le processus de spectre. Si les modifications des données du programme d'art sont nécessaires ultérieurement dans le processus, vous devrez revenir à cette étape.")</f>
        <v>Spectrum exige des données de programme d'art pédiatrique à jour pour la période de référence. Vous pouvez trouver tous les éléments de données requis dans le guide 8, la qualité des données, la matrice d'élément indicateur. Il est fortement recommandé de finaliser vos données de programme avant de commencer le processus de spectre. Si les modifications des données du programme d'art sont nécessaires ultérieurement dans le processus, vous devrez revenir à cette étape.</v>
      </c>
      <c r="I14" s="73" t="str">
        <f>IFERROR(__xludf.DUMMYFUNCTION("GOOGLETRANSLATE(G14,""EN"",""PT"")"),"O espectro requer dados de programas de arte pediátricos atualizados para o período de relatório. Você pode encontrar todos os elementos de dados necessários no guia 8, qualidade de dados, matriz de elemento indicador. É altamente recomendável que você fi"&amp;"nalize seus dados do programa antes de iniciar o processo de espectro. Se as edições para os dados do programa de arte forem necessárias mais adiante no processo, você terá que retornar a esta etapa.")</f>
        <v>O espectro requer dados de programas de arte pediátricos atualizados para o período de relatório. Você pode encontrar todos os elementos de dados necessários no guia 8, qualidade de dados, matriz de elemento indicador. É altamente recomendável que você finalize seus dados do programa antes de iniciar o processo de espectro. Se as edições para os dados do programa de arte forem necessárias mais adiante no processo, você terá que retornar a esta etapa.</v>
      </c>
      <c r="J14" s="39" t="s">
        <v>272</v>
      </c>
      <c r="K14" s="16" t="str">
        <f>IFERROR(__xludf.DUMMYFUNCTION("GOOGLETRANSLATE(J14,""EN"",""FR"")"),"Guide 8, qualité des données, élément indicateur Matrix https://hivtools.unaids.org/hiv-estimates-training-Material-fr/")</f>
        <v>Guide 8, qualité des données, élément indicateur Matrix https://hivtools.unaids.org/hiv-estimates-training-Material-fr/</v>
      </c>
      <c r="L14" s="73" t="str">
        <f>IFERROR(__xludf.DUMMYFUNCTION("GOOGLETRANSLATE(J14,""EN"",""PT"")"),"Guia 8, Qualidade de Dados, Indicador Element Matrix https://hivtools.unaids.org/hiv-estimates-training-material-en/")</f>
        <v>Guia 8, Qualidade de Dados, Indicador Element Matrix https://hivtools.unaids.org/hiv-estimates-training-material-en/</v>
      </c>
      <c r="M14" s="39"/>
      <c r="N14" s="83"/>
      <c r="O14" s="39"/>
      <c r="P14" s="41" t="s">
        <v>291</v>
      </c>
    </row>
    <row r="15" ht="19.5" customHeight="1">
      <c r="A15" s="39" t="s">
        <v>292</v>
      </c>
      <c r="B15" s="134" t="s">
        <v>293</v>
      </c>
      <c r="C15" s="39" t="s">
        <v>294</v>
      </c>
      <c r="D15" s="16" t="str">
        <f>IFERROR(__xludf.DUMMYFUNCTION("GOOGLETRANSLATE(C15,""EN"",""FR"")"),"Mettre à jour les données de suppression de la charge virale dans le spectre de la période de reporting actuelle des femmes adultes et des hommes et des populations pédiatriques")</f>
        <v>Mettre à jour les données de suppression de la charge virale dans le spectre de la période de reporting actuelle des femmes adultes et des hommes et des populations pédiatriques</v>
      </c>
      <c r="E15" s="73" t="str">
        <f>IFERROR(__xludf.DUMMYFUNCTION("GOOGLETRANSLATE(C15,""EN"",""PT"")"),"Atualizar dados de supressão de carga viral no espectro para o período atual de relatórios para fêmeas adultas e machos e populações pediátricas")</f>
        <v>Atualizar dados de supressão de carga viral no espectro para o período atual de relatórios para fêmeas adultas e machos e populações pediátricas</v>
      </c>
      <c r="F15" s="39" t="s">
        <v>295</v>
      </c>
      <c r="G15" s="133" t="s">
        <v>296</v>
      </c>
      <c r="H15" s="16" t="str">
        <f>IFERROR(__xludf.DUMMYFUNCTION("GOOGLETRANSLATE(G15,""EN"",""FR"")"),"Spectrum exige des données de programme de suppression de la charge virale des adultes et de la pédiatrie à jour pour la période de référence. Vous pouvez trouver tous les éléments de données requis dans le guide 8, la qualité des données, la matrice d'él"&amp;"ément indicateur. Il est fortement recommandé de finaliser vos données de programme avant de commencer le processus de spectre. Entrez les meilleures données de suppression de charge virale les plus récentes que vous avez pour les populations adultes pour"&amp;" femmes, hommes adultes et pédiatriques.")</f>
        <v>Spectrum exige des données de programme de suppression de la charge virale des adultes et de la pédiatrie à jour pour la période de référence. Vous pouvez trouver tous les éléments de données requis dans le guide 8, la qualité des données, la matrice d'élément indicateur. Il est fortement recommandé de finaliser vos données de programme avant de commencer le processus de spectre. Entrez les meilleures données de suppression de charge virale les plus récentes que vous avez pour les populations adultes pour femmes, hommes adultes et pédiatriques.</v>
      </c>
      <c r="I15" s="73" t="str">
        <f>IFERROR(__xludf.DUMMYFUNCTION("GOOGLETRANSLATE(G15,""EN"",""PT"")"),"O espectro requer dados de programação de supressão de carga viral adulta e pediátrica atualizada para o período de relatórios. Você pode encontrar todos os elementos de dados necessários no guia 8, qualidade de dados, matriz de elemento indicador. É alta"&amp;"mente recomendável que você finalize seus dados do programa antes de iniciar o processo de espectro. Digite os melhores dados de supressão de carga virais mais atualizado que você tem para populações adultas, machos adultos e pediátricas.")</f>
        <v>O espectro requer dados de programação de supressão de carga viral adulta e pediátrica atualizada para o período de relatórios. Você pode encontrar todos os elementos de dados necessários no guia 8, qualidade de dados, matriz de elemento indicador. É altamente recomendável que você finalize seus dados do programa antes de iniciar o processo de espectro. Digite os melhores dados de supressão de carga virais mais atualizado que você tem para populações adultas, machos adultos e pediátricas.</v>
      </c>
      <c r="J15" s="39"/>
      <c r="K15" s="16"/>
      <c r="L15" s="73"/>
      <c r="M15" s="39"/>
      <c r="N15" s="39" t="s">
        <v>297</v>
      </c>
      <c r="O15" s="39"/>
      <c r="P15" s="41" t="s">
        <v>298</v>
      </c>
    </row>
    <row r="16" ht="19.5" customHeight="1">
      <c r="A16" s="114" t="s">
        <v>299</v>
      </c>
      <c r="B16" s="134"/>
      <c r="C16" s="114"/>
      <c r="D16" s="114"/>
      <c r="E16" s="114"/>
      <c r="F16" s="114" t="s">
        <v>300</v>
      </c>
      <c r="G16" s="138"/>
      <c r="H16" s="139"/>
      <c r="I16" s="139"/>
      <c r="J16" s="114"/>
      <c r="K16" s="114"/>
      <c r="L16" s="114"/>
      <c r="M16" s="114">
        <v>1.0</v>
      </c>
      <c r="N16" s="140" t="s">
        <v>301</v>
      </c>
      <c r="O16" s="38"/>
      <c r="P16" s="115" t="s">
        <v>302</v>
      </c>
    </row>
    <row r="17" ht="19.5" customHeight="1">
      <c r="A17" s="39" t="s">
        <v>303</v>
      </c>
      <c r="B17" s="134" t="s">
        <v>304</v>
      </c>
      <c r="C17" s="141" t="s">
        <v>305</v>
      </c>
      <c r="D17" s="16" t="str">
        <f>IFERROR(__xludf.DUMMYFUNCTION("GOOGLETRANSLATE(C17,""EN"",""FR"")"),"Confirmez les valeurs par défaut pour les paramètres d'adultes sous Options avancées")</f>
        <v>Confirmez les valeurs par défaut pour les paramètres d'adultes sous Options avancées</v>
      </c>
      <c r="E17" s="73" t="str">
        <f>IFERROR(__xludf.DUMMYFUNCTION("GOOGLETRANSLATE(C17,""EN"",""PT"")"),"Confirme os valores padrão para parâmetros adultos em opções avançadas")</f>
        <v>Confirme os valores padrão para parâmetros adultos em opções avançadas</v>
      </c>
      <c r="F17" s="141" t="s">
        <v>306</v>
      </c>
      <c r="G17" s="142" t="s">
        <v>307</v>
      </c>
      <c r="H17" s="16" t="str">
        <f>IFERROR(__xludf.DUMMYFUNCTION("GOOGLETRANSLATE(G17,""EN"",""FR"")"),"Pour produire des estimations précises, Spectrum repose sur un certain nombre d'hypothèses résumées sous des options avancées. Ces paramètres sont mis à jour chaque année car de nouvelles recherches et des preuves sont disponibles sur ces paramètres. Pour"&amp;" Spectrum sur le bureau Mettez à jour les paramètres en sélectionnant des options avancées&gt; Paramètres de transition pour adultes&gt; Restaurez toutes les valeurs de transition par défaut et quittez. Pour Spectrum sur le Web: Entrez des options avancées et c"&amp;"onfirmez les sélections par défaut pour les paramètres d'adultes. Si vous voyez des valeurs de la police rouge, les paramètres n'ont pas été mis à jour. Pour en savoir plus sur les options avancées, voir le matériel de formation du spectre.")</f>
        <v>Pour produire des estimations précises, Spectrum repose sur un certain nombre d'hypothèses résumées sous des options avancées. Ces paramètres sont mis à jour chaque année car de nouvelles recherches et des preuves sont disponibles sur ces paramètres. Pour Spectrum sur le bureau Mettez à jour les paramètres en sélectionnant des options avancées&gt; Paramètres de transition pour adultes&gt; Restaurez toutes les valeurs de transition par défaut et quittez. Pour Spectrum sur le Web: Entrez des options avancées et confirmez les sélections par défaut pour les paramètres d'adultes. Si vous voyez des valeurs de la police rouge, les paramètres n'ont pas été mis à jour. Pour en savoir plus sur les options avancées, voir le matériel de formation du spectre.</v>
      </c>
      <c r="I17" s="73" t="str">
        <f>IFERROR(__xludf.DUMMYFUNCTION("GOOGLETRANSLATE(G17,""EN"",""PT"")"),"Para produzir estimativas precisas, o espectro depende de várias suposições resumidas em opções avançadas. Esses parâmetros são atualizados todos os anos, à medida que novas pesquisas e evidências estão disponíveis nesses parâmetros. Para o espectro no De"&amp;"sktop Atualizar os parâmetros selecionando Opções Avançadas&gt; Parâmetros de Transição Adult&gt; Restaurar todos os valores padrão de transição e saída. Para o espectro na Web: Digite opções avançadas e confirme as seleções padrão para parâmetros adultos. Se v"&amp;"ocê vir valores na fonte vermelha, os parâmetros não foram atualizados. Para saber mais sobre as opções avançadas, consulte os materiais de treinamento do espectro.")</f>
        <v>Para produzir estimativas precisas, o espectro depende de várias suposições resumidas em opções avançadas. Esses parâmetros são atualizados todos os anos, à medida que novas pesquisas e evidências estão disponíveis nesses parâmetros. Para o espectro no Desktop Atualizar os parâmetros selecionando Opções Avançadas&gt; Parâmetros de Transição Adult&gt; Restaurar todos os valores padrão de transição e saída. Para o espectro na Web: Digite opções avançadas e confirme as seleções padrão para parâmetros adultos. Se você vir valores na fonte vermelha, os parâmetros não foram atualizados. Para saber mais sobre as opções avançadas, consulte os materiais de treinamento do espectro.</v>
      </c>
      <c r="J17" s="143" t="s">
        <v>308</v>
      </c>
      <c r="K17" s="16" t="str">
        <f>IFERROR(__xludf.DUMMYFUNCTION("GOOGLETRANSLATE(J17,""EN"",""FR"")"),"Matériel de formation spectre https://hivtools.unaids.org/hiv-estimates-training-Material-fr/")</f>
        <v>Matériel de formation spectre https://hivtools.unaids.org/hiv-estimates-training-Material-fr/</v>
      </c>
      <c r="L17" s="73" t="str">
        <f>IFERROR(__xludf.DUMMYFUNCTION("GOOGLETRANSLATE(J17,""EN"",""PT"")"),"Materiais de treinamento de espectro https://hivtools.unaids.org/hiv-estimates-training-material-en/")</f>
        <v>Materiais de treinamento de espectro https://hivtools.unaids.org/hiv-estimates-training-material-en/</v>
      </c>
      <c r="M17" s="141"/>
      <c r="N17" s="144"/>
      <c r="O17" s="39"/>
      <c r="P17" s="41" t="s">
        <v>309</v>
      </c>
    </row>
    <row r="18" ht="19.5" customHeight="1">
      <c r="A18" s="39" t="s">
        <v>310</v>
      </c>
      <c r="B18" s="134" t="s">
        <v>311</v>
      </c>
      <c r="C18" s="141" t="s">
        <v>312</v>
      </c>
      <c r="D18" s="16" t="str">
        <f>IFERROR(__xludf.DUMMYFUNCTION("GOOGLETRANSLATE(C18,""EN"",""FR"")"),"Confirmez les valeurs par défaut pour les paramètres pédiatriques sous Options avancées")</f>
        <v>Confirmez les valeurs par défaut pour les paramètres pédiatriques sous Options avancées</v>
      </c>
      <c r="E18" s="73" t="str">
        <f>IFERROR(__xludf.DUMMYFUNCTION("GOOGLETRANSLATE(C18,""EN"",""PT"")"),"Confirme os valores padrão para parâmetros pediátricos em opções avançadas")</f>
        <v>Confirme os valores padrão para parâmetros pediátricos em opções avançadas</v>
      </c>
      <c r="F18" s="141" t="s">
        <v>313</v>
      </c>
      <c r="G18" s="142" t="s">
        <v>314</v>
      </c>
      <c r="H18" s="16" t="str">
        <f>IFERROR(__xludf.DUMMYFUNCTION("GOOGLETRANSLATE(G18,""EN"",""FR"")"),"Pour produire des estimations précises, Spectrum repose sur un certain nombre d'hypothèses résumées sous des options avancées. Ces paramètres sont mis à jour chaque année car de nouvelles recherches et des preuves sont disponibles sur ces paramètres. Pour"&amp;" Spectrum sur la mise à jour du bureau, les paramètres en sélectionnant des options avancées&gt; Paramètres pédiatriques&gt; Restaurez toutes les valeurs de transition par défaut et quittez. Pour Spectrum sur le Web: Entrez des options avancées et confirmez les"&amp;" sélections par défaut pour les paramètres pédiatriques. Si vous voyez des valeurs de la police rouge, les paramètres n'ont pas été mis à jour. Pour en savoir plus sur les options avancées, voir le matériel de formation du spectre.")</f>
        <v>Pour produire des estimations précises, Spectrum repose sur un certain nombre d'hypothèses résumées sous des options avancées. Ces paramètres sont mis à jour chaque année car de nouvelles recherches et des preuves sont disponibles sur ces paramètres. Pour Spectrum sur la mise à jour du bureau, les paramètres en sélectionnant des options avancées&gt; Paramètres pédiatriques&gt; Restaurez toutes les valeurs de transition par défaut et quittez. Pour Spectrum sur le Web: Entrez des options avancées et confirmez les sélections par défaut pour les paramètres pédiatriques. Si vous voyez des valeurs de la police rouge, les paramètres n'ont pas été mis à jour. Pour en savoir plus sur les options avancées, voir le matériel de formation du spectre.</v>
      </c>
      <c r="I18" s="73" t="str">
        <f>IFERROR(__xludf.DUMMYFUNCTION("GOOGLETRANSLATE(G18,""EN"",""PT"")"),"Para produzir estimativas precisas, o espectro depende de várias suposições resumidas em opções avançadas. Esses parâmetros são atualizados todos os anos, à medida que novas pesquisas e evidências estão disponíveis nesses parâmetros. Para o espectro na at"&amp;"ualização de desktop, os parâmetros selecionando opções avançadas&gt; Parâmetros pediátricos&gt; Restaurar todos os valores padrão de transição e saída. Para o espectro na Web: Digite opções avançadas e confirme as seleções padrão para parâmetros pediátricos. S"&amp;"e você vir valores na fonte vermelha, os parâmetros não foram atualizados. Para saber mais sobre as opções avançadas, consulte os materiais de treinamento do espectro.")</f>
        <v>Para produzir estimativas precisas, o espectro depende de várias suposições resumidas em opções avançadas. Esses parâmetros são atualizados todos os anos, à medida que novas pesquisas e evidências estão disponíveis nesses parâmetros. Para o espectro na atualização de desktop, os parâmetros selecionando opções avançadas&gt; Parâmetros pediátricos&gt; Restaurar todos os valores padrão de transição e saída. Para o espectro na Web: Digite opções avançadas e confirme as seleções padrão para parâmetros pediátricos. Se você vir valores na fonte vermelha, os parâmetros não foram atualizados. Para saber mais sobre as opções avançadas, consulte os materiais de treinamento do espectro.</v>
      </c>
      <c r="J18" s="143" t="s">
        <v>308</v>
      </c>
      <c r="K18" s="16" t="str">
        <f>IFERROR(__xludf.DUMMYFUNCTION("GOOGLETRANSLATE(J18,""EN"",""FR"")"),"Matériel de formation spectre https://hivtools.unaids.org/hiv-estimates-training-Material-fr/")</f>
        <v>Matériel de formation spectre https://hivtools.unaids.org/hiv-estimates-training-Material-fr/</v>
      </c>
      <c r="L18" s="73" t="str">
        <f>IFERROR(__xludf.DUMMYFUNCTION("GOOGLETRANSLATE(J18,""EN"",""PT"")"),"Materiais de treinamento de espectro https://hivtools.unaids.org/hiv-estimates-training-material-en/")</f>
        <v>Materiais de treinamento de espectro https://hivtools.unaids.org/hiv-estimates-training-material-en/</v>
      </c>
      <c r="M18" s="141"/>
      <c r="N18" s="144"/>
      <c r="O18" s="39"/>
      <c r="P18" s="41" t="s">
        <v>315</v>
      </c>
    </row>
    <row r="19" ht="19.5" customHeight="1">
      <c r="A19" s="39" t="s">
        <v>316</v>
      </c>
      <c r="B19" s="134" t="s">
        <v>317</v>
      </c>
      <c r="C19" s="41" t="s">
        <v>318</v>
      </c>
      <c r="D19" s="16" t="str">
        <f>IFERROR(__xludf.DUMMYFUNCTION("GOOGLETRANSLATE(C19,""EN"",""FR"")"),"Mettre à jour les ratios de taux de fertilité ou confirmer que les valeurs par défaut sont utilisées sous des options avancées.")</f>
        <v>Mettre à jour les ratios de taux de fertilité ou confirmer que les valeurs par défaut sont utilisées sous des options avancées.</v>
      </c>
      <c r="E19" s="73" t="str">
        <f>IFERROR(__xludf.DUMMYFUNCTION("GOOGLETRANSLATE(C19,""EN"",""PT"")"),"Atualizar taxas de taxa de fertilidade ou confirmar valores padrão são usados ​​em opções avançadas")</f>
        <v>Atualizar taxas de taxa de fertilidade ou confirmar valores padrão são usados ​​em opções avançadas</v>
      </c>
      <c r="F19" s="41" t="s">
        <v>319</v>
      </c>
      <c r="G19" s="131" t="s">
        <v>320</v>
      </c>
      <c r="H19" s="16" t="str">
        <f>IFERROR(__xludf.DUMMYFUNCTION("GOOGLETRANSLATE(G19,""EN"",""FR"")"),"Pour produire des estimations précises du nombre de naissances aux femmes vivant avec le VIH, Spectrum exige que les hypothèses correctes sur la fécondité chez les femmes vivant avec le VIH soient sélectionnées sous des options avancées. Entrez des option"&amp;"s avancées et confirmez que les sélections par défaut des «réductions de fertilité liées au VIH» sont correctes pour votre pays. Si la prévalence de bonne qualité des données d'ANC au niveau du recensement est disponible, celles-ci peuvent être utilisées "&amp;"avec l'ajustement de la fertilité locale. Les données seront tirées directement à partir d'EPP afin de mettre à jour les données du recensement de l'ANC-RT au PPE avant de faire cette étape. Pour en savoir plus sur les options avancées, voir le matériel d"&amp;"e formation du spectre.")</f>
        <v>Pour produire des estimations précises du nombre de naissances aux femmes vivant avec le VIH, Spectrum exige que les hypothèses correctes sur la fécondité chez les femmes vivant avec le VIH soient sélectionnées sous des options avancées. Entrez des options avancées et confirmez que les sélections par défaut des «réductions de fertilité liées au VIH» sont correctes pour votre pays. Si la prévalence de bonne qualité des données d'ANC au niveau du recensement est disponible, celles-ci peuvent être utilisées avec l'ajustement de la fertilité locale. Les données seront tirées directement à partir d'EPP afin de mettre à jour les données du recensement de l'ANC-RT au PPE avant de faire cette étape. Pour en savoir plus sur les options avancées, voir le matériel de formation du spectre.</v>
      </c>
      <c r="I19" s="73" t="str">
        <f>IFERROR(__xludf.DUMMYFUNCTION("GOOGLETRANSLATE(G19,""EN"",""PT"")"),"Para produzir estimativas precisas do número de nascimentos para mulheres que vivem com HIV, o espectro exige que as suposições corretas sobre a fertilidade entre as mulheres que vivem com HIV são selecionadas em opções avançadas. Digite opções avançadas "&amp;"e confirme as seleções padrão para as ""reduções de fertilidade relacionadas ao HIV"" estão corretas para o seu país. Se a prevalência de boa qualidade dos dados do Censo Nível ANC estiverem disponíveis, aqueles podem ser usados ​​com o ajuste de fertilid"&amp;"ade local adequado. Os dados serão puxados diretamente do EPP, portanto, atualize seus dados do Censo Anc-RT no EPP antes de fazer esta etapa. Para saber mais sobre as opções avançadas, consulte os materiais de treinamento do espectro.")</f>
        <v>Para produzir estimativas precisas do número de nascimentos para mulheres que vivem com HIV, o espectro exige que as suposições corretas sobre a fertilidade entre as mulheres que vivem com HIV são selecionadas em opções avançadas. Digite opções avançadas e confirme as seleções padrão para as "reduções de fertilidade relacionadas ao HIV" estão corretas para o seu país. Se a prevalência de boa qualidade dos dados do Censo Nível ANC estiverem disponíveis, aqueles podem ser usados ​​com o ajuste de fertilidade local adequado. Os dados serão puxados diretamente do EPP, portanto, atualize seus dados do Censo Anc-RT no EPP antes de fazer esta etapa. Para saber mais sobre as opções avançadas, consulte os materiais de treinamento do espectro.</v>
      </c>
      <c r="J19" s="145" t="s">
        <v>308</v>
      </c>
      <c r="K19" s="16" t="str">
        <f>IFERROR(__xludf.DUMMYFUNCTION("GOOGLETRANSLATE(J19,""EN"",""FR"")"),"Matériel de formation spectre https://hivtools.unaids.org/hiv-estimates-training-Material-fr/")</f>
        <v>Matériel de formation spectre https://hivtools.unaids.org/hiv-estimates-training-Material-fr/</v>
      </c>
      <c r="L19" s="73" t="str">
        <f>IFERROR(__xludf.DUMMYFUNCTION("GOOGLETRANSLATE(J19,""EN"",""PT"")"),"Materiais de treinamento de espectro https://hivtools.unaids.org/hiv-estimates-training-material-en/")</f>
        <v>Materiais de treinamento de espectro https://hivtools.unaids.org/hiv-estimates-training-material-en/</v>
      </c>
      <c r="M19" s="39"/>
      <c r="N19" s="136"/>
      <c r="O19" s="39"/>
      <c r="P19" s="41" t="s">
        <v>321</v>
      </c>
    </row>
    <row r="20" ht="19.5" customHeight="1">
      <c r="A20" s="39" t="s">
        <v>322</v>
      </c>
      <c r="B20" s="134" t="s">
        <v>323</v>
      </c>
      <c r="C20" s="39" t="s">
        <v>324</v>
      </c>
      <c r="D20" s="16" t="str">
        <f>IFERROR(__xludf.DUMMYFUNCTION("GOOGLETRANSLATE(C20,""EN"",""FR"")"),"Confirmez les valeurs par défaut pour les probabilités de MTCT sous Options avancées")</f>
        <v>Confirmez les valeurs par défaut pour les probabilités de MTCT sous Options avancées</v>
      </c>
      <c r="E20" s="73" t="str">
        <f>IFERROR(__xludf.DUMMYFUNCTION("GOOGLETRANSLATE(C20,""EN"",""PT"")"),"Confirme os valores padrão para probabilidades do MTCT em Opções Avançadas")</f>
        <v>Confirme os valores padrão para probabilidades do MTCT em Opções Avançadas</v>
      </c>
      <c r="F20" s="39" t="s">
        <v>325</v>
      </c>
      <c r="G20" s="133" t="s">
        <v>326</v>
      </c>
      <c r="H20" s="16" t="str">
        <f>IFERROR(__xludf.DUMMYFUNCTION("GOOGLETRANSLATE(G20,""EN"",""FR"")"),"Pour produire des estimations précises, le spectre nécessite que les options correctes sont sélectionnées sous des options avancées. Entrez des options avancées dans Spectrum Web et confirmez que les sélections par défaut des «probabilités de transmission"&amp;" de la MTCT» sont correctes pour votre pays. Pour en savoir plus sur les options avancées, voir le matériel de formation du spectre.")</f>
        <v>Pour produire des estimations précises, le spectre nécessite que les options correctes sont sélectionnées sous des options avancées. Entrez des options avancées dans Spectrum Web et confirmez que les sélections par défaut des «probabilités de transmission de la MTCT» sont correctes pour votre pays. Pour en savoir plus sur les options avancées, voir le matériel de formation du spectre.</v>
      </c>
      <c r="I20" s="73" t="str">
        <f>IFERROR(__xludf.DUMMYFUNCTION("GOOGLETRANSLATE(G20,""EN"",""PT"")"),"Para produzir estimativas precisas, o espectro requer que as opções corretas são selecionadas em opções avançadas. Digite opções avançadas no Spectrum Web e confirme as seleções padrão para as ""Probabilidades de transmissão da MTCT"" estão corretas para "&amp;"o seu país. Para saber mais sobre as opções avançadas, consulte os materiais de treinamento do espectro.")</f>
        <v>Para produzir estimativas precisas, o espectro requer que as opções corretas são selecionadas em opções avançadas. Digite opções avançadas no Spectrum Web e confirme as seleções padrão para as "Probabilidades de transmissão da MTCT" estão corretas para o seu país. Para saber mais sobre as opções avançadas, consulte os materiais de treinamento do espectro.</v>
      </c>
      <c r="J20" s="145" t="s">
        <v>327</v>
      </c>
      <c r="K20" s="16" t="str">
        <f>IFERROR(__xludf.DUMMYFUNCTION("GOOGLETRANSLATE(J20,""EN"",""FR"")"),"Matériel de formation spectre https://hivtools.unaids.org/hiv-estimates-training-Material-fr/")</f>
        <v>Matériel de formation spectre https://hivtools.unaids.org/hiv-estimates-training-Material-fr/</v>
      </c>
      <c r="L20" s="73" t="str">
        <f>IFERROR(__xludf.DUMMYFUNCTION("GOOGLETRANSLATE(J20,""EN"",""PT"")"),"Materiais de treinamento de espectro https://hivtools.unaids.org/hiv-estimates-training-material-en/")</f>
        <v>Materiais de treinamento de espectro https://hivtools.unaids.org/hiv-estimates-training-material-en/</v>
      </c>
      <c r="M20" s="39"/>
      <c r="N20" s="136"/>
      <c r="O20" s="39"/>
      <c r="P20" s="41" t="s">
        <v>328</v>
      </c>
    </row>
    <row r="21" ht="19.5" customHeight="1">
      <c r="A21" s="39" t="s">
        <v>329</v>
      </c>
      <c r="B21" s="134" t="s">
        <v>330</v>
      </c>
      <c r="C21" s="39" t="s">
        <v>331</v>
      </c>
      <c r="D21" s="16" t="str">
        <f>IFERROR(__xludf.DUMMYFUNCTION("GOOGLETRANSLATE(C21,""EN"",""FR"")"),"Confirmez les valeurs par défaut pour la nouvelle méthode d'allocation d'art sous Options avancées")</f>
        <v>Confirmez les valeurs par défaut pour la nouvelle méthode d'allocation d'art sous Options avancées</v>
      </c>
      <c r="E21" s="73" t="str">
        <f>IFERROR(__xludf.DUMMYFUNCTION("GOOGLETRANSLATE(C21,""EN"",""PT"")"),"Confirme os valores padrão para o novo método de alocação de arte em opções avançadas")</f>
        <v>Confirme os valores padrão para o novo método de alocação de arte em opções avançadas</v>
      </c>
      <c r="F21" s="39" t="s">
        <v>332</v>
      </c>
      <c r="G21" s="133" t="s">
        <v>333</v>
      </c>
      <c r="H21" s="16" t="str">
        <f>IFERROR(__xludf.DUMMYFUNCTION("GOOGLETRANSLATE(G21,""EN"",""FR"")"),"Pour produire des estimations précises, le spectre nécessite que les options correctes sont sélectionnées sous des options avancées. Entrez des options avancées dans Spectrum Web et confirmez la sélection par défaut pour la «méthode d'allocation pour les "&amp;"nouveaux patients d'art» est correcte pour votre pays. Pour en savoir plus sur les options avancées, voir le matériel de formation du spectre.")</f>
        <v>Pour produire des estimations précises, le spectre nécessite que les options correctes sont sélectionnées sous des options avancées. Entrez des options avancées dans Spectrum Web et confirmez la sélection par défaut pour la «méthode d'allocation pour les nouveaux patients d'art» est correcte pour votre pays. Pour en savoir plus sur les options avancées, voir le matériel de formation du spectre.</v>
      </c>
      <c r="I21" s="73" t="str">
        <f>IFERROR(__xludf.DUMMYFUNCTION("GOOGLETRANSLATE(G21,""EN"",""PT"")"),"Para produzir estimativas precisas, o espectro requer que as opções corretas são selecionadas em opções avançadas. Digite opções avançadas no Spectrum Web e confirme a seleção padrão para o ""método de alocação para novos pacientes com arte"" é correta pa"&amp;"ra o seu país. Para saber mais sobre as opções avançadas, consulte os materiais de treinamento do espectro.")</f>
        <v>Para produzir estimativas precisas, o espectro requer que as opções corretas são selecionadas em opções avançadas. Digite opções avançadas no Spectrum Web e confirme a seleção padrão para o "método de alocação para novos pacientes com arte" é correta para o seu país. Para saber mais sobre as opções avançadas, consulte os materiais de treinamento do espectro.</v>
      </c>
      <c r="J21" s="145" t="s">
        <v>308</v>
      </c>
      <c r="K21" s="16" t="str">
        <f>IFERROR(__xludf.DUMMYFUNCTION("GOOGLETRANSLATE(J21,""EN"",""FR"")"),"Matériel de formation spectre https://hivtools.unaids.org/hiv-estimates-training-Material-fr/")</f>
        <v>Matériel de formation spectre https://hivtools.unaids.org/hiv-estimates-training-Material-fr/</v>
      </c>
      <c r="L21" s="73" t="str">
        <f>IFERROR(__xludf.DUMMYFUNCTION("GOOGLETRANSLATE(J21,""EN"",""PT"")"),"Materiais de treinamento de espectro https://hivtools.unaids.org/hiv-estimates-training-material-en/")</f>
        <v>Materiais de treinamento de espectro https://hivtools.unaids.org/hiv-estimates-training-material-en/</v>
      </c>
      <c r="M21" s="39"/>
      <c r="N21" s="136"/>
      <c r="O21" s="38"/>
      <c r="P21" s="41" t="s">
        <v>334</v>
      </c>
    </row>
    <row r="22" ht="19.5" customHeight="1">
      <c r="A22" s="114" t="s">
        <v>335</v>
      </c>
      <c r="B22" s="146"/>
      <c r="C22" s="114"/>
      <c r="D22" s="114"/>
      <c r="E22" s="114"/>
      <c r="F22" s="114" t="s">
        <v>336</v>
      </c>
      <c r="G22" s="138"/>
      <c r="H22" s="147"/>
      <c r="I22" s="147"/>
      <c r="J22" s="148"/>
      <c r="K22" s="149"/>
      <c r="L22" s="149"/>
      <c r="M22" s="149">
        <v>1.0</v>
      </c>
      <c r="N22" s="140" t="s">
        <v>337</v>
      </c>
      <c r="O22" s="39"/>
      <c r="P22" s="115" t="s">
        <v>338</v>
      </c>
    </row>
    <row r="23" ht="12.0" customHeight="1">
      <c r="D23" s="45"/>
      <c r="E23" s="45"/>
      <c r="F23" s="45"/>
      <c r="G23" s="45"/>
      <c r="H23" s="45"/>
    </row>
    <row r="24" ht="12.0" customHeight="1">
      <c r="D24" s="45"/>
      <c r="E24" s="45"/>
      <c r="F24" s="45"/>
      <c r="G24" s="45"/>
      <c r="H24" s="45"/>
    </row>
    <row r="25" ht="12.0" customHeight="1">
      <c r="D25" s="45"/>
      <c r="E25" s="45"/>
      <c r="F25" s="45"/>
      <c r="G25" s="45"/>
      <c r="H25" s="45"/>
    </row>
    <row r="26" ht="12.0" customHeight="1">
      <c r="D26" s="45"/>
      <c r="E26" s="45"/>
      <c r="F26" s="45"/>
      <c r="G26" s="45"/>
      <c r="H26" s="45"/>
    </row>
    <row r="27" ht="12.0" customHeight="1">
      <c r="D27" s="45"/>
      <c r="E27" s="45"/>
      <c r="F27" s="45"/>
      <c r="G27" s="45"/>
      <c r="H27" s="45"/>
    </row>
    <row r="28" ht="12.0" customHeight="1">
      <c r="D28" s="45"/>
      <c r="E28" s="45"/>
      <c r="F28" s="45"/>
      <c r="G28" s="45"/>
      <c r="H28" s="45"/>
    </row>
    <row r="29" ht="12.0" customHeight="1">
      <c r="D29" s="45"/>
      <c r="E29" s="45"/>
      <c r="F29" s="45"/>
      <c r="G29" s="45"/>
      <c r="H29" s="45"/>
    </row>
    <row r="30" ht="12.0" customHeight="1">
      <c r="D30" s="45"/>
      <c r="E30" s="45"/>
      <c r="F30" s="45"/>
      <c r="G30" s="45"/>
      <c r="H30" s="45"/>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hyperlinks>
    <hyperlink r:id="rId2" ref="J5"/>
    <hyperlink r:id="rId3" ref="J9"/>
  </hyperlinks>
  <printOptions/>
  <pageMargins bottom="0.75" footer="0.0" header="0.0" left="0.7" right="0.7" top="0.75"/>
  <pageSetup orientation="portrait"/>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4.25"/>
    <col customWidth="1" min="2" max="2" width="12.25"/>
    <col customWidth="1" hidden="1" min="3" max="3" width="23.0"/>
    <col customWidth="1" hidden="1" min="4" max="4" width="57.75"/>
    <col customWidth="1" min="5" max="5" width="17.75"/>
    <col customWidth="1" min="6" max="6" width="9.88"/>
    <col customWidth="1" hidden="1" min="7" max="7" width="21.38"/>
    <col customWidth="1" hidden="1" min="8" max="8" width="20.63"/>
    <col customWidth="1" min="9" max="9" width="13.88"/>
    <col customWidth="1" hidden="1" min="10" max="10" width="28.5"/>
    <col customWidth="1" hidden="1" min="11" max="11" width="14.0"/>
    <col customWidth="1" min="12" max="26" width="7.63"/>
  </cols>
  <sheetData>
    <row r="1" ht="15.75" customHeight="1">
      <c r="A1" s="1" t="s">
        <v>0</v>
      </c>
      <c r="B1" s="107" t="s">
        <v>1</v>
      </c>
      <c r="C1" s="3" t="s">
        <v>2</v>
      </c>
      <c r="D1" s="71" t="s">
        <v>3</v>
      </c>
      <c r="E1" s="108"/>
      <c r="F1" s="150" t="s">
        <v>4</v>
      </c>
      <c r="G1" s="3" t="s">
        <v>5</v>
      </c>
      <c r="H1" s="3" t="s">
        <v>6</v>
      </c>
      <c r="I1" s="61" t="s">
        <v>7</v>
      </c>
      <c r="J1" s="7" t="s">
        <v>8</v>
      </c>
      <c r="K1" s="7" t="s">
        <v>9</v>
      </c>
      <c r="L1" s="61" t="s">
        <v>10</v>
      </c>
    </row>
    <row r="2" ht="45.0" customHeight="1">
      <c r="A2" s="29" t="s">
        <v>46</v>
      </c>
      <c r="B2" s="151" t="s">
        <v>339</v>
      </c>
      <c r="C2" s="16" t="str">
        <f>IFERROR(__xludf.DUMMYFUNCTION("GOOGLETRANSLATE(B2,""EN"",""FR"")"),"Générer l'incidence du VIH pour les épidémies généralisées utilisant EPP")</f>
        <v>Générer l'incidence du VIH pour les épidémies généralisées utilisant EPP</v>
      </c>
      <c r="D2" s="73" t="str">
        <f>IFERROR(__xludf.DUMMYFUNCTION("GOOGLETRANSLATE(B2,""EN"",""PT"")"),"Gerar incidência de HIV para epidemias generalizadas usando o EPP")</f>
        <v>Gerar incidência de HIV para epidemias generalizadas usando o EPP</v>
      </c>
      <c r="E2" s="152"/>
      <c r="F2" s="153" t="s">
        <v>340</v>
      </c>
      <c r="G2" s="16" t="str">
        <f>IFERROR(__xludf.DUMMYFUNCTION("GOOGLETRANSLATE(F2,""EN"",""FR"")"),"L'estimation de l'ONUSIDA et le paquet de projection est utilisé dans les épidémies généralisées pour estimer l'incidence du VIH pour le spectre. Dans cette étape, vous allez exécuter les étapes nécessaires pour mettre à jour vos projections du PPE par ra"&amp;"pport à l'année dernière avec de nouvelles données sur la population, la surveillance et les enquêtes, puis réaménager vos projections. Vous distribuez également l'incidence nouvellement calculée dans les bandes d'âge / sexe sous des ratios d'incidence ad"&amp;"aptés.")</f>
        <v>L'estimation de l'ONUSIDA et le paquet de projection est utilisé dans les épidémies généralisées pour estimer l'incidence du VIH pour le spectre. Dans cette étape, vous allez exécuter les étapes nécessaires pour mettre à jour vos projections du PPE par rapport à l'année dernière avec de nouvelles données sur la population, la surveillance et les enquêtes, puis réaménager vos projections. Vous distribuez également l'incidence nouvellement calculée dans les bandes d'âge / sexe sous des ratios d'incidence adaptés.</v>
      </c>
      <c r="H2" s="73" t="str">
        <f>IFERROR(__xludf.DUMMYFUNCTION("GOOGLETRANSLATE(F2,""EN"",""PT"")"),"O pacote de estimativa e projeção da UNAIDS é usado em epidemias generalizadas para estimar a incidência de HIV para espectro. Nesse marco, você executará as etapas necessárias para atualizar suas projeções do PPE do ano passado com novos dados populacion"&amp;"ais, vigilância e pesquisa e, em seguida, reembolsar suas projeções. Você também distribuirá a incidência recém-calculada em toda a idade / sexo sob índices de incidência de ajuste.")</f>
        <v>O pacote de estimativa e projeção da UNAIDS é usado em epidemias generalizadas para estimar a incidência de HIV para espectro. Nesse marco, você executará as etapas necessárias para atualizar suas projeções do PPE do ano passado com novos dados populacionais, vigilância e pesquisa e, em seguida, reembolsar suas projeções. Você também distribuirá a incidência recém-calculada em toda a idade / sexo sob índices de incidência de ajuste.</v>
      </c>
      <c r="I2" s="151" t="s">
        <v>341</v>
      </c>
      <c r="J2" s="16" t="str">
        <f>IFERROR(__xludf.DUMMYFUNCTION("GOOGLETRANSLATE(I2,""EN"",""FR"")"),"Le pays a une épidémie généralisée et des ensembles de données requis: surveillance de l'ANC, enquête (prévalence et couverture d'incidence / artistique (si disponible) et de données de test de la routine")</f>
        <v>Le pays a une épidémie généralisée et des ensembles de données requis: surveillance de l'ANC, enquête (prévalence et couverture d'incidence / artistique (si disponible) et de données de test de la routine</v>
      </c>
      <c r="K2" s="73" t="str">
        <f>IFERROR(__xludf.DUMMYFUNCTION("GOOGLETRANSLATE(I2,""EN"",""PT"")"),"O país tem um epidemia generalizado e conjuntos de dados exigidos: vigilância, pesquisa (prevalência e cobertura de incidência / arte (se disponível) e dados de teste de ROTINA")</f>
        <v>O país tem um epidemia generalizado e conjuntos de dados exigidos: vigilância, pesquisa (prevalência e cobertura de incidência / arte (se disponível) e dados de teste de ROTINA</v>
      </c>
      <c r="L2" s="77">
        <v>0.2</v>
      </c>
    </row>
    <row r="3" ht="14.25" customHeight="1"/>
    <row r="4" ht="15.75" customHeight="1">
      <c r="A4" s="126" t="s">
        <v>0</v>
      </c>
      <c r="B4" s="126" t="s">
        <v>19</v>
      </c>
      <c r="C4" s="126" t="s">
        <v>20</v>
      </c>
      <c r="D4" s="126" t="s">
        <v>21</v>
      </c>
      <c r="E4" s="126" t="s">
        <v>22</v>
      </c>
      <c r="F4" s="126" t="s">
        <v>23</v>
      </c>
      <c r="G4" s="128" t="s">
        <v>191</v>
      </c>
      <c r="H4" s="128" t="s">
        <v>192</v>
      </c>
      <c r="I4" s="126" t="s">
        <v>24</v>
      </c>
      <c r="J4" s="126" t="s">
        <v>25</v>
      </c>
      <c r="K4" s="126" t="s">
        <v>26</v>
      </c>
      <c r="L4" s="126" t="s">
        <v>27</v>
      </c>
      <c r="M4" s="126" t="s">
        <v>342</v>
      </c>
      <c r="N4" s="90" t="s">
        <v>343</v>
      </c>
      <c r="O4" s="67" t="s">
        <v>29</v>
      </c>
      <c r="P4" s="67" t="s">
        <v>28</v>
      </c>
    </row>
    <row r="5" ht="19.5" customHeight="1">
      <c r="A5" s="39" t="s">
        <v>344</v>
      </c>
      <c r="B5" s="39" t="s">
        <v>345</v>
      </c>
      <c r="C5" s="16" t="str">
        <f>IFERROR(__xludf.DUMMYFUNCTION("GOOGLETRANSLATE(B5,""EN"",""FR"")"),"Définir et examiner la structure épidémique de votre pays en PPE")</f>
        <v>Définir et examiner la structure épidémique de votre pays en PPE</v>
      </c>
      <c r="D5" s="73" t="str">
        <f>IFERROR(__xludf.DUMMYFUNCTION("GOOGLETRANSLATE(B5,""EN"",""PT"")"),"Defina e revise a estrutura epidêmica do seu país no EPP")</f>
        <v>Defina e revise a estrutura epidêmica do seu país no EPP</v>
      </c>
      <c r="E5" s="39" t="s">
        <v>346</v>
      </c>
      <c r="F5" s="41" t="s">
        <v>347</v>
      </c>
      <c r="G5" s="16" t="str">
        <f>IFERROR(__xludf.DUMMYFUNCTION("GOOGLETRANSLATE(F5,""EN"",""FR"")"),"Félicitations pour finir le premier des deux étapes du spectre. Maintenant, vous commencerez le processus d'estimation de l'incidence du VIH à l'aide de PPE.
Le PPE exige que le pays ait une structure épidémique définie. Vous pouvez voir la structure épi"&amp;"démique précédemment utilisée pour votre pays dans Spectrum (modules&gt; AIM&gt; Incidence&gt; Configuration (PPE)). Vous devrez peut-être choisir EPP comme option préférée sous incidence&gt; Options d'incidence.
Si toutes les informations sont valides, vous pouvez "&amp;"choisir ""Enregistrer et continuer"", ce qui vous mènera à la page ""Définir Pops"" de EPP. Si la structure épidémique n'est pas correcte, vous pouvez la configurer en fonction de la disponibilité des données pour votre pays. Une fois terminé, choisissez "&amp;"""Enregistrer et continuer"" pour passer à l'étape suivante.")</f>
        <v>Félicitations pour finir le premier des deux étapes du spectre. Maintenant, vous commencerez le processus d'estimation de l'incidence du VIH à l'aide de PPE.
Le PPE exige que le pays ait une structure épidémique définie. Vous pouvez voir la structure épidémique précédemment utilisée pour votre pays dans Spectrum (modules&gt; AIM&gt; Incidence&gt; Configuration (PPE)). Vous devrez peut-être choisir EPP comme option préférée sous incidence&gt; Options d'incidence.
Si toutes les informations sont valides, vous pouvez choisir "Enregistrer et continuer", ce qui vous mènera à la page "Définir Pops" de EPP. Si la structure épidémique n'est pas correcte, vous pouvez la configurer en fonction de la disponibilité des données pour votre pays. Une fois terminé, choisissez "Enregistrer et continuer" pour passer à l'étape suivante.</v>
      </c>
      <c r="H5" s="73" t="str">
        <f>IFERROR(__xludf.DUMMYFUNCTION("GOOGLETRANSLATE(F5,""EN"",""PT"")"),"Parabéns ao terminar o primeiro dos dois marcos espectros. Agora você começará o processo de estimar a incidência do HIV usando o EPP.
A EPP requer que o país tenha uma estrutura epidêmica definida. Você pode ver a estrutura epidêmica usada anteriormente"&amp;" para o seu país em Spectrum (módulos&gt; AIM&gt; Incidência&gt; Configuração (EPP)). Você pode ter que escolher o EPP como a opção preferida sob incidência&gt; Opções de incidência.
Se todas as informações forem válidas, você poderá escolher ""Salvar e continuar"","&amp;" que levará você para a página ""Definir Pops"" do EPP. Se a estrutura epidêmica não estiver correta, você poderá configurá-lo de acordo com a disponibilidade de dados para o seu país. Uma vez concluído, escolha ""Salvar e continuar"" para prosseguir para"&amp;" a próxima etapa.")</f>
        <v>Parabéns ao terminar o primeiro dos dois marcos espectros. Agora você começará o processo de estimar a incidência do HIV usando o EPP.
A EPP requer que o país tenha uma estrutura epidêmica definida. Você pode ver a estrutura epidêmica usada anteriormente para o seu país em Spectrum (módulos&gt; AIM&gt; Incidência&gt; Configuração (EPP)). Você pode ter que escolher o EPP como a opção preferida sob incidência&gt; Opções de incidência.
Se todas as informações forem válidas, você poderá escolher "Salvar e continuar", que levará você para a página "Definir Pops" do EPP. Se a estrutura epidêmica não estiver correta, você poderá configurá-lo de acordo com a disponibilidade de dados para o seu país. Uma vez concluído, escolha "Salvar e continuar" para prosseguir para a próxima etapa.</v>
      </c>
      <c r="I5" s="39"/>
      <c r="J5" s="16"/>
      <c r="K5" s="73"/>
      <c r="L5" s="39"/>
      <c r="M5" s="133" t="s">
        <v>348</v>
      </c>
      <c r="N5" s="39"/>
      <c r="O5" s="39"/>
      <c r="P5" s="41" t="s">
        <v>349</v>
      </c>
    </row>
    <row r="6" ht="19.5" customHeight="1">
      <c r="A6" s="39" t="s">
        <v>350</v>
      </c>
      <c r="B6" s="39" t="s">
        <v>351</v>
      </c>
      <c r="C6" s="16" t="str">
        <f>IFERROR(__xludf.DUMMYFUNCTION("GOOGLETRANSLATE(B6,""EN"",""FR"")"),"Définir la taille de la population pour la structure épidémique")</f>
        <v>Définir la taille de la population pour la structure épidémique</v>
      </c>
      <c r="D6" s="73" t="str">
        <f>IFERROR(__xludf.DUMMYFUNCTION("GOOGLETRANSLATE(B6,""EN"",""PT"")"),"Definir tamanhos populacionais para a estrutura epidêmica")</f>
        <v>Definir tamanhos populacionais para a estrutura epidêmica</v>
      </c>
      <c r="E6" s="39" t="s">
        <v>352</v>
      </c>
      <c r="F6" s="39" t="s">
        <v>353</v>
      </c>
      <c r="G6" s="16" t="str">
        <f>IFERROR(__xludf.DUMMYFUNCTION("GOOGLETRANSLATE(F6,""EN"",""FR"")"),"Si la structure épidémique est définie, la taille de la population doit être entrée pour chaque population. Dans la plupart des cas, vous n'aurez pas à modifier ceci à moins de nouvelles données. Option 1: Divisez l'épidémie nationale en urbain / rural. C"&amp;"liquez sur Enregistrer et continuer. Option 2: Pour l'épidémie de structure urbaine / rurale avec des années prolongées de projections, vous pouvez remplir le pourcentage de pourcentage en milieu urbain pendant de longues années ou ajuster aux valeurs de "&amp;"l'ONU, puis cliquez sur Enregistrer et continuer. Option 3: En cas de structure épidémique nationale composée de multiples projections sous-nationales, ajustez la population modifiée, ajout de données pour des années prolongées, si nécessaire. Vérifiez qu"&amp;"e la population toujours à affecter est 0 pour toutes les années, puis cliquez sur Enregistrer et continuer.")</f>
        <v>Si la structure épidémique est définie, la taille de la population doit être entrée pour chaque population. Dans la plupart des cas, vous n'aurez pas à modifier ceci à moins de nouvelles données. Option 1: Divisez l'épidémie nationale en urbain / rural. Cliquez sur Enregistrer et continuer. Option 2: Pour l'épidémie de structure urbaine / rurale avec des années prolongées de projections, vous pouvez remplir le pourcentage de pourcentage en milieu urbain pendant de longues années ou ajuster aux valeurs de l'ONU, puis cliquez sur Enregistrer et continuer. Option 3: En cas de structure épidémique nationale composée de multiples projections sous-nationales, ajustez la population modifiée, ajout de données pour des années prolongées, si nécessaire. Vérifiez que la population toujours à affecter est 0 pour toutes les années, puis cliquez sur Enregistrer et continuer.</v>
      </c>
      <c r="H6" s="73" t="str">
        <f>IFERROR(__xludf.DUMMYFUNCTION("GOOGLETRANSLATE(F6,""EN"",""PT"")"),"Se a estrutura epidêmica for definida, os tamanhos populacionais devem ser inseridos para cada população. Na maioria dos casos, você não precisará mudar isso a menos que haja novos dados. Opção 1: Divida epidemia nacional em urbano / rural. Clique em Salv"&amp;"ar e continue. Opção 2: Para a estrutura urbana / rural Epidemia com anos prolongados de projeções, você pode preencher porcentagem urbana por anos prolongados ou ajustar aos valores da ONU, em seguida, clique em Salvar e continuar. Opção 3: No caso da es"&amp;"trutura epidêmica nacional que consiste em múltiplas projeções subnacionais, ajuste para a população alterada, adicionando dados por anos prolongados, se necessário. Verifique se a população ainda é atribuída é 0 para todos os anos, clique em Salvar e con"&amp;"tinuar.")</f>
        <v>Se a estrutura epidêmica for definida, os tamanhos populacionais devem ser inseridos para cada população. Na maioria dos casos, você não precisará mudar isso a menos que haja novos dados. Opção 1: Divida epidemia nacional em urbano / rural. Clique em Salvar e continue. Opção 2: Para a estrutura urbana / rural Epidemia com anos prolongados de projeções, você pode preencher porcentagem urbana por anos prolongados ou ajustar aos valores da ONU, em seguida, clique em Salvar e continuar. Opção 3: No caso da estrutura epidêmica nacional que consiste em múltiplas projeções subnacionais, ajuste para a população alterada, adicionando dados por anos prolongados, se necessário. Verifique se a população ainda é atribuída é 0 para todos os anos, clique em Salvar e continuar.</v>
      </c>
      <c r="I6" s="39"/>
      <c r="J6" s="16"/>
      <c r="K6" s="73"/>
      <c r="L6" s="39"/>
      <c r="M6" s="133" t="s">
        <v>348</v>
      </c>
      <c r="N6" s="39"/>
      <c r="O6" s="39"/>
      <c r="P6" s="41" t="s">
        <v>354</v>
      </c>
    </row>
    <row r="7" ht="19.5" customHeight="1">
      <c r="A7" s="39" t="s">
        <v>355</v>
      </c>
      <c r="B7" s="39" t="s">
        <v>356</v>
      </c>
      <c r="C7" s="16" t="str">
        <f>IFERROR(__xludf.DUMMYFUNCTION("GOOGLETRANSLATE(B7,""EN"",""FR"")"),"Entrez des données de surveillance ou d'enquête nouvelles ou corrigées dans EPP (si disponible)")</f>
        <v>Entrez des données de surveillance ou d'enquête nouvelles ou corrigées dans EPP (si disponible)</v>
      </c>
      <c r="D7" s="73" t="str">
        <f>IFERROR(__xludf.DUMMYFUNCTION("GOOGLETRANSLATE(B7,""EN"",""PT"")"),"Digite novos ou corrigidos dados de vigilância ou pesquisa em EPP (se disponível)")</f>
        <v>Digite novos ou corrigidos dados de vigilância ou pesquisa em EPP (se disponível)</v>
      </c>
      <c r="E7" s="39" t="s">
        <v>357</v>
      </c>
      <c r="F7" s="39" t="s">
        <v>358</v>
      </c>
      <c r="G7" s="16" t="str">
        <f>IFERROR(__xludf.DUMMYFUNCTION("GOOGLETRANSLATE(F7,""EN"",""FR"")"),"Entrez la dernière prévalence de l'ANC ou toute nouvelle enquête ou surveillance des données sur PPE sous Incidence&gt; Données de surveillance (PPE). Si vous avez de nouvelles données de surveillance à saisir: i) Sélectionnez la première sous-population, ii"&amp;") Choisissez le mode de données VIH pour la source de vos données de surveillance (surveillance Sentinelle VIH ou cliniques antennatales), iii) Entrez des données pour les tests Sentinel et / ou de routine et Niveau de recensement ANC si disponible. Le ca"&amp;"s échéant, poursuivez ce processus pour toutes les sous-populations. Si vous n'avez aucune donnée d'enquête, cliquez sur ""Enregistrer et continuer"". Toutefois, si vous avez de nouvelles données d'enquête, commencez par cliquer sur le bouton ""Source"" p"&amp;"our expliquer l'enquête. Sélectionnez le nouveau sondage, fournissez un nom court, entrez l'année de l'enquête et fournissez l'erreur standard. Si l'enquête a une incidence, vous pouvez entrer ces valeurs. Répétez la répétition pour tous les sous-zones se"&amp;"lon vos besoins. Une fois que vous avez terminé, cliquez sur ""Enregistrer et continuer"" pour continuer.")</f>
        <v>Entrez la dernière prévalence de l'ANC ou toute nouvelle enquête ou surveillance des données sur PPE sous Incidence&gt; Données de surveillance (PPE). Si vous avez de nouvelles données de surveillance à saisir: i) Sélectionnez la première sous-population, ii) Choisissez le mode de données VIH pour la source de vos données de surveillance (surveillance Sentinelle VIH ou cliniques antennatales), iii) Entrez des données pour les tests Sentinel et / ou de routine et Niveau de recensement ANC si disponible. Le cas échéant, poursuivez ce processus pour toutes les sous-populations. Si vous n'avez aucune donnée d'enquête, cliquez sur "Enregistrer et continuer". Toutefois, si vous avez de nouvelles données d'enquête, commencez par cliquer sur le bouton "Source" pour expliquer l'enquête. Sélectionnez le nouveau sondage, fournissez un nom court, entrez l'année de l'enquête et fournissez l'erreur standard. Si l'enquête a une incidence, vous pouvez entrer ces valeurs. Répétez la répétition pour tous les sous-zones selon vos besoins. Une fois que vous avez terminé, cliquez sur "Enregistrer et continuer" pour continuer.</v>
      </c>
      <c r="H7" s="73" t="str">
        <f>IFERROR(__xludf.DUMMYFUNCTION("GOOGLETRANSLATE(F7,""EN"",""PT"")"),"Digite a mais recente prevalência do ANC ou quaisquer novos dados de pesquisa ou vigilância em EPP sob incidência&gt; Dados de vigilância (EPP). Se você tiver novos dados de vigilância para inserir: i) Selecione a primeira subpopulação, ii) Escolha o modo de"&amp;" dados do HIV para a origem de seus dados de vigilância (vigilância do HIV Sentinel ou clínicas pré-natais), III) Inserir dados para o Sentinel e / ou testes de rotina e Censo-nível ANC, se disponível. Se aplicável, continue este processo para todas as su"&amp;"bpulações. Se você não tiver dados de pesquisa, clique em ""Salvar e continuar"". No entanto, se você tiver novos dados de pesquisa, inicie clicando no botão ""Source"" para explicar a pesquisa. Selecione a nova pesquisa, forneça um nome curta, insira o a"&amp;"no da pesquisa e forneça o erro padrão. Se a pesquisa tiver incidência, você poderá inserir esses valores. Repita para todas as sub-áreas conforme necessário. Depois de terminar, clique em ""Salvar e continue"" para prosseguir.")</f>
        <v>Digite a mais recente prevalência do ANC ou quaisquer novos dados de pesquisa ou vigilância em EPP sob incidência&gt; Dados de vigilância (EPP). Se você tiver novos dados de vigilância para inserir: i) Selecione a primeira subpopulação, ii) Escolha o modo de dados do HIV para a origem de seus dados de vigilância (vigilância do HIV Sentinel ou clínicas pré-natais), III) Inserir dados para o Sentinel e / ou testes de rotina e Censo-nível ANC, se disponível. Se aplicável, continue este processo para todas as subpulações. Se você não tiver dados de pesquisa, clique em "Salvar e continuar". No entanto, se você tiver novos dados de pesquisa, inicie clicando no botão "Source" para explicar a pesquisa. Selecione a nova pesquisa, forneça um nome curta, insira o ano da pesquisa e forneça o erro padrão. Se a pesquisa tiver incidência, você poderá inserir esses valores. Repita para todas as sub-áreas conforme necessário. Depois de terminar, clique em "Salvar e continue" para prosseguir.</v>
      </c>
      <c r="I7" s="39"/>
      <c r="J7" s="16"/>
      <c r="K7" s="73"/>
      <c r="L7" s="39">
        <v>1.0</v>
      </c>
      <c r="M7" s="133"/>
      <c r="N7" s="39"/>
      <c r="O7" s="39"/>
      <c r="P7" s="41" t="s">
        <v>359</v>
      </c>
    </row>
    <row r="8" ht="19.5" customHeight="1">
      <c r="A8" s="39" t="s">
        <v>360</v>
      </c>
      <c r="B8" s="39" t="s">
        <v>361</v>
      </c>
      <c r="C8" s="16" t="str">
        <f>IFERROR(__xludf.DUMMYFUNCTION("GOOGLETRANSLATE(B8,""EN"",""FR"")"),"Exécuter la courbe d'ajustement dans le spectre")</f>
        <v>Exécuter la courbe d'ajustement dans le spectre</v>
      </c>
      <c r="D8" s="73" t="str">
        <f>IFERROR(__xludf.DUMMYFUNCTION("GOOGLETRANSLATE(B8,""EN"",""PT"")"),"Execute o encaixe da curva no espectro")</f>
        <v>Execute o encaixe da curva no espectro</v>
      </c>
      <c r="E8" s="39" t="s">
        <v>362</v>
      </c>
      <c r="F8" s="39" t="s">
        <v>363</v>
      </c>
      <c r="G8" s="16" t="str">
        <f>IFERROR(__xludf.DUMMYFUNCTION("GOOGLETRANSLATE(F8,""EN"",""FR"")"),"Une étape importante dans l'estimation de l'incidence du VIH est l'ajustement de la courbe, qui est complétée dans Spectrum (AIM&gt; Incidence&gt; Raccord de courbe). Assurez-vous de revoir vos données dans le graphique sur cette page pour chaque population ava"&amp;"nt de procéder au processus de montage de courbe. Si vous voyez des valeurs aberrantes ou des points de données erronés dans les données de surveillance, de sondage ou de recensement affichées sur le graphique, puis retournez sur «AIM&gt; Incidence&gt; Données "&amp;"de surveillance (EPP)"" et corrigez-les avant le montage. Une fois que vous êtes satisfait des données, vous pouvez sélectionner le modèle pour adapter chaque population. Dans la plupart des cas, il s'agit du même modèle que vous avez utilisé l'année préc"&amp;"édente et aucune action n'est nécessaire. Vous pouvez consulter le Guide 3, Spectrum Démarrage rapide pour des informations sur le modèle à utiliser. Une fois que le modèle est sélectionné pour chaque population, défini pour exécuter la projection nationa"&amp;"le, puis sur ""Ajuster tout"". Enregistrez toutes les projections et calibrez si nécessaire (Guide 3, Spectrum Démarrage rapide peut fournir des informations complémentaires sur l'étalonnage). Passez en revue les résultats sur la page ""Résultats"" de PEP"&amp;". Comparez de nouveaux résultats avec la projection précédente à l'aide du bouton ""Comparer"". S'il existe de grandes différences dans la courbe produite dans le dernier tour, déterminez si les données d'entrée ou le modèle d'ajustement pourraient avoir "&amp;"modifié ces données.")</f>
        <v>Une étape importante dans l'estimation de l'incidence du VIH est l'ajustement de la courbe, qui est complétée dans Spectrum (AIM&gt; Incidence&gt; Raccord de courbe). Assurez-vous de revoir vos données dans le graphique sur cette page pour chaque population avant de procéder au processus de montage de courbe. Si vous voyez des valeurs aberrantes ou des points de données erronés dans les données de surveillance, de sondage ou de recensement affichées sur le graphique, puis retournez sur «AIM&gt; Incidence&gt; Données de surveillance (EPP)" et corrigez-les avant le montage. Une fois que vous êtes satisfait des données, vous pouvez sélectionner le modèle pour adapter chaque population. Dans la plupart des cas, il s'agit du même modèle que vous avez utilisé l'année précédente et aucune action n'est nécessaire. Vous pouvez consulter le Guide 3, Spectrum Démarrage rapide pour des informations sur le modèle à utiliser. Une fois que le modèle est sélectionné pour chaque population, défini pour exécuter la projection nationale, puis sur "Ajuster tout". Enregistrez toutes les projections et calibrez si nécessaire (Guide 3, Spectrum Démarrage rapide peut fournir des informations complémentaires sur l'étalonnage). Passez en revue les résultats sur la page "Résultats" de PEP. Comparez de nouveaux résultats avec la projection précédente à l'aide du bouton "Comparer". S'il existe de grandes différences dans la courbe produite dans le dernier tour, déterminez si les données d'entrée ou le modèle d'ajustement pourraient avoir modifié ces données.</v>
      </c>
      <c r="H8" s="73" t="str">
        <f>IFERROR(__xludf.DUMMYFUNCTION("GOOGLETRANSLATE(F8,""EN"",""PT"")"),"Um passo importante na estimativa da incidência do HIV é o encaixe da curva, que é concluído no espectro (AIM&gt; Incidência&gt; Curva). Certifique-se de rever seus dados no gráfico nesta página para cada população antes de prosseguir com o processo de ajuste d"&amp;"e curva. Se você vir algum comentário ou pontos de dados errados nos dados de vigilância, pesquisa ou censo exibidos no gráfico, retorne ao menu ""AIM&gt; Incidência&gt; Dados de vigilância (EPP) e corrigi-los antes de ajustar. Depois de estar satisfeito com os"&amp;" dados, você pode selecionar o modelo para encaixar cada população. Na maioria dos casos, este é o mesmo modelo que você usou no ano anterior e nenhuma ação é necessária. Você pode consultar o guia 3, Spectrum Rápido Início para obter informações sobre qu"&amp;"al modelo usar. Uma vez que o modelo seja selecionado para cada população, defina para executar a projeção nacional e ""encaixe tudo"". Salve todas as projeções e calibreque se necessário (Guia 3, o Spectrum Rápido Start pode fornecer mais informações sob"&amp;"re calibração). Revise os resultados na página ""Resultados"" do EPP. Compare novos resultados com projeção prévia usando o botão ""Comparar"". Se houver grandes diferenças na curva produzida na última rodada, considere se os dados de entrada ou o ajuste "&amp;"do modelo podem ter mudado esses dados.")</f>
        <v>Um passo importante na estimativa da incidência do HIV é o encaixe da curva, que é concluído no espectro (AIM&gt; Incidência&gt; Curva). Certifique-se de rever seus dados no gráfico nesta página para cada população antes de prosseguir com o processo de ajuste de curva. Se você vir algum comentário ou pontos de dados errados nos dados de vigilância, pesquisa ou censo exibidos no gráfico, retorne ao menu "AIM&gt; Incidência&gt; Dados de vigilância (EPP) e corrigi-los antes de ajustar. Depois de estar satisfeito com os dados, você pode selecionar o modelo para encaixar cada população. Na maioria dos casos, este é o mesmo modelo que você usou no ano anterior e nenhuma ação é necessária. Você pode consultar o guia 3, Spectrum Rápido Início para obter informações sobre qual modelo usar. Uma vez que o modelo seja selecionado para cada população, defina para executar a projeção nacional e "encaixe tudo". Salve todas as projeções e calibreque se necessário (Guia 3, o Spectrum Rápido Start pode fornecer mais informações sobre calibração). Revise os resultados na página "Resultados" do EPP. Compare novos resultados com projeção prévia usando o botão "Comparar". Se houver grandes diferenças na curva produzida na última rodada, considere se os dados de entrada ou o ajuste do modelo podem ter mudado esses dados.</v>
      </c>
      <c r="I8" s="154" t="s">
        <v>364</v>
      </c>
      <c r="J8" s="16" t="str">
        <f>IFERROR(__xludf.DUMMYFUNCTION("GOOGLETRANSLATE(I8,""EN"",""FR"")"),"Guide 3, Spectrum Démarrage rapide https://hivtools.unaids.org/hiv-estimates-training-Material-fr/")</f>
        <v>Guide 3, Spectrum Démarrage rapide https://hivtools.unaids.org/hiv-estimates-training-Material-fr/</v>
      </c>
      <c r="K8" s="73" t="str">
        <f>IFERROR(__xludf.DUMMYFUNCTION("GOOGLETRANSLATE(I8,""EN"",""PT"")"),"Guia 3, Spectrum Quick Start https://hivtools.unaids.org/hiv-estimates-Training-material-en/")</f>
        <v>Guia 3, Spectrum Quick Start https://hivtools.unaids.org/hiv-estimates-Training-material-en/</v>
      </c>
      <c r="L8" s="39">
        <v>1.0</v>
      </c>
      <c r="M8" s="133" t="s">
        <v>365</v>
      </c>
      <c r="N8" s="39"/>
      <c r="O8" s="38"/>
      <c r="P8" s="41" t="s">
        <v>366</v>
      </c>
    </row>
    <row r="9" ht="19.5" customHeight="1">
      <c r="A9" s="39" t="s">
        <v>367</v>
      </c>
      <c r="B9" s="39" t="s">
        <v>368</v>
      </c>
      <c r="C9" s="16" t="str">
        <f>IFERROR(__xludf.DUMMYFUNCTION("GOOGLETRANSLATE(B9,""EN"",""FR"")"),"Dans Spectrum, restaurez les modèles d'incidence du sexe / Âge aux valeurs par défaut et adaptez-leur comme des ratios fixes ou dépendants du temps")</f>
        <v>Dans Spectrum, restaurez les modèles d'incidence du sexe / Âge aux valeurs par défaut et adaptez-leur comme des ratios fixes ou dépendants du temps</v>
      </c>
      <c r="D9" s="73" t="str">
        <f>IFERROR(__xludf.DUMMYFUNCTION("GOOGLETRANSLATE(B9,""EN"",""PT"")"),"No espectro, restaure padrões de incidência sexual / idade para valores padrão e ajuste-os como razões fixo ou dependente do tempo")</f>
        <v>No espectro, restaure padrões de incidência sexual / idade para valores padrão e ajuste-os como razões fixo ou dependente do tempo</v>
      </c>
      <c r="E9" s="39" t="s">
        <v>369</v>
      </c>
      <c r="F9" s="41" t="s">
        <v>370</v>
      </c>
      <c r="G9" s="16" t="str">
        <f>IFERROR(__xludf.DUMMYFUNCTION("GOOGLETRANSLATE(F9,""EN"",""FR"")"),"Vous êtes proche de terminer le processus de spectre. La dernière étape a créé une courbe d'incidence. Maintenant, nous devons distinguer cette incidence par âge et sexe. Pour les épidémies généralisées avec des enquêtes nationales, le modèle calculera le"&amp;"s modèles d'incidence du sexe et de l'âge approprié du modèle actuel d'âge / de prévention du sexe. Commencez par naviguer vers pour viser&gt; Sexe / Modèle d'âge dans Spectrum. Cliquez ensuite sur le bouton 'Restaurer les valeurs par défaut'. Ensuite, régle"&amp;"z le bouton radio sur le motif adapté à la prévalence du VIH ou à l'art et sélectionnez Ratios d'incidence en forme. Définissez le bouton radio sur «Ratios d'incidence dépendante de l'heure» et cliquez sur le bouton «Fit Incidence». L'ajustement ne devrai"&amp;"t prendre que quelques minutes. Ensuite, réglez le bouton radio sur ""Ratios d'incidence fixe dans le temps"" et cliquez à nouveau sur le bouton ""Fit Incidence"". Lorsque cela est fait, examinez les valeurs du critère d'informations AKAIKE pour chaque op"&amp;"tion. Cette statistique mesure la qualité d'ajustement et s'adapte aux degrés de liberté. Le nombre inférieur est la meilleure option. Définissez le bouton radio sur cette option. Regardez également à quel point les résultats modélisés correspondent à la "&amp;"prévalence à partir de vos enquêtes. Vérifiez cela pour les mâles et les femmes séparément à l'aide des boutons radio en haut de l'écran. Idéalement, les valeurs seront dans les intervalles de confiance de l'enquête.")</f>
        <v>Vous êtes proche de terminer le processus de spectre. La dernière étape a créé une courbe d'incidence. Maintenant, nous devons distinguer cette incidence par âge et sexe. Pour les épidémies généralisées avec des enquêtes nationales, le modèle calculera les modèles d'incidence du sexe et de l'âge approprié du modèle actuel d'âge / de prévention du sexe. Commencez par naviguer vers pour viser&gt; Sexe / Modèle d'âge dans Spectrum. Cliquez ensuite sur le bouton 'Restaurer les valeurs par défaut'. Ensuite, réglez le bouton radio sur le motif adapté à la prévalence du VIH ou à l'art et sélectionnez Ratios d'incidence en forme. Définissez le bouton radio sur «Ratios d'incidence dépendante de l'heure» et cliquez sur le bouton «Fit Incidence». L'ajustement ne devrait prendre que quelques minutes. Ensuite, réglez le bouton radio sur "Ratios d'incidence fixe dans le temps" et cliquez à nouveau sur le bouton "Fit Incidence". Lorsque cela est fait, examinez les valeurs du critère d'informations AKAIKE pour chaque option. Cette statistique mesure la qualité d'ajustement et s'adapte aux degrés de liberté. Le nombre inférieur est la meilleure option. Définissez le bouton radio sur cette option. Regardez également à quel point les résultats modélisés correspondent à la prévalence à partir de vos enquêtes. Vérifiez cela pour les mâles et les femmes séparément à l'aide des boutons radio en haut de l'écran. Idéalement, les valeurs seront dans les intervalles de confiance de l'enquête.</v>
      </c>
      <c r="H9" s="73" t="str">
        <f>IFERROR(__xludf.DUMMYFUNCTION("GOOGLETRANSLATE(F9,""EN"",""PT"")"),"Você está perto de completar o processo de espectro. O último passo criou uma curva de incidência. Agora precisamos ajudar essa incidência por idade e sexo. Para epidemias generalizadas com pesquisas nacionais, o modelo calculará os padrões apropriados de"&amp;" incidência de sexo e idade do padrão atual de previsão de idade / sexo. Comece por navegar para AIM&gt; padrão de sexo / idade no espectro. Em seguida, clique no botão 'Restaurar valores padrão'. Em seguida, defina o botão de rádio para padrão instalado par"&amp;"a prevalência ou arte do HIV e selecione Fit Disidence Ratia. Defina o botão de rádio para 'ratios de incidência dependentes de tempo' e clique no botão 'Fit incidência'. O ajuste só deve levar alguns minutos. Em seguida, defina o botão de opção para 'Cor"&amp;"rigidos índices de incidência ao longo do tempo' e clique no botão 'Fit Incidence Rates' novamente. Quando é feito, observe os valores do critério de informação akaike para cada opção. Esta estatística mede a bondade de ajuste e ajusta-se para os graus de"&amp;" liberdade. O número inferior é a melhor opção. Defina o botão de opção para essa opção. Veja também o quão bem os resultados modelados correspondem à prevalência de suas pesquisas. Verifique isso para homens e fêmeas separadamente usando os botões de opç"&amp;"ão no topo da tela. Idealmente, os valores estarão dentro dos intervalos de confiança da pesquisa.")</f>
        <v>Você está perto de completar o processo de espectro. O último passo criou uma curva de incidência. Agora precisamos ajudar essa incidência por idade e sexo. Para epidemias generalizadas com pesquisas nacionais, o modelo calculará os padrões apropriados de incidência de sexo e idade do padrão atual de previsão de idade / sexo. Comece por navegar para AIM&gt; padrão de sexo / idade no espectro. Em seguida, clique no botão 'Restaurar valores padrão'. Em seguida, defina o botão de rádio para padrão instalado para prevalência ou arte do HIV e selecione Fit Disidence Ratia. Defina o botão de rádio para 'ratios de incidência dependentes de tempo' e clique no botão 'Fit incidência'. O ajuste só deve levar alguns minutos. Em seguida, defina o botão de opção para 'Corrigidos índices de incidência ao longo do tempo' e clique no botão 'Fit Incidence Rates' novamente. Quando é feito, observe os valores do critério de informação akaike para cada opção. Esta estatística mede a bondade de ajuste e ajusta-se para os graus de liberdade. O número inferior é a melhor opção. Defina o botão de opção para essa opção. Veja também o quão bem os resultados modelados correspondem à prevalência de suas pesquisas. Verifique isso para homens e fêmeas separadamente usando os botões de opção no topo da tela. Idealmente, os valores estarão dentro dos intervalos de confiança da pesquisa.</v>
      </c>
      <c r="I9" s="39"/>
      <c r="J9" s="16"/>
      <c r="K9" s="73"/>
      <c r="L9" s="39">
        <v>1.0</v>
      </c>
      <c r="M9" s="39"/>
      <c r="N9" s="39"/>
      <c r="O9" s="39"/>
      <c r="P9" s="41" t="s">
        <v>371</v>
      </c>
      <c r="Q9" s="106"/>
      <c r="R9" s="106"/>
      <c r="S9" s="106"/>
      <c r="T9" s="106"/>
      <c r="U9" s="106"/>
      <c r="V9" s="106"/>
      <c r="W9" s="106"/>
      <c r="X9" s="106"/>
      <c r="Y9" s="106"/>
      <c r="Z9" s="106"/>
      <c r="AA9" s="106"/>
      <c r="AB9" s="106"/>
      <c r="AC9" s="106"/>
      <c r="AD9" s="106"/>
      <c r="AE9" s="106"/>
      <c r="AF9" s="106"/>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hyperlinks>
    <hyperlink r:id="rId1" ref="I8"/>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13"/>
    <col customWidth="1" min="2" max="2" width="21.38"/>
    <col customWidth="1" hidden="1" min="3" max="3" width="28.38"/>
    <col customWidth="1" hidden="1" min="4" max="4" width="52.63"/>
    <col customWidth="1" min="5" max="5" width="23.13"/>
    <col customWidth="1" min="6" max="6" width="9.88"/>
    <col customWidth="1" hidden="1" min="7" max="7" width="8.63"/>
    <col customWidth="1" hidden="1" min="8" max="8" width="29.5"/>
    <col customWidth="1" min="9" max="9" width="33.63"/>
    <col customWidth="1" hidden="1" min="10" max="10" width="38.88"/>
    <col customWidth="1" hidden="1" min="11" max="11" width="7.63"/>
  </cols>
  <sheetData>
    <row r="1" ht="15.75" customHeight="1">
      <c r="A1" s="1" t="s">
        <v>0</v>
      </c>
      <c r="B1" s="107" t="s">
        <v>1</v>
      </c>
      <c r="C1" s="3" t="s">
        <v>2</v>
      </c>
      <c r="D1" s="71" t="s">
        <v>3</v>
      </c>
      <c r="E1" s="155"/>
      <c r="F1" s="150" t="s">
        <v>4</v>
      </c>
      <c r="G1" s="3" t="s">
        <v>5</v>
      </c>
      <c r="H1" s="3" t="s">
        <v>6</v>
      </c>
      <c r="I1" s="61" t="s">
        <v>7</v>
      </c>
      <c r="J1" s="7" t="s">
        <v>8</v>
      </c>
      <c r="K1" s="7" t="s">
        <v>9</v>
      </c>
      <c r="L1" s="61" t="s">
        <v>10</v>
      </c>
    </row>
    <row r="2" ht="82.5" customHeight="1">
      <c r="A2" s="29" t="s">
        <v>49</v>
      </c>
      <c r="B2" s="77" t="s">
        <v>372</v>
      </c>
      <c r="C2" s="16" t="str">
        <f>IFERROR(__xludf.DUMMYFUNCTION("GOOGLETRANSLATE(B2,""EN"",""FR"")"),"Générer des connaissances sur le statut VIH à l'aide de Brillant 90")</f>
        <v>Générer des connaissances sur le statut VIH à l'aide de Brillant 90</v>
      </c>
      <c r="D2" s="73" t="str">
        <f>IFERROR(__xludf.DUMMYFUNCTION("GOOGLETRANSLATE(B2,""EN"",""PT"")"),"Gerar conhecimento do status do HIV usando 90 brilhantes")</f>
        <v>Gerar conhecimento do status do HIV usando 90 brilhantes</v>
      </c>
      <c r="E2" s="156"/>
      <c r="F2" s="157" t="s">
        <v>373</v>
      </c>
      <c r="G2" s="16" t="str">
        <f>IFERROR(__xludf.DUMMYFUNCTION("GOOGLETRANSLATE(F2,""EN"",""FR"")"),"Dans ce jalon, vous utiliserez Shiny 90 pour estimer la proportion de personnes vivant avec le VIH qui connaissent leur statut VIH + (KOS). KOS est le «premier 90» du cadre 90-90-90 utilisé dans le monde entier dans la lutte contre le VIH. Dans cette étap"&amp;"e, vous entrerez sur les données de programme et d'enquête, exécutez votre modèle et téléchargez les résultats avant de retourner sur Spectrum.")</f>
        <v>Dans ce jalon, vous utiliserez Shiny 90 pour estimer la proportion de personnes vivant avec le VIH qui connaissent leur statut VIH + (KOS). KOS est le «premier 90» du cadre 90-90-90 utilisé dans le monde entier dans la lutte contre le VIH. Dans cette étape, vous entrerez sur les données de programme et d'enquête, exécutez votre modèle et téléchargez les résultats avant de retourner sur Spectrum.</v>
      </c>
      <c r="H2" s="73" t="str">
        <f>IFERROR(__xludf.DUMMYFUNCTION("GOOGLETRANSLATE(F2,""EN"",""PT"")"),"Neste marco, você usará 90 brilhante para estimar a proporção de pessoas que vivem com o HIV que conhecem seu status HIV + (KOS). O KOS é o ""primeiro 90"" da estrutura 90-90-90 usada globalmente na luta contra o HIV. Neste marco, você entrará em dados de"&amp;" programa e pesquisa, executará seu modelo e baixará os resultados antes de retornar ao espectro.")</f>
        <v>Neste marco, você usará 90 brilhante para estimar a proporção de pessoas que vivem com o HIV que conhecem seu status HIV + (KOS). O KOS é o "primeiro 90" da estrutura 90-90-90 usada globalmente na luta contra o HIV. Neste marco, você entrará em dados de programa e pesquisa, executará seu modelo e baixará os resultados antes de retornar ao espectro.</v>
      </c>
      <c r="I2" s="77" t="s">
        <v>374</v>
      </c>
      <c r="J2" s="16" t="str">
        <f>IFERROR(__xludf.DUMMYFUNCTION("GOOGLETRANSLATE(I2,""EN"",""FR"")"),"Le pays a des données de l'enquête sur la population représentatives à l'échelle nationale avec les tests de sérologie du VIH;
Le fichier de spectre est terminé (EPP RUN et IRRS FIT) fortement recommandé
Les données HTS qui ont été examinées et validées p"&amp;"ar l'équipe des estimations")</f>
        <v>Le pays a des données de l'enquête sur la population représentatives à l'échelle nationale avec les tests de sérologie du VIH;
Le fichier de spectre est terminé (EPP RUN et IRRS FIT) fortement recommandé
Les données HTS qui ont été examinées et validées par l'équipe des estimations</v>
      </c>
      <c r="K2" s="73" t="str">
        <f>IFERROR(__xludf.DUMMYFUNCTION("GOOGLETRANSLATE(I2,""EN"",""PT"")"),"O país possui dados de pesquisa populacional de população nacional com testes de sorologia do HIV;
O arquivo de espectro é concluído (EPP Run e Irs Fit) altamente recomendado
Dados HTS que foram revisados ​​e validados pela equipe estimativas")</f>
        <v>O país possui dados de pesquisa populacional de população nacional com testes de sorologia do HIV;
O arquivo de espectro é concluído (EPP Run e Irs Fit) altamente recomendado
Dados HTS que foram revisados ​​e validados pela equipe estimativas</v>
      </c>
      <c r="L2" s="77">
        <v>0.2</v>
      </c>
    </row>
    <row r="3" ht="14.25" customHeight="1">
      <c r="J3" s="158"/>
    </row>
    <row r="4" ht="15.75" customHeight="1">
      <c r="A4" s="126" t="s">
        <v>0</v>
      </c>
      <c r="B4" s="126" t="s">
        <v>19</v>
      </c>
      <c r="C4" s="126" t="s">
        <v>20</v>
      </c>
      <c r="D4" s="126" t="s">
        <v>21</v>
      </c>
      <c r="E4" s="126" t="s">
        <v>22</v>
      </c>
      <c r="F4" s="126" t="s">
        <v>23</v>
      </c>
      <c r="G4" s="128" t="s">
        <v>191</v>
      </c>
      <c r="H4" s="128" t="s">
        <v>192</v>
      </c>
      <c r="I4" s="126" t="s">
        <v>24</v>
      </c>
      <c r="J4" s="126" t="s">
        <v>25</v>
      </c>
      <c r="K4" s="126" t="s">
        <v>26</v>
      </c>
      <c r="L4" s="126" t="s">
        <v>27</v>
      </c>
      <c r="M4" s="126" t="s">
        <v>29</v>
      </c>
      <c r="N4" s="126" t="s">
        <v>28</v>
      </c>
      <c r="O4" s="126" t="s">
        <v>342</v>
      </c>
      <c r="P4" s="126" t="s">
        <v>343</v>
      </c>
    </row>
    <row r="5" ht="19.5" customHeight="1">
      <c r="A5" s="39" t="s">
        <v>375</v>
      </c>
      <c r="B5" s="41" t="s">
        <v>376</v>
      </c>
      <c r="C5" s="16" t="str">
        <f>IFERROR(__xludf.DUMMYFUNCTION("GOOGLETRANSLATE(B5,""EN"",""FR"")"),"Assurez-vous que les entrées de données d'art de l'art pédiatrique et des adultes, des estimations d'incidence (PPE) et des schémas de sexe / âge n'ont pas changé dans le spectre")</f>
        <v>Assurez-vous que les entrées de données d'art de l'art pédiatrique et des adultes, des estimations d'incidence (PPE) et des schémas de sexe / âge n'ont pas changé dans le spectre</v>
      </c>
      <c r="D5" s="73" t="str">
        <f>IFERROR(__xludf.DUMMYFUNCTION("GOOGLETRANSLATE(B5,""EN"",""PT"")"),"Assegurar que as entradas de dados de arte pediátrica e adulta, estimativas de incidência (EPP) e padrões de sexo / idade não foram alteradas no espectro")</f>
        <v>Assegurar que as entradas de dados de arte pediátrica e adulta, estimativas de incidência (EPP) e padrões de sexo / idade não foram alteradas no espectro</v>
      </c>
      <c r="E5" s="83" t="s">
        <v>377</v>
      </c>
      <c r="F5" s="83" t="s">
        <v>378</v>
      </c>
      <c r="G5" s="16" t="str">
        <f>IFERROR(__xludf.DUMMYFUNCTION("GOOGLETRANSLATE(F5,""EN"",""FR"")"),"Shiny 90 utilisera les informations sur les personnes vivant avec le VIH et les chiffres sur l'art dans votre fichier de spectre pour exécuter le modèle Shiny90. Si l'une des données utilisées dans Spectrum a changé, veuillez revenir en arrière et mettre "&amp;"à jour ces données dans Spectrum. Si les données de l'art ou de la prévalence ont changé, veuillez relancer votre raccord de courbe EPP. Une fois que le fichier de spectre est entièrement à jour, vous pouvez exécuter votre fichier Shiny 90")</f>
        <v>Shiny 90 utilisera les informations sur les personnes vivant avec le VIH et les chiffres sur l'art dans votre fichier de spectre pour exécuter le modèle Shiny90. Si l'une des données utilisées dans Spectrum a changé, veuillez revenir en arrière et mettre à jour ces données dans Spectrum. Si les données de l'art ou de la prévalence ont changé, veuillez relancer votre raccord de courbe EPP. Une fois que le fichier de spectre est entièrement à jour, vous pouvez exécuter votre fichier Shiny 90</v>
      </c>
      <c r="H5" s="73" t="str">
        <f>IFERROR(__xludf.DUMMYFUNCTION("GOOGLETRANSLATE(F5,""EN"",""PT"")"),"Brilhante 90 usará as informações sobre pessoas que vivem com HIV e números na arte em seu arquivo de espectro para executar o modelo Shiny90. Se algum dos dados usados ​​no espectro tiver sido alterado, volte e atualize esses dados no espectro. Se os dad"&amp;"os de arte ou prevalência tiverem sido alterados, por favor, execute seu encaixe da curva EPP. Quando o arquivo de espectro estiver totalmente atualizado, você pode executar seu arquivo brilhante 90")</f>
        <v>Brilhante 90 usará as informações sobre pessoas que vivem com HIV e números na arte em seu arquivo de espectro para executar o modelo Shiny90. Se algum dos dados usados ​​no espectro tiver sido alterado, volte e atualize esses dados no espectro. Se os dados de arte ou prevalência tiverem sido alterados, por favor, execute seu encaixe da curva EPP. Quando o arquivo de espectro estiver totalmente atualizado, você pode executar seu arquivo brilhante 90</v>
      </c>
      <c r="I5" s="136"/>
      <c r="J5" s="39"/>
      <c r="K5" s="39"/>
      <c r="L5" s="39"/>
      <c r="M5" s="39"/>
      <c r="N5" s="41" t="s">
        <v>379</v>
      </c>
      <c r="O5" s="159"/>
      <c r="P5" s="83"/>
    </row>
    <row r="6" ht="19.5" customHeight="1">
      <c r="A6" s="39" t="s">
        <v>380</v>
      </c>
      <c r="B6" s="39" t="s">
        <v>381</v>
      </c>
      <c r="C6" s="16" t="str">
        <f>IFERROR(__xludf.DUMMYFUNCTION("GOOGLETRANSLATE(B6,""EN"",""FR"")"),"Démarrer un nouvel ensemble de travail dans Shiny 90")</f>
        <v>Démarrer un nouvel ensemble de travail dans Shiny 90</v>
      </c>
      <c r="D6" s="73" t="str">
        <f>IFERROR(__xludf.DUMMYFUNCTION("GOOGLETRANSLATE(B6,""EN"",""PT"")"),"Comece um novo conjunto de trabalho em 90 brilhantes")</f>
        <v>Comece um novo conjunto de trabalho em 90 brilhantes</v>
      </c>
      <c r="E6" s="39" t="s">
        <v>382</v>
      </c>
      <c r="F6" s="41" t="s">
        <v>383</v>
      </c>
      <c r="G6" s="16" t="str">
        <f>IFERROR(__xludf.DUMMYFUNCTION("GOOGLETRANSLATE(F6,""EN"",""FR"")"),"La prochaine étape estime la proportion de personnes vivant avec le VIH qui connaissent leur statut de VIH positif. Dans la plupart des cas, vous créerez un nouveau fichier Shiny90, en supposant que vous avez mis à jour vos données de test VIH avec la der"&amp;"nière année. Si vous remédez à la révision des résultats, vous pouvez également utiliser un travail de travail existant.
Cette étape n'est pas encore liée à l'ADR (bien qu'elle soit prévue pour une date ultérieure). Vous devriez avoir sur votre ordinateu"&amp;"r les plus récentes données de test de VIH Shiny90, les données d'enquête Shiny90 et votre fichier de spectre final.
** Si vous apportez des modifications au fichier SPECTRUM après cette étape, vous devrez revenir sur vos résultats Shiny90. **")</f>
        <v>La prochaine étape estime la proportion de personnes vivant avec le VIH qui connaissent leur statut de VIH positif. Dans la plupart des cas, vous créerez un nouveau fichier Shiny90, en supposant que vous avez mis à jour vos données de test VIH avec la dernière année. Si vous remédez à la révision des résultats, vous pouvez également utiliser un travail de travail existant.
Cette étape n'est pas encore liée à l'ADR (bien qu'elle soit prévue pour une date ultérieure). Vous devriez avoir sur votre ordinateur les plus récentes données de test de VIH Shiny90, les données d'enquête Shiny90 et votre fichier de spectre final.
** Si vous apportez des modifications au fichier SPECTRUM après cette étape, vous devrez revenir sur vos résultats Shiny90. **</v>
      </c>
      <c r="H6" s="73" t="str">
        <f>IFERROR(__xludf.DUMMYFUNCTION("GOOGLETRANSLATE(F6,""EN"",""PT"")"),"O próximo passo estima a proporção de pessoas que vivem com o HIV que conhecem seu status HIV positivo. Na maioria dos casos, você criará um novo arquivo Shiny90, assumindo que atualizou seus dados de teste de HIV com o ano mais recente. Se você estiver v"&amp;"oltando para rever os resultados, também pode usar um workset existente.
Esta etapa ainda não está ligada ao ADR (embora seja planejada para uma data futura). Você deve ter no seu computador os mais recentes dados de testes de HIV Shiny90, dados de pesqu"&amp;"isa Shiny90 e seu arquivo de espectro final.
** Se você fizer alguma alteração no arquivo de espectro após esta etapa, precisará executar seus resultados Shiny90. **")</f>
        <v>O próximo passo estima a proporção de pessoas que vivem com o HIV que conhecem seu status HIV positivo. Na maioria dos casos, você criará um novo arquivo Shiny90, assumindo que atualizou seus dados de teste de HIV com o ano mais recente. Se você estiver voltando para rever os resultados, também pode usar um workset existente.
Esta etapa ainda não está ligada ao ADR (embora seja planejada para uma data futura). Você deve ter no seu computador os mais recentes dados de testes de HIV Shiny90, dados de pesquisa Shiny90 e seu arquivo de espectro final.
** Se você fizer alguma alteração no arquivo de espectro após esta etapa, precisará executar seus resultados Shiny90. **</v>
      </c>
      <c r="I6" s="39" t="s">
        <v>384</v>
      </c>
      <c r="J6" s="16" t="str">
        <f>IFERROR(__xludf.DUMMYFUNCTION("GOOGLETRANSLATE(I6,""EN"",""FR"")"),"Brillant 90 https://shiny90.Unaids.org/")</f>
        <v>Brillant 90 https://shiny90.Unaids.org/</v>
      </c>
      <c r="K6" s="73" t="str">
        <f>IFERROR(__xludf.DUMMYFUNCTION("GOOGLETRANSLATE(I6,""EN"",""PT"")"),"Brilhante 90 https://shiny90.onaids.org/")</f>
        <v>Brilhante 90 https://shiny90.onaids.org/</v>
      </c>
      <c r="L6" s="39">
        <v>1.0</v>
      </c>
      <c r="M6" s="39"/>
      <c r="N6" s="41" t="s">
        <v>385</v>
      </c>
      <c r="O6" s="131" t="s">
        <v>386</v>
      </c>
      <c r="P6" s="39"/>
    </row>
    <row r="7" ht="19.5" customHeight="1">
      <c r="A7" s="160" t="s">
        <v>387</v>
      </c>
      <c r="B7" s="160"/>
      <c r="C7" s="160"/>
      <c r="D7" s="160"/>
      <c r="E7" s="160" t="s">
        <v>388</v>
      </c>
      <c r="F7" s="160"/>
      <c r="G7" s="160"/>
      <c r="H7" s="160"/>
      <c r="I7" s="160"/>
      <c r="J7" s="160"/>
      <c r="K7" s="160"/>
      <c r="L7" s="160"/>
      <c r="M7" s="160"/>
      <c r="N7" s="115" t="s">
        <v>389</v>
      </c>
      <c r="O7" s="161" t="s">
        <v>390</v>
      </c>
      <c r="P7" s="162"/>
    </row>
    <row r="8" ht="19.5" customHeight="1">
      <c r="A8" s="39" t="s">
        <v>391</v>
      </c>
      <c r="B8" s="39" t="s">
        <v>392</v>
      </c>
      <c r="C8" s="16" t="str">
        <f>IFERROR(__xludf.DUMMYFUNCTION("GOOGLETRANSLATE(B8,""EN"",""FR"")"),"Téléchargez votre fichier de spectre final sur 90 brillants")</f>
        <v>Téléchargez votre fichier de spectre final sur 90 brillants</v>
      </c>
      <c r="D8" s="73" t="str">
        <f>IFERROR(__xludf.DUMMYFUNCTION("GOOGLETRANSLATE(B8,""EN"",""PT"")"),"Envie seu arquivo de espectro final para 90")</f>
        <v>Envie seu arquivo de espectro final para 90</v>
      </c>
      <c r="E8" s="39" t="s">
        <v>393</v>
      </c>
      <c r="F8" s="39" t="s">
        <v>394</v>
      </c>
      <c r="G8" s="16" t="str">
        <f>IFERROR(__xludf.DUMMYFUNCTION("GOOGLETRANSLATE(F8,""EN"",""FR"")"),"Shiny 90 nécessite que vous ayez déjà terminé le premier jalon dans Spectrum et téléchargez le fichier final. Si vous n'avez pas de fichier de spectre, vous ne pouvez pas encore commencer le processus brillant 90. Veuillez revenir au spectre et compléter "&amp;"toutes les étapes de Milestone 01 - Données d'entrée sur Spectrum.")</f>
        <v>Shiny 90 nécessite que vous ayez déjà terminé le premier jalon dans Spectrum et téléchargez le fichier final. Si vous n'avez pas de fichier de spectre, vous ne pouvez pas encore commencer le processus brillant 90. Veuillez revenir au spectre et compléter toutes les étapes de Milestone 01 - Données d'entrée sur Spectrum.</v>
      </c>
      <c r="H8" s="73" t="str">
        <f>IFERROR(__xludf.DUMMYFUNCTION("GOOGLETRANSLATE(F8,""EN"",""PT"")"),"Brilhante 90 exige que você já tenha concluído o primeiro marco no espectro e baixe o arquivo final. Se você não tiver um arquivo de espectro, ainda não poderá iniciar o processo brilhante de 90. Por favor, retorne ao espectro e complete todas as etapas d"&amp;"o Milestone 01 - Dados de entrada para espectro.")</f>
        <v>Brilhante 90 exige que você já tenha concluído o primeiro marco no espectro e baixe o arquivo final. Se você não tiver um arquivo de espectro, ainda não poderá iniciar o processo brilhante de 90. Por favor, retorne ao espectro e complete todas as etapas do Milestone 01 - Dados de entrada para espectro.</v>
      </c>
      <c r="I8" s="39"/>
      <c r="J8" s="39"/>
      <c r="K8" s="39"/>
      <c r="L8" s="39">
        <v>1.0</v>
      </c>
      <c r="M8" s="39"/>
      <c r="N8" s="41" t="s">
        <v>395</v>
      </c>
      <c r="O8" s="133"/>
      <c r="P8" s="163"/>
    </row>
    <row r="9" ht="19.5" customHeight="1">
      <c r="A9" s="39" t="s">
        <v>396</v>
      </c>
      <c r="B9" s="39" t="s">
        <v>397</v>
      </c>
      <c r="C9" s="16" t="str">
        <f>IFERROR(__xludf.DUMMYFUNCTION("GOOGLETRANSLATE(B9,""EN"",""FR"")"),"Vérifiez le fichier de spectre que vous avez téléchargé en vérifiant le nom du fichier et en visualisant les données dans Shiny 90.")</f>
        <v>Vérifiez le fichier de spectre que vous avez téléchargé en vérifiant le nom du fichier et en visualisant les données dans Shiny 90.</v>
      </c>
      <c r="D9" s="73" t="str">
        <f>IFERROR(__xludf.DUMMYFUNCTION("GOOGLETRANSLATE(B9,""EN"",""PT"")"),"Verifique o arquivo de espectro que você carregou marcando o nome do arquivo e visualizando os dados em 90 brilhantes")</f>
        <v>Verifique o arquivo de espectro que você carregou marcando o nome do arquivo e visualizando os dados em 90 brilhantes</v>
      </c>
      <c r="E9" s="39" t="s">
        <v>398</v>
      </c>
      <c r="F9" s="39" t="s">
        <v>399</v>
      </c>
      <c r="G9" s="16" t="str">
        <f>IFERROR(__xludf.DUMMYFUNCTION("GOOGLETRANSLATE(F9,""EN"",""FR"")"),"Assurez-vous de confirmer que vous utilisez le fichier de spectre correct en cochant le nom du fichier et en examinant visuellement les données dans les graphiques fournies par Shiny 90. Si vous avez téléchargé le fichier de spectre incorrect, veuillez té"&amp;"lécharger le fichier final, puis continuer.")</f>
        <v>Assurez-vous de confirmer que vous utilisez le fichier de spectre correct en cochant le nom du fichier et en examinant visuellement les données dans les graphiques fournies par Shiny 90. Si vous avez téléchargé le fichier de spectre incorrect, veuillez télécharger le fichier final, puis continuer.</v>
      </c>
      <c r="H9" s="73" t="str">
        <f>IFERROR(__xludf.DUMMYFUNCTION("GOOGLETRANSLATE(F9,""EN"",""PT"")"),"Certifique-se de confirmar que você está usando o arquivo de espectro correto marcando o nome do arquivo e revisando visualmente os dados nos gráficos fornecidos por Shiny 90. Se você tiver carregado o arquivo de espectro incorreto, faça o upload do arqui"&amp;"vo final e, em seguida, prossiga.")</f>
        <v>Certifique-se de confirmar que você está usando o arquivo de espectro correto marcando o nome do arquivo e revisando visualmente os dados nos gráficos fornecidos por Shiny 90. Se você tiver carregado o arquivo de espectro incorreto, faça o upload do arquivo final e, em seguida, prossiga.</v>
      </c>
      <c r="I9" s="39"/>
      <c r="J9" s="39"/>
      <c r="K9" s="39"/>
      <c r="L9" s="39"/>
      <c r="M9" s="39"/>
      <c r="N9" s="41" t="s">
        <v>400</v>
      </c>
      <c r="O9" s="133"/>
      <c r="P9" s="163"/>
    </row>
    <row r="10" ht="19.5" customHeight="1">
      <c r="A10" s="39" t="s">
        <v>401</v>
      </c>
      <c r="B10" s="39" t="s">
        <v>402</v>
      </c>
      <c r="C10" s="16" t="str">
        <f>IFERROR(__xludf.DUMMYFUNCTION("GOOGLETRANSLATE(B10,""EN"",""FR"")"),"Téléchargez votre fichier de données de programme de test VIH dans le format requis par Shiny 90")</f>
        <v>Téléchargez votre fichier de données de programme de test VIH dans le format requis par Shiny 90</v>
      </c>
      <c r="D10" s="73" t="str">
        <f>IFERROR(__xludf.DUMMYFUNCTION("GOOGLETRANSLATE(B10,""EN"",""PT"")"),"Faça upload do seu arquivo de dados do programa de teste do HIV no formato requerido por 90 shiny 90")</f>
        <v>Faça upload do seu arquivo de dados do programa de teste do HIV no formato requerido por 90 shiny 90</v>
      </c>
      <c r="E10" s="39" t="s">
        <v>403</v>
      </c>
      <c r="F10" s="39" t="s">
        <v>404</v>
      </c>
      <c r="G10" s="16" t="str">
        <f>IFERROR(__xludf.DUMMYFUNCTION("GOOGLETRANSLATE(F10,""EN"",""FR"")"),"Shiny 90 nécessite des données de programme de test dans un format spécifique pour fonctionner correctement. Actuellement, le fichier peut être téléchargé à partir de Briny 90 après avoir téléchargé le fichier de données du programme de test du VIH au for"&amp;"mat requis par Shiny 90.")</f>
        <v>Shiny 90 nécessite des données de programme de test dans un format spécifique pour fonctionner correctement. Actuellement, le fichier peut être téléchargé à partir de Briny 90 après avoir téléchargé le fichier de données du programme de test du VIH au format requis par Shiny 90.</v>
      </c>
      <c r="H10" s="73" t="str">
        <f>IFERROR(__xludf.DUMMYFUNCTION("GOOGLETRANSLATE(F10,""EN"",""PT"")"),"Brilhante 90 requer dados de programa de teste em um formato específico para funcionar corretamente. Atualmente, o arquivo pode ser baixado de Shiny 90 após carregar o arquivo de dados do programa de teste do HIV no formato requerido por 90 shiny 90")</f>
        <v>Brilhante 90 requer dados de programa de teste em um formato específico para funcionar corretamente. Atualmente, o arquivo pode ser baixado de Shiny 90 após carregar o arquivo de dados do programa de teste do HIV no formato requerido por 90 shiny 90</v>
      </c>
      <c r="I10" s="39"/>
      <c r="J10" s="39"/>
      <c r="K10" s="39"/>
      <c r="L10" s="39">
        <v>1.0</v>
      </c>
      <c r="M10" s="39"/>
      <c r="N10" s="41" t="s">
        <v>405</v>
      </c>
      <c r="O10" s="133" t="s">
        <v>406</v>
      </c>
      <c r="P10" s="163"/>
    </row>
    <row r="11" ht="19.5" customHeight="1">
      <c r="A11" s="39" t="s">
        <v>407</v>
      </c>
      <c r="B11" s="39" t="s">
        <v>408</v>
      </c>
      <c r="C11" s="16" t="str">
        <f>IFERROR(__xludf.DUMMYFUNCTION("GOOGLETRANSLATE(B11,""EN"",""FR"")"),"Visualisez les données du programme dans Shiny 90 pour confirmer leur validité")</f>
        <v>Visualisez les données du programme dans Shiny 90 pour confirmer leur validité</v>
      </c>
      <c r="D11" s="73" t="str">
        <f>IFERROR(__xludf.DUMMYFUNCTION("GOOGLETRANSLATE(B11,""EN"",""PT"")"),"Visualize os dados do programa em 90 brilhantes para confirmar sua validade")</f>
        <v>Visualize os dados do programa em 90 brilhantes para confirmar sua validade</v>
      </c>
      <c r="E11" s="39" t="s">
        <v>409</v>
      </c>
      <c r="F11" s="39" t="s">
        <v>410</v>
      </c>
      <c r="G11" s="16" t="str">
        <f>IFERROR(__xludf.DUMMYFUNCTION("GOOGLETRANSLATE(F11,""EN"",""FR"")"),"Si vous n'avez pas encore visualisé les données pour vérifier les valeurs aberrantes ou d'autres problèmes de données, veuillez le faire. Une fois que vous avez visualisé les données et les données confirmées sont de haute qualité, vous pouvez procéder au"&amp;" processus Shiny 90.")</f>
        <v>Si vous n'avez pas encore visualisé les données pour vérifier les valeurs aberrantes ou d'autres problèmes de données, veuillez le faire. Une fois que vous avez visualisé les données et les données confirmées sont de haute qualité, vous pouvez procéder au processus Shiny 90.</v>
      </c>
      <c r="H11" s="73" t="str">
        <f>IFERROR(__xludf.DUMMYFUNCTION("GOOGLETRANSLATE(F11,""EN"",""PT"")"),"Se você ainda não visualizou os dados para verificar se há outliers ou outros problemas de dados, por favor, faça isso. Depois de visualizar os dados e os dados confirmados são de alta qualidade, você pode prosseguir com o processo brilhante de 90.")</f>
        <v>Se você ainda não visualizou os dados para verificar se há outliers ou outros problemas de dados, por favor, faça isso. Depois de visualizar os dados e os dados confirmados são de alta qualidade, você pode prosseguir com o processo brilhante de 90.</v>
      </c>
      <c r="I11" s="39"/>
      <c r="J11" s="39"/>
      <c r="K11" s="39"/>
      <c r="L11" s="39"/>
      <c r="M11" s="39"/>
      <c r="N11" s="41" t="s">
        <v>411</v>
      </c>
      <c r="O11" s="133"/>
      <c r="P11" s="163"/>
    </row>
    <row r="12" ht="19.5" customHeight="1">
      <c r="A12" s="39" t="s">
        <v>412</v>
      </c>
      <c r="B12" s="39" t="s">
        <v>413</v>
      </c>
      <c r="C12" s="16" t="str">
        <f>IFERROR(__xludf.DUMMYFUNCTION("GOOGLETRANSLATE(B12,""EN"",""FR"")"),"Exécuter le modèle brillant 90")</f>
        <v>Exécuter le modèle brillant 90</v>
      </c>
      <c r="D12" s="73" t="str">
        <f>IFERROR(__xludf.DUMMYFUNCTION("GOOGLETRANSLATE(B12,""EN"",""PT"")"),"Execute o modelo brilhante 90")</f>
        <v>Execute o modelo brilhante 90</v>
      </c>
      <c r="E12" s="39" t="s">
        <v>414</v>
      </c>
      <c r="F12" s="39" t="s">
        <v>415</v>
      </c>
      <c r="G12" s="16" t="str">
        <f>IFERROR(__xludf.DUMMYFUNCTION("GOOGLETRANSLATE(F12,""EN"",""FR"")"),"Maintenant, vous êtes prêt à exécuter le modèle. Vous pouvez exécuter le modèle en cliquant sur le lien Exécuter le modèle dans le menu de gauche, puis sur le bouton ""Exécuter le modèle"".")</f>
        <v>Maintenant, vous êtes prêt à exécuter le modèle. Vous pouvez exécuter le modèle en cliquant sur le lien Exécuter le modèle dans le menu de gauche, puis sur le bouton "Exécuter le modèle".</v>
      </c>
      <c r="H12" s="73" t="str">
        <f>IFERROR(__xludf.DUMMYFUNCTION("GOOGLETRANSLATE(F12,""EN"",""PT"")"),"Agora você está pronto para executar o modelo. Você pode executar o modelo clicando no link Executar modelo no menu da esquerda e depois no botão ""Executar modelo"".")</f>
        <v>Agora você está pronto para executar o modelo. Você pode executar o modelo clicando no link Executar modelo no menu da esquerda e depois no botão "Executar modelo".</v>
      </c>
      <c r="I12" s="39"/>
      <c r="J12" s="39"/>
      <c r="K12" s="39"/>
      <c r="L12" s="39">
        <v>1.0</v>
      </c>
      <c r="M12" s="39"/>
      <c r="N12" s="41" t="s">
        <v>416</v>
      </c>
      <c r="O12" s="133" t="s">
        <v>417</v>
      </c>
      <c r="P12" s="163"/>
    </row>
    <row r="13" ht="19.5" customHeight="1">
      <c r="A13" s="39" t="s">
        <v>418</v>
      </c>
      <c r="B13" s="39" t="s">
        <v>419</v>
      </c>
      <c r="C13" s="16" t="str">
        <f>IFERROR(__xludf.DUMMYFUNCTION("GOOGLETRANSLATE(B13,""EN"",""FR"")"),"Confirmer les sorties de modèle Shiny 90")</f>
        <v>Confirmer les sorties de modèle Shiny 90</v>
      </c>
      <c r="D13" s="73" t="str">
        <f>IFERROR(__xludf.DUMMYFUNCTION("GOOGLETRANSLATE(B13,""EN"",""PT"")"),"Confirme as saídas de modelo 90 brilhantes")</f>
        <v>Confirme as saídas de modelo 90 brilhantes</v>
      </c>
      <c r="E13" s="39" t="s">
        <v>420</v>
      </c>
      <c r="F13" s="39" t="s">
        <v>421</v>
      </c>
      <c r="G13" s="16" t="str">
        <f>IFERROR(__xludf.DUMMYFUNCTION("GOOGLETRANSLATE(F13,""EN"",""FR"")"),"Une fois que vous avez visualisé les visualisations avancées des sorties de modèle (onglet ""Sorties avancées""), êtes-vous satisfait des résultats? Si vous croyez que les sorties de modèle ne reflètent pas vos attentes, vous pouvez déterminer les causes "&amp;"sous-jacentes des sorties médiocres (données d'enquête, données de programme, fichier de spectre), corrigez-les et revenez au début de Shiny 90. Une fois que vous êtes satisfait de la Sorties de modèle, vous pouvez télécharger le fichier de sortie Shiny 9"&amp;"0 en cliquant sur les ""sorties de téléchargement de 90 téléchargées pour le spectre"" et revenez à Spectrum pour procéder au processus d'estimation.")</f>
        <v>Une fois que vous avez visualisé les visualisations avancées des sorties de modèle (onglet "Sorties avancées"), êtes-vous satisfait des résultats? Si vous croyez que les sorties de modèle ne reflètent pas vos attentes, vous pouvez déterminer les causes sous-jacentes des sorties médiocres (données d'enquête, données de programme, fichier de spectre), corrigez-les et revenez au début de Shiny 90. Une fois que vous êtes satisfait de la Sorties de modèle, vous pouvez télécharger le fichier de sortie Shiny 90 en cliquant sur les "sorties de téléchargement de 90 téléchargées pour le spectre" et revenez à Spectrum pour procéder au processus d'estimation.</v>
      </c>
      <c r="H13" s="73" t="str">
        <f>IFERROR(__xludf.DUMMYFUNCTION("GOOGLETRANSLATE(F13,""EN"",""PT"")"),"Depois de ter visto as visualizações avançadas das saídas do modelo (""Avançado Saídas"" Tab), você está satisfeito com os resultados? Se você acredita que as saídas do modelo não refletem suas expectativas, você pode determinar as causas subjacentes de s"&amp;"aídas ruins (por exemplo, dados de pesquisa, dados do programa, arquivo de espectro), corrigi-los e retornar ao início de 90.. Uma vez que você está satisfeito com o Saídas de modelo, você pode baixar o arquivo de saída brilhante 90 clicando no botão ""Do"&amp;"wnload Brilhante 90 Saídas para Spectrum"" e retornar ao espectro para prosseguir com o processo de estimativas.")</f>
        <v>Depois de ter visto as visualizações avançadas das saídas do modelo ("Avançado Saídas" Tab), você está satisfeito com os resultados? Se você acredita que as saídas do modelo não refletem suas expectativas, você pode determinar as causas subjacentes de saídas ruins (por exemplo, dados de pesquisa, dados do programa, arquivo de espectro), corrigi-los e retornar ao início de 90.. Uma vez que você está satisfeito com o Saídas de modelo, você pode baixar o arquivo de saída brilhante 90 clicando no botão "Download Brilhante 90 Saídas para Spectrum" e retornar ao espectro para prosseguir com o processo de estimativas.</v>
      </c>
      <c r="I13" s="39"/>
      <c r="J13" s="39"/>
      <c r="K13" s="39"/>
      <c r="L13" s="39"/>
      <c r="M13" s="39"/>
      <c r="N13" s="41" t="s">
        <v>422</v>
      </c>
      <c r="O13" s="133"/>
      <c r="P13" s="163"/>
    </row>
    <row r="14" ht="19.5" customHeight="1">
      <c r="A14" s="39" t="s">
        <v>423</v>
      </c>
      <c r="B14" s="39" t="s">
        <v>424</v>
      </c>
      <c r="C14" s="16" t="str">
        <f>IFERROR(__xludf.DUMMYFUNCTION("GOOGLETRANSLATE(B14,""EN"",""FR"")"),"Téléchargez le fichier de sortie Shiny 90 pour une utilisation dans Spectrum")</f>
        <v>Téléchargez le fichier de sortie Shiny 90 pour une utilisation dans Spectrum</v>
      </c>
      <c r="D14" s="73" t="str">
        <f>IFERROR(__xludf.DUMMYFUNCTION("GOOGLETRANSLATE(B14,""EN"",""PT"")"),"Baixe o arquivo de saída brilhante 90 para uso no espectro")</f>
        <v>Baixe o arquivo de saída brilhante 90 para uso no espectro</v>
      </c>
      <c r="E14" s="39" t="s">
        <v>425</v>
      </c>
      <c r="F14" s="39" t="s">
        <v>426</v>
      </c>
      <c r="G14" s="16" t="str">
        <f>IFERROR(__xludf.DUMMYFUNCTION("GOOGLETRANSLATE(F14,""EN"",""FR"")"),"Maintenant, vous êtes prêt à télécharger vos résultats et à revenir à Spectrum pour continuer le processus. Cliquez sur le bouton ""Télécharger des sorties shiny 90 pour le spectre"" et enregistrez le fichier dans votre emplacement préféré puis retournez "&amp;"sur Spectrum pour continuer.")</f>
        <v>Maintenant, vous êtes prêt à télécharger vos résultats et à revenir à Spectrum pour continuer le processus. Cliquez sur le bouton "Télécharger des sorties shiny 90 pour le spectre" et enregistrez le fichier dans votre emplacement préféré puis retournez sur Spectrum pour continuer.</v>
      </c>
      <c r="H14" s="73" t="str">
        <f>IFERROR(__xludf.DUMMYFUNCTION("GOOGLETRANSLATE(F14,""EN"",""PT"")"),"Agora você está pronto para baixar seus resultados e retornar ao espectro para continuar o processo. Clique no botão ""Download Brilhante 90 Saídas para Spectrum"" e salve o arquivo no local preferido e retorne ao espectro para continuar.")</f>
        <v>Agora você está pronto para baixar seus resultados e retornar ao espectro para continuar o processo. Clique no botão "Download Brilhante 90 Saídas para Spectrum" e salve o arquivo no local preferido e retorne ao espectro para continuar.</v>
      </c>
      <c r="I14" s="39"/>
      <c r="J14" s="39"/>
      <c r="K14" s="39"/>
      <c r="L14" s="39">
        <v>1.0</v>
      </c>
      <c r="M14" s="39"/>
      <c r="N14" s="41" t="s">
        <v>427</v>
      </c>
      <c r="O14" s="133"/>
      <c r="P14" s="163"/>
    </row>
    <row r="15" ht="14.25" customHeight="1">
      <c r="C15" s="45"/>
      <c r="D15" s="45"/>
      <c r="E15" s="45"/>
      <c r="F15" s="45"/>
      <c r="G15" s="45"/>
      <c r="H15" s="45"/>
      <c r="I15" s="45"/>
    </row>
    <row r="16" ht="14.25" customHeight="1">
      <c r="C16" s="45"/>
      <c r="D16" s="45"/>
      <c r="E16" s="45"/>
      <c r="F16" s="45"/>
      <c r="G16" s="45"/>
      <c r="H16" s="45"/>
      <c r="I16" s="45"/>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2021-11-24T21:07:51Z</dcterms:created>
  <dc:creator>Jonathan Pearson</dc:creator>
</cp:coreProperties>
</file>