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temp\BACKUP\CDIrepo\CDI_code\Hardware\"/>
    </mc:Choice>
  </mc:AlternateContent>
  <xr:revisionPtr revIDLastSave="0" documentId="13_ncr:1_{3D8330F7-6710-4459-95DF-224CBC212FAC}" xr6:coauthVersionLast="45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Backlog" sheetId="2" r:id="rId1"/>
    <sheet name="Pin_Description" sheetId="1" r:id="rId2"/>
    <sheet name="HV_Interrupt" sheetId="12" r:id="rId3"/>
    <sheet name="Capacitor_Energy" sheetId="11" r:id="rId4"/>
    <sheet name="Sheet5" sheetId="13" r:id="rId5"/>
    <sheet name="Sheet6" sheetId="14" r:id="rId6"/>
    <sheet name="Sheet7" sheetId="15" r:id="rId7"/>
    <sheet name="Calculation" sheetId="3" r:id="rId8"/>
    <sheet name="Rengineering" sheetId="4" r:id="rId9"/>
    <sheet name="Sheet1" sheetId="8" r:id="rId10"/>
    <sheet name="Rereengineering" sheetId="5" r:id="rId11"/>
    <sheet name="Sheet3" sheetId="6" r:id="rId12"/>
    <sheet name="Rerereengineering" sheetId="7" r:id="rId13"/>
    <sheet name="Pulse_Management" sheetId="9" r:id="rId14"/>
    <sheet name="New_concept" sheetId="1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5" l="1"/>
  <c r="B12" i="14"/>
  <c r="B10" i="14"/>
  <c r="B9" i="14"/>
  <c r="B11" i="14" s="1"/>
  <c r="B10" i="13"/>
  <c r="B8" i="13"/>
  <c r="B7" i="13"/>
  <c r="B9" i="13" s="1"/>
  <c r="B4" i="13"/>
  <c r="C29" i="12"/>
  <c r="B29" i="12"/>
  <c r="C28" i="12"/>
  <c r="B28" i="12"/>
  <c r="C27" i="12"/>
  <c r="B27" i="12"/>
  <c r="C26" i="12"/>
  <c r="B26" i="12"/>
  <c r="R24" i="12"/>
  <c r="H24" i="12"/>
  <c r="I24" i="12" s="1"/>
  <c r="J24" i="12" s="1"/>
  <c r="K24" i="12" s="1"/>
  <c r="G24" i="12"/>
  <c r="B24" i="12"/>
  <c r="C24" i="12" s="1"/>
  <c r="R23" i="12"/>
  <c r="H23" i="12"/>
  <c r="I23" i="12" s="1"/>
  <c r="J23" i="12" s="1"/>
  <c r="K23" i="12" s="1"/>
  <c r="G23" i="12"/>
  <c r="C23" i="12"/>
  <c r="B23" i="12"/>
  <c r="R22" i="12"/>
  <c r="I22" i="12"/>
  <c r="J22" i="12" s="1"/>
  <c r="K22" i="12" s="1"/>
  <c r="H22" i="12"/>
  <c r="G22" i="12"/>
  <c r="B22" i="12"/>
  <c r="C22" i="12" s="1"/>
  <c r="R21" i="12"/>
  <c r="H21" i="12"/>
  <c r="I21" i="12" s="1"/>
  <c r="J21" i="12" s="1"/>
  <c r="K21" i="12" s="1"/>
  <c r="G21" i="12"/>
  <c r="B21" i="12"/>
  <c r="C21" i="12" s="1"/>
  <c r="C10" i="12"/>
  <c r="B10" i="12"/>
  <c r="B6" i="12"/>
  <c r="J6" i="11"/>
  <c r="E6" i="11"/>
  <c r="E7" i="11" s="1"/>
  <c r="B5" i="11"/>
  <c r="I4" i="11"/>
  <c r="B4" i="11"/>
  <c r="O21" i="12" l="1"/>
  <c r="Q21" i="12" s="1"/>
  <c r="P21" i="12"/>
  <c r="O22" i="12"/>
  <c r="P22" i="12"/>
  <c r="P23" i="12"/>
  <c r="O23" i="12"/>
  <c r="O24" i="12"/>
  <c r="P24" i="12"/>
  <c r="Q24" i="12" l="1"/>
  <c r="Q22" i="12"/>
  <c r="Q23" i="12"/>
  <c r="B42" i="10" l="1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/>
  <c r="B64" i="10"/>
  <c r="C64" i="10" s="1"/>
  <c r="B65" i="10"/>
  <c r="C65" i="10" s="1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 s="1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 s="1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 s="1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41" i="10"/>
  <c r="C41" i="10" s="1"/>
  <c r="B20" i="10"/>
  <c r="C20" i="10" s="1"/>
  <c r="B19" i="10"/>
  <c r="B12" i="10"/>
  <c r="B7" i="10"/>
  <c r="E20" i="10" s="1"/>
  <c r="L3" i="10"/>
  <c r="M3" i="10" s="1"/>
  <c r="B2" i="10"/>
  <c r="B3" i="10" s="1"/>
  <c r="B13" i="10" s="1"/>
  <c r="D20" i="10" l="1"/>
  <c r="F20" i="10"/>
  <c r="C19" i="10"/>
  <c r="N3" i="10"/>
  <c r="O3" i="10"/>
  <c r="P3" i="10" s="1"/>
  <c r="AN3" i="10"/>
  <c r="AH3" i="10"/>
  <c r="AB3" i="10"/>
  <c r="V3" i="10"/>
  <c r="B9" i="10"/>
  <c r="G9" i="9"/>
  <c r="X15" i="9"/>
  <c r="AA24" i="9"/>
  <c r="AA23" i="9"/>
  <c r="D19" i="10" l="1"/>
  <c r="E19" i="10"/>
  <c r="R3" i="10"/>
  <c r="Y3" i="10"/>
  <c r="Z3" i="10" s="1"/>
  <c r="W3" i="10"/>
  <c r="X3" i="10" s="1"/>
  <c r="L15" i="9"/>
  <c r="L17" i="9" s="1"/>
  <c r="L18" i="9" s="1"/>
  <c r="F19" i="10" l="1"/>
  <c r="AC3" i="10"/>
  <c r="T3" i="10"/>
  <c r="U3" i="10" s="1"/>
  <c r="S3" i="10"/>
  <c r="B15" i="9"/>
  <c r="T10" i="9"/>
  <c r="AA10" i="9"/>
  <c r="AA11" i="9" s="1"/>
  <c r="AE3" i="10" l="1"/>
  <c r="AF3" i="10" s="1"/>
  <c r="AI3" i="10"/>
  <c r="AD3" i="10"/>
  <c r="U11" i="9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AO3" i="10" l="1"/>
  <c r="AJ3" i="10"/>
  <c r="AK3" i="10"/>
  <c r="AL3" i="10" s="1"/>
  <c r="B19" i="9"/>
  <c r="C19" i="9" s="1"/>
  <c r="AQ3" i="10" l="1"/>
  <c r="AR3" i="10" s="1"/>
  <c r="AP3" i="10"/>
  <c r="L3" i="9"/>
  <c r="M3" i="9" s="1"/>
  <c r="B12" i="9" l="1"/>
  <c r="B7" i="9"/>
  <c r="B2" i="9"/>
  <c r="B3" i="9" s="1"/>
  <c r="U12" i="9" l="1"/>
  <c r="X20" i="9"/>
  <c r="E5" i="9"/>
  <c r="W25" i="9"/>
  <c r="N7" i="9"/>
  <c r="N8" i="9" s="1"/>
  <c r="D28" i="9"/>
  <c r="D25" i="9"/>
  <c r="G25" i="9" s="1"/>
  <c r="H25" i="9" s="1"/>
  <c r="D23" i="9"/>
  <c r="D24" i="9"/>
  <c r="G24" i="9" s="1"/>
  <c r="H24" i="9" s="1"/>
  <c r="D26" i="9"/>
  <c r="G26" i="9" s="1"/>
  <c r="H26" i="9" s="1"/>
  <c r="D27" i="9"/>
  <c r="G27" i="9" s="1"/>
  <c r="H27" i="9" s="1"/>
  <c r="D29" i="9"/>
  <c r="G29" i="9" s="1"/>
  <c r="H29" i="9" s="1"/>
  <c r="D22" i="9"/>
  <c r="G22" i="9" s="1"/>
  <c r="H22" i="9" s="1"/>
  <c r="D21" i="9"/>
  <c r="G21" i="9" s="1"/>
  <c r="H21" i="9" s="1"/>
  <c r="D30" i="9"/>
  <c r="G30" i="9" s="1"/>
  <c r="H30" i="9" s="1"/>
  <c r="D20" i="9"/>
  <c r="G20" i="9" s="1"/>
  <c r="H20" i="9" s="1"/>
  <c r="AH3" i="9"/>
  <c r="D19" i="9"/>
  <c r="G19" i="9" s="1"/>
  <c r="H19" i="9" s="1"/>
  <c r="AN3" i="9"/>
  <c r="N3" i="9"/>
  <c r="AB3" i="9"/>
  <c r="B13" i="9"/>
  <c r="O3" i="9" s="1"/>
  <c r="P3" i="9" s="1"/>
  <c r="B9" i="9"/>
  <c r="V3" i="9"/>
  <c r="W3" i="9" s="1"/>
  <c r="X3" i="9" s="1"/>
  <c r="B1" i="8"/>
  <c r="C3" i="8" s="1"/>
  <c r="A4" i="8"/>
  <c r="B3" i="8" s="1"/>
  <c r="B2" i="8" s="1"/>
  <c r="C2" i="8" l="1"/>
  <c r="C4" i="8" s="1"/>
  <c r="C5" i="8" s="1"/>
  <c r="C6" i="8" s="1"/>
  <c r="E21" i="9"/>
  <c r="F21" i="9" s="1"/>
  <c r="E19" i="9"/>
  <c r="F19" i="9" s="1"/>
  <c r="E30" i="9"/>
  <c r="F30" i="9" s="1"/>
  <c r="E22" i="9"/>
  <c r="F22" i="9" s="1"/>
  <c r="E28" i="9"/>
  <c r="F28" i="9" s="1"/>
  <c r="G28" i="9"/>
  <c r="H28" i="9" s="1"/>
  <c r="E29" i="9"/>
  <c r="F29" i="9" s="1"/>
  <c r="E20" i="9"/>
  <c r="F20" i="9" s="1"/>
  <c r="E26" i="9"/>
  <c r="F26" i="9" s="1"/>
  <c r="E25" i="9"/>
  <c r="F25" i="9" s="1"/>
  <c r="E23" i="9"/>
  <c r="F23" i="9" s="1"/>
  <c r="G23" i="9"/>
  <c r="H23" i="9" s="1"/>
  <c r="E27" i="9"/>
  <c r="F27" i="9" s="1"/>
  <c r="E24" i="9"/>
  <c r="F24" i="9" s="1"/>
  <c r="R3" i="9"/>
  <c r="Y3" i="9"/>
  <c r="Z3" i="9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2" i="7"/>
  <c r="B7" i="7"/>
  <c r="B9" i="7" s="1"/>
  <c r="B2" i="7"/>
  <c r="B3" i="7" s="1"/>
  <c r="D20" i="7" l="1"/>
  <c r="E20" i="7" s="1"/>
  <c r="D40" i="7"/>
  <c r="E40" i="7" s="1"/>
  <c r="R10" i="9"/>
  <c r="W19" i="9"/>
  <c r="W20" i="9" s="1"/>
  <c r="W21" i="9" s="1"/>
  <c r="W22" i="9" s="1"/>
  <c r="AC3" i="9"/>
  <c r="AI3" i="9" s="1"/>
  <c r="S3" i="9"/>
  <c r="T3" i="9"/>
  <c r="U3" i="9" s="1"/>
  <c r="D36" i="7"/>
  <c r="E36" i="7" s="1"/>
  <c r="D18" i="7"/>
  <c r="E18" i="7" s="1"/>
  <c r="D25" i="7"/>
  <c r="E25" i="7" s="1"/>
  <c r="D21" i="7"/>
  <c r="E21" i="7" s="1"/>
  <c r="D22" i="7"/>
  <c r="E22" i="7" s="1"/>
  <c r="D34" i="7"/>
  <c r="E34" i="7" s="1"/>
  <c r="D17" i="7"/>
  <c r="E17" i="7" s="1"/>
  <c r="F17" i="7" s="1"/>
  <c r="D35" i="7"/>
  <c r="E35" i="7" s="1"/>
  <c r="D29" i="7"/>
  <c r="E29" i="7" s="1"/>
  <c r="D23" i="7"/>
  <c r="E23" i="7" s="1"/>
  <c r="D19" i="7"/>
  <c r="E19" i="7" s="1"/>
  <c r="D32" i="7"/>
  <c r="E32" i="7" s="1"/>
  <c r="F32" i="7" s="1"/>
  <c r="D45" i="7"/>
  <c r="E45" i="7" s="1"/>
  <c r="F45" i="7" s="1"/>
  <c r="D41" i="7"/>
  <c r="E41" i="7" s="1"/>
  <c r="D37" i="7"/>
  <c r="E37" i="7" s="1"/>
  <c r="D16" i="7"/>
  <c r="E16" i="7" s="1"/>
  <c r="D24" i="7"/>
  <c r="E24" i="7" s="1"/>
  <c r="D28" i="7"/>
  <c r="E28" i="7" s="1"/>
  <c r="D33" i="7"/>
  <c r="E33" i="7" s="1"/>
  <c r="D44" i="7"/>
  <c r="E44" i="7" s="1"/>
  <c r="F44" i="7" s="1"/>
  <c r="D42" i="7"/>
  <c r="E42" i="7" s="1"/>
  <c r="F42" i="7" s="1"/>
  <c r="D43" i="7"/>
  <c r="E43" i="7" s="1"/>
  <c r="F33" i="7"/>
  <c r="F29" i="7"/>
  <c r="F40" i="7"/>
  <c r="F36" i="7"/>
  <c r="F23" i="7"/>
  <c r="F34" i="7"/>
  <c r="D39" i="7"/>
  <c r="E39" i="7" s="1"/>
  <c r="D46" i="7"/>
  <c r="E46" i="7" s="1"/>
  <c r="F16" i="7"/>
  <c r="F20" i="7"/>
  <c r="F24" i="7"/>
  <c r="F43" i="7"/>
  <c r="D38" i="7"/>
  <c r="E38" i="7" s="1"/>
  <c r="F38" i="7" s="1"/>
  <c r="F21" i="7"/>
  <c r="F25" i="7"/>
  <c r="D26" i="7"/>
  <c r="E26" i="7" s="1"/>
  <c r="D27" i="7"/>
  <c r="E27" i="7" s="1"/>
  <c r="F27" i="7" s="1"/>
  <c r="D30" i="7"/>
  <c r="E30" i="7" s="1"/>
  <c r="D31" i="7"/>
  <c r="E31" i="7" s="1"/>
  <c r="B2" i="5"/>
  <c r="B3" i="5" s="1"/>
  <c r="B12" i="5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16" i="5"/>
  <c r="C16" i="5" s="1"/>
  <c r="B1" i="6"/>
  <c r="B7" i="5"/>
  <c r="B9" i="5" s="1"/>
  <c r="C31" i="4"/>
  <c r="C32" i="4" s="1"/>
  <c r="C28" i="4"/>
  <c r="C29" i="4" s="1"/>
  <c r="C25" i="4"/>
  <c r="C26" i="4" s="1"/>
  <c r="B6" i="4"/>
  <c r="B101" i="4"/>
  <c r="C101" i="4" s="1"/>
  <c r="C103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J83" i="4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20" i="4"/>
  <c r="E4" i="4" s="1"/>
  <c r="J24" i="3"/>
  <c r="B8" i="3"/>
  <c r="C8" i="3" s="1"/>
  <c r="B9" i="3"/>
  <c r="C9" i="3" s="1"/>
  <c r="B10" i="3"/>
  <c r="C10" i="3" s="1"/>
  <c r="D10" i="3" s="1"/>
  <c r="B11" i="3"/>
  <c r="C11" i="3" s="1"/>
  <c r="D11" i="3" s="1"/>
  <c r="B12" i="3"/>
  <c r="C12" i="3" s="1"/>
  <c r="B13" i="3"/>
  <c r="C13" i="3" s="1"/>
  <c r="B14" i="3"/>
  <c r="C14" i="3" s="1"/>
  <c r="B15" i="3"/>
  <c r="C15" i="3"/>
  <c r="B16" i="3"/>
  <c r="C16" i="3" s="1"/>
  <c r="B17" i="3"/>
  <c r="C17" i="3" s="1"/>
  <c r="B18" i="3"/>
  <c r="C18" i="3"/>
  <c r="B19" i="3"/>
  <c r="C19" i="3" s="1"/>
  <c r="D19" i="3" s="1"/>
  <c r="B20" i="3"/>
  <c r="C20" i="3"/>
  <c r="B21" i="3"/>
  <c r="C21" i="3" s="1"/>
  <c r="B22" i="3"/>
  <c r="C22" i="3" s="1"/>
  <c r="B23" i="3"/>
  <c r="C23" i="3"/>
  <c r="B24" i="3"/>
  <c r="C24" i="3" s="1"/>
  <c r="B25" i="3"/>
  <c r="C25" i="3" s="1"/>
  <c r="B26" i="3"/>
  <c r="C26" i="3" s="1"/>
  <c r="D26" i="3" s="1"/>
  <c r="B27" i="3"/>
  <c r="C27" i="3"/>
  <c r="B28" i="3"/>
  <c r="C28" i="3" s="1"/>
  <c r="D28" i="3" s="1"/>
  <c r="B29" i="3"/>
  <c r="C29" i="3" s="1"/>
  <c r="B30" i="3"/>
  <c r="C30" i="3" s="1"/>
  <c r="B31" i="3"/>
  <c r="C31" i="3"/>
  <c r="B32" i="3"/>
  <c r="C32" i="3" s="1"/>
  <c r="D32" i="3" s="1"/>
  <c r="B33" i="3"/>
  <c r="C33" i="3" s="1"/>
  <c r="B34" i="3"/>
  <c r="C34" i="3" s="1"/>
  <c r="D34" i="3" s="1"/>
  <c r="B35" i="3"/>
  <c r="C35" i="3"/>
  <c r="D35" i="3" s="1"/>
  <c r="B36" i="3"/>
  <c r="C36" i="3" s="1"/>
  <c r="D36" i="3" s="1"/>
  <c r="B2" i="3"/>
  <c r="E2" i="3" s="1"/>
  <c r="D17" i="3" l="1"/>
  <c r="E17" i="3" s="1"/>
  <c r="D9" i="3"/>
  <c r="D33" i="3"/>
  <c r="D21" i="3"/>
  <c r="D16" i="3"/>
  <c r="E16" i="3" s="1"/>
  <c r="D8" i="3"/>
  <c r="D27" i="3"/>
  <c r="D25" i="3"/>
  <c r="D20" i="3"/>
  <c r="D18" i="3"/>
  <c r="D13" i="3"/>
  <c r="D29" i="3"/>
  <c r="D12" i="3"/>
  <c r="E12" i="3" s="1"/>
  <c r="D31" i="3"/>
  <c r="D23" i="3"/>
  <c r="D15" i="3"/>
  <c r="E9" i="3"/>
  <c r="G9" i="3" s="1"/>
  <c r="H9" i="3" s="1"/>
  <c r="D22" i="3"/>
  <c r="D30" i="3"/>
  <c r="E30" i="3" s="1"/>
  <c r="D24" i="3"/>
  <c r="D14" i="3"/>
  <c r="E14" i="3" s="1"/>
  <c r="U13" i="9"/>
  <c r="U14" i="9" s="1"/>
  <c r="AJ3" i="9"/>
  <c r="AO3" i="9"/>
  <c r="AK3" i="9"/>
  <c r="AL3" i="9" s="1"/>
  <c r="AE3" i="9"/>
  <c r="AF3" i="9" s="1"/>
  <c r="AD3" i="9"/>
  <c r="P33" i="7"/>
  <c r="P23" i="7"/>
  <c r="F22" i="7"/>
  <c r="F18" i="7"/>
  <c r="P36" i="7"/>
  <c r="P42" i="7"/>
  <c r="F26" i="7"/>
  <c r="F39" i="7"/>
  <c r="F19" i="7"/>
  <c r="F37" i="7"/>
  <c r="P43" i="7"/>
  <c r="P24" i="7"/>
  <c r="P45" i="7"/>
  <c r="P29" i="7"/>
  <c r="P34" i="7"/>
  <c r="P40" i="7"/>
  <c r="F30" i="7"/>
  <c r="P30" i="7" s="1"/>
  <c r="P27" i="7"/>
  <c r="P38" i="7"/>
  <c r="F35" i="7"/>
  <c r="F46" i="7"/>
  <c r="F31" i="7"/>
  <c r="F28" i="7"/>
  <c r="F41" i="7"/>
  <c r="P44" i="7"/>
  <c r="P16" i="7"/>
  <c r="P32" i="7"/>
  <c r="P17" i="7"/>
  <c r="P21" i="7"/>
  <c r="P25" i="7"/>
  <c r="P20" i="7"/>
  <c r="D39" i="5"/>
  <c r="E39" i="5" s="1"/>
  <c r="D21" i="5"/>
  <c r="E21" i="5" s="1"/>
  <c r="D45" i="5"/>
  <c r="E45" i="5" s="1"/>
  <c r="D20" i="5"/>
  <c r="E20" i="5" s="1"/>
  <c r="D41" i="5"/>
  <c r="E41" i="5" s="1"/>
  <c r="D37" i="5"/>
  <c r="E37" i="5" s="1"/>
  <c r="D33" i="5"/>
  <c r="E33" i="5" s="1"/>
  <c r="D29" i="5"/>
  <c r="E29" i="5" s="1"/>
  <c r="D23" i="5"/>
  <c r="E23" i="5" s="1"/>
  <c r="D36" i="5"/>
  <c r="E36" i="5" s="1"/>
  <c r="D35" i="5"/>
  <c r="E35" i="5" s="1"/>
  <c r="D32" i="5"/>
  <c r="E32" i="5" s="1"/>
  <c r="D25" i="5"/>
  <c r="E25" i="5" s="1"/>
  <c r="D19" i="5"/>
  <c r="E19" i="5" s="1"/>
  <c r="D16" i="5"/>
  <c r="E16" i="5" s="1"/>
  <c r="D44" i="5"/>
  <c r="E44" i="5" s="1"/>
  <c r="D31" i="5"/>
  <c r="E31" i="5" s="1"/>
  <c r="D28" i="5"/>
  <c r="E28" i="5" s="1"/>
  <c r="D43" i="5"/>
  <c r="E43" i="5" s="1"/>
  <c r="D40" i="5"/>
  <c r="E40" i="5" s="1"/>
  <c r="D27" i="5"/>
  <c r="E27" i="5" s="1"/>
  <c r="D24" i="5"/>
  <c r="E24" i="5" s="1"/>
  <c r="D17" i="5"/>
  <c r="E17" i="5" s="1"/>
  <c r="F44" i="5"/>
  <c r="B123" i="6"/>
  <c r="D46" i="5"/>
  <c r="E46" i="5" s="1"/>
  <c r="D38" i="5"/>
  <c r="E38" i="5" s="1"/>
  <c r="D30" i="5"/>
  <c r="E30" i="5" s="1"/>
  <c r="D22" i="5"/>
  <c r="E22" i="5" s="1"/>
  <c r="D42" i="5"/>
  <c r="E42" i="5" s="1"/>
  <c r="D34" i="5"/>
  <c r="E34" i="5" s="1"/>
  <c r="D26" i="5"/>
  <c r="E26" i="5" s="1"/>
  <c r="D18" i="5"/>
  <c r="E18" i="5" s="1"/>
  <c r="B14" i="6"/>
  <c r="B46" i="6"/>
  <c r="B78" i="6"/>
  <c r="B110" i="6"/>
  <c r="B18" i="6"/>
  <c r="B50" i="6"/>
  <c r="B82" i="6"/>
  <c r="B114" i="6"/>
  <c r="B6" i="6"/>
  <c r="B22" i="6"/>
  <c r="B38" i="6"/>
  <c r="B54" i="6"/>
  <c r="B70" i="6"/>
  <c r="B86" i="6"/>
  <c r="B102" i="6"/>
  <c r="B118" i="6"/>
  <c r="B30" i="6"/>
  <c r="B62" i="6"/>
  <c r="B94" i="6"/>
  <c r="B126" i="6"/>
  <c r="B2" i="6"/>
  <c r="B34" i="6"/>
  <c r="B66" i="6"/>
  <c r="B98" i="6"/>
  <c r="B10" i="6"/>
  <c r="B26" i="6"/>
  <c r="B42" i="6"/>
  <c r="B58" i="6"/>
  <c r="B74" i="6"/>
  <c r="B90" i="6"/>
  <c r="B106" i="6"/>
  <c r="B122" i="6"/>
  <c r="B3" i="6"/>
  <c r="B11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9" i="6"/>
  <c r="B7" i="6"/>
  <c r="B15" i="6"/>
  <c r="B23" i="6"/>
  <c r="B31" i="6"/>
  <c r="B39" i="6"/>
  <c r="B47" i="6"/>
  <c r="B55" i="6"/>
  <c r="B63" i="6"/>
  <c r="B71" i="6"/>
  <c r="B79" i="6"/>
  <c r="B87" i="6"/>
  <c r="B95" i="6"/>
  <c r="B103" i="6"/>
  <c r="B111" i="6"/>
  <c r="B119" i="6"/>
  <c r="B127" i="6"/>
  <c r="B4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D78" i="4"/>
  <c r="E78" i="4" s="1"/>
  <c r="F78" i="4" s="1"/>
  <c r="C33" i="4"/>
  <c r="C37" i="4" s="1"/>
  <c r="C39" i="4" s="1"/>
  <c r="C40" i="4" s="1"/>
  <c r="C34" i="4"/>
  <c r="C38" i="4" s="1"/>
  <c r="D85" i="4"/>
  <c r="E85" i="4" s="1"/>
  <c r="F85" i="4" s="1"/>
  <c r="D73" i="4"/>
  <c r="D83" i="4"/>
  <c r="E83" i="4" s="1"/>
  <c r="G83" i="4" s="1"/>
  <c r="H83" i="4" s="1"/>
  <c r="D94" i="4"/>
  <c r="D70" i="4"/>
  <c r="E70" i="4" s="1"/>
  <c r="G70" i="4" s="1"/>
  <c r="H70" i="4" s="1"/>
  <c r="D81" i="4"/>
  <c r="E81" i="4" s="1"/>
  <c r="F81" i="4" s="1"/>
  <c r="D91" i="4"/>
  <c r="E91" i="4" s="1"/>
  <c r="F91" i="4" s="1"/>
  <c r="D68" i="4"/>
  <c r="E68" i="4" s="1"/>
  <c r="G68" i="4" s="1"/>
  <c r="H68" i="4" s="1"/>
  <c r="D71" i="4"/>
  <c r="E71" i="4" s="1"/>
  <c r="D76" i="4"/>
  <c r="E76" i="4" s="1"/>
  <c r="G76" i="4" s="1"/>
  <c r="H76" i="4" s="1"/>
  <c r="D79" i="4"/>
  <c r="E79" i="4" s="1"/>
  <c r="D88" i="4"/>
  <c r="E88" i="4" s="1"/>
  <c r="D95" i="4"/>
  <c r="E95" i="4" s="1"/>
  <c r="D66" i="4"/>
  <c r="E66" i="4" s="1"/>
  <c r="F66" i="4" s="1"/>
  <c r="D69" i="4"/>
  <c r="E69" i="4" s="1"/>
  <c r="D74" i="4"/>
  <c r="E74" i="4" s="1"/>
  <c r="D77" i="4"/>
  <c r="E77" i="4" s="1"/>
  <c r="D82" i="4"/>
  <c r="E82" i="4" s="1"/>
  <c r="D86" i="4"/>
  <c r="E86" i="4" s="1"/>
  <c r="D89" i="4"/>
  <c r="E89" i="4" s="1"/>
  <c r="G89" i="4" s="1"/>
  <c r="H89" i="4" s="1"/>
  <c r="D92" i="4"/>
  <c r="E92" i="4" s="1"/>
  <c r="G92" i="4" s="1"/>
  <c r="H92" i="4" s="1"/>
  <c r="D67" i="4"/>
  <c r="E67" i="4" s="1"/>
  <c r="G67" i="4" s="1"/>
  <c r="H67" i="4" s="1"/>
  <c r="D72" i="4"/>
  <c r="E72" i="4" s="1"/>
  <c r="D75" i="4"/>
  <c r="E75" i="4" s="1"/>
  <c r="D80" i="4"/>
  <c r="E80" i="4" s="1"/>
  <c r="D84" i="4"/>
  <c r="E84" i="4" s="1"/>
  <c r="F84" i="4" s="1"/>
  <c r="D87" i="4"/>
  <c r="E87" i="4" s="1"/>
  <c r="D90" i="4"/>
  <c r="E90" i="4" s="1"/>
  <c r="D93" i="4"/>
  <c r="E93" i="4" s="1"/>
  <c r="C104" i="4"/>
  <c r="E73" i="4"/>
  <c r="G73" i="4" s="1"/>
  <c r="H73" i="4" s="1"/>
  <c r="E94" i="4"/>
  <c r="F94" i="4" s="1"/>
  <c r="D96" i="4"/>
  <c r="E96" i="4" s="1"/>
  <c r="E36" i="3"/>
  <c r="G36" i="3" s="1"/>
  <c r="E32" i="3"/>
  <c r="E28" i="3"/>
  <c r="E24" i="3"/>
  <c r="E20" i="3"/>
  <c r="E8" i="3"/>
  <c r="E35" i="3"/>
  <c r="E31" i="3"/>
  <c r="E27" i="3"/>
  <c r="G27" i="3" s="1"/>
  <c r="E23" i="3"/>
  <c r="J23" i="3" s="1"/>
  <c r="E19" i="3"/>
  <c r="E15" i="3"/>
  <c r="E11" i="3"/>
  <c r="E34" i="3"/>
  <c r="G34" i="3" s="1"/>
  <c r="E26" i="3"/>
  <c r="E22" i="3"/>
  <c r="E18" i="3"/>
  <c r="E10" i="3"/>
  <c r="E33" i="3"/>
  <c r="E29" i="3"/>
  <c r="E25" i="3"/>
  <c r="E21" i="3"/>
  <c r="G21" i="3" s="1"/>
  <c r="E13" i="3"/>
  <c r="G11" i="3"/>
  <c r="G25" i="3"/>
  <c r="B37" i="3"/>
  <c r="C37" i="3" s="1"/>
  <c r="B7" i="3"/>
  <c r="C7" i="3" s="1"/>
  <c r="D7" i="3" s="1"/>
  <c r="E7" i="3" s="1"/>
  <c r="F7" i="3" s="1"/>
  <c r="F9" i="3" l="1"/>
  <c r="C39" i="3"/>
  <c r="C40" i="3" s="1"/>
  <c r="D37" i="3"/>
  <c r="E37" i="3" s="1"/>
  <c r="C41" i="4"/>
  <c r="D41" i="4" s="1"/>
  <c r="E41" i="4" s="1"/>
  <c r="C42" i="4"/>
  <c r="D42" i="4" s="1"/>
  <c r="E42" i="4" s="1"/>
  <c r="C43" i="4"/>
  <c r="D43" i="4" s="1"/>
  <c r="E43" i="4" s="1"/>
  <c r="B10" i="10"/>
  <c r="B11" i="10" s="1"/>
  <c r="B10" i="9"/>
  <c r="B11" i="9" s="1"/>
  <c r="B10" i="7"/>
  <c r="B10" i="5"/>
  <c r="H19" i="5" s="1"/>
  <c r="C46" i="4"/>
  <c r="C47" i="4" s="1"/>
  <c r="D47" i="4" s="1"/>
  <c r="D48" i="4" s="1"/>
  <c r="E48" i="4" s="1"/>
  <c r="E49" i="4" s="1"/>
  <c r="G23" i="3"/>
  <c r="H23" i="3" s="1"/>
  <c r="AP3" i="9"/>
  <c r="AQ3" i="9"/>
  <c r="AR3" i="9" s="1"/>
  <c r="AO14" i="9" s="1"/>
  <c r="AO15" i="9" s="1"/>
  <c r="AO16" i="9" s="1"/>
  <c r="Q21" i="7"/>
  <c r="R21" i="7" s="1"/>
  <c r="Q44" i="7"/>
  <c r="R44" i="7" s="1"/>
  <c r="Q38" i="7"/>
  <c r="R38" i="7"/>
  <c r="P28" i="7"/>
  <c r="Q24" i="7"/>
  <c r="R24" i="7" s="1"/>
  <c r="P39" i="7"/>
  <c r="P18" i="7"/>
  <c r="Q23" i="7"/>
  <c r="R23" i="7" s="1"/>
  <c r="Q20" i="7"/>
  <c r="R20" i="7" s="1"/>
  <c r="Q17" i="7"/>
  <c r="R17" i="7" s="1"/>
  <c r="Q27" i="7"/>
  <c r="R27" i="7" s="1"/>
  <c r="Q30" i="7"/>
  <c r="R30" i="7" s="1"/>
  <c r="Q34" i="7"/>
  <c r="R34" i="7" s="1"/>
  <c r="Q43" i="7"/>
  <c r="R43" i="7" s="1"/>
  <c r="P19" i="7"/>
  <c r="P41" i="7"/>
  <c r="Q16" i="7"/>
  <c r="R16" i="7" s="1"/>
  <c r="P35" i="7"/>
  <c r="Q45" i="7"/>
  <c r="R45" i="7" s="1"/>
  <c r="Q33" i="7"/>
  <c r="R33" i="7" s="1"/>
  <c r="Q25" i="7"/>
  <c r="R25" i="7" s="1"/>
  <c r="Q32" i="7"/>
  <c r="R32" i="7" s="1"/>
  <c r="P46" i="7"/>
  <c r="P31" i="7"/>
  <c r="Q40" i="7"/>
  <c r="R40" i="7" s="1"/>
  <c r="Q29" i="7"/>
  <c r="R29" i="7" s="1"/>
  <c r="P26" i="7"/>
  <c r="Q42" i="7"/>
  <c r="R42" i="7" s="1"/>
  <c r="R36" i="7"/>
  <c r="Q36" i="7"/>
  <c r="P22" i="7"/>
  <c r="P37" i="7"/>
  <c r="H39" i="5"/>
  <c r="H18" i="5"/>
  <c r="H22" i="5"/>
  <c r="H29" i="5"/>
  <c r="H35" i="5"/>
  <c r="H38" i="5"/>
  <c r="H16" i="5"/>
  <c r="H36" i="5"/>
  <c r="H20" i="5"/>
  <c r="H37" i="5"/>
  <c r="H42" i="5"/>
  <c r="H43" i="5"/>
  <c r="H25" i="5"/>
  <c r="H30" i="5"/>
  <c r="H31" i="5"/>
  <c r="B11" i="5"/>
  <c r="F33" i="5"/>
  <c r="P33" i="5" s="1"/>
  <c r="F25" i="5"/>
  <c r="P25" i="5" s="1"/>
  <c r="F41" i="5"/>
  <c r="P41" i="5" s="1"/>
  <c r="F24" i="5"/>
  <c r="P24" i="5" s="1"/>
  <c r="F36" i="5"/>
  <c r="P36" i="5" s="1"/>
  <c r="F37" i="5"/>
  <c r="P37" i="5" s="1"/>
  <c r="F21" i="5"/>
  <c r="P21" i="5" s="1"/>
  <c r="F23" i="5"/>
  <c r="P23" i="5" s="1"/>
  <c r="F39" i="5"/>
  <c r="P39" i="5" s="1"/>
  <c r="F18" i="5"/>
  <c r="P18" i="5" s="1"/>
  <c r="F46" i="5"/>
  <c r="F26" i="5"/>
  <c r="P26" i="5" s="1"/>
  <c r="F28" i="5"/>
  <c r="P28" i="5" s="1"/>
  <c r="F16" i="5"/>
  <c r="P16" i="5" s="1"/>
  <c r="F22" i="5"/>
  <c r="P22" i="5" s="1"/>
  <c r="F27" i="5"/>
  <c r="P27" i="5" s="1"/>
  <c r="F35" i="5"/>
  <c r="P35" i="5" s="1"/>
  <c r="F45" i="5"/>
  <c r="P45" i="5" s="1"/>
  <c r="F34" i="5"/>
  <c r="P34" i="5" s="1"/>
  <c r="F29" i="5"/>
  <c r="P29" i="5" s="1"/>
  <c r="F30" i="5"/>
  <c r="P30" i="5" s="1"/>
  <c r="F20" i="5"/>
  <c r="P20" i="5" s="1"/>
  <c r="F40" i="5"/>
  <c r="P40" i="5" s="1"/>
  <c r="F31" i="5"/>
  <c r="P31" i="5" s="1"/>
  <c r="F19" i="5"/>
  <c r="P19" i="5" s="1"/>
  <c r="F42" i="5"/>
  <c r="P42" i="5" s="1"/>
  <c r="F32" i="5"/>
  <c r="P32" i="5" s="1"/>
  <c r="F38" i="5"/>
  <c r="P38" i="5" s="1"/>
  <c r="F17" i="5"/>
  <c r="P17" i="5" s="1"/>
  <c r="F43" i="5"/>
  <c r="P43" i="5" s="1"/>
  <c r="P44" i="5"/>
  <c r="G94" i="4"/>
  <c r="H94" i="4" s="1"/>
  <c r="C35" i="4"/>
  <c r="F73" i="4"/>
  <c r="F92" i="4"/>
  <c r="C36" i="4"/>
  <c r="F74" i="4"/>
  <c r="G74" i="4"/>
  <c r="H74" i="4" s="1"/>
  <c r="F83" i="4"/>
  <c r="F76" i="4"/>
  <c r="F82" i="4"/>
  <c r="J82" i="4"/>
  <c r="F89" i="4"/>
  <c r="F88" i="4"/>
  <c r="G88" i="4"/>
  <c r="H88" i="4" s="1"/>
  <c r="F93" i="4"/>
  <c r="G93" i="4"/>
  <c r="H93" i="4" s="1"/>
  <c r="G80" i="4"/>
  <c r="H80" i="4" s="1"/>
  <c r="F80" i="4"/>
  <c r="F77" i="4"/>
  <c r="G77" i="4"/>
  <c r="H77" i="4" s="1"/>
  <c r="G95" i="4"/>
  <c r="H95" i="4" s="1"/>
  <c r="F95" i="4"/>
  <c r="F71" i="4"/>
  <c r="G71" i="4"/>
  <c r="H71" i="4" s="1"/>
  <c r="F90" i="4"/>
  <c r="G90" i="4"/>
  <c r="H90" i="4" s="1"/>
  <c r="G75" i="4"/>
  <c r="H75" i="4" s="1"/>
  <c r="F75" i="4"/>
  <c r="G91" i="4"/>
  <c r="H91" i="4" s="1"/>
  <c r="F70" i="4"/>
  <c r="G85" i="4"/>
  <c r="H85" i="4" s="1"/>
  <c r="F87" i="4"/>
  <c r="G87" i="4"/>
  <c r="H87" i="4" s="1"/>
  <c r="F86" i="4"/>
  <c r="G86" i="4"/>
  <c r="H86" i="4" s="1"/>
  <c r="F79" i="4"/>
  <c r="G79" i="4"/>
  <c r="H79" i="4" s="1"/>
  <c r="G72" i="4"/>
  <c r="H72" i="4" s="1"/>
  <c r="F72" i="4"/>
  <c r="F69" i="4"/>
  <c r="G69" i="4"/>
  <c r="H69" i="4" s="1"/>
  <c r="F68" i="4"/>
  <c r="G84" i="4"/>
  <c r="H84" i="4" s="1"/>
  <c r="F67" i="4"/>
  <c r="G81" i="4"/>
  <c r="H81" i="4" s="1"/>
  <c r="G82" i="4"/>
  <c r="H82" i="4" s="1"/>
  <c r="G66" i="4"/>
  <c r="H66" i="4" s="1"/>
  <c r="G78" i="4"/>
  <c r="H78" i="4" s="1"/>
  <c r="F96" i="4"/>
  <c r="G96" i="4"/>
  <c r="H96" i="4" s="1"/>
  <c r="F13" i="3"/>
  <c r="F29" i="3"/>
  <c r="G14" i="3"/>
  <c r="H14" i="3" s="1"/>
  <c r="F14" i="3"/>
  <c r="G30" i="3"/>
  <c r="H30" i="3" s="1"/>
  <c r="F30" i="3"/>
  <c r="F15" i="3"/>
  <c r="F31" i="3"/>
  <c r="F16" i="3"/>
  <c r="G16" i="3"/>
  <c r="H16" i="3" s="1"/>
  <c r="F32" i="3"/>
  <c r="G32" i="3"/>
  <c r="H32" i="3" s="1"/>
  <c r="F33" i="3"/>
  <c r="F19" i="3"/>
  <c r="F35" i="3"/>
  <c r="G20" i="3"/>
  <c r="H20" i="3" s="1"/>
  <c r="F20" i="3"/>
  <c r="F36" i="3"/>
  <c r="H36" i="3"/>
  <c r="F34" i="3"/>
  <c r="H34" i="3"/>
  <c r="G29" i="3"/>
  <c r="H29" i="3" s="1"/>
  <c r="G31" i="3"/>
  <c r="H31" i="3" s="1"/>
  <c r="F21" i="3"/>
  <c r="H21" i="3"/>
  <c r="F37" i="3"/>
  <c r="G22" i="3"/>
  <c r="H22" i="3" s="1"/>
  <c r="F22" i="3"/>
  <c r="F23" i="3"/>
  <c r="F8" i="3"/>
  <c r="G8" i="3"/>
  <c r="H8" i="3" s="1"/>
  <c r="F24" i="3"/>
  <c r="G24" i="3"/>
  <c r="H24" i="3" s="1"/>
  <c r="F17" i="3"/>
  <c r="F18" i="3"/>
  <c r="G18" i="3"/>
  <c r="H18" i="3" s="1"/>
  <c r="G13" i="3"/>
  <c r="H13" i="3" s="1"/>
  <c r="G15" i="3"/>
  <c r="H15" i="3" s="1"/>
  <c r="G17" i="3"/>
  <c r="H17" i="3" s="1"/>
  <c r="G33" i="3"/>
  <c r="H33" i="3" s="1"/>
  <c r="G19" i="3"/>
  <c r="H19" i="3" s="1"/>
  <c r="G35" i="3"/>
  <c r="H35" i="3" s="1"/>
  <c r="F25" i="3"/>
  <c r="H25" i="3"/>
  <c r="F10" i="3"/>
  <c r="G10" i="3"/>
  <c r="H10" i="3" s="1"/>
  <c r="G26" i="3"/>
  <c r="H26" i="3" s="1"/>
  <c r="F26" i="3"/>
  <c r="F11" i="3"/>
  <c r="H11" i="3"/>
  <c r="F27" i="3"/>
  <c r="H27" i="3"/>
  <c r="G12" i="3"/>
  <c r="H12" i="3" s="1"/>
  <c r="F12" i="3"/>
  <c r="G28" i="3"/>
  <c r="H28" i="3" s="1"/>
  <c r="F28" i="3"/>
  <c r="G37" i="3"/>
  <c r="H37" i="3" s="1"/>
  <c r="G7" i="3"/>
  <c r="H7" i="3" s="1"/>
  <c r="H45" i="5" l="1"/>
  <c r="H24" i="5"/>
  <c r="H26" i="5"/>
  <c r="H44" i="5"/>
  <c r="H40" i="5"/>
  <c r="H34" i="5"/>
  <c r="H17" i="5"/>
  <c r="H46" i="5"/>
  <c r="H41" i="5"/>
  <c r="H27" i="5"/>
  <c r="H21" i="5"/>
  <c r="H32" i="5"/>
  <c r="H33" i="5"/>
  <c r="H23" i="5"/>
  <c r="H28" i="5"/>
  <c r="H23" i="7"/>
  <c r="B11" i="7"/>
  <c r="H41" i="7"/>
  <c r="H16" i="7"/>
  <c r="H43" i="7"/>
  <c r="H25" i="7"/>
  <c r="H21" i="7"/>
  <c r="H37" i="7"/>
  <c r="H24" i="7"/>
  <c r="H22" i="7"/>
  <c r="H46" i="7"/>
  <c r="H30" i="7"/>
  <c r="H17" i="7"/>
  <c r="H45" i="7"/>
  <c r="H32" i="7"/>
  <c r="H28" i="7"/>
  <c r="H44" i="7"/>
  <c r="H19" i="7"/>
  <c r="H20" i="7"/>
  <c r="H35" i="7"/>
  <c r="H39" i="7"/>
  <c r="H27" i="7"/>
  <c r="H33" i="7"/>
  <c r="H18" i="7"/>
  <c r="H34" i="7"/>
  <c r="H31" i="7"/>
  <c r="H26" i="7"/>
  <c r="H29" i="7"/>
  <c r="H38" i="7"/>
  <c r="H36" i="7"/>
  <c r="H40" i="7"/>
  <c r="H42" i="7"/>
  <c r="Q37" i="7"/>
  <c r="R37" i="7" s="1"/>
  <c r="Q26" i="7"/>
  <c r="R26" i="7"/>
  <c r="Q18" i="7"/>
  <c r="R18" i="7" s="1"/>
  <c r="Q35" i="7"/>
  <c r="R35" i="7" s="1"/>
  <c r="Q19" i="7"/>
  <c r="R19" i="7" s="1"/>
  <c r="Q39" i="7"/>
  <c r="R39" i="7" s="1"/>
  <c r="Q22" i="7"/>
  <c r="R22" i="7" s="1"/>
  <c r="Q31" i="7"/>
  <c r="R31" i="7" s="1"/>
  <c r="Q46" i="7"/>
  <c r="R46" i="7" s="1"/>
  <c r="Q41" i="7"/>
  <c r="R41" i="7" s="1"/>
  <c r="Q28" i="7"/>
  <c r="R28" i="7" s="1"/>
  <c r="Q38" i="5"/>
  <c r="R38" i="5" s="1"/>
  <c r="Q31" i="5"/>
  <c r="R31" i="5" s="1"/>
  <c r="Q29" i="5"/>
  <c r="R29" i="5" s="1"/>
  <c r="Q27" i="5"/>
  <c r="R27" i="5" s="1"/>
  <c r="Q26" i="5"/>
  <c r="R26" i="5" s="1"/>
  <c r="Q23" i="5"/>
  <c r="R23" i="5" s="1"/>
  <c r="Q24" i="5"/>
  <c r="R24" i="5" s="1"/>
  <c r="Q40" i="5"/>
  <c r="R40" i="5" s="1"/>
  <c r="Q34" i="5"/>
  <c r="R34" i="5" s="1"/>
  <c r="Q22" i="5"/>
  <c r="R22" i="5" s="1"/>
  <c r="Q21" i="5"/>
  <c r="R21" i="5" s="1"/>
  <c r="Q41" i="5"/>
  <c r="R41" i="5" s="1"/>
  <c r="Q32" i="5"/>
  <c r="R32" i="5" s="1"/>
  <c r="Q43" i="5"/>
  <c r="R43" i="5" s="1"/>
  <c r="Q42" i="5"/>
  <c r="R42" i="5" s="1"/>
  <c r="Q20" i="5"/>
  <c r="R20" i="5" s="1"/>
  <c r="Q45" i="5"/>
  <c r="R45" i="5" s="1"/>
  <c r="Q16" i="5"/>
  <c r="R16" i="5" s="1"/>
  <c r="Q18" i="5"/>
  <c r="R18" i="5" s="1"/>
  <c r="Q37" i="5"/>
  <c r="R37" i="5" s="1"/>
  <c r="Q25" i="5"/>
  <c r="R25" i="5" s="1"/>
  <c r="Q44" i="5"/>
  <c r="R44" i="5" s="1"/>
  <c r="Q17" i="5"/>
  <c r="R17" i="5" s="1"/>
  <c r="Q19" i="5"/>
  <c r="R19" i="5" s="1"/>
  <c r="Q30" i="5"/>
  <c r="R30" i="5" s="1"/>
  <c r="Q35" i="5"/>
  <c r="R35" i="5" s="1"/>
  <c r="Q28" i="5"/>
  <c r="R28" i="5" s="1"/>
  <c r="Q39" i="5"/>
  <c r="R39" i="5" s="1"/>
  <c r="Q36" i="5"/>
  <c r="R36" i="5" s="1"/>
  <c r="Q33" i="5"/>
  <c r="R33" i="5" s="1"/>
  <c r="P46" i="5"/>
  <c r="G26" i="5"/>
  <c r="G22" i="5"/>
  <c r="G20" i="5"/>
  <c r="G46" i="5"/>
  <c r="G30" i="5"/>
  <c r="G24" i="5"/>
  <c r="G32" i="5"/>
  <c r="G37" i="5"/>
  <c r="G29" i="5"/>
  <c r="G21" i="5"/>
  <c r="G31" i="5"/>
  <c r="G23" i="5"/>
  <c r="G43" i="5"/>
  <c r="G35" i="5"/>
  <c r="G45" i="5"/>
  <c r="G39" i="5"/>
  <c r="G16" i="5"/>
  <c r="G27" i="5"/>
  <c r="G19" i="5"/>
  <c r="G40" i="5"/>
  <c r="G42" i="5"/>
  <c r="G18" i="5"/>
  <c r="G34" i="5"/>
  <c r="G25" i="5"/>
  <c r="G17" i="5"/>
  <c r="G36" i="5"/>
  <c r="G41" i="5"/>
  <c r="G33" i="5"/>
  <c r="G28" i="5"/>
  <c r="G38" i="5"/>
  <c r="G44" i="5"/>
  <c r="G27" i="7" l="1"/>
  <c r="G33" i="7"/>
  <c r="G38" i="7"/>
  <c r="G17" i="7"/>
  <c r="G40" i="7"/>
  <c r="G42" i="7"/>
  <c r="G29" i="7"/>
  <c r="G45" i="7"/>
  <c r="G43" i="7"/>
  <c r="G21" i="7"/>
  <c r="G24" i="7"/>
  <c r="G25" i="7"/>
  <c r="G32" i="7"/>
  <c r="G16" i="7"/>
  <c r="G36" i="7"/>
  <c r="G44" i="7"/>
  <c r="G20" i="7"/>
  <c r="G23" i="7"/>
  <c r="G34" i="7"/>
  <c r="G37" i="7"/>
  <c r="G26" i="7"/>
  <c r="G39" i="7"/>
  <c r="G18" i="7"/>
  <c r="G30" i="7"/>
  <c r="G46" i="7"/>
  <c r="G22" i="7"/>
  <c r="G28" i="7"/>
  <c r="G41" i="7"/>
  <c r="G19" i="7"/>
  <c r="G31" i="7"/>
  <c r="G35" i="7"/>
  <c r="Q46" i="5"/>
  <c r="R46" i="5" s="1"/>
  <c r="K19" i="5"/>
  <c r="L19" i="5" s="1"/>
  <c r="K20" i="5"/>
  <c r="L20" i="5" s="1"/>
  <c r="K34" i="5"/>
  <c r="L34" i="5" s="1"/>
  <c r="K31" i="5"/>
  <c r="L31" i="5" s="1"/>
  <c r="K38" i="5"/>
  <c r="L38" i="5" s="1"/>
  <c r="K36" i="5"/>
  <c r="L36" i="5" s="1"/>
  <c r="K18" i="5"/>
  <c r="L18" i="5" s="1"/>
  <c r="K27" i="5"/>
  <c r="L27" i="5" s="1"/>
  <c r="K35" i="5"/>
  <c r="L35" i="5" s="1"/>
  <c r="K21" i="5"/>
  <c r="L21" i="5" s="1"/>
  <c r="K24" i="5"/>
  <c r="L24" i="5" s="1"/>
  <c r="K22" i="5"/>
  <c r="L22" i="5" s="1"/>
  <c r="K44" i="5"/>
  <c r="L44" i="5" s="1"/>
  <c r="K45" i="5"/>
  <c r="L45" i="5" s="1"/>
  <c r="K17" i="5"/>
  <c r="L17" i="5" s="1"/>
  <c r="K16" i="5"/>
  <c r="L16" i="5" s="1"/>
  <c r="K29" i="5"/>
  <c r="L29" i="5" s="1"/>
  <c r="K30" i="5"/>
  <c r="L30" i="5" s="1"/>
  <c r="K26" i="5"/>
  <c r="L26" i="5" s="1"/>
  <c r="K41" i="5"/>
  <c r="L41" i="5" s="1"/>
  <c r="K32" i="5"/>
  <c r="L32" i="5" s="1"/>
  <c r="K28" i="5"/>
  <c r="L28" i="5" s="1"/>
  <c r="K42" i="5"/>
  <c r="L42" i="5" s="1"/>
  <c r="K43" i="5"/>
  <c r="L43" i="5" s="1"/>
  <c r="K33" i="5"/>
  <c r="L33" i="5" s="1"/>
  <c r="K25" i="5"/>
  <c r="L25" i="5" s="1"/>
  <c r="K40" i="5"/>
  <c r="L40" i="5" s="1"/>
  <c r="K39" i="5"/>
  <c r="L39" i="5" s="1"/>
  <c r="K23" i="5"/>
  <c r="L23" i="5" s="1"/>
  <c r="K37" i="5"/>
  <c r="L37" i="5" s="1"/>
  <c r="K46" i="5"/>
  <c r="L46" i="5" s="1"/>
  <c r="M38" i="5"/>
  <c r="I38" i="5"/>
  <c r="J38" i="5" s="1"/>
  <c r="M18" i="5"/>
  <c r="I18" i="5"/>
  <c r="J18" i="5" s="1"/>
  <c r="M27" i="5"/>
  <c r="I27" i="5"/>
  <c r="J27" i="5" s="1"/>
  <c r="M35" i="5"/>
  <c r="I35" i="5"/>
  <c r="J35" i="5" s="1"/>
  <c r="M21" i="5"/>
  <c r="I21" i="5"/>
  <c r="J21" i="5" s="1"/>
  <c r="M24" i="5"/>
  <c r="I24" i="5"/>
  <c r="J24" i="5" s="1"/>
  <c r="M22" i="5"/>
  <c r="I22" i="5"/>
  <c r="J22" i="5" s="1"/>
  <c r="M28" i="5"/>
  <c r="I28" i="5"/>
  <c r="J28" i="5" s="1"/>
  <c r="M17" i="5"/>
  <c r="I17" i="5"/>
  <c r="J17" i="5" s="1"/>
  <c r="M42" i="5"/>
  <c r="I42" i="5"/>
  <c r="J42" i="5" s="1"/>
  <c r="M16" i="5"/>
  <c r="I16" i="5"/>
  <c r="J16" i="5" s="1"/>
  <c r="M43" i="5"/>
  <c r="I43" i="5"/>
  <c r="J43" i="5" s="1"/>
  <c r="M29" i="5"/>
  <c r="I29" i="5"/>
  <c r="J29" i="5" s="1"/>
  <c r="M30" i="5"/>
  <c r="I30" i="5"/>
  <c r="J30" i="5" s="1"/>
  <c r="M26" i="5"/>
  <c r="I26" i="5"/>
  <c r="J26" i="5" s="1"/>
  <c r="M36" i="5"/>
  <c r="I36" i="5"/>
  <c r="J36" i="5" s="1"/>
  <c r="M33" i="5"/>
  <c r="I33" i="5"/>
  <c r="J33" i="5" s="1"/>
  <c r="M25" i="5"/>
  <c r="I25" i="5"/>
  <c r="J25" i="5" s="1"/>
  <c r="M40" i="5"/>
  <c r="I40" i="5"/>
  <c r="J40" i="5" s="1"/>
  <c r="M39" i="5"/>
  <c r="I39" i="5"/>
  <c r="J39" i="5" s="1"/>
  <c r="M23" i="5"/>
  <c r="I23" i="5"/>
  <c r="J23" i="5" s="1"/>
  <c r="M37" i="5"/>
  <c r="I37" i="5"/>
  <c r="J37" i="5" s="1"/>
  <c r="M46" i="5"/>
  <c r="I46" i="5"/>
  <c r="J46" i="5" s="1"/>
  <c r="M44" i="5"/>
  <c r="I44" i="5"/>
  <c r="J44" i="5" s="1"/>
  <c r="M41" i="5"/>
  <c r="I41" i="5"/>
  <c r="J41" i="5" s="1"/>
  <c r="M34" i="5"/>
  <c r="I34" i="5"/>
  <c r="J34" i="5" s="1"/>
  <c r="M19" i="5"/>
  <c r="I19" i="5"/>
  <c r="J19" i="5" s="1"/>
  <c r="M45" i="5"/>
  <c r="I45" i="5"/>
  <c r="J45" i="5" s="1"/>
  <c r="M31" i="5"/>
  <c r="I31" i="5"/>
  <c r="J31" i="5" s="1"/>
  <c r="M32" i="5"/>
  <c r="I32" i="5"/>
  <c r="J32" i="5" s="1"/>
  <c r="M20" i="5"/>
  <c r="I20" i="5"/>
  <c r="J20" i="5" s="1"/>
  <c r="M39" i="7" l="1"/>
  <c r="N39" i="7" s="1"/>
  <c r="O39" i="7" s="1"/>
  <c r="K39" i="7"/>
  <c r="L39" i="7" s="1"/>
  <c r="I39" i="7"/>
  <c r="J39" i="7" s="1"/>
  <c r="K16" i="7"/>
  <c r="M16" i="7"/>
  <c r="N16" i="7" s="1"/>
  <c r="O16" i="7" s="1"/>
  <c r="I16" i="7"/>
  <c r="J16" i="7" s="1"/>
  <c r="L16" i="7"/>
  <c r="K42" i="7"/>
  <c r="L42" i="7" s="1"/>
  <c r="M42" i="7"/>
  <c r="I42" i="7"/>
  <c r="J42" i="7" s="1"/>
  <c r="K19" i="7"/>
  <c r="L19" i="7"/>
  <c r="I19" i="7"/>
  <c r="J19" i="7" s="1"/>
  <c r="M19" i="7"/>
  <c r="N19" i="7" s="1"/>
  <c r="O19" i="7" s="1"/>
  <c r="M26" i="7"/>
  <c r="N26" i="7" s="1"/>
  <c r="O26" i="7" s="1"/>
  <c r="I26" i="7"/>
  <c r="J26" i="7" s="1"/>
  <c r="K26" i="7"/>
  <c r="L26" i="7" s="1"/>
  <c r="I32" i="7"/>
  <c r="J32" i="7" s="1"/>
  <c r="K32" i="7"/>
  <c r="L32" i="7" s="1"/>
  <c r="M32" i="7"/>
  <c r="N32" i="7" s="1"/>
  <c r="O32" i="7" s="1"/>
  <c r="K40" i="7"/>
  <c r="L40" i="7" s="1"/>
  <c r="M40" i="7"/>
  <c r="I40" i="7"/>
  <c r="J40" i="7" s="1"/>
  <c r="K25" i="7"/>
  <c r="L25" i="7" s="1"/>
  <c r="M25" i="7"/>
  <c r="I25" i="7"/>
  <c r="J25" i="7" s="1"/>
  <c r="K28" i="7"/>
  <c r="L28" i="7" s="1"/>
  <c r="M28" i="7"/>
  <c r="N28" i="7" s="1"/>
  <c r="O28" i="7" s="1"/>
  <c r="I28" i="7"/>
  <c r="J28" i="7" s="1"/>
  <c r="I34" i="7"/>
  <c r="J34" i="7" s="1"/>
  <c r="M34" i="7"/>
  <c r="N34" i="7" s="1"/>
  <c r="O34" i="7" s="1"/>
  <c r="K34" i="7"/>
  <c r="L34" i="7" s="1"/>
  <c r="M24" i="7"/>
  <c r="N24" i="7" s="1"/>
  <c r="O24" i="7" s="1"/>
  <c r="K24" i="7"/>
  <c r="L24" i="7" s="1"/>
  <c r="I24" i="7"/>
  <c r="J24" i="7" s="1"/>
  <c r="M38" i="7"/>
  <c r="I38" i="7"/>
  <c r="J38" i="7" s="1"/>
  <c r="K38" i="7"/>
  <c r="L38" i="7" s="1"/>
  <c r="K31" i="7"/>
  <c r="L31" i="7" s="1"/>
  <c r="I31" i="7"/>
  <c r="J31" i="7" s="1"/>
  <c r="M31" i="7"/>
  <c r="N31" i="7" s="1"/>
  <c r="O31" i="7" s="1"/>
  <c r="M17" i="7"/>
  <c r="N17" i="7" s="1"/>
  <c r="O17" i="7" s="1"/>
  <c r="I17" i="7"/>
  <c r="J17" i="7" s="1"/>
  <c r="K17" i="7"/>
  <c r="L17" i="7" s="1"/>
  <c r="M22" i="7"/>
  <c r="N22" i="7" s="1"/>
  <c r="O22" i="7" s="1"/>
  <c r="I22" i="7"/>
  <c r="J22" i="7" s="1"/>
  <c r="K22" i="7"/>
  <c r="L22" i="7" s="1"/>
  <c r="K21" i="7"/>
  <c r="L21" i="7" s="1"/>
  <c r="M21" i="7"/>
  <c r="N21" i="7" s="1"/>
  <c r="O21" i="7" s="1"/>
  <c r="I21" i="7"/>
  <c r="J21" i="7" s="1"/>
  <c r="L46" i="7"/>
  <c r="K46" i="7"/>
  <c r="M46" i="7"/>
  <c r="N46" i="7" s="1"/>
  <c r="O46" i="7" s="1"/>
  <c r="I46" i="7"/>
  <c r="J46" i="7" s="1"/>
  <c r="K20" i="7"/>
  <c r="L20" i="7" s="1"/>
  <c r="M20" i="7"/>
  <c r="I20" i="7"/>
  <c r="J20" i="7" s="1"/>
  <c r="K43" i="7"/>
  <c r="L43" i="7" s="1"/>
  <c r="I43" i="7"/>
  <c r="J43" i="7" s="1"/>
  <c r="M43" i="7"/>
  <c r="N43" i="7" s="1"/>
  <c r="O43" i="7" s="1"/>
  <c r="K27" i="7"/>
  <c r="L27" i="7" s="1"/>
  <c r="I27" i="7"/>
  <c r="J27" i="7" s="1"/>
  <c r="M27" i="7"/>
  <c r="I41" i="7"/>
  <c r="J41" i="7" s="1"/>
  <c r="K41" i="7"/>
  <c r="L41" i="7" s="1"/>
  <c r="M41" i="7"/>
  <c r="K23" i="7"/>
  <c r="L23" i="7" s="1"/>
  <c r="I23" i="7"/>
  <c r="J23" i="7" s="1"/>
  <c r="M23" i="7"/>
  <c r="N23" i="7" s="1"/>
  <c r="O23" i="7" s="1"/>
  <c r="I30" i="7"/>
  <c r="J30" i="7" s="1"/>
  <c r="K30" i="7"/>
  <c r="L30" i="7" s="1"/>
  <c r="M30" i="7"/>
  <c r="N30" i="7" s="1"/>
  <c r="O30" i="7" s="1"/>
  <c r="I44" i="7"/>
  <c r="J44" i="7" s="1"/>
  <c r="K44" i="7"/>
  <c r="L44" i="7" s="1"/>
  <c r="M44" i="7"/>
  <c r="M45" i="7"/>
  <c r="N45" i="7" s="1"/>
  <c r="O45" i="7" s="1"/>
  <c r="I45" i="7"/>
  <c r="J45" i="7" s="1"/>
  <c r="K45" i="7"/>
  <c r="L45" i="7" s="1"/>
  <c r="I37" i="7"/>
  <c r="J37" i="7" s="1"/>
  <c r="K37" i="7"/>
  <c r="L37" i="7" s="1"/>
  <c r="M37" i="7"/>
  <c r="M33" i="7"/>
  <c r="N33" i="7" s="1"/>
  <c r="O33" i="7" s="1"/>
  <c r="I33" i="7"/>
  <c r="J33" i="7" s="1"/>
  <c r="K33" i="7"/>
  <c r="L33" i="7" s="1"/>
  <c r="K35" i="7"/>
  <c r="L35" i="7" s="1"/>
  <c r="I35" i="7"/>
  <c r="J35" i="7" s="1"/>
  <c r="M35" i="7"/>
  <c r="N35" i="7" s="1"/>
  <c r="O35" i="7" s="1"/>
  <c r="M18" i="7"/>
  <c r="N18" i="7" s="1"/>
  <c r="O18" i="7" s="1"/>
  <c r="I18" i="7"/>
  <c r="J18" i="7" s="1"/>
  <c r="K18" i="7"/>
  <c r="L18" i="7" s="1"/>
  <c r="M36" i="7"/>
  <c r="I36" i="7"/>
  <c r="J36" i="7" s="1"/>
  <c r="K36" i="7"/>
  <c r="L36" i="7" s="1"/>
  <c r="K29" i="7"/>
  <c r="L29" i="7" s="1"/>
  <c r="M29" i="7"/>
  <c r="N29" i="7" s="1"/>
  <c r="O29" i="7" s="1"/>
  <c r="I29" i="7"/>
  <c r="J29" i="7" s="1"/>
  <c r="N32" i="5"/>
  <c r="O32" i="5" s="1"/>
  <c r="N45" i="5"/>
  <c r="O45" i="5" s="1"/>
  <c r="N34" i="5"/>
  <c r="O34" i="5" s="1"/>
  <c r="N44" i="5"/>
  <c r="O44" i="5" s="1"/>
  <c r="N37" i="5"/>
  <c r="O37" i="5" s="1"/>
  <c r="N39" i="5"/>
  <c r="O39" i="5" s="1"/>
  <c r="N25" i="5"/>
  <c r="O25" i="5" s="1"/>
  <c r="N36" i="5"/>
  <c r="O36" i="5" s="1"/>
  <c r="N30" i="5"/>
  <c r="O30" i="5" s="1"/>
  <c r="N43" i="5"/>
  <c r="O43" i="5" s="1"/>
  <c r="N42" i="5"/>
  <c r="O42" i="5" s="1"/>
  <c r="N28" i="5"/>
  <c r="O28" i="5" s="1"/>
  <c r="N24" i="5"/>
  <c r="O24" i="5" s="1"/>
  <c r="N35" i="5"/>
  <c r="O35" i="5" s="1"/>
  <c r="N18" i="5"/>
  <c r="O18" i="5" s="1"/>
  <c r="N20" i="5"/>
  <c r="O20" i="5" s="1"/>
  <c r="N31" i="5"/>
  <c r="O31" i="5" s="1"/>
  <c r="N19" i="5"/>
  <c r="O19" i="5" s="1"/>
  <c r="N41" i="5"/>
  <c r="O41" i="5" s="1"/>
  <c r="N46" i="5"/>
  <c r="O46" i="5" s="1"/>
  <c r="N23" i="5"/>
  <c r="O23" i="5" s="1"/>
  <c r="N40" i="5"/>
  <c r="O40" i="5" s="1"/>
  <c r="N33" i="5"/>
  <c r="O33" i="5" s="1"/>
  <c r="N26" i="5"/>
  <c r="O26" i="5" s="1"/>
  <c r="N29" i="5"/>
  <c r="O29" i="5" s="1"/>
  <c r="N16" i="5"/>
  <c r="O16" i="5" s="1"/>
  <c r="N17" i="5"/>
  <c r="O17" i="5" s="1"/>
  <c r="N22" i="5"/>
  <c r="O22" i="5" s="1"/>
  <c r="N21" i="5"/>
  <c r="O21" i="5" s="1"/>
  <c r="N27" i="5"/>
  <c r="O27" i="5" s="1"/>
  <c r="N38" i="5"/>
  <c r="O38" i="5" s="1"/>
  <c r="N20" i="7" l="1"/>
  <c r="O20" i="7" s="1"/>
  <c r="N44" i="7"/>
  <c r="O44" i="7" s="1"/>
  <c r="N25" i="7"/>
  <c r="O25" i="7" s="1"/>
  <c r="N41" i="7"/>
  <c r="O41" i="7" s="1"/>
  <c r="N37" i="7"/>
  <c r="O37" i="7" s="1"/>
  <c r="N27" i="7"/>
  <c r="O27" i="7" s="1"/>
  <c r="N38" i="7"/>
  <c r="O38" i="7" s="1"/>
  <c r="N42" i="7"/>
  <c r="O42" i="7" s="1"/>
  <c r="N36" i="7"/>
  <c r="O36" i="7" s="1"/>
  <c r="N40" i="7"/>
  <c r="O4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tc={438AD3AF-65F2-47E1-A7CF-ADA8286056DC}</author>
  </authors>
  <commentList>
    <comment ref="B6" authorId="0" shapeId="0" xr:uid="{438AD3AF-65F2-47E1-A7CF-ADA8286056DC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3,3V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tc={AF36E379-23EC-4162-9004-901FAB08FA3B}</author>
  </authors>
  <commentList>
    <comment ref="C40" authorId="0" shapeId="0" xr:uid="{AF36E379-23EC-4162-9004-901FAB08FA3B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 uma questao de erro mas nao foi contemplada</t>
      </text>
    </comment>
  </commentList>
</comments>
</file>

<file path=xl/sharedStrings.xml><?xml version="1.0" encoding="utf-8"?>
<sst xmlns="http://schemas.openxmlformats.org/spreadsheetml/2006/main" count="540" uniqueCount="284">
  <si>
    <t xml:space="preserve">Story </t>
  </si>
  <si>
    <t xml:space="preserve">Done </t>
  </si>
  <si>
    <t>PIN</t>
  </si>
  <si>
    <t>VBAT</t>
  </si>
  <si>
    <t>PC13-TAMPER-RTC</t>
  </si>
  <si>
    <t>S</t>
  </si>
  <si>
    <t>I/O</t>
  </si>
  <si>
    <t>PC14-OSC32_IN</t>
  </si>
  <si>
    <t>PC15-OSC32_OUT</t>
  </si>
  <si>
    <t>OSC_IN</t>
  </si>
  <si>
    <t>O</t>
  </si>
  <si>
    <t>I</t>
  </si>
  <si>
    <t>NRST</t>
  </si>
  <si>
    <t>VSSA</t>
  </si>
  <si>
    <t>VDDA</t>
  </si>
  <si>
    <t>PA0-WKUP</t>
  </si>
  <si>
    <t>FUNCTION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</si>
  <si>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</si>
  <si>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</si>
  <si>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</si>
  <si>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</si>
  <si>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</si>
  <si>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</si>
  <si>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</si>
  <si>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</si>
  <si>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</si>
  <si>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</si>
  <si>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</si>
  <si>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</si>
  <si>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VSS_1</t>
  </si>
  <si>
    <t>VDD_1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</si>
  <si>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</si>
  <si>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</si>
  <si>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</si>
  <si>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</si>
  <si>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</si>
  <si>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</si>
  <si>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</si>
  <si>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</si>
  <si>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</si>
  <si>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</si>
  <si>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</si>
  <si>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</si>
  <si>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</si>
  <si>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</si>
  <si>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PB3</t>
  </si>
  <si>
    <t>PB4</t>
  </si>
  <si>
    <t>PB5</t>
  </si>
  <si>
    <t>PB6</t>
  </si>
  <si>
    <t>PB7</t>
  </si>
  <si>
    <t>BOOT0</t>
  </si>
  <si>
    <t>PB8</t>
  </si>
  <si>
    <t>PB9</t>
  </si>
  <si>
    <t>VSS_3</t>
  </si>
  <si>
    <t>VDD_3</t>
  </si>
  <si>
    <t>TAMPER-RTC</t>
  </si>
  <si>
    <t>OSC32_IN</t>
  </si>
  <si>
    <t>OSC32_OUT</t>
  </si>
  <si>
    <t>OSC_OUT</t>
  </si>
  <si>
    <t>SPI1_NSS</t>
  </si>
  <si>
    <t>SPI1_SCK</t>
  </si>
  <si>
    <t>SPI1_MISO</t>
  </si>
  <si>
    <t>SPI1_MOSI</t>
  </si>
  <si>
    <t>CANRX</t>
  </si>
  <si>
    <t>CANTX</t>
  </si>
  <si>
    <t>USART1_TX</t>
  </si>
  <si>
    <t>USART1_RX</t>
  </si>
  <si>
    <t>JTMS/SWDIO</t>
  </si>
  <si>
    <t>JTCK/SWCLK</t>
  </si>
  <si>
    <t>JTDI</t>
  </si>
  <si>
    <t>JTDO</t>
  </si>
  <si>
    <t>JNTRST</t>
  </si>
  <si>
    <t>NRST (RESET)</t>
  </si>
  <si>
    <t>BOOT1</t>
  </si>
  <si>
    <t>I2C1_SMBAI</t>
  </si>
  <si>
    <t>I2C1_SCL</t>
  </si>
  <si>
    <t>I2C1_SDA</t>
  </si>
  <si>
    <t>VSSA (GND)</t>
  </si>
  <si>
    <t>VDDA (VCC)</t>
  </si>
  <si>
    <t>PIN NAME</t>
  </si>
  <si>
    <t>ADC12_IN0</t>
  </si>
  <si>
    <t>ADC12_IN1</t>
  </si>
  <si>
    <t>MODULE</t>
  </si>
  <si>
    <t>TIM1_CH1</t>
  </si>
  <si>
    <t>TIM4_CH3</t>
  </si>
  <si>
    <t>TYPE</t>
  </si>
  <si>
    <t xml:space="preserve">To do </t>
  </si>
  <si>
    <t>In progress</t>
  </si>
  <si>
    <t>Ready for System Demo</t>
  </si>
  <si>
    <t>Clock Freq (Hz)</t>
  </si>
  <si>
    <t>freq(Hz)</t>
  </si>
  <si>
    <t>TMR</t>
  </si>
  <si>
    <t>Resolution(degree)</t>
  </si>
  <si>
    <t>Max Eng Speed</t>
  </si>
  <si>
    <t>Resolution in nCount</t>
  </si>
  <si>
    <t>T(s)</t>
  </si>
  <si>
    <t>nOverflow</t>
  </si>
  <si>
    <t>Eng_Speed(rpm)</t>
  </si>
  <si>
    <t>Res-&gt;nCount</t>
  </si>
  <si>
    <t>TClock</t>
  </si>
  <si>
    <t>nClocks</t>
  </si>
  <si>
    <t>nTimer_inc</t>
  </si>
  <si>
    <t>System Information</t>
  </si>
  <si>
    <t>uC Clock Freq (Hz)</t>
  </si>
  <si>
    <t>Tclock(s)</t>
  </si>
  <si>
    <t>Min Eng Speed</t>
  </si>
  <si>
    <t>Prescaler(Max 65535)</t>
  </si>
  <si>
    <t>Max Count (TMR2)</t>
  </si>
  <si>
    <t>Angle</t>
  </si>
  <si>
    <t>Angle Delay</t>
  </si>
  <si>
    <t>Eng Speed</t>
  </si>
  <si>
    <t>Mapa</t>
  </si>
  <si>
    <t>Calculado</t>
  </si>
  <si>
    <t>Cut Ignition</t>
  </si>
  <si>
    <t>Sensor Rising Edge(1st edge)</t>
  </si>
  <si>
    <t>Sensor Falling Edge(2nd edge)</t>
  </si>
  <si>
    <t>Edge Difference</t>
  </si>
  <si>
    <t>Real</t>
  </si>
  <si>
    <t>Frequencia(Hz)</t>
  </si>
  <si>
    <t>Periodo(s)</t>
  </si>
  <si>
    <t>Resolucao</t>
  </si>
  <si>
    <t>Steps</t>
  </si>
  <si>
    <t>Angle Delay as steps</t>
  </si>
  <si>
    <t>Definicao</t>
  </si>
  <si>
    <t>Periodo em contagem do uC (Teorico)</t>
  </si>
  <si>
    <t>Periodo em contagem do uC (Medido)</t>
  </si>
  <si>
    <t>Periodo em contagem do uC (Desvio)</t>
  </si>
  <si>
    <t>Periodo em contagem do uC (Erro(%))</t>
  </si>
  <si>
    <t>Periodo em contagem do Timer (depende do Prescaler) Teorico</t>
  </si>
  <si>
    <t>Periodo em contagem do Timer (depende do Prescaler) Real</t>
  </si>
  <si>
    <t>Periodo em contagem do Timer (depende do Prescaler) Diferenca</t>
  </si>
  <si>
    <t>Periodo em contagem do Timer (depende do Prescaler) Difernca medida em Clocks</t>
  </si>
  <si>
    <t>Contagem timer em steps (Teorico)</t>
  </si>
  <si>
    <t>Contagem timer em steps (Real)</t>
  </si>
  <si>
    <t>Contagem timer em steps (Corrigida)</t>
  </si>
  <si>
    <t>Sensor Rising Edge (1st edge)</t>
  </si>
  <si>
    <t>Sensor Falling Edge (2nd edge)</t>
  </si>
  <si>
    <t>Duty (VRS Signal Count)</t>
  </si>
  <si>
    <t>Engine Speed (rpm)</t>
  </si>
  <si>
    <t>Period theoretic (clock)</t>
  </si>
  <si>
    <t>TMR2 (Count)</t>
  </si>
  <si>
    <t>Frequency (Hz)</t>
  </si>
  <si>
    <t>Period (s)</t>
  </si>
  <si>
    <t>Clock Period (s)</t>
  </si>
  <si>
    <t>Prescaler TMR2 (Max 65535)</t>
  </si>
  <si>
    <t>Edge Difference Angle</t>
  </si>
  <si>
    <t>Step Number</t>
  </si>
  <si>
    <t>Angle (steps)</t>
  </si>
  <si>
    <t>Angle (degree)</t>
  </si>
  <si>
    <t>Resolution (degree)</t>
  </si>
  <si>
    <t>Trigger Pulse (Duty)</t>
  </si>
  <si>
    <t>Critical condition (adv 18, prescaler &lt; 100, Pulse trigger CDI)</t>
  </si>
  <si>
    <t>Rising Edge (RE)</t>
  </si>
  <si>
    <t>Falling Edge (FE)</t>
  </si>
  <si>
    <t>Time Between (FE &amp; RE)</t>
  </si>
  <si>
    <t>Error (%)</t>
  </si>
  <si>
    <t>TMR Comp</t>
  </si>
  <si>
    <t>RE Theoretic (s)</t>
  </si>
  <si>
    <t>RE Calculated (s)</t>
  </si>
  <si>
    <t>Internal Clock Division</t>
  </si>
  <si>
    <t>HV_DRIVE</t>
  </si>
  <si>
    <t>Duty</t>
  </si>
  <si>
    <t>f</t>
  </si>
  <si>
    <t>Computed period</t>
  </si>
  <si>
    <t>Count</t>
  </si>
  <si>
    <t>Overflow time (16bits counter)</t>
  </si>
  <si>
    <t>Duty_VRS</t>
  </si>
  <si>
    <t>Duty period</t>
  </si>
  <si>
    <t>adv</t>
  </si>
  <si>
    <t>nDuty</t>
  </si>
  <si>
    <t>Rising Edge Trigger</t>
  </si>
  <si>
    <t>Time line</t>
  </si>
  <si>
    <t>Falling Edge Inverter</t>
  </si>
  <si>
    <t>n counts</t>
  </si>
  <si>
    <t>Rising Edge Inverter</t>
  </si>
  <si>
    <t>Delay</t>
  </si>
  <si>
    <t>nDelay</t>
  </si>
  <si>
    <t xml:space="preserve">Falling Edge Trigger </t>
  </si>
  <si>
    <t>rpm</t>
  </si>
  <si>
    <t>T</t>
  </si>
  <si>
    <t>n</t>
  </si>
  <si>
    <t>Resto</t>
  </si>
  <si>
    <t>2ABD</t>
  </si>
  <si>
    <t>D09D</t>
  </si>
  <si>
    <t>E9DD</t>
  </si>
  <si>
    <t>1C5D</t>
  </si>
  <si>
    <t>Debug:</t>
  </si>
  <si>
    <t>nOverload</t>
  </si>
  <si>
    <t>Timer</t>
  </si>
  <si>
    <t>nCount</t>
  </si>
  <si>
    <t>TDuty</t>
  </si>
  <si>
    <t>Date</t>
  </si>
  <si>
    <t>BLUEPILL_LED</t>
  </si>
  <si>
    <t>CDI_TRIGGER</t>
  </si>
  <si>
    <t>Boot0 = 1, Boot1=0</t>
  </si>
  <si>
    <t>Need to use the software Flash Loader ST (detailed information in AN2606) https://www.electronicshub.org/how-to-upload-stm32f103c8t6-usb-bootloader/</t>
  </si>
  <si>
    <t>https://www.youtube.com/watch?v=K2NekHIwGWo</t>
  </si>
  <si>
    <t>Input Voltage (V)</t>
  </si>
  <si>
    <t>Placa</t>
  </si>
  <si>
    <t>VIN</t>
  </si>
  <si>
    <t>Capacitor(F)</t>
  </si>
  <si>
    <t>Medido</t>
  </si>
  <si>
    <t>R1</t>
  </si>
  <si>
    <t>5,1M</t>
  </si>
  <si>
    <t>Voltage(V)</t>
  </si>
  <si>
    <t>Teorico</t>
  </si>
  <si>
    <t>R2</t>
  </si>
  <si>
    <t>43K</t>
  </si>
  <si>
    <t>Energy (J)</t>
  </si>
  <si>
    <t>Vão medido</t>
  </si>
  <si>
    <t>VOUT</t>
  </si>
  <si>
    <t>Transformer Rate</t>
  </si>
  <si>
    <t>Vão de cada lado</t>
  </si>
  <si>
    <t>Measure</t>
  </si>
  <si>
    <t>Cap (F)</t>
  </si>
  <si>
    <t>Vout</t>
  </si>
  <si>
    <t>1,5M</t>
  </si>
  <si>
    <t>15K</t>
  </si>
  <si>
    <t>VR2</t>
  </si>
  <si>
    <t>R3</t>
  </si>
  <si>
    <t>100K</t>
  </si>
  <si>
    <t>R4</t>
  </si>
  <si>
    <t>Target</t>
  </si>
  <si>
    <t>68K</t>
  </si>
  <si>
    <t>Eq</t>
  </si>
  <si>
    <t>Res1</t>
  </si>
  <si>
    <t>Res2</t>
  </si>
  <si>
    <t>20K</t>
  </si>
  <si>
    <t>Ec(J)</t>
  </si>
  <si>
    <t>Vtarget(V)</t>
  </si>
  <si>
    <t>Vmes(V)</t>
  </si>
  <si>
    <t>Pin2</t>
  </si>
  <si>
    <t>Pin1</t>
  </si>
  <si>
    <t>Req</t>
  </si>
  <si>
    <t>Div</t>
  </si>
  <si>
    <t>VREF</t>
  </si>
  <si>
    <t>VOL</t>
  </si>
  <si>
    <t>VOH</t>
  </si>
  <si>
    <t>VTH</t>
  </si>
  <si>
    <t>VTL</t>
  </si>
  <si>
    <t>HYST</t>
  </si>
  <si>
    <t>Vc(V)</t>
  </si>
  <si>
    <t>VREF_CIRCUIT</t>
  </si>
  <si>
    <t>VCC</t>
  </si>
  <si>
    <t>RF</t>
  </si>
  <si>
    <t>VTHL</t>
  </si>
  <si>
    <t>MED_ENER</t>
  </si>
  <si>
    <t>LOW_ENER</t>
  </si>
  <si>
    <t>HV_MES</t>
  </si>
  <si>
    <t>TREATED_PWR</t>
  </si>
  <si>
    <t>TREATED_TSENS</t>
  </si>
  <si>
    <t>LED_B</t>
  </si>
  <si>
    <t>LED_Y</t>
  </si>
  <si>
    <t>LED_G</t>
  </si>
  <si>
    <t>VRS2_SIGNAL</t>
  </si>
  <si>
    <t>VRS1_SIGNAL</t>
  </si>
  <si>
    <t>HV_INT</t>
  </si>
  <si>
    <t>USART3_TX/I2C2_SCL</t>
  </si>
  <si>
    <t>USART3_RX/I2C2_SDA</t>
  </si>
  <si>
    <t>Calibration tool</t>
  </si>
  <si>
    <t>I need to develop a elementar Calibration tool built in Python with basic functionalities like: Graphical panel with Engine Speed breakpoint (12 values), advance angle (12 values), basic sensor configuration (angle rate and border definition) , read diagnostic, reset diagnostic, read internal values, maybe create a graphical window to analyse data came from ECU</t>
  </si>
  <si>
    <t>Temperature sensor</t>
  </si>
  <si>
    <t>Update all documentation to create a efficient historic about the project, hardware details (include a possibility to include a E2PROM I2C memory on the board), redraw the GND regarding VRS sensor and stuff</t>
  </si>
  <si>
    <t>Update documentation</t>
  </si>
  <si>
    <t>Provide useful information</t>
  </si>
  <si>
    <t>Create the data structure to record information about the system in running time like: max engine speed, min and max voltage system, internal diagnostic, reset numbers (hardware reset, WDT and etc), create some useful counter to measure the system quality/accuracy or something like this...</t>
  </si>
  <si>
    <t>Final product (Box and assembly)</t>
  </si>
  <si>
    <t>Create a code responsible to treat the temperature sensor (NTC resistor), create an array with 12 position to describe the temperature in function the voltage on resistor</t>
  </si>
  <si>
    <t>Done</t>
  </si>
  <si>
    <t>Include more calibration parameters</t>
  </si>
  <si>
    <t>Try to bring up new parameters to include in the calibration set like Sensor Characteristics, Engine Speed Limit and others</t>
  </si>
  <si>
    <t>Improving</t>
  </si>
  <si>
    <t xml:space="preserve">Create a trigger to record data on FLASH </t>
  </si>
  <si>
    <t>I need to understand in details regarding which data I need to record on FLASH and when, because I can´t disturb the system during this process</t>
  </si>
  <si>
    <t>tackle the obstacles</t>
  </si>
  <si>
    <t xml:space="preserve">Finish the aluminum box (cut and connect the internal wires) </t>
  </si>
  <si>
    <t>It was done with some limitations (I need to create trigger to record this data on FLASH)</t>
  </si>
  <si>
    <t>Create a hardware validation</t>
  </si>
  <si>
    <t>I need to elaborate some hardware validation process to validate de circuit, I need to prepare the stick to glue on disc (graduate degrees division)</t>
  </si>
  <si>
    <t>Buy the components to assembly some CDI and try to distribute</t>
  </si>
  <si>
    <t>Is important thing respect this, because I need to validate this circuit in some vehicle to get confidence in the circuit and sw…</t>
  </si>
  <si>
    <t>*Finish the CDI case, activate the WDT inside the sw and prepare some basic sinalization to prepare the CDI to be operated for someone…</t>
  </si>
  <si>
    <t xml:space="preserve">Read basic information </t>
  </si>
  <si>
    <t>Prepare basic tool set to send and read calibration, read and clear system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</si>
</sst>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00000000000000000000000"/>
    <numFmt numFmtId="166" formatCode="0.0000000000"/>
  </numFmts>
  <fonts count="2" x14ac:knownFonts="1">
    <font>
      <sz val="10"/>
      <color theme="1"/>
      <name val="Verdana"/>
      <family val="2"/>
      <scheme val="minor"/>
    </font>
    <font>
      <sz val="11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NumberFormat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horizontal="left"/>
    </xf>
    <xf numFmtId="11" fontId="0" fillId="0" borderId="0" xfId="0" applyNumberFormat="1"/>
    <xf numFmtId="0" fontId="0" fillId="2" borderId="0" xfId="0" applyFill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9" xfId="0" applyFill="1" applyBorder="1" applyAlignment="1">
      <alignment horizontal="left" vertical="center" wrapText="1"/>
    </xf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8-4DBB-B8DF-E55C40D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530-A7E6-7AFB5A64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F3D-992C-E4A8A15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5D1-9C0B-3BEDD39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Period(ms) X Engine</a:t>
            </a:r>
            <a:r>
              <a:rPr lang="sv-SE" baseline="0"/>
              <a:t> Speed(rpm)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New_concept!$A$41:$A$337</c:f>
              <c:numCache>
                <c:formatCode>General</c:formatCode>
                <c:ptCount val="2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  <c:pt idx="197">
                  <c:v>10050</c:v>
                </c:pt>
                <c:pt idx="198">
                  <c:v>10100</c:v>
                </c:pt>
                <c:pt idx="199">
                  <c:v>10150</c:v>
                </c:pt>
                <c:pt idx="200">
                  <c:v>10200</c:v>
                </c:pt>
                <c:pt idx="201">
                  <c:v>10250</c:v>
                </c:pt>
                <c:pt idx="202">
                  <c:v>10300</c:v>
                </c:pt>
                <c:pt idx="203">
                  <c:v>10350</c:v>
                </c:pt>
                <c:pt idx="204">
                  <c:v>10400</c:v>
                </c:pt>
                <c:pt idx="205">
                  <c:v>10450</c:v>
                </c:pt>
                <c:pt idx="206">
                  <c:v>10500</c:v>
                </c:pt>
                <c:pt idx="207">
                  <c:v>10550</c:v>
                </c:pt>
                <c:pt idx="208">
                  <c:v>10600</c:v>
                </c:pt>
                <c:pt idx="209">
                  <c:v>10650</c:v>
                </c:pt>
                <c:pt idx="210">
                  <c:v>10700</c:v>
                </c:pt>
                <c:pt idx="211">
                  <c:v>10750</c:v>
                </c:pt>
                <c:pt idx="212">
                  <c:v>10800</c:v>
                </c:pt>
                <c:pt idx="213">
                  <c:v>10850</c:v>
                </c:pt>
                <c:pt idx="214">
                  <c:v>10900</c:v>
                </c:pt>
                <c:pt idx="215">
                  <c:v>10950</c:v>
                </c:pt>
                <c:pt idx="216">
                  <c:v>11000</c:v>
                </c:pt>
                <c:pt idx="217">
                  <c:v>11050</c:v>
                </c:pt>
                <c:pt idx="218">
                  <c:v>11100</c:v>
                </c:pt>
                <c:pt idx="219">
                  <c:v>11150</c:v>
                </c:pt>
                <c:pt idx="220">
                  <c:v>11200</c:v>
                </c:pt>
                <c:pt idx="221">
                  <c:v>11250</c:v>
                </c:pt>
                <c:pt idx="222">
                  <c:v>11300</c:v>
                </c:pt>
                <c:pt idx="223">
                  <c:v>11350</c:v>
                </c:pt>
                <c:pt idx="224">
                  <c:v>11400</c:v>
                </c:pt>
                <c:pt idx="225">
                  <c:v>11450</c:v>
                </c:pt>
                <c:pt idx="226">
                  <c:v>11500</c:v>
                </c:pt>
                <c:pt idx="227">
                  <c:v>11550</c:v>
                </c:pt>
                <c:pt idx="228">
                  <c:v>11600</c:v>
                </c:pt>
                <c:pt idx="229">
                  <c:v>11650</c:v>
                </c:pt>
                <c:pt idx="230">
                  <c:v>11700</c:v>
                </c:pt>
                <c:pt idx="231">
                  <c:v>11750</c:v>
                </c:pt>
                <c:pt idx="232">
                  <c:v>11800</c:v>
                </c:pt>
                <c:pt idx="233">
                  <c:v>11850</c:v>
                </c:pt>
                <c:pt idx="234">
                  <c:v>11900</c:v>
                </c:pt>
                <c:pt idx="235">
                  <c:v>11950</c:v>
                </c:pt>
                <c:pt idx="236">
                  <c:v>12000</c:v>
                </c:pt>
                <c:pt idx="237">
                  <c:v>12050</c:v>
                </c:pt>
                <c:pt idx="238">
                  <c:v>12100</c:v>
                </c:pt>
                <c:pt idx="239">
                  <c:v>12150</c:v>
                </c:pt>
                <c:pt idx="240">
                  <c:v>12200</c:v>
                </c:pt>
                <c:pt idx="241">
                  <c:v>12250</c:v>
                </c:pt>
                <c:pt idx="242">
                  <c:v>12300</c:v>
                </c:pt>
                <c:pt idx="243">
                  <c:v>12350</c:v>
                </c:pt>
                <c:pt idx="244">
                  <c:v>12400</c:v>
                </c:pt>
                <c:pt idx="245">
                  <c:v>12450</c:v>
                </c:pt>
                <c:pt idx="246">
                  <c:v>12500</c:v>
                </c:pt>
                <c:pt idx="247">
                  <c:v>12550</c:v>
                </c:pt>
                <c:pt idx="248">
                  <c:v>12600</c:v>
                </c:pt>
                <c:pt idx="249">
                  <c:v>12650</c:v>
                </c:pt>
                <c:pt idx="250">
                  <c:v>12700</c:v>
                </c:pt>
                <c:pt idx="251">
                  <c:v>12750</c:v>
                </c:pt>
                <c:pt idx="252">
                  <c:v>12800</c:v>
                </c:pt>
                <c:pt idx="253">
                  <c:v>12850</c:v>
                </c:pt>
                <c:pt idx="254">
                  <c:v>12900</c:v>
                </c:pt>
                <c:pt idx="255">
                  <c:v>12950</c:v>
                </c:pt>
                <c:pt idx="256">
                  <c:v>13000</c:v>
                </c:pt>
                <c:pt idx="257">
                  <c:v>13050</c:v>
                </c:pt>
                <c:pt idx="258">
                  <c:v>13100</c:v>
                </c:pt>
                <c:pt idx="259">
                  <c:v>13150</c:v>
                </c:pt>
                <c:pt idx="260">
                  <c:v>13200</c:v>
                </c:pt>
                <c:pt idx="261">
                  <c:v>13250</c:v>
                </c:pt>
                <c:pt idx="262">
                  <c:v>13300</c:v>
                </c:pt>
                <c:pt idx="263">
                  <c:v>13350</c:v>
                </c:pt>
                <c:pt idx="264">
                  <c:v>13400</c:v>
                </c:pt>
                <c:pt idx="265">
                  <c:v>13450</c:v>
                </c:pt>
                <c:pt idx="266">
                  <c:v>13500</c:v>
                </c:pt>
                <c:pt idx="267">
                  <c:v>13550</c:v>
                </c:pt>
                <c:pt idx="268">
                  <c:v>13600</c:v>
                </c:pt>
                <c:pt idx="269">
                  <c:v>13650</c:v>
                </c:pt>
                <c:pt idx="270">
                  <c:v>13700</c:v>
                </c:pt>
                <c:pt idx="271">
                  <c:v>13750</c:v>
                </c:pt>
                <c:pt idx="272">
                  <c:v>13800</c:v>
                </c:pt>
                <c:pt idx="273">
                  <c:v>13850</c:v>
                </c:pt>
                <c:pt idx="274">
                  <c:v>13900</c:v>
                </c:pt>
                <c:pt idx="275">
                  <c:v>13950</c:v>
                </c:pt>
                <c:pt idx="276">
                  <c:v>14000</c:v>
                </c:pt>
                <c:pt idx="277">
                  <c:v>14050</c:v>
                </c:pt>
                <c:pt idx="278">
                  <c:v>14100</c:v>
                </c:pt>
                <c:pt idx="279">
                  <c:v>14150</c:v>
                </c:pt>
                <c:pt idx="280">
                  <c:v>14200</c:v>
                </c:pt>
                <c:pt idx="281">
                  <c:v>14250</c:v>
                </c:pt>
                <c:pt idx="282">
                  <c:v>14300</c:v>
                </c:pt>
                <c:pt idx="283">
                  <c:v>14350</c:v>
                </c:pt>
                <c:pt idx="284">
                  <c:v>14400</c:v>
                </c:pt>
                <c:pt idx="285">
                  <c:v>14450</c:v>
                </c:pt>
                <c:pt idx="286">
                  <c:v>14500</c:v>
                </c:pt>
                <c:pt idx="287">
                  <c:v>14550</c:v>
                </c:pt>
                <c:pt idx="288">
                  <c:v>14600</c:v>
                </c:pt>
                <c:pt idx="289">
                  <c:v>14650</c:v>
                </c:pt>
                <c:pt idx="290">
                  <c:v>14700</c:v>
                </c:pt>
                <c:pt idx="291">
                  <c:v>14750</c:v>
                </c:pt>
                <c:pt idx="292">
                  <c:v>14800</c:v>
                </c:pt>
                <c:pt idx="293">
                  <c:v>14850</c:v>
                </c:pt>
                <c:pt idx="294">
                  <c:v>14900</c:v>
                </c:pt>
                <c:pt idx="295">
                  <c:v>14950</c:v>
                </c:pt>
                <c:pt idx="296">
                  <c:v>15000</c:v>
                </c:pt>
              </c:numCache>
            </c:numRef>
          </c:cat>
          <c:val>
            <c:numRef>
              <c:f>New_concept!$C$41:$C$337</c:f>
              <c:numCache>
                <c:formatCode>General</c:formatCode>
                <c:ptCount val="297"/>
                <c:pt idx="0">
                  <c:v>0.3</c:v>
                </c:pt>
                <c:pt idx="1">
                  <c:v>0.24</c:v>
                </c:pt>
                <c:pt idx="2">
                  <c:v>0.2</c:v>
                </c:pt>
                <c:pt idx="3">
                  <c:v>0.17142857142857143</c:v>
                </c:pt>
                <c:pt idx="4">
                  <c:v>0.15</c:v>
                </c:pt>
                <c:pt idx="5">
                  <c:v>0.13333333333333333</c:v>
                </c:pt>
                <c:pt idx="6">
                  <c:v>0.12</c:v>
                </c:pt>
                <c:pt idx="7">
                  <c:v>0.1090909090909091</c:v>
                </c:pt>
                <c:pt idx="8">
                  <c:v>0.1</c:v>
                </c:pt>
                <c:pt idx="9">
                  <c:v>9.2307692307692299E-2</c:v>
                </c:pt>
                <c:pt idx="10">
                  <c:v>8.5714285714285715E-2</c:v>
                </c:pt>
                <c:pt idx="11">
                  <c:v>0.08</c:v>
                </c:pt>
                <c:pt idx="12">
                  <c:v>7.4999999999999997E-2</c:v>
                </c:pt>
                <c:pt idx="13">
                  <c:v>7.0588235294117646E-2</c:v>
                </c:pt>
                <c:pt idx="14">
                  <c:v>6.6666666666666666E-2</c:v>
                </c:pt>
                <c:pt idx="15">
                  <c:v>6.3157894736842107E-2</c:v>
                </c:pt>
                <c:pt idx="16">
                  <c:v>0.06</c:v>
                </c:pt>
                <c:pt idx="17">
                  <c:v>5.7142857142857141E-2</c:v>
                </c:pt>
                <c:pt idx="18">
                  <c:v>5.454545454545455E-2</c:v>
                </c:pt>
                <c:pt idx="19">
                  <c:v>5.2173913043478258E-2</c:v>
                </c:pt>
                <c:pt idx="20">
                  <c:v>0.05</c:v>
                </c:pt>
                <c:pt idx="21">
                  <c:v>4.8000000000000001E-2</c:v>
                </c:pt>
                <c:pt idx="22">
                  <c:v>4.6153846153846149E-2</c:v>
                </c:pt>
                <c:pt idx="23">
                  <c:v>4.4444444444444446E-2</c:v>
                </c:pt>
                <c:pt idx="24">
                  <c:v>4.2857142857142858E-2</c:v>
                </c:pt>
                <c:pt idx="25">
                  <c:v>4.1379310344827586E-2</c:v>
                </c:pt>
                <c:pt idx="26">
                  <c:v>0.04</c:v>
                </c:pt>
                <c:pt idx="27">
                  <c:v>3.870967741935484E-2</c:v>
                </c:pt>
                <c:pt idx="28">
                  <c:v>3.7499999999999999E-2</c:v>
                </c:pt>
                <c:pt idx="29">
                  <c:v>3.6363636363636362E-2</c:v>
                </c:pt>
                <c:pt idx="30">
                  <c:v>3.5294117647058823E-2</c:v>
                </c:pt>
                <c:pt idx="31">
                  <c:v>3.4285714285714287E-2</c:v>
                </c:pt>
                <c:pt idx="32">
                  <c:v>3.3333333333333333E-2</c:v>
                </c:pt>
                <c:pt idx="33">
                  <c:v>3.2432432432432434E-2</c:v>
                </c:pt>
                <c:pt idx="34">
                  <c:v>3.1578947368421054E-2</c:v>
                </c:pt>
                <c:pt idx="35">
                  <c:v>3.0769230769230771E-2</c:v>
                </c:pt>
                <c:pt idx="36">
                  <c:v>0.03</c:v>
                </c:pt>
                <c:pt idx="37">
                  <c:v>2.9268292682926831E-2</c:v>
                </c:pt>
                <c:pt idx="38">
                  <c:v>2.8571428571428571E-2</c:v>
                </c:pt>
                <c:pt idx="39">
                  <c:v>2.7906976744186046E-2</c:v>
                </c:pt>
                <c:pt idx="40">
                  <c:v>2.7272727272727275E-2</c:v>
                </c:pt>
                <c:pt idx="41">
                  <c:v>2.6666666666666668E-2</c:v>
                </c:pt>
                <c:pt idx="42">
                  <c:v>2.6086956521739129E-2</c:v>
                </c:pt>
                <c:pt idx="43">
                  <c:v>2.5531914893617023E-2</c:v>
                </c:pt>
                <c:pt idx="44">
                  <c:v>2.5000000000000001E-2</c:v>
                </c:pt>
                <c:pt idx="45">
                  <c:v>2.4489795918367346E-2</c:v>
                </c:pt>
                <c:pt idx="46">
                  <c:v>2.4E-2</c:v>
                </c:pt>
                <c:pt idx="47">
                  <c:v>2.3529411764705882E-2</c:v>
                </c:pt>
                <c:pt idx="48">
                  <c:v>2.3076923076923075E-2</c:v>
                </c:pt>
                <c:pt idx="49">
                  <c:v>2.2641509433962266E-2</c:v>
                </c:pt>
                <c:pt idx="50">
                  <c:v>2.2222222222222223E-2</c:v>
                </c:pt>
                <c:pt idx="51">
                  <c:v>2.1818181818181816E-2</c:v>
                </c:pt>
                <c:pt idx="52">
                  <c:v>2.1428571428571429E-2</c:v>
                </c:pt>
                <c:pt idx="53">
                  <c:v>2.1052631578947368E-2</c:v>
                </c:pt>
                <c:pt idx="54">
                  <c:v>2.0689655172413793E-2</c:v>
                </c:pt>
                <c:pt idx="55">
                  <c:v>2.033898305084746E-2</c:v>
                </c:pt>
                <c:pt idx="56">
                  <c:v>0.02</c:v>
                </c:pt>
                <c:pt idx="57">
                  <c:v>1.9672131147540982E-2</c:v>
                </c:pt>
                <c:pt idx="58">
                  <c:v>1.935483870967742E-2</c:v>
                </c:pt>
                <c:pt idx="59">
                  <c:v>1.9047619047619049E-2</c:v>
                </c:pt>
                <c:pt idx="60">
                  <c:v>1.8749999999999999E-2</c:v>
                </c:pt>
                <c:pt idx="61">
                  <c:v>1.8461538461538463E-2</c:v>
                </c:pt>
                <c:pt idx="62">
                  <c:v>1.8181818181818181E-2</c:v>
                </c:pt>
                <c:pt idx="63">
                  <c:v>1.7910447761194027E-2</c:v>
                </c:pt>
                <c:pt idx="64">
                  <c:v>1.7647058823529412E-2</c:v>
                </c:pt>
                <c:pt idx="65">
                  <c:v>1.7391304347826087E-2</c:v>
                </c:pt>
                <c:pt idx="66">
                  <c:v>1.7142857142857144E-2</c:v>
                </c:pt>
                <c:pt idx="67">
                  <c:v>1.6901408450704227E-2</c:v>
                </c:pt>
                <c:pt idx="68">
                  <c:v>1.6666666666666666E-2</c:v>
                </c:pt>
                <c:pt idx="69">
                  <c:v>1.643835616438356E-2</c:v>
                </c:pt>
                <c:pt idx="70">
                  <c:v>1.6216216216216217E-2</c:v>
                </c:pt>
                <c:pt idx="71">
                  <c:v>1.6E-2</c:v>
                </c:pt>
                <c:pt idx="72">
                  <c:v>1.5789473684210527E-2</c:v>
                </c:pt>
                <c:pt idx="73">
                  <c:v>1.5584415584415583E-2</c:v>
                </c:pt>
                <c:pt idx="74">
                  <c:v>1.5384615384615385E-2</c:v>
                </c:pt>
                <c:pt idx="75">
                  <c:v>1.518987341772152E-2</c:v>
                </c:pt>
                <c:pt idx="76">
                  <c:v>1.4999999999999999E-2</c:v>
                </c:pt>
                <c:pt idx="77">
                  <c:v>1.4814814814814815E-2</c:v>
                </c:pt>
                <c:pt idx="78">
                  <c:v>1.4634146341463415E-2</c:v>
                </c:pt>
                <c:pt idx="79">
                  <c:v>1.4457831325301203E-2</c:v>
                </c:pt>
                <c:pt idx="80">
                  <c:v>1.4285714285714285E-2</c:v>
                </c:pt>
                <c:pt idx="81">
                  <c:v>1.411764705882353E-2</c:v>
                </c:pt>
                <c:pt idx="82">
                  <c:v>1.3953488372093023E-2</c:v>
                </c:pt>
                <c:pt idx="83">
                  <c:v>1.3793103448275862E-2</c:v>
                </c:pt>
                <c:pt idx="84">
                  <c:v>1.3636363636363637E-2</c:v>
                </c:pt>
                <c:pt idx="85">
                  <c:v>1.3483146067415729E-2</c:v>
                </c:pt>
                <c:pt idx="86">
                  <c:v>1.3333333333333334E-2</c:v>
                </c:pt>
                <c:pt idx="87">
                  <c:v>1.3186813186813187E-2</c:v>
                </c:pt>
                <c:pt idx="88">
                  <c:v>1.3043478260869565E-2</c:v>
                </c:pt>
                <c:pt idx="89">
                  <c:v>1.2903225806451613E-2</c:v>
                </c:pt>
                <c:pt idx="90">
                  <c:v>1.2765957446808512E-2</c:v>
                </c:pt>
                <c:pt idx="91">
                  <c:v>1.2631578947368421E-2</c:v>
                </c:pt>
                <c:pt idx="92">
                  <c:v>1.2500000000000001E-2</c:v>
                </c:pt>
                <c:pt idx="93">
                  <c:v>1.2371134020618558E-2</c:v>
                </c:pt>
                <c:pt idx="94">
                  <c:v>1.2244897959183673E-2</c:v>
                </c:pt>
                <c:pt idx="95">
                  <c:v>1.2121212121212121E-2</c:v>
                </c:pt>
                <c:pt idx="96">
                  <c:v>1.2E-2</c:v>
                </c:pt>
                <c:pt idx="97">
                  <c:v>1.1881188118811881E-2</c:v>
                </c:pt>
                <c:pt idx="98">
                  <c:v>1.1764705882352941E-2</c:v>
                </c:pt>
                <c:pt idx="99">
                  <c:v>1.1650485436893204E-2</c:v>
                </c:pt>
                <c:pt idx="100">
                  <c:v>1.1538461538461537E-2</c:v>
                </c:pt>
                <c:pt idx="101">
                  <c:v>1.1428571428571429E-2</c:v>
                </c:pt>
                <c:pt idx="102">
                  <c:v>1.1320754716981133E-2</c:v>
                </c:pt>
                <c:pt idx="103">
                  <c:v>1.1214953271028037E-2</c:v>
                </c:pt>
                <c:pt idx="104">
                  <c:v>1.1111111111111112E-2</c:v>
                </c:pt>
                <c:pt idx="105">
                  <c:v>1.1009174311926606E-2</c:v>
                </c:pt>
                <c:pt idx="106">
                  <c:v>1.0909090909090908E-2</c:v>
                </c:pt>
                <c:pt idx="107">
                  <c:v>1.0810810810810811E-2</c:v>
                </c:pt>
                <c:pt idx="108">
                  <c:v>1.0714285714285714E-2</c:v>
                </c:pt>
                <c:pt idx="109">
                  <c:v>1.0619469026548672E-2</c:v>
                </c:pt>
                <c:pt idx="110">
                  <c:v>1.0526315789473684E-2</c:v>
                </c:pt>
                <c:pt idx="111">
                  <c:v>1.0434782608695653E-2</c:v>
                </c:pt>
                <c:pt idx="112">
                  <c:v>1.0344827586206896E-2</c:v>
                </c:pt>
                <c:pt idx="113">
                  <c:v>1.0256410256410256E-2</c:v>
                </c:pt>
                <c:pt idx="114">
                  <c:v>1.016949152542373E-2</c:v>
                </c:pt>
                <c:pt idx="115">
                  <c:v>1.0084033613445377E-2</c:v>
                </c:pt>
                <c:pt idx="116">
                  <c:v>0.01</c:v>
                </c:pt>
                <c:pt idx="117">
                  <c:v>9.9173553719008271E-3</c:v>
                </c:pt>
                <c:pt idx="118">
                  <c:v>9.8360655737704909E-3</c:v>
                </c:pt>
                <c:pt idx="119">
                  <c:v>9.7560975609756097E-3</c:v>
                </c:pt>
                <c:pt idx="120">
                  <c:v>9.6774193548387101E-3</c:v>
                </c:pt>
                <c:pt idx="121">
                  <c:v>9.5999999999999992E-3</c:v>
                </c:pt>
                <c:pt idx="122">
                  <c:v>9.5238095238095247E-3</c:v>
                </c:pt>
                <c:pt idx="123">
                  <c:v>9.4488188976377951E-3</c:v>
                </c:pt>
                <c:pt idx="124">
                  <c:v>9.3749999999999997E-3</c:v>
                </c:pt>
                <c:pt idx="125">
                  <c:v>9.3023255813953487E-3</c:v>
                </c:pt>
                <c:pt idx="126">
                  <c:v>9.2307692307692316E-3</c:v>
                </c:pt>
                <c:pt idx="127">
                  <c:v>9.1603053435114507E-3</c:v>
                </c:pt>
                <c:pt idx="128">
                  <c:v>9.0909090909090905E-3</c:v>
                </c:pt>
                <c:pt idx="129">
                  <c:v>9.0225563909774441E-3</c:v>
                </c:pt>
                <c:pt idx="130">
                  <c:v>8.9552238805970137E-3</c:v>
                </c:pt>
                <c:pt idx="131">
                  <c:v>8.8888888888888889E-3</c:v>
                </c:pt>
                <c:pt idx="132">
                  <c:v>8.8235294117647058E-3</c:v>
                </c:pt>
                <c:pt idx="133">
                  <c:v>8.7591240875912399E-3</c:v>
                </c:pt>
                <c:pt idx="134">
                  <c:v>8.6956521739130436E-3</c:v>
                </c:pt>
                <c:pt idx="135">
                  <c:v>8.6330935251798559E-3</c:v>
                </c:pt>
                <c:pt idx="136">
                  <c:v>8.5714285714285719E-3</c:v>
                </c:pt>
                <c:pt idx="137">
                  <c:v>8.5106382978723406E-3</c:v>
                </c:pt>
                <c:pt idx="138">
                  <c:v>8.4507042253521136E-3</c:v>
                </c:pt>
                <c:pt idx="139">
                  <c:v>8.3916083916083916E-3</c:v>
                </c:pt>
                <c:pt idx="140">
                  <c:v>8.3333333333333332E-3</c:v>
                </c:pt>
                <c:pt idx="141">
                  <c:v>8.2758620689655175E-3</c:v>
                </c:pt>
                <c:pt idx="142">
                  <c:v>8.21917808219178E-3</c:v>
                </c:pt>
                <c:pt idx="143">
                  <c:v>8.1632653061224497E-3</c:v>
                </c:pt>
                <c:pt idx="144">
                  <c:v>8.1081081081081086E-3</c:v>
                </c:pt>
                <c:pt idx="145">
                  <c:v>8.0536912751677844E-3</c:v>
                </c:pt>
                <c:pt idx="146">
                  <c:v>8.0000000000000002E-3</c:v>
                </c:pt>
                <c:pt idx="147">
                  <c:v>7.9470198675496689E-3</c:v>
                </c:pt>
                <c:pt idx="148">
                  <c:v>7.8947368421052634E-3</c:v>
                </c:pt>
                <c:pt idx="149">
                  <c:v>7.8431372549019607E-3</c:v>
                </c:pt>
                <c:pt idx="150">
                  <c:v>7.7922077922077913E-3</c:v>
                </c:pt>
                <c:pt idx="151">
                  <c:v>7.7419354838709686E-3</c:v>
                </c:pt>
                <c:pt idx="152">
                  <c:v>7.6923076923076927E-3</c:v>
                </c:pt>
                <c:pt idx="153">
                  <c:v>7.6433121019108272E-3</c:v>
                </c:pt>
                <c:pt idx="154">
                  <c:v>7.5949367088607601E-3</c:v>
                </c:pt>
                <c:pt idx="155">
                  <c:v>7.5471698113207548E-3</c:v>
                </c:pt>
                <c:pt idx="156">
                  <c:v>7.4999999999999997E-3</c:v>
                </c:pt>
                <c:pt idx="157">
                  <c:v>7.4534161490683237E-3</c:v>
                </c:pt>
                <c:pt idx="158">
                  <c:v>7.4074074074074077E-3</c:v>
                </c:pt>
                <c:pt idx="159">
                  <c:v>7.3619631901840482E-3</c:v>
                </c:pt>
                <c:pt idx="160">
                  <c:v>7.3170731707317077E-3</c:v>
                </c:pt>
                <c:pt idx="161">
                  <c:v>7.2727272727272727E-3</c:v>
                </c:pt>
                <c:pt idx="162">
                  <c:v>7.2289156626506017E-3</c:v>
                </c:pt>
                <c:pt idx="163">
                  <c:v>7.1856287425149708E-3</c:v>
                </c:pt>
                <c:pt idx="164">
                  <c:v>7.1428571428571426E-3</c:v>
                </c:pt>
                <c:pt idx="165">
                  <c:v>7.100591715976331E-3</c:v>
                </c:pt>
                <c:pt idx="166">
                  <c:v>7.058823529411765E-3</c:v>
                </c:pt>
                <c:pt idx="167">
                  <c:v>7.0175438596491229E-3</c:v>
                </c:pt>
                <c:pt idx="168">
                  <c:v>6.9767441860465115E-3</c:v>
                </c:pt>
                <c:pt idx="169">
                  <c:v>6.9364161849710991E-3</c:v>
                </c:pt>
                <c:pt idx="170">
                  <c:v>6.8965517241379309E-3</c:v>
                </c:pt>
                <c:pt idx="171">
                  <c:v>6.8571428571428568E-3</c:v>
                </c:pt>
                <c:pt idx="172">
                  <c:v>6.8181818181818187E-3</c:v>
                </c:pt>
                <c:pt idx="173">
                  <c:v>6.7796610169491523E-3</c:v>
                </c:pt>
                <c:pt idx="174">
                  <c:v>6.7415730337078645E-3</c:v>
                </c:pt>
                <c:pt idx="175">
                  <c:v>6.7039106145251404E-3</c:v>
                </c:pt>
                <c:pt idx="176">
                  <c:v>6.6666666666666671E-3</c:v>
                </c:pt>
                <c:pt idx="177">
                  <c:v>6.6298342541436456E-3</c:v>
                </c:pt>
                <c:pt idx="178">
                  <c:v>6.5934065934065934E-3</c:v>
                </c:pt>
                <c:pt idx="179">
                  <c:v>6.5573770491803279E-3</c:v>
                </c:pt>
                <c:pt idx="180">
                  <c:v>6.5217391304347823E-3</c:v>
                </c:pt>
                <c:pt idx="181">
                  <c:v>6.486486486486487E-3</c:v>
                </c:pt>
                <c:pt idx="182">
                  <c:v>6.4516129032258064E-3</c:v>
                </c:pt>
                <c:pt idx="183">
                  <c:v>6.4171122994652399E-3</c:v>
                </c:pt>
                <c:pt idx="184">
                  <c:v>6.3829787234042559E-3</c:v>
                </c:pt>
                <c:pt idx="185">
                  <c:v>6.3492063492063492E-3</c:v>
                </c:pt>
                <c:pt idx="186">
                  <c:v>6.3157894736842104E-3</c:v>
                </c:pt>
                <c:pt idx="187">
                  <c:v>6.2827225130890054E-3</c:v>
                </c:pt>
                <c:pt idx="188">
                  <c:v>6.2500000000000003E-3</c:v>
                </c:pt>
                <c:pt idx="189">
                  <c:v>6.2176165803108805E-3</c:v>
                </c:pt>
                <c:pt idx="190">
                  <c:v>6.1855670103092789E-3</c:v>
                </c:pt>
                <c:pt idx="191">
                  <c:v>6.1538461538461538E-3</c:v>
                </c:pt>
                <c:pt idx="192">
                  <c:v>6.1224489795918364E-3</c:v>
                </c:pt>
                <c:pt idx="193">
                  <c:v>6.0913705583756353E-3</c:v>
                </c:pt>
                <c:pt idx="194">
                  <c:v>6.0606060606060606E-3</c:v>
                </c:pt>
                <c:pt idx="195">
                  <c:v>6.030150753768844E-3</c:v>
                </c:pt>
                <c:pt idx="196">
                  <c:v>6.0000000000000001E-3</c:v>
                </c:pt>
                <c:pt idx="197">
                  <c:v>5.9701492537313433E-3</c:v>
                </c:pt>
                <c:pt idx="198">
                  <c:v>5.9405940594059407E-3</c:v>
                </c:pt>
                <c:pt idx="199">
                  <c:v>5.9113300492610842E-3</c:v>
                </c:pt>
                <c:pt idx="200">
                  <c:v>5.8823529411764705E-3</c:v>
                </c:pt>
                <c:pt idx="201">
                  <c:v>5.8536585365853658E-3</c:v>
                </c:pt>
                <c:pt idx="202">
                  <c:v>5.8252427184466021E-3</c:v>
                </c:pt>
                <c:pt idx="203">
                  <c:v>5.7971014492753624E-3</c:v>
                </c:pt>
                <c:pt idx="204">
                  <c:v>5.7692307692307687E-3</c:v>
                </c:pt>
                <c:pt idx="205">
                  <c:v>5.7416267942583732E-3</c:v>
                </c:pt>
                <c:pt idx="206">
                  <c:v>5.7142857142857143E-3</c:v>
                </c:pt>
                <c:pt idx="207">
                  <c:v>5.6872037914691941E-3</c:v>
                </c:pt>
                <c:pt idx="208">
                  <c:v>5.6603773584905665E-3</c:v>
                </c:pt>
                <c:pt idx="209">
                  <c:v>5.6338028169014088E-3</c:v>
                </c:pt>
                <c:pt idx="210">
                  <c:v>5.6074766355140183E-3</c:v>
                </c:pt>
                <c:pt idx="211">
                  <c:v>5.5813953488372094E-3</c:v>
                </c:pt>
                <c:pt idx="212">
                  <c:v>5.5555555555555558E-3</c:v>
                </c:pt>
                <c:pt idx="213">
                  <c:v>5.5299539170506912E-3</c:v>
                </c:pt>
                <c:pt idx="214">
                  <c:v>5.5045871559633031E-3</c:v>
                </c:pt>
                <c:pt idx="215">
                  <c:v>5.4794520547945206E-3</c:v>
                </c:pt>
                <c:pt idx="216">
                  <c:v>5.4545454545454541E-3</c:v>
                </c:pt>
                <c:pt idx="217">
                  <c:v>5.4298642533936658E-3</c:v>
                </c:pt>
                <c:pt idx="218">
                  <c:v>5.4054054054054057E-3</c:v>
                </c:pt>
                <c:pt idx="219">
                  <c:v>5.3811659192825106E-3</c:v>
                </c:pt>
                <c:pt idx="220">
                  <c:v>5.3571428571428572E-3</c:v>
                </c:pt>
                <c:pt idx="221">
                  <c:v>5.3333333333333332E-3</c:v>
                </c:pt>
                <c:pt idx="222">
                  <c:v>5.3097345132743362E-3</c:v>
                </c:pt>
                <c:pt idx="223">
                  <c:v>5.2863436123348024E-3</c:v>
                </c:pt>
                <c:pt idx="224">
                  <c:v>5.263157894736842E-3</c:v>
                </c:pt>
                <c:pt idx="225">
                  <c:v>5.2401746724890829E-3</c:v>
                </c:pt>
                <c:pt idx="226">
                  <c:v>5.2173913043478265E-3</c:v>
                </c:pt>
                <c:pt idx="227">
                  <c:v>5.1948051948051948E-3</c:v>
                </c:pt>
                <c:pt idx="228">
                  <c:v>5.1724137931034482E-3</c:v>
                </c:pt>
                <c:pt idx="229">
                  <c:v>5.1502145922746783E-3</c:v>
                </c:pt>
                <c:pt idx="230">
                  <c:v>5.1282051282051282E-3</c:v>
                </c:pt>
                <c:pt idx="231">
                  <c:v>5.106382978723404E-3</c:v>
                </c:pt>
                <c:pt idx="232">
                  <c:v>5.0847457627118649E-3</c:v>
                </c:pt>
                <c:pt idx="233">
                  <c:v>5.0632911392405064E-3</c:v>
                </c:pt>
                <c:pt idx="234">
                  <c:v>5.0420168067226885E-3</c:v>
                </c:pt>
                <c:pt idx="235">
                  <c:v>5.0209205020920501E-3</c:v>
                </c:pt>
                <c:pt idx="236">
                  <c:v>5.0000000000000001E-3</c:v>
                </c:pt>
                <c:pt idx="237">
                  <c:v>4.9792531120331947E-3</c:v>
                </c:pt>
                <c:pt idx="238">
                  <c:v>4.9586776859504135E-3</c:v>
                </c:pt>
                <c:pt idx="239">
                  <c:v>4.9382716049382715E-3</c:v>
                </c:pt>
                <c:pt idx="240">
                  <c:v>4.9180327868852455E-3</c:v>
                </c:pt>
                <c:pt idx="241">
                  <c:v>4.89795918367347E-3</c:v>
                </c:pt>
                <c:pt idx="242">
                  <c:v>4.8780487804878049E-3</c:v>
                </c:pt>
                <c:pt idx="243">
                  <c:v>4.8582995951416998E-3</c:v>
                </c:pt>
                <c:pt idx="244">
                  <c:v>4.8387096774193551E-3</c:v>
                </c:pt>
                <c:pt idx="245">
                  <c:v>4.8192771084337354E-3</c:v>
                </c:pt>
                <c:pt idx="246">
                  <c:v>4.7999999999999996E-3</c:v>
                </c:pt>
                <c:pt idx="247">
                  <c:v>4.780876494023905E-3</c:v>
                </c:pt>
                <c:pt idx="248">
                  <c:v>4.7619047619047623E-3</c:v>
                </c:pt>
                <c:pt idx="249">
                  <c:v>4.7430830039525687E-3</c:v>
                </c:pt>
                <c:pt idx="250">
                  <c:v>4.7244094488188976E-3</c:v>
                </c:pt>
                <c:pt idx="251">
                  <c:v>4.7058823529411761E-3</c:v>
                </c:pt>
                <c:pt idx="252">
                  <c:v>4.6874999999999998E-3</c:v>
                </c:pt>
                <c:pt idx="253">
                  <c:v>4.6692607003891049E-3</c:v>
                </c:pt>
                <c:pt idx="254">
                  <c:v>4.6511627906976744E-3</c:v>
                </c:pt>
                <c:pt idx="255">
                  <c:v>4.633204633204633E-3</c:v>
                </c:pt>
                <c:pt idx="256">
                  <c:v>4.6153846153846158E-3</c:v>
                </c:pt>
                <c:pt idx="257">
                  <c:v>4.5977011494252873E-3</c:v>
                </c:pt>
                <c:pt idx="258">
                  <c:v>4.5801526717557254E-3</c:v>
                </c:pt>
                <c:pt idx="259">
                  <c:v>4.5627376425855515E-3</c:v>
                </c:pt>
                <c:pt idx="260">
                  <c:v>4.5454545454545452E-3</c:v>
                </c:pt>
                <c:pt idx="261">
                  <c:v>4.528301886792453E-3</c:v>
                </c:pt>
                <c:pt idx="262">
                  <c:v>4.5112781954887221E-3</c:v>
                </c:pt>
                <c:pt idx="263">
                  <c:v>4.4943820224719105E-3</c:v>
                </c:pt>
                <c:pt idx="264">
                  <c:v>4.4776119402985069E-3</c:v>
                </c:pt>
                <c:pt idx="265">
                  <c:v>4.4609665427509295E-3</c:v>
                </c:pt>
                <c:pt idx="266">
                  <c:v>4.4444444444444444E-3</c:v>
                </c:pt>
                <c:pt idx="267">
                  <c:v>4.4280442804428043E-3</c:v>
                </c:pt>
                <c:pt idx="268">
                  <c:v>4.4117647058823529E-3</c:v>
                </c:pt>
                <c:pt idx="269">
                  <c:v>4.3956043956043956E-3</c:v>
                </c:pt>
                <c:pt idx="270">
                  <c:v>4.3795620437956199E-3</c:v>
                </c:pt>
                <c:pt idx="271">
                  <c:v>4.3636363636363638E-3</c:v>
                </c:pt>
                <c:pt idx="272">
                  <c:v>4.3478260869565218E-3</c:v>
                </c:pt>
                <c:pt idx="273">
                  <c:v>4.3321299638989169E-3</c:v>
                </c:pt>
                <c:pt idx="274">
                  <c:v>4.3165467625899279E-3</c:v>
                </c:pt>
                <c:pt idx="275">
                  <c:v>4.3010752688172043E-3</c:v>
                </c:pt>
                <c:pt idx="276">
                  <c:v>4.2857142857142859E-3</c:v>
                </c:pt>
                <c:pt idx="277">
                  <c:v>4.2704626334519576E-3</c:v>
                </c:pt>
                <c:pt idx="278">
                  <c:v>4.2553191489361703E-3</c:v>
                </c:pt>
                <c:pt idx="279">
                  <c:v>4.2402826855123671E-3</c:v>
                </c:pt>
                <c:pt idx="280">
                  <c:v>4.2253521126760568E-3</c:v>
                </c:pt>
                <c:pt idx="281">
                  <c:v>4.2105263157894736E-3</c:v>
                </c:pt>
                <c:pt idx="282">
                  <c:v>4.1958041958041958E-3</c:v>
                </c:pt>
                <c:pt idx="283">
                  <c:v>4.181184668989547E-3</c:v>
                </c:pt>
                <c:pt idx="284">
                  <c:v>4.1666666666666666E-3</c:v>
                </c:pt>
                <c:pt idx="285">
                  <c:v>4.1522491349480963E-3</c:v>
                </c:pt>
                <c:pt idx="286">
                  <c:v>4.1379310344827587E-3</c:v>
                </c:pt>
                <c:pt idx="287">
                  <c:v>4.1237113402061857E-3</c:v>
                </c:pt>
                <c:pt idx="288">
                  <c:v>4.10958904109589E-3</c:v>
                </c:pt>
                <c:pt idx="289">
                  <c:v>4.0955631399317407E-3</c:v>
                </c:pt>
                <c:pt idx="290">
                  <c:v>4.0816326530612249E-3</c:v>
                </c:pt>
                <c:pt idx="291">
                  <c:v>4.0677966101694916E-3</c:v>
                </c:pt>
                <c:pt idx="292">
                  <c:v>4.0540540540540543E-3</c:v>
                </c:pt>
                <c:pt idx="293">
                  <c:v>4.0404040404040404E-3</c:v>
                </c:pt>
                <c:pt idx="294">
                  <c:v>4.0268456375838922E-3</c:v>
                </c:pt>
                <c:pt idx="295">
                  <c:v>4.0133779264214051E-3</c:v>
                </c:pt>
                <c:pt idx="2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87E-A5AA-D064428F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3192"/>
        <c:axId val="487385160"/>
      </c:lineChart>
      <c:catAx>
        <c:axId val="4873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5160"/>
        <c:crosses val="autoZero"/>
        <c:auto val="1"/>
        <c:lblAlgn val="ctr"/>
        <c:lblOffset val="100"/>
        <c:noMultiLvlLbl val="0"/>
      </c:catAx>
      <c:valAx>
        <c:axId val="487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769620</xdr:colOff>
      <xdr:row>14</xdr:row>
      <xdr:rowOff>99060</xdr:rowOff>
    </xdr:from>
    <xdr:to>
      <xdr:col>13</xdr:col>
      <xdr:colOff>586740</xdr:colOff>
      <xdr:row>28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DBEF17-737C-408D-A5A2-B08B41BEF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339340"/>
          <a:ext cx="5974080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15240</xdr:rowOff>
    </xdr:from>
    <xdr:to>
      <xdr:col>10</xdr:col>
      <xdr:colOff>624840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F94D9-4897-410A-8E69-26C0246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" y="15240"/>
          <a:ext cx="5753100" cy="3223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53340</xdr:rowOff>
    </xdr:from>
    <xdr:to>
      <xdr:col>11</xdr:col>
      <xdr:colOff>365760</xdr:colOff>
      <xdr:row>28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C5620-84FF-4E1E-8F0F-349C7179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53340"/>
          <a:ext cx="5966460" cy="447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39</xdr:row>
      <xdr:rowOff>19049</xdr:rowOff>
    </xdr:from>
    <xdr:to>
      <xdr:col>13</xdr:col>
      <xdr:colOff>666750</xdr:colOff>
      <xdr:row>75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445A-7BDD-4059-9F6E-EF4AC544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98</xdr:row>
      <xdr:rowOff>19049</xdr:rowOff>
    </xdr:from>
    <xdr:to>
      <xdr:col>13</xdr:col>
      <xdr:colOff>666750</xdr:colOff>
      <xdr:row>134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F9EE-51E7-459A-BFDF-7D9A2ADF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49F0F-7D21-4D93-B9E5-14BE755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31E8E-B5E8-40F7-8BCA-DDB04331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40</xdr:row>
      <xdr:rowOff>9524</xdr:rowOff>
    </xdr:from>
    <xdr:to>
      <xdr:col>15</xdr:col>
      <xdr:colOff>628651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41EA-B7EC-49C2-92BD-273B2A6D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na, Fabio" id="{21F61F5F-A965-4FB4-BB52-CA861E684224}" userId="S::FJERENA@volvocars.com::f115fc04-4000-48d9-b478-e1f96fdf2fdd" providerId="AD"/>
  <person displayName="Jerena Fabio" id="{D11305B4-231C-4F29-AF03-76B83E4EB1CC}" userId="S::fabio.jerena@afconsult.com::b6f18642-bd85-42f6-b9c3-ab5cf94a4336" providerId="AD"/>
</personList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1-05-12T11:39:44.03" personId="{21F61F5F-A965-4FB4-BB52-CA861E684224}" id="{438AD3AF-65F2-47E1-A7CF-ADA8286056DC}">
    <text>Saturation 3,3V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" dT="2020-06-05T11:22:00.31" personId="{D11305B4-231C-4F29-AF03-76B83E4EB1CC}" id="{AF36E379-23EC-4162-9004-901FAB08FA3B}">
    <text>Existe uma questao de erro mas nao foi contemplada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A4" workbookViewId="0">
      <selection activeCell="B13" sqref="B13"/>
    </sheetView>
  </sheetViews>
  <sheetFormatPr defaultRowHeight="12.6" x14ac:dyDescent="0.2"/>
  <cols>
    <col min="1" max="1" width="10.6328125" bestFit="1" customWidth="1"/>
    <col min="2" max="2" width="29.90625" bestFit="1" customWidth="1"/>
    <col min="3" max="3" width="46.7265625" customWidth="1"/>
    <col min="4" max="4" width="16.36328125" customWidth="1"/>
    <col min="5" max="5" width="30.90625" customWidth="1"/>
  </cols>
  <sheetData>
    <row r="1" spans="1:6" x14ac:dyDescent="0.2">
      <c r="A1" s="1" t="s">
        <v>191</v>
      </c>
      <c r="B1" s="1" t="s">
        <v>0</v>
      </c>
      <c r="C1" s="1" t="s">
        <v>86</v>
      </c>
      <c r="D1" s="1" t="s">
        <v>87</v>
      </c>
      <c r="E1" s="1" t="s">
        <v>88</v>
      </c>
      <c r="F1" s="1" t="s">
        <v>1</v>
      </c>
    </row>
    <row r="2" spans="1:6" ht="88.2" x14ac:dyDescent="0.2">
      <c r="A2" s="30">
        <v>44502</v>
      </c>
      <c r="B2" s="32" t="s">
        <v>259</v>
      </c>
      <c r="C2" s="32" t="s">
        <v>260</v>
      </c>
      <c r="D2" s="49" t="s">
        <v>271</v>
      </c>
      <c r="E2" s="31"/>
      <c r="F2" s="31"/>
    </row>
    <row r="3" spans="1:6" ht="50.4" x14ac:dyDescent="0.2">
      <c r="A3" s="30">
        <v>44502</v>
      </c>
      <c r="B3" s="32" t="s">
        <v>261</v>
      </c>
      <c r="C3" s="32" t="s">
        <v>267</v>
      </c>
      <c r="D3" s="49" t="s">
        <v>268</v>
      </c>
      <c r="E3" s="31"/>
      <c r="F3" s="31"/>
    </row>
    <row r="4" spans="1:6" ht="50.4" x14ac:dyDescent="0.2">
      <c r="A4" s="30">
        <v>44502</v>
      </c>
      <c r="B4" s="32" t="s">
        <v>263</v>
      </c>
      <c r="C4" s="32" t="s">
        <v>262</v>
      </c>
      <c r="D4" s="49"/>
      <c r="E4" s="31"/>
      <c r="F4" s="31"/>
    </row>
    <row r="5" spans="1:6" ht="75.599999999999994" x14ac:dyDescent="0.2">
      <c r="A5" s="30">
        <v>44502</v>
      </c>
      <c r="B5" s="32" t="s">
        <v>264</v>
      </c>
      <c r="C5" s="32" t="s">
        <v>265</v>
      </c>
      <c r="D5" s="49" t="s">
        <v>268</v>
      </c>
      <c r="E5" s="32" t="s">
        <v>276</v>
      </c>
      <c r="F5" s="31"/>
    </row>
    <row r="6" spans="1:6" ht="25.2" x14ac:dyDescent="0.2">
      <c r="A6" s="30">
        <v>44502</v>
      </c>
      <c r="B6" s="32" t="s">
        <v>266</v>
      </c>
      <c r="C6" s="32" t="s">
        <v>275</v>
      </c>
      <c r="D6" s="49"/>
      <c r="E6" s="31"/>
      <c r="F6" s="31"/>
    </row>
    <row r="7" spans="1:6" ht="37.799999999999997" x14ac:dyDescent="0.2">
      <c r="A7" s="30">
        <v>44504</v>
      </c>
      <c r="B7" s="32" t="s">
        <v>269</v>
      </c>
      <c r="C7" s="32" t="s">
        <v>270</v>
      </c>
      <c r="D7" s="49"/>
      <c r="E7" s="31"/>
      <c r="F7" s="31"/>
    </row>
    <row r="8" spans="1:6" ht="37.799999999999997" x14ac:dyDescent="0.2">
      <c r="A8" s="30">
        <v>44504</v>
      </c>
      <c r="B8" s="32" t="s">
        <v>272</v>
      </c>
      <c r="C8" s="32" t="s">
        <v>273</v>
      </c>
      <c r="D8" s="49"/>
      <c r="E8" s="31"/>
      <c r="F8" s="31"/>
    </row>
    <row r="9" spans="1:6" ht="37.799999999999997" x14ac:dyDescent="0.2">
      <c r="A9" s="30">
        <v>44515</v>
      </c>
      <c r="B9" s="32" t="s">
        <v>277</v>
      </c>
      <c r="C9" s="32" t="s">
        <v>278</v>
      </c>
      <c r="D9" s="49"/>
      <c r="E9" s="31"/>
      <c r="F9" s="31"/>
    </row>
    <row r="10" spans="1:6" ht="37.799999999999997" x14ac:dyDescent="0.2">
      <c r="A10" s="30">
        <v>44515</v>
      </c>
      <c r="B10" s="32" t="s">
        <v>279</v>
      </c>
      <c r="C10" s="32" t="s">
        <v>280</v>
      </c>
      <c r="D10" s="49"/>
      <c r="E10" s="31"/>
      <c r="F10" s="31"/>
    </row>
    <row r="11" spans="1:6" ht="63" x14ac:dyDescent="0.2">
      <c r="A11" s="30">
        <v>44515</v>
      </c>
      <c r="B11" s="32" t="s">
        <v>281</v>
      </c>
      <c r="C11" s="32"/>
      <c r="D11" s="49"/>
      <c r="E11" s="31"/>
      <c r="F11" s="31"/>
    </row>
    <row r="12" spans="1:6" ht="37.799999999999997" x14ac:dyDescent="0.2">
      <c r="B12" s="67" t="s">
        <v>283</v>
      </c>
    </row>
    <row r="13" spans="1:6" x14ac:dyDescent="0.2">
      <c r="B13" s="67" t="s">
        <v>282</v>
      </c>
    </row>
    <row r="20" spans="3:3" x14ac:dyDescent="0.2">
      <c r="C20" s="50" t="s">
        <v>274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2D0-247F-44AE-8EE3-CC228AFDD7A5}">
  <dimension ref="A1:C6"/>
  <sheetViews>
    <sheetView workbookViewId="0">
      <selection activeCell="C7" sqref="C7"/>
    </sheetView>
  </sheetViews>
  <sheetFormatPr defaultRowHeight="12.6" x14ac:dyDescent="0.2"/>
  <cols>
    <col min="2" max="2" width="12" bestFit="1" customWidth="1"/>
  </cols>
  <sheetData>
    <row r="1" spans="1:3" x14ac:dyDescent="0.2">
      <c r="A1">
        <v>72000000</v>
      </c>
      <c r="B1">
        <f>1/A1</f>
        <v>1.3888888888888889E-8</v>
      </c>
    </row>
    <row r="2" spans="1:3" x14ac:dyDescent="0.2">
      <c r="A2">
        <v>4047</v>
      </c>
      <c r="B2">
        <f>360-B3</f>
        <v>336.42698295033358</v>
      </c>
      <c r="C2">
        <f>A2*100*B1</f>
        <v>5.6208333333333336E-3</v>
      </c>
    </row>
    <row r="3" spans="1:3" x14ac:dyDescent="0.2">
      <c r="A3">
        <v>265</v>
      </c>
      <c r="B3">
        <f>360*A4</f>
        <v>23.573017049666419</v>
      </c>
      <c r="C3">
        <f>A3*100*B1</f>
        <v>3.6805555555555555E-4</v>
      </c>
    </row>
    <row r="4" spans="1:3" x14ac:dyDescent="0.2">
      <c r="A4">
        <f>A3/A2</f>
        <v>6.5480602915740052E-2</v>
      </c>
      <c r="C4">
        <f>C2+C3</f>
        <v>5.9888888888888891E-3</v>
      </c>
    </row>
    <row r="5" spans="1:3" x14ac:dyDescent="0.2">
      <c r="C5">
        <f>1/C4</f>
        <v>166.97588126159553</v>
      </c>
    </row>
    <row r="6" spans="1:3" x14ac:dyDescent="0.2">
      <c r="C6">
        <f>C5*60</f>
        <v>10018.552875695732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3B3-C4E7-4CAA-A3FB-FB20F973A07C}">
  <dimension ref="A1:R144"/>
  <sheetViews>
    <sheetView workbookViewId="0">
      <selection activeCell="J23" sqref="J23"/>
    </sheetView>
  </sheetViews>
  <sheetFormatPr defaultRowHeight="12.6" x14ac:dyDescent="0.2"/>
  <cols>
    <col min="1" max="1" width="27.08984375" bestFit="1" customWidth="1"/>
    <col min="2" max="2" width="13.7265625" bestFit="1" customWidth="1"/>
    <col min="3" max="3" width="11.90625" bestFit="1" customWidth="1"/>
    <col min="4" max="4" width="21" customWidth="1"/>
    <col min="5" max="5" width="12.36328125" bestFit="1" customWidth="1"/>
    <col min="6" max="6" width="21.453125" bestFit="1" customWidth="1"/>
    <col min="7" max="7" width="14.36328125" bestFit="1" customWidth="1"/>
    <col min="8" max="8" width="14.453125" bestFit="1" customWidth="1"/>
    <col min="9" max="9" width="15.26953125" bestFit="1" customWidth="1"/>
    <col min="10" max="10" width="13" bestFit="1" customWidth="1"/>
    <col min="11" max="11" width="9.08984375" bestFit="1" customWidth="1"/>
    <col min="12" max="12" width="9.453125" bestFit="1" customWidth="1"/>
    <col min="13" max="13" width="14.90625" bestFit="1" customWidth="1"/>
    <col min="14" max="14" width="9.08984375" bestFit="1" customWidth="1"/>
    <col min="15" max="15" width="9.453125" bestFit="1" customWidth="1"/>
    <col min="16" max="16" width="21.36328125" bestFit="1" customWidth="1"/>
    <col min="17" max="17" width="9.08984375" bestFit="1" customWidth="1"/>
    <col min="18" max="18" width="9.45312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973-1083-4E26-A417-7E9A12F552E1}">
  <dimension ref="A1:B129"/>
  <sheetViews>
    <sheetView workbookViewId="0">
      <selection activeCell="B30" sqref="B30"/>
    </sheetView>
  </sheetViews>
  <sheetFormatPr defaultRowHeight="12.6" x14ac:dyDescent="0.2"/>
  <sheetData>
    <row r="1" spans="1:2" x14ac:dyDescent="0.2">
      <c r="A1" s="1">
        <v>0</v>
      </c>
      <c r="B1" s="1">
        <f>Rereengineering!B5</f>
        <v>40</v>
      </c>
    </row>
    <row r="2" spans="1:2" x14ac:dyDescent="0.2">
      <c r="A2" s="1">
        <v>1</v>
      </c>
      <c r="B2" s="1">
        <f>$B$1-(A2*Rereengineering!$B$9)</f>
        <v>39.828125</v>
      </c>
    </row>
    <row r="3" spans="1:2" x14ac:dyDescent="0.2">
      <c r="A3" s="1">
        <v>2</v>
      </c>
      <c r="B3" s="1">
        <f>$B$1-(A3*Rereengineering!$B$9)</f>
        <v>39.65625</v>
      </c>
    </row>
    <row r="4" spans="1:2" x14ac:dyDescent="0.2">
      <c r="A4" s="1">
        <v>3</v>
      </c>
      <c r="B4" s="1">
        <f>$B$1-(A4*Rereengineering!$B$9)</f>
        <v>39.484375</v>
      </c>
    </row>
    <row r="5" spans="1:2" x14ac:dyDescent="0.2">
      <c r="A5" s="1">
        <v>4</v>
      </c>
      <c r="B5" s="1">
        <f>$B$1-(A5*Rereengineering!$B$9)</f>
        <v>39.3125</v>
      </c>
    </row>
    <row r="6" spans="1:2" x14ac:dyDescent="0.2">
      <c r="A6" s="1">
        <v>5</v>
      </c>
      <c r="B6" s="1">
        <f>$B$1-(A6*Rereengineering!$B$9)</f>
        <v>39.140625</v>
      </c>
    </row>
    <row r="7" spans="1:2" x14ac:dyDescent="0.2">
      <c r="A7" s="1">
        <v>6</v>
      </c>
      <c r="B7" s="1">
        <f>$B$1-(A7*Rereengineering!$B$9)</f>
        <v>38.96875</v>
      </c>
    </row>
    <row r="8" spans="1:2" x14ac:dyDescent="0.2">
      <c r="A8" s="1">
        <v>7</v>
      </c>
      <c r="B8" s="1">
        <f>$B$1-(A8*Rereengineering!$B$9)</f>
        <v>38.796875</v>
      </c>
    </row>
    <row r="9" spans="1:2" x14ac:dyDescent="0.2">
      <c r="A9" s="1">
        <v>8</v>
      </c>
      <c r="B9" s="1">
        <f>$B$1-(A9*Rereengineering!$B$9)</f>
        <v>38.625</v>
      </c>
    </row>
    <row r="10" spans="1:2" x14ac:dyDescent="0.2">
      <c r="A10" s="1">
        <v>9</v>
      </c>
      <c r="B10" s="1">
        <f>$B$1-(A10*Rereengineering!$B$9)</f>
        <v>38.453125</v>
      </c>
    </row>
    <row r="11" spans="1:2" x14ac:dyDescent="0.2">
      <c r="A11" s="1">
        <v>10</v>
      </c>
      <c r="B11" s="1">
        <f>$B$1-(A11*Rereengineering!$B$9)</f>
        <v>38.28125</v>
      </c>
    </row>
    <row r="12" spans="1:2" x14ac:dyDescent="0.2">
      <c r="A12" s="1">
        <v>11</v>
      </c>
      <c r="B12" s="1">
        <f>$B$1-(A12*Rereengineering!$B$9)</f>
        <v>38.109375</v>
      </c>
    </row>
    <row r="13" spans="1:2" x14ac:dyDescent="0.2">
      <c r="A13" s="1">
        <v>12</v>
      </c>
      <c r="B13" s="1">
        <f>$B$1-(A13*Rereengineering!$B$9)</f>
        <v>37.9375</v>
      </c>
    </row>
    <row r="14" spans="1:2" x14ac:dyDescent="0.2">
      <c r="A14" s="1">
        <v>13</v>
      </c>
      <c r="B14" s="1">
        <f>$B$1-(A14*Rereengineering!$B$9)</f>
        <v>37.765625</v>
      </c>
    </row>
    <row r="15" spans="1:2" x14ac:dyDescent="0.2">
      <c r="A15" s="1">
        <v>14</v>
      </c>
      <c r="B15" s="1">
        <f>$B$1-(A15*Rereengineering!$B$9)</f>
        <v>37.59375</v>
      </c>
    </row>
    <row r="16" spans="1:2" x14ac:dyDescent="0.2">
      <c r="A16" s="1">
        <v>15</v>
      </c>
      <c r="B16" s="1">
        <f>$B$1-(A16*Rereengineering!$B$9)</f>
        <v>37.421875</v>
      </c>
    </row>
    <row r="17" spans="1:2" x14ac:dyDescent="0.2">
      <c r="A17" s="1">
        <v>16</v>
      </c>
      <c r="B17" s="1">
        <f>$B$1-(A17*Rereengineering!$B$9)</f>
        <v>37.25</v>
      </c>
    </row>
    <row r="18" spans="1:2" x14ac:dyDescent="0.2">
      <c r="A18" s="1">
        <v>17</v>
      </c>
      <c r="B18" s="1">
        <f>$B$1-(A18*Rereengineering!$B$9)</f>
        <v>37.078125</v>
      </c>
    </row>
    <row r="19" spans="1:2" x14ac:dyDescent="0.2">
      <c r="A19" s="1">
        <v>18</v>
      </c>
      <c r="B19" s="1">
        <f>$B$1-(A19*Rereengineering!$B$9)</f>
        <v>36.90625</v>
      </c>
    </row>
    <row r="20" spans="1:2" x14ac:dyDescent="0.2">
      <c r="A20" s="1">
        <v>19</v>
      </c>
      <c r="B20" s="1">
        <f>$B$1-(A20*Rereengineering!$B$9)</f>
        <v>36.734375</v>
      </c>
    </row>
    <row r="21" spans="1:2" x14ac:dyDescent="0.2">
      <c r="A21" s="1">
        <v>20</v>
      </c>
      <c r="B21" s="1">
        <f>$B$1-(A21*Rereengineering!$B$9)</f>
        <v>36.5625</v>
      </c>
    </row>
    <row r="22" spans="1:2" x14ac:dyDescent="0.2">
      <c r="A22" s="1">
        <v>21</v>
      </c>
      <c r="B22" s="1">
        <f>$B$1-(A22*Rereengineering!$B$9)</f>
        <v>36.390625</v>
      </c>
    </row>
    <row r="23" spans="1:2" x14ac:dyDescent="0.2">
      <c r="A23" s="1">
        <v>22</v>
      </c>
      <c r="B23" s="1">
        <f>$B$1-(A23*Rereengineering!$B$9)</f>
        <v>36.21875</v>
      </c>
    </row>
    <row r="24" spans="1:2" x14ac:dyDescent="0.2">
      <c r="A24" s="1">
        <v>23</v>
      </c>
      <c r="B24" s="1">
        <f>$B$1-(A24*Rereengineering!$B$9)</f>
        <v>36.046875</v>
      </c>
    </row>
    <row r="25" spans="1:2" x14ac:dyDescent="0.2">
      <c r="A25" s="1">
        <v>24</v>
      </c>
      <c r="B25" s="1">
        <f>$B$1-(A25*Rereengineering!$B$9)</f>
        <v>35.875</v>
      </c>
    </row>
    <row r="26" spans="1:2" x14ac:dyDescent="0.2">
      <c r="A26" s="1">
        <v>25</v>
      </c>
      <c r="B26" s="1">
        <f>$B$1-(A26*Rereengineering!$B$9)</f>
        <v>35.703125</v>
      </c>
    </row>
    <row r="27" spans="1:2" x14ac:dyDescent="0.2">
      <c r="A27" s="1">
        <v>26</v>
      </c>
      <c r="B27" s="1">
        <f>$B$1-(A27*Rereengineering!$B$9)</f>
        <v>35.53125</v>
      </c>
    </row>
    <row r="28" spans="1:2" x14ac:dyDescent="0.2">
      <c r="A28" s="1">
        <v>27</v>
      </c>
      <c r="B28" s="1">
        <f>$B$1-(A28*Rereengineering!$B$9)</f>
        <v>35.359375</v>
      </c>
    </row>
    <row r="29" spans="1:2" x14ac:dyDescent="0.2">
      <c r="A29" s="1">
        <v>28</v>
      </c>
      <c r="B29" s="1">
        <f>$B$1-(A29*Rereengineering!$B$9)</f>
        <v>35.1875</v>
      </c>
    </row>
    <row r="30" spans="1:2" x14ac:dyDescent="0.2">
      <c r="A30" s="1">
        <v>29</v>
      </c>
      <c r="B30" s="1">
        <f>$B$1-(A30*Rereengineering!$B$9)</f>
        <v>35.015625</v>
      </c>
    </row>
    <row r="31" spans="1:2" x14ac:dyDescent="0.2">
      <c r="A31" s="1">
        <v>30</v>
      </c>
      <c r="B31" s="1">
        <f>$B$1-(A31*Rereengineering!$B$9)</f>
        <v>34.84375</v>
      </c>
    </row>
    <row r="32" spans="1:2" x14ac:dyDescent="0.2">
      <c r="A32" s="1">
        <v>31</v>
      </c>
      <c r="B32" s="1">
        <f>$B$1-(A32*Rereengineering!$B$9)</f>
        <v>34.671875</v>
      </c>
    </row>
    <row r="33" spans="1:2" x14ac:dyDescent="0.2">
      <c r="A33" s="1">
        <v>32</v>
      </c>
      <c r="B33" s="1">
        <f>$B$1-(A33*Rereengineering!$B$9)</f>
        <v>34.5</v>
      </c>
    </row>
    <row r="34" spans="1:2" x14ac:dyDescent="0.2">
      <c r="A34" s="1">
        <v>33</v>
      </c>
      <c r="B34" s="1">
        <f>$B$1-(A34*Rereengineering!$B$9)</f>
        <v>34.328125</v>
      </c>
    </row>
    <row r="35" spans="1:2" x14ac:dyDescent="0.2">
      <c r="A35" s="1">
        <v>34</v>
      </c>
      <c r="B35" s="1">
        <f>$B$1-(A35*Rereengineering!$B$9)</f>
        <v>34.15625</v>
      </c>
    </row>
    <row r="36" spans="1:2" x14ac:dyDescent="0.2">
      <c r="A36" s="1">
        <v>35</v>
      </c>
      <c r="B36" s="1">
        <f>$B$1-(A36*Rereengineering!$B$9)</f>
        <v>33.984375</v>
      </c>
    </row>
    <row r="37" spans="1:2" x14ac:dyDescent="0.2">
      <c r="A37" s="1">
        <v>36</v>
      </c>
      <c r="B37" s="1">
        <f>$B$1-(A37*Rereengineering!$B$9)</f>
        <v>33.8125</v>
      </c>
    </row>
    <row r="38" spans="1:2" x14ac:dyDescent="0.2">
      <c r="A38" s="1">
        <v>37</v>
      </c>
      <c r="B38" s="1">
        <f>$B$1-(A38*Rereengineering!$B$9)</f>
        <v>33.640625</v>
      </c>
    </row>
    <row r="39" spans="1:2" x14ac:dyDescent="0.2">
      <c r="A39" s="1">
        <v>38</v>
      </c>
      <c r="B39" s="1">
        <f>$B$1-(A39*Rereengineering!$B$9)</f>
        <v>33.46875</v>
      </c>
    </row>
    <row r="40" spans="1:2" x14ac:dyDescent="0.2">
      <c r="A40" s="1">
        <v>39</v>
      </c>
      <c r="B40" s="1">
        <f>$B$1-(A40*Rereengineering!$B$9)</f>
        <v>33.296875</v>
      </c>
    </row>
    <row r="41" spans="1:2" x14ac:dyDescent="0.2">
      <c r="A41" s="1">
        <v>40</v>
      </c>
      <c r="B41" s="1">
        <f>$B$1-(A41*Rereengineering!$B$9)</f>
        <v>33.125</v>
      </c>
    </row>
    <row r="42" spans="1:2" x14ac:dyDescent="0.2">
      <c r="A42" s="1">
        <v>41</v>
      </c>
      <c r="B42" s="1">
        <f>$B$1-(A42*Rereengineering!$B$9)</f>
        <v>32.953125</v>
      </c>
    </row>
    <row r="43" spans="1:2" x14ac:dyDescent="0.2">
      <c r="A43" s="1">
        <v>42</v>
      </c>
      <c r="B43" s="1">
        <f>$B$1-(A43*Rereengineering!$B$9)</f>
        <v>32.78125</v>
      </c>
    </row>
    <row r="44" spans="1:2" x14ac:dyDescent="0.2">
      <c r="A44" s="1">
        <v>43</v>
      </c>
      <c r="B44" s="1">
        <f>$B$1-(A44*Rereengineering!$B$9)</f>
        <v>32.609375</v>
      </c>
    </row>
    <row r="45" spans="1:2" x14ac:dyDescent="0.2">
      <c r="A45" s="1">
        <v>44</v>
      </c>
      <c r="B45" s="1">
        <f>$B$1-(A45*Rereengineering!$B$9)</f>
        <v>32.4375</v>
      </c>
    </row>
    <row r="46" spans="1:2" x14ac:dyDescent="0.2">
      <c r="A46" s="1">
        <v>45</v>
      </c>
      <c r="B46" s="1">
        <f>$B$1-(A46*Rereengineering!$B$9)</f>
        <v>32.265625</v>
      </c>
    </row>
    <row r="47" spans="1:2" x14ac:dyDescent="0.2">
      <c r="A47" s="1">
        <v>46</v>
      </c>
      <c r="B47" s="1">
        <f>$B$1-(A47*Rereengineering!$B$9)</f>
        <v>32.09375</v>
      </c>
    </row>
    <row r="48" spans="1:2" x14ac:dyDescent="0.2">
      <c r="A48" s="1">
        <v>47</v>
      </c>
      <c r="B48" s="1">
        <f>$B$1-(A48*Rereengineering!$B$9)</f>
        <v>31.921875</v>
      </c>
    </row>
    <row r="49" spans="1:2" x14ac:dyDescent="0.2">
      <c r="A49" s="1">
        <v>48</v>
      </c>
      <c r="B49" s="1">
        <f>$B$1-(A49*Rereengineering!$B$9)</f>
        <v>31.75</v>
      </c>
    </row>
    <row r="50" spans="1:2" x14ac:dyDescent="0.2">
      <c r="A50" s="1">
        <v>49</v>
      </c>
      <c r="B50" s="1">
        <f>$B$1-(A50*Rereengineering!$B$9)</f>
        <v>31.578125</v>
      </c>
    </row>
    <row r="51" spans="1:2" x14ac:dyDescent="0.2">
      <c r="A51" s="1">
        <v>50</v>
      </c>
      <c r="B51" s="1">
        <f>$B$1-(A51*Rereengineering!$B$9)</f>
        <v>31.40625</v>
      </c>
    </row>
    <row r="52" spans="1:2" x14ac:dyDescent="0.2">
      <c r="A52" s="1">
        <v>51</v>
      </c>
      <c r="B52" s="1">
        <f>$B$1-(A52*Rereengineering!$B$9)</f>
        <v>31.234375</v>
      </c>
    </row>
    <row r="53" spans="1:2" x14ac:dyDescent="0.2">
      <c r="A53" s="1">
        <v>52</v>
      </c>
      <c r="B53" s="1">
        <f>$B$1-(A53*Rereengineering!$B$9)</f>
        <v>31.0625</v>
      </c>
    </row>
    <row r="54" spans="1:2" x14ac:dyDescent="0.2">
      <c r="A54" s="1">
        <v>53</v>
      </c>
      <c r="B54" s="1">
        <f>$B$1-(A54*Rereengineering!$B$9)</f>
        <v>30.890625</v>
      </c>
    </row>
    <row r="55" spans="1:2" x14ac:dyDescent="0.2">
      <c r="A55" s="1">
        <v>54</v>
      </c>
      <c r="B55" s="1">
        <f>$B$1-(A55*Rereengineering!$B$9)</f>
        <v>30.71875</v>
      </c>
    </row>
    <row r="56" spans="1:2" x14ac:dyDescent="0.2">
      <c r="A56" s="1">
        <v>55</v>
      </c>
      <c r="B56" s="1">
        <f>$B$1-(A56*Rereengineering!$B$9)</f>
        <v>30.546875</v>
      </c>
    </row>
    <row r="57" spans="1:2" x14ac:dyDescent="0.2">
      <c r="A57" s="1">
        <v>56</v>
      </c>
      <c r="B57" s="1">
        <f>$B$1-(A57*Rereengineering!$B$9)</f>
        <v>30.375</v>
      </c>
    </row>
    <row r="58" spans="1:2" x14ac:dyDescent="0.2">
      <c r="A58" s="1">
        <v>57</v>
      </c>
      <c r="B58" s="1">
        <f>$B$1-(A58*Rereengineering!$B$9)</f>
        <v>30.203125</v>
      </c>
    </row>
    <row r="59" spans="1:2" x14ac:dyDescent="0.2">
      <c r="A59" s="1">
        <v>58</v>
      </c>
      <c r="B59" s="1">
        <f>$B$1-(A59*Rereengineering!$B$9)</f>
        <v>30.03125</v>
      </c>
    </row>
    <row r="60" spans="1:2" x14ac:dyDescent="0.2">
      <c r="A60" s="1">
        <v>59</v>
      </c>
      <c r="B60" s="1">
        <f>$B$1-(A60*Rereengineering!$B$9)</f>
        <v>29.859375</v>
      </c>
    </row>
    <row r="61" spans="1:2" x14ac:dyDescent="0.2">
      <c r="A61" s="1">
        <v>60</v>
      </c>
      <c r="B61" s="1">
        <f>$B$1-(A61*Rereengineering!$B$9)</f>
        <v>29.6875</v>
      </c>
    </row>
    <row r="62" spans="1:2" x14ac:dyDescent="0.2">
      <c r="A62" s="1">
        <v>61</v>
      </c>
      <c r="B62" s="1">
        <f>$B$1-(A62*Rereengineering!$B$9)</f>
        <v>29.515625</v>
      </c>
    </row>
    <row r="63" spans="1:2" x14ac:dyDescent="0.2">
      <c r="A63" s="1">
        <v>62</v>
      </c>
      <c r="B63" s="1">
        <f>$B$1-(A63*Rereengineering!$B$9)</f>
        <v>29.34375</v>
      </c>
    </row>
    <row r="64" spans="1:2" x14ac:dyDescent="0.2">
      <c r="A64" s="1">
        <v>63</v>
      </c>
      <c r="B64" s="1">
        <f>$B$1-(A64*Rereengineering!$B$9)</f>
        <v>29.171875</v>
      </c>
    </row>
    <row r="65" spans="1:2" x14ac:dyDescent="0.2">
      <c r="A65" s="1">
        <v>64</v>
      </c>
      <c r="B65" s="1">
        <f>$B$1-(A65*Rereengineering!$B$9)</f>
        <v>29</v>
      </c>
    </row>
    <row r="66" spans="1:2" x14ac:dyDescent="0.2">
      <c r="A66" s="1">
        <v>65</v>
      </c>
      <c r="B66" s="1">
        <f>$B$1-(A66*Rereengineering!$B$9)</f>
        <v>28.828125</v>
      </c>
    </row>
    <row r="67" spans="1:2" x14ac:dyDescent="0.2">
      <c r="A67" s="1">
        <v>66</v>
      </c>
      <c r="B67" s="1">
        <f>$B$1-(A67*Rereengineering!$B$9)</f>
        <v>28.65625</v>
      </c>
    </row>
    <row r="68" spans="1:2" x14ac:dyDescent="0.2">
      <c r="A68" s="1">
        <v>67</v>
      </c>
      <c r="B68" s="1">
        <f>$B$1-(A68*Rereengineering!$B$9)</f>
        <v>28.484375</v>
      </c>
    </row>
    <row r="69" spans="1:2" x14ac:dyDescent="0.2">
      <c r="A69" s="1">
        <v>68</v>
      </c>
      <c r="B69" s="1">
        <f>$B$1-(A69*Rereengineering!$B$9)</f>
        <v>28.3125</v>
      </c>
    </row>
    <row r="70" spans="1:2" x14ac:dyDescent="0.2">
      <c r="A70" s="1">
        <v>69</v>
      </c>
      <c r="B70" s="1">
        <f>$B$1-(A70*Rereengineering!$B$9)</f>
        <v>28.140625</v>
      </c>
    </row>
    <row r="71" spans="1:2" x14ac:dyDescent="0.2">
      <c r="A71" s="1">
        <v>70</v>
      </c>
      <c r="B71" s="1">
        <f>$B$1-(A71*Rereengineering!$B$9)</f>
        <v>27.96875</v>
      </c>
    </row>
    <row r="72" spans="1:2" x14ac:dyDescent="0.2">
      <c r="A72" s="1">
        <v>71</v>
      </c>
      <c r="B72" s="1">
        <f>$B$1-(A72*Rereengineering!$B$9)</f>
        <v>27.796875</v>
      </c>
    </row>
    <row r="73" spans="1:2" x14ac:dyDescent="0.2">
      <c r="A73" s="1">
        <v>72</v>
      </c>
      <c r="B73" s="1">
        <f>$B$1-(A73*Rereengineering!$B$9)</f>
        <v>27.625</v>
      </c>
    </row>
    <row r="74" spans="1:2" x14ac:dyDescent="0.2">
      <c r="A74" s="1">
        <v>73</v>
      </c>
      <c r="B74" s="1">
        <f>$B$1-(A74*Rereengineering!$B$9)</f>
        <v>27.453125</v>
      </c>
    </row>
    <row r="75" spans="1:2" x14ac:dyDescent="0.2">
      <c r="A75" s="1">
        <v>74</v>
      </c>
      <c r="B75" s="1">
        <f>$B$1-(A75*Rereengineering!$B$9)</f>
        <v>27.28125</v>
      </c>
    </row>
    <row r="76" spans="1:2" x14ac:dyDescent="0.2">
      <c r="A76" s="1">
        <v>75</v>
      </c>
      <c r="B76" s="1">
        <f>$B$1-(A76*Rereengineering!$B$9)</f>
        <v>27.109375</v>
      </c>
    </row>
    <row r="77" spans="1:2" x14ac:dyDescent="0.2">
      <c r="A77" s="1">
        <v>76</v>
      </c>
      <c r="B77" s="1">
        <f>$B$1-(A77*Rereengineering!$B$9)</f>
        <v>26.9375</v>
      </c>
    </row>
    <row r="78" spans="1:2" x14ac:dyDescent="0.2">
      <c r="A78" s="1">
        <v>77</v>
      </c>
      <c r="B78" s="1">
        <f>$B$1-(A78*Rereengineering!$B$9)</f>
        <v>26.765625</v>
      </c>
    </row>
    <row r="79" spans="1:2" x14ac:dyDescent="0.2">
      <c r="A79" s="1">
        <v>78</v>
      </c>
      <c r="B79" s="1">
        <f>$B$1-(A79*Rereengineering!$B$9)</f>
        <v>26.59375</v>
      </c>
    </row>
    <row r="80" spans="1:2" x14ac:dyDescent="0.2">
      <c r="A80" s="1">
        <v>79</v>
      </c>
      <c r="B80" s="1">
        <f>$B$1-(A80*Rereengineering!$B$9)</f>
        <v>26.421875</v>
      </c>
    </row>
    <row r="81" spans="1:2" x14ac:dyDescent="0.2">
      <c r="A81" s="1">
        <v>80</v>
      </c>
      <c r="B81" s="1">
        <f>$B$1-(A81*Rereengineering!$B$9)</f>
        <v>26.25</v>
      </c>
    </row>
    <row r="82" spans="1:2" x14ac:dyDescent="0.2">
      <c r="A82" s="1">
        <v>81</v>
      </c>
      <c r="B82" s="1">
        <f>$B$1-(A82*Rereengineering!$B$9)</f>
        <v>26.078125</v>
      </c>
    </row>
    <row r="83" spans="1:2" x14ac:dyDescent="0.2">
      <c r="A83" s="1">
        <v>82</v>
      </c>
      <c r="B83" s="1">
        <f>$B$1-(A83*Rereengineering!$B$9)</f>
        <v>25.90625</v>
      </c>
    </row>
    <row r="84" spans="1:2" x14ac:dyDescent="0.2">
      <c r="A84" s="1">
        <v>83</v>
      </c>
      <c r="B84" s="1">
        <f>$B$1-(A84*Rereengineering!$B$9)</f>
        <v>25.734375</v>
      </c>
    </row>
    <row r="85" spans="1:2" x14ac:dyDescent="0.2">
      <c r="A85" s="1">
        <v>84</v>
      </c>
      <c r="B85" s="1">
        <f>$B$1-(A85*Rereengineering!$B$9)</f>
        <v>25.5625</v>
      </c>
    </row>
    <row r="86" spans="1:2" x14ac:dyDescent="0.2">
      <c r="A86" s="1">
        <v>85</v>
      </c>
      <c r="B86" s="1">
        <f>$B$1-(A86*Rereengineering!$B$9)</f>
        <v>25.390625</v>
      </c>
    </row>
    <row r="87" spans="1:2" x14ac:dyDescent="0.2">
      <c r="A87" s="1">
        <v>86</v>
      </c>
      <c r="B87" s="1">
        <f>$B$1-(A87*Rereengineering!$B$9)</f>
        <v>25.21875</v>
      </c>
    </row>
    <row r="88" spans="1:2" x14ac:dyDescent="0.2">
      <c r="A88" s="1">
        <v>87</v>
      </c>
      <c r="B88" s="1">
        <f>$B$1-(A88*Rereengineering!$B$9)</f>
        <v>25.046875</v>
      </c>
    </row>
    <row r="89" spans="1:2" x14ac:dyDescent="0.2">
      <c r="A89" s="1">
        <v>88</v>
      </c>
      <c r="B89" s="1">
        <f>$B$1-(A89*Rereengineering!$B$9)</f>
        <v>24.875</v>
      </c>
    </row>
    <row r="90" spans="1:2" x14ac:dyDescent="0.2">
      <c r="A90" s="1">
        <v>89</v>
      </c>
      <c r="B90" s="1">
        <f>$B$1-(A90*Rereengineering!$B$9)</f>
        <v>24.703125</v>
      </c>
    </row>
    <row r="91" spans="1:2" x14ac:dyDescent="0.2">
      <c r="A91" s="1">
        <v>90</v>
      </c>
      <c r="B91" s="1">
        <f>$B$1-(A91*Rereengineering!$B$9)</f>
        <v>24.53125</v>
      </c>
    </row>
    <row r="92" spans="1:2" x14ac:dyDescent="0.2">
      <c r="A92" s="1">
        <v>91</v>
      </c>
      <c r="B92" s="1">
        <f>$B$1-(A92*Rereengineering!$B$9)</f>
        <v>24.359375</v>
      </c>
    </row>
    <row r="93" spans="1:2" x14ac:dyDescent="0.2">
      <c r="A93" s="1">
        <v>92</v>
      </c>
      <c r="B93" s="1">
        <f>$B$1-(A93*Rereengineering!$B$9)</f>
        <v>24.1875</v>
      </c>
    </row>
    <row r="94" spans="1:2" x14ac:dyDescent="0.2">
      <c r="A94" s="1">
        <v>93</v>
      </c>
      <c r="B94" s="1">
        <f>$B$1-(A94*Rereengineering!$B$9)</f>
        <v>24.015625</v>
      </c>
    </row>
    <row r="95" spans="1:2" x14ac:dyDescent="0.2">
      <c r="A95" s="1">
        <v>94</v>
      </c>
      <c r="B95" s="1">
        <f>$B$1-(A95*Rereengineering!$B$9)</f>
        <v>23.84375</v>
      </c>
    </row>
    <row r="96" spans="1:2" x14ac:dyDescent="0.2">
      <c r="A96" s="1">
        <v>95</v>
      </c>
      <c r="B96" s="1">
        <f>$B$1-(A96*Rereengineering!$B$9)</f>
        <v>23.671875</v>
      </c>
    </row>
    <row r="97" spans="1:2" x14ac:dyDescent="0.2">
      <c r="A97" s="1">
        <v>96</v>
      </c>
      <c r="B97" s="1">
        <f>$B$1-(A97*Rereengineering!$B$9)</f>
        <v>23.5</v>
      </c>
    </row>
    <row r="98" spans="1:2" x14ac:dyDescent="0.2">
      <c r="A98" s="1">
        <v>97</v>
      </c>
      <c r="B98" s="1">
        <f>$B$1-(A98*Rereengineering!$B$9)</f>
        <v>23.328125</v>
      </c>
    </row>
    <row r="99" spans="1:2" x14ac:dyDescent="0.2">
      <c r="A99" s="1">
        <v>98</v>
      </c>
      <c r="B99" s="1">
        <f>$B$1-(A99*Rereengineering!$B$9)</f>
        <v>23.15625</v>
      </c>
    </row>
    <row r="100" spans="1:2" x14ac:dyDescent="0.2">
      <c r="A100" s="1">
        <v>99</v>
      </c>
      <c r="B100" s="1">
        <f>$B$1-(A100*Rereengineering!$B$9)</f>
        <v>22.984375</v>
      </c>
    </row>
    <row r="101" spans="1:2" x14ac:dyDescent="0.2">
      <c r="A101" s="1">
        <v>100</v>
      </c>
      <c r="B101" s="1">
        <f>$B$1-(A101*Rereengineering!$B$9)</f>
        <v>22.8125</v>
      </c>
    </row>
    <row r="102" spans="1:2" x14ac:dyDescent="0.2">
      <c r="A102" s="1">
        <v>101</v>
      </c>
      <c r="B102" s="1">
        <f>$B$1-(A102*Rereengineering!$B$9)</f>
        <v>22.640625</v>
      </c>
    </row>
    <row r="103" spans="1:2" x14ac:dyDescent="0.2">
      <c r="A103" s="1">
        <v>102</v>
      </c>
      <c r="B103" s="1">
        <f>$B$1-(A103*Rereengineering!$B$9)</f>
        <v>22.46875</v>
      </c>
    </row>
    <row r="104" spans="1:2" x14ac:dyDescent="0.2">
      <c r="A104" s="1">
        <v>103</v>
      </c>
      <c r="B104" s="1">
        <f>$B$1-(A104*Rereengineering!$B$9)</f>
        <v>22.296875</v>
      </c>
    </row>
    <row r="105" spans="1:2" x14ac:dyDescent="0.2">
      <c r="A105" s="1">
        <v>104</v>
      </c>
      <c r="B105" s="1">
        <f>$B$1-(A105*Rereengineering!$B$9)</f>
        <v>22.125</v>
      </c>
    </row>
    <row r="106" spans="1:2" x14ac:dyDescent="0.2">
      <c r="A106" s="1">
        <v>105</v>
      </c>
      <c r="B106" s="1">
        <f>$B$1-(A106*Rereengineering!$B$9)</f>
        <v>21.953125</v>
      </c>
    </row>
    <row r="107" spans="1:2" x14ac:dyDescent="0.2">
      <c r="A107" s="1">
        <v>106</v>
      </c>
      <c r="B107" s="1">
        <f>$B$1-(A107*Rereengineering!$B$9)</f>
        <v>21.78125</v>
      </c>
    </row>
    <row r="108" spans="1:2" x14ac:dyDescent="0.2">
      <c r="A108" s="1">
        <v>107</v>
      </c>
      <c r="B108" s="1">
        <f>$B$1-(A108*Rereengineering!$B$9)</f>
        <v>21.609375</v>
      </c>
    </row>
    <row r="109" spans="1:2" x14ac:dyDescent="0.2">
      <c r="A109" s="1">
        <v>108</v>
      </c>
      <c r="B109" s="1">
        <f>$B$1-(A109*Rereengineering!$B$9)</f>
        <v>21.4375</v>
      </c>
    </row>
    <row r="110" spans="1:2" x14ac:dyDescent="0.2">
      <c r="A110" s="1">
        <v>109</v>
      </c>
      <c r="B110" s="1">
        <f>$B$1-(A110*Rereengineering!$B$9)</f>
        <v>21.265625</v>
      </c>
    </row>
    <row r="111" spans="1:2" x14ac:dyDescent="0.2">
      <c r="A111" s="1">
        <v>110</v>
      </c>
      <c r="B111" s="1">
        <f>$B$1-(A111*Rereengineering!$B$9)</f>
        <v>21.09375</v>
      </c>
    </row>
    <row r="112" spans="1:2" x14ac:dyDescent="0.2">
      <c r="A112" s="1">
        <v>111</v>
      </c>
      <c r="B112" s="1">
        <f>$B$1-(A112*Rereengineering!$B$9)</f>
        <v>20.921875</v>
      </c>
    </row>
    <row r="113" spans="1:2" x14ac:dyDescent="0.2">
      <c r="A113" s="1">
        <v>112</v>
      </c>
      <c r="B113" s="1">
        <f>$B$1-(A113*Rereengineering!$B$9)</f>
        <v>20.75</v>
      </c>
    </row>
    <row r="114" spans="1:2" x14ac:dyDescent="0.2">
      <c r="A114" s="1">
        <v>113</v>
      </c>
      <c r="B114" s="1">
        <f>$B$1-(A114*Rereengineering!$B$9)</f>
        <v>20.578125</v>
      </c>
    </row>
    <row r="115" spans="1:2" x14ac:dyDescent="0.2">
      <c r="A115" s="1">
        <v>114</v>
      </c>
      <c r="B115" s="1">
        <f>$B$1-(A115*Rereengineering!$B$9)</f>
        <v>20.40625</v>
      </c>
    </row>
    <row r="116" spans="1:2" x14ac:dyDescent="0.2">
      <c r="A116" s="1">
        <v>115</v>
      </c>
      <c r="B116" s="1">
        <f>$B$1-(A116*Rereengineering!$B$9)</f>
        <v>20.234375</v>
      </c>
    </row>
    <row r="117" spans="1:2" x14ac:dyDescent="0.2">
      <c r="A117" s="1">
        <v>116</v>
      </c>
      <c r="B117" s="1">
        <f>$B$1-(A117*Rereengineering!$B$9)</f>
        <v>20.0625</v>
      </c>
    </row>
    <row r="118" spans="1:2" x14ac:dyDescent="0.2">
      <c r="A118" s="1">
        <v>117</v>
      </c>
      <c r="B118" s="1">
        <f>$B$1-(A118*Rereengineering!$B$9)</f>
        <v>19.890625</v>
      </c>
    </row>
    <row r="119" spans="1:2" x14ac:dyDescent="0.2">
      <c r="A119" s="1">
        <v>118</v>
      </c>
      <c r="B119" s="1">
        <f>$B$1-(A119*Rereengineering!$B$9)</f>
        <v>19.71875</v>
      </c>
    </row>
    <row r="120" spans="1:2" x14ac:dyDescent="0.2">
      <c r="A120" s="1">
        <v>119</v>
      </c>
      <c r="B120" s="1">
        <f>$B$1-(A120*Rereengineering!$B$9)</f>
        <v>19.546875</v>
      </c>
    </row>
    <row r="121" spans="1:2" x14ac:dyDescent="0.2">
      <c r="A121" s="1">
        <v>120</v>
      </c>
      <c r="B121" s="1">
        <f>$B$1-(A121*Rereengineering!$B$9)</f>
        <v>19.375</v>
      </c>
    </row>
    <row r="122" spans="1:2" x14ac:dyDescent="0.2">
      <c r="A122" s="1">
        <v>121</v>
      </c>
      <c r="B122" s="1">
        <f>$B$1-(A122*Rereengineering!$B$9)</f>
        <v>19.203125</v>
      </c>
    </row>
    <row r="123" spans="1:2" x14ac:dyDescent="0.2">
      <c r="A123" s="1">
        <v>122</v>
      </c>
      <c r="B123" s="1">
        <f>$B$1-(A123*Rereengineering!$B$9)</f>
        <v>19.03125</v>
      </c>
    </row>
    <row r="124" spans="1:2" x14ac:dyDescent="0.2">
      <c r="A124" s="1">
        <v>123</v>
      </c>
      <c r="B124" s="1">
        <f>$B$1-(A124*Rereengineering!$B$9)</f>
        <v>18.859375</v>
      </c>
    </row>
    <row r="125" spans="1:2" x14ac:dyDescent="0.2">
      <c r="A125" s="1">
        <v>124</v>
      </c>
      <c r="B125" s="1">
        <f>$B$1-(A125*Rereengineering!$B$9)</f>
        <v>18.6875</v>
      </c>
    </row>
    <row r="126" spans="1:2" x14ac:dyDescent="0.2">
      <c r="A126" s="1">
        <v>125</v>
      </c>
      <c r="B126" s="1">
        <f>$B$1-(A126*Rereengineering!$B$9)</f>
        <v>18.515625</v>
      </c>
    </row>
    <row r="127" spans="1:2" x14ac:dyDescent="0.2">
      <c r="A127" s="1">
        <v>126</v>
      </c>
      <c r="B127" s="1">
        <f>$B$1-(A127*Rereengineering!$B$9)</f>
        <v>18.34375</v>
      </c>
    </row>
    <row r="128" spans="1:2" x14ac:dyDescent="0.2">
      <c r="A128" s="1">
        <v>127</v>
      </c>
      <c r="B128" s="1">
        <f>$B$1-(A128*Rereengineering!$B$9)</f>
        <v>18.171875</v>
      </c>
    </row>
    <row r="129" spans="1:2" x14ac:dyDescent="0.2">
      <c r="A129" s="1">
        <v>128</v>
      </c>
      <c r="B129" s="1">
        <f>$B$1-(A129*Rereengineering!$B$9)</f>
        <v>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B751-80B6-43EE-89ED-CA81E5E37AAD}">
  <dimension ref="A1:R144"/>
  <sheetViews>
    <sheetView workbookViewId="0">
      <selection sqref="A1:B12"/>
    </sheetView>
  </sheetViews>
  <sheetFormatPr defaultRowHeight="12.6" x14ac:dyDescent="0.2"/>
  <cols>
    <col min="1" max="1" width="27.08984375" bestFit="1" customWidth="1"/>
    <col min="2" max="2" width="13.7265625" bestFit="1" customWidth="1"/>
    <col min="3" max="3" width="11.90625" bestFit="1" customWidth="1"/>
    <col min="4" max="4" width="21" customWidth="1"/>
    <col min="5" max="5" width="12.36328125" bestFit="1" customWidth="1"/>
    <col min="6" max="6" width="21.453125" bestFit="1" customWidth="1"/>
    <col min="7" max="7" width="14.36328125" bestFit="1" customWidth="1"/>
    <col min="8" max="8" width="14.453125" bestFit="1" customWidth="1"/>
    <col min="9" max="9" width="15.26953125" bestFit="1" customWidth="1"/>
    <col min="10" max="10" width="13" bestFit="1" customWidth="1"/>
    <col min="11" max="11" width="9.08984375" bestFit="1" customWidth="1"/>
    <col min="12" max="12" width="9.453125" bestFit="1" customWidth="1"/>
    <col min="13" max="13" width="14.90625" bestFit="1" customWidth="1"/>
    <col min="14" max="14" width="9.08984375" bestFit="1" customWidth="1"/>
    <col min="15" max="15" width="9.453125" bestFit="1" customWidth="1"/>
    <col min="16" max="16" width="21.36328125" bestFit="1" customWidth="1"/>
    <col min="17" max="17" width="9.08984375" bestFit="1" customWidth="1"/>
    <col min="18" max="18" width="9.45312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003-6413-444B-8048-749A3A5C1139}">
  <dimension ref="A1:AR30"/>
  <sheetViews>
    <sheetView workbookViewId="0">
      <selection sqref="A1:XFD1048576"/>
    </sheetView>
  </sheetViews>
  <sheetFormatPr defaultRowHeight="12.6" x14ac:dyDescent="0.2"/>
  <cols>
    <col min="1" max="1" width="27.08984375" bestFit="1" customWidth="1"/>
    <col min="2" max="2" width="12" bestFit="1" customWidth="1"/>
    <col min="9" max="9" width="9.90625" bestFit="1" customWidth="1"/>
    <col min="11" max="11" width="17.36328125" bestFit="1" customWidth="1"/>
    <col min="18" max="18" width="11.90625" bestFit="1" customWidth="1"/>
    <col min="20" max="20" width="12" bestFit="1" customWidth="1"/>
    <col min="23" max="23" width="11.9062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2" t="s">
        <v>163</v>
      </c>
      <c r="M1" s="53"/>
      <c r="N1" s="53"/>
      <c r="O1" s="53"/>
      <c r="P1" s="54"/>
      <c r="Q1" s="55" t="s">
        <v>170</v>
      </c>
      <c r="R1" s="56"/>
      <c r="S1" s="56"/>
      <c r="T1" s="56"/>
      <c r="U1" s="57"/>
      <c r="V1" s="58" t="s">
        <v>167</v>
      </c>
      <c r="W1" s="59"/>
      <c r="X1" s="59"/>
      <c r="Y1" s="59"/>
      <c r="Z1" s="60"/>
      <c r="AA1" s="61" t="s">
        <v>177</v>
      </c>
      <c r="AB1" s="62"/>
      <c r="AC1" s="62"/>
      <c r="AD1" s="62"/>
      <c r="AE1" s="62"/>
      <c r="AF1" s="63"/>
      <c r="AG1" s="55" t="s">
        <v>174</v>
      </c>
      <c r="AH1" s="56"/>
      <c r="AI1" s="56"/>
      <c r="AJ1" s="56"/>
      <c r="AK1" s="56"/>
      <c r="AL1" s="57"/>
      <c r="AM1" s="64" t="s">
        <v>172</v>
      </c>
      <c r="AN1" s="65"/>
      <c r="AO1" s="65"/>
      <c r="AP1" s="65"/>
      <c r="AQ1" s="65"/>
      <c r="AR1" s="66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103</v>
      </c>
      <c r="P3" s="17">
        <f>(M3/B3)-(O3*2^16)</f>
        <v>31581.638932495378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3</v>
      </c>
      <c r="U3" s="20">
        <f>(R3/B3)-(T3*2^16)</f>
        <v>12245.014252339286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6</v>
      </c>
      <c r="Z3" s="18">
        <f>(V3/B3)-(Y3*2^16)</f>
        <v>21226.70015698584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4</v>
      </c>
      <c r="AF3" s="22">
        <f>(AC3/B3)-(AE3*2^16)</f>
        <v>54709.014252339257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5</v>
      </c>
      <c r="AL3" s="20">
        <f>(AI3/B3)-(AK3*2^16)</f>
        <v>61173.014252339257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8</v>
      </c>
      <c r="AR3" s="24">
        <f>(AO3/B3)-(AQ3*2^16)</f>
        <v>8565.0142523392569</v>
      </c>
    </row>
    <row r="4" spans="1:44" x14ac:dyDescent="0.2">
      <c r="A4" s="13" t="s">
        <v>144</v>
      </c>
      <c r="B4" s="1">
        <v>1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  <c r="E5">
        <f>0.00007/B3</f>
        <v>5040</v>
      </c>
    </row>
    <row r="6" spans="1:44" x14ac:dyDescent="0.2">
      <c r="A6" s="13" t="s">
        <v>136</v>
      </c>
      <c r="B6" s="1">
        <v>18</v>
      </c>
      <c r="N6">
        <v>6778539</v>
      </c>
    </row>
    <row r="7" spans="1:44" x14ac:dyDescent="0.2">
      <c r="A7" s="13" t="s">
        <v>145</v>
      </c>
      <c r="B7" s="1">
        <f>B5-B6</f>
        <v>22</v>
      </c>
      <c r="N7">
        <f>N6*B3</f>
        <v>9.4146375000000004E-2</v>
      </c>
    </row>
    <row r="8" spans="1:44" x14ac:dyDescent="0.2">
      <c r="A8" s="13" t="s">
        <v>146</v>
      </c>
      <c r="B8" s="1">
        <v>127</v>
      </c>
      <c r="N8">
        <f>(1/N7)*60</f>
        <v>637.30547246242872</v>
      </c>
    </row>
    <row r="9" spans="1:44" x14ac:dyDescent="0.2">
      <c r="A9" s="13" t="s">
        <v>149</v>
      </c>
      <c r="B9" s="1">
        <f>B7/B8</f>
        <v>0.17322834645669291</v>
      </c>
      <c r="G9">
        <f>375/2</f>
        <v>187.5</v>
      </c>
      <c r="AA9">
        <v>9.35E-2</v>
      </c>
    </row>
    <row r="10" spans="1:44" x14ac:dyDescent="0.2">
      <c r="A10" s="13" t="s">
        <v>148</v>
      </c>
      <c r="B10" s="1">
        <f>Sheet3!B65</f>
        <v>29</v>
      </c>
      <c r="R10" s="28">
        <f>R3</f>
        <v>2.9007363090602679E-3</v>
      </c>
      <c r="T10">
        <f>3*65536</f>
        <v>196608</v>
      </c>
      <c r="U10">
        <v>763</v>
      </c>
      <c r="AA10">
        <f>1/AA9</f>
        <v>10.695187165775401</v>
      </c>
    </row>
    <row r="11" spans="1:44" x14ac:dyDescent="0.2">
      <c r="A11" s="13" t="s">
        <v>147</v>
      </c>
      <c r="B11" s="1">
        <f>(B5-B10)/B9</f>
        <v>63.5</v>
      </c>
      <c r="U11">
        <f>T10+U10</f>
        <v>197371</v>
      </c>
      <c r="AA11">
        <f>AA10*60</f>
        <v>641.7112299465241</v>
      </c>
    </row>
    <row r="12" spans="1:44" x14ac:dyDescent="0.2">
      <c r="A12" s="14" t="s">
        <v>150</v>
      </c>
      <c r="B12" s="1">
        <f>0.0015</f>
        <v>1.5E-3</v>
      </c>
      <c r="U12">
        <f>U11*B3</f>
        <v>2.741263888888889E-3</v>
      </c>
    </row>
    <row r="13" spans="1:44" x14ac:dyDescent="0.2">
      <c r="A13" s="14" t="s">
        <v>165</v>
      </c>
      <c r="B13" s="2">
        <f>2^16*B3</f>
        <v>9.1022222222222221E-4</v>
      </c>
      <c r="U13">
        <f>T10+U3</f>
        <v>208853.01425233929</v>
      </c>
    </row>
    <row r="14" spans="1:44" x14ac:dyDescent="0.2">
      <c r="U14">
        <f>U13*B3</f>
        <v>2.9007363090602679E-3</v>
      </c>
      <c r="AO14">
        <f>U3-AR3</f>
        <v>3680.0000000000291</v>
      </c>
    </row>
    <row r="15" spans="1:44" x14ac:dyDescent="0.2">
      <c r="B15">
        <f>2^16</f>
        <v>65536</v>
      </c>
      <c r="L15">
        <f>0.01</f>
        <v>0.01</v>
      </c>
      <c r="X15">
        <f>2^7</f>
        <v>128</v>
      </c>
      <c r="AO15">
        <f>AO14*B3</f>
        <v>5.1111111111111515E-5</v>
      </c>
    </row>
    <row r="16" spans="1:44" x14ac:dyDescent="0.2">
      <c r="L16">
        <v>6.3100000000000005E-4</v>
      </c>
      <c r="AO16">
        <f>0.0019+AO15</f>
        <v>1.9511111111111116E-3</v>
      </c>
    </row>
    <row r="17" spans="1:27" x14ac:dyDescent="0.2">
      <c r="L17">
        <f>L16/L15</f>
        <v>6.3100000000000003E-2</v>
      </c>
    </row>
    <row r="18" spans="1:27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161</v>
      </c>
      <c r="F18" s="2"/>
      <c r="G18" s="1" t="s">
        <v>181</v>
      </c>
      <c r="H18" s="2"/>
      <c r="L18">
        <f>360*L17</f>
        <v>22.716000000000001</v>
      </c>
    </row>
    <row r="19" spans="1:27" x14ac:dyDescent="0.2">
      <c r="A19" s="1">
        <v>650</v>
      </c>
      <c r="B19" s="1">
        <f>A19/60</f>
        <v>10.833333333333334</v>
      </c>
      <c r="C19" s="1">
        <f>1/B19</f>
        <v>9.2307692307692299E-2</v>
      </c>
      <c r="D19" s="26">
        <f>C19/(100*$B$3)</f>
        <v>66461.538461538454</v>
      </c>
      <c r="E19" s="26">
        <f>($B$7/360)*D19</f>
        <v>4061.538461538461</v>
      </c>
      <c r="F19" s="27">
        <f>65535-E19</f>
        <v>61473.461538461539</v>
      </c>
      <c r="G19" s="26">
        <f>(338/360)*D19</f>
        <v>62399.999999999993</v>
      </c>
      <c r="H19" s="27">
        <f>65535-G19</f>
        <v>3135.0000000000073</v>
      </c>
      <c r="I19">
        <v>0</v>
      </c>
      <c r="V19" t="s">
        <v>186</v>
      </c>
      <c r="W19">
        <f>R3+AA3</f>
        <v>4.4007363090602675E-3</v>
      </c>
    </row>
    <row r="20" spans="1:27" x14ac:dyDescent="0.2">
      <c r="A20" s="1">
        <v>800</v>
      </c>
      <c r="B20" s="1">
        <f t="shared" ref="B20:B30" si="0">A20/60</f>
        <v>13.333333333333334</v>
      </c>
      <c r="C20" s="1">
        <f t="shared" ref="C20:C30" si="1">1/B20</f>
        <v>7.4999999999999997E-2</v>
      </c>
      <c r="D20" s="26">
        <f t="shared" ref="D20:D30" si="2">C20/(100*$B$3)</f>
        <v>53999.999999999993</v>
      </c>
      <c r="E20" s="26">
        <f t="shared" ref="E20:E30" si="3">($B$7/360)*D20</f>
        <v>3299.9999999999995</v>
      </c>
      <c r="F20" s="27">
        <f t="shared" ref="F20:F30" si="4">65535-E20</f>
        <v>62235</v>
      </c>
      <c r="G20" s="26">
        <f t="shared" ref="G20:G30" si="5">(338/360)*D20</f>
        <v>50699.999999999993</v>
      </c>
      <c r="H20" s="27">
        <f t="shared" ref="H20:H30" si="6">65535-G20</f>
        <v>14835.000000000007</v>
      </c>
      <c r="I20">
        <v>1</v>
      </c>
      <c r="V20" t="s">
        <v>189</v>
      </c>
      <c r="W20">
        <f>W19/B3</f>
        <v>316853.01425233926</v>
      </c>
      <c r="X20">
        <f>65536*3*B3</f>
        <v>2.7306666666666668E-3</v>
      </c>
    </row>
    <row r="21" spans="1:27" x14ac:dyDescent="0.2">
      <c r="A21" s="1">
        <v>1000</v>
      </c>
      <c r="B21" s="1">
        <f t="shared" si="0"/>
        <v>16.666666666666668</v>
      </c>
      <c r="C21" s="1">
        <f t="shared" si="1"/>
        <v>0.06</v>
      </c>
      <c r="D21" s="26">
        <f t="shared" si="2"/>
        <v>43199.999999999993</v>
      </c>
      <c r="E21" s="26">
        <f t="shared" si="3"/>
        <v>2639.9999999999995</v>
      </c>
      <c r="F21" s="27">
        <f t="shared" si="4"/>
        <v>62895</v>
      </c>
      <c r="G21" s="26">
        <f t="shared" si="5"/>
        <v>40559.999999999993</v>
      </c>
      <c r="H21" s="27">
        <f t="shared" si="6"/>
        <v>24975.000000000007</v>
      </c>
      <c r="I21">
        <v>2</v>
      </c>
      <c r="V21" t="s">
        <v>187</v>
      </c>
      <c r="W21">
        <f>INT(W20/65536)</f>
        <v>4</v>
      </c>
    </row>
    <row r="22" spans="1:27" x14ac:dyDescent="0.2">
      <c r="A22" s="1">
        <v>2000</v>
      </c>
      <c r="B22" s="1">
        <f t="shared" si="0"/>
        <v>33.333333333333336</v>
      </c>
      <c r="C22" s="1">
        <f t="shared" si="1"/>
        <v>0.03</v>
      </c>
      <c r="D22" s="26">
        <f t="shared" si="2"/>
        <v>21599.999999999996</v>
      </c>
      <c r="E22" s="26">
        <f t="shared" si="3"/>
        <v>1319.9999999999998</v>
      </c>
      <c r="F22" s="27">
        <f t="shared" si="4"/>
        <v>64215</v>
      </c>
      <c r="G22" s="26">
        <f t="shared" si="5"/>
        <v>20279.999999999996</v>
      </c>
      <c r="H22" s="27">
        <f t="shared" si="6"/>
        <v>45255</v>
      </c>
      <c r="I22">
        <v>3</v>
      </c>
      <c r="V22" t="s">
        <v>188</v>
      </c>
      <c r="W22">
        <f>W20-(65536*W21)</f>
        <v>54709.014252339257</v>
      </c>
    </row>
    <row r="23" spans="1:27" x14ac:dyDescent="0.2">
      <c r="A23" s="1">
        <v>3000</v>
      </c>
      <c r="B23" s="1">
        <f t="shared" si="0"/>
        <v>50</v>
      </c>
      <c r="C23" s="1">
        <f t="shared" si="1"/>
        <v>0.02</v>
      </c>
      <c r="D23" s="26">
        <f t="shared" si="2"/>
        <v>14400</v>
      </c>
      <c r="E23" s="26">
        <f t="shared" si="3"/>
        <v>880</v>
      </c>
      <c r="F23" s="27">
        <f t="shared" si="4"/>
        <v>64655</v>
      </c>
      <c r="G23" s="26">
        <f t="shared" si="5"/>
        <v>13520</v>
      </c>
      <c r="H23" s="27">
        <f t="shared" si="6"/>
        <v>52015</v>
      </c>
      <c r="I23">
        <v>4</v>
      </c>
      <c r="AA23">
        <f>0.00572</f>
        <v>5.7200000000000003E-3</v>
      </c>
    </row>
    <row r="24" spans="1:27" x14ac:dyDescent="0.2">
      <c r="A24" s="1">
        <v>4000</v>
      </c>
      <c r="B24" s="1">
        <f t="shared" si="0"/>
        <v>66.666666666666671</v>
      </c>
      <c r="C24" s="1">
        <f t="shared" si="1"/>
        <v>1.4999999999999999E-2</v>
      </c>
      <c r="D24" s="26">
        <f t="shared" si="2"/>
        <v>10799.999999999998</v>
      </c>
      <c r="E24" s="26">
        <f t="shared" si="3"/>
        <v>659.99999999999989</v>
      </c>
      <c r="F24" s="27">
        <f t="shared" si="4"/>
        <v>64875</v>
      </c>
      <c r="G24" s="26">
        <f t="shared" si="5"/>
        <v>10139.999999999998</v>
      </c>
      <c r="H24" s="27">
        <f t="shared" si="6"/>
        <v>55395</v>
      </c>
      <c r="I24">
        <v>5</v>
      </c>
      <c r="AA24">
        <f>AA23/2</f>
        <v>2.8600000000000001E-3</v>
      </c>
    </row>
    <row r="25" spans="1:27" x14ac:dyDescent="0.2">
      <c r="A25" s="1">
        <v>5000</v>
      </c>
      <c r="B25" s="1">
        <f t="shared" si="0"/>
        <v>83.333333333333329</v>
      </c>
      <c r="C25" s="1">
        <f t="shared" si="1"/>
        <v>1.2E-2</v>
      </c>
      <c r="D25" s="26">
        <f t="shared" si="2"/>
        <v>8640</v>
      </c>
      <c r="E25" s="26">
        <f t="shared" si="3"/>
        <v>528</v>
      </c>
      <c r="F25" s="27">
        <f t="shared" si="4"/>
        <v>65007</v>
      </c>
      <c r="G25" s="26">
        <f t="shared" si="5"/>
        <v>8112</v>
      </c>
      <c r="H25" s="27">
        <f t="shared" si="6"/>
        <v>57423</v>
      </c>
      <c r="I25">
        <v>6</v>
      </c>
      <c r="W25">
        <f>2*65536*B3</f>
        <v>1.8204444444444444E-3</v>
      </c>
    </row>
    <row r="26" spans="1:27" x14ac:dyDescent="0.2">
      <c r="A26" s="1">
        <v>6000</v>
      </c>
      <c r="B26" s="1">
        <f t="shared" si="0"/>
        <v>100</v>
      </c>
      <c r="C26" s="1">
        <f t="shared" si="1"/>
        <v>0.01</v>
      </c>
      <c r="D26" s="26">
        <f t="shared" si="2"/>
        <v>7200</v>
      </c>
      <c r="E26" s="26">
        <f t="shared" si="3"/>
        <v>440</v>
      </c>
      <c r="F26" s="27">
        <f t="shared" si="4"/>
        <v>65095</v>
      </c>
      <c r="G26" s="26">
        <f t="shared" si="5"/>
        <v>6760</v>
      </c>
      <c r="H26" s="27">
        <f t="shared" si="6"/>
        <v>58775</v>
      </c>
      <c r="I26">
        <v>7</v>
      </c>
    </row>
    <row r="27" spans="1:27" x14ac:dyDescent="0.2">
      <c r="A27" s="1">
        <v>7000</v>
      </c>
      <c r="B27" s="1">
        <f t="shared" si="0"/>
        <v>116.66666666666667</v>
      </c>
      <c r="C27" s="1">
        <f t="shared" si="1"/>
        <v>8.5714285714285719E-3</v>
      </c>
      <c r="D27" s="26">
        <f t="shared" si="2"/>
        <v>6171.4285714285716</v>
      </c>
      <c r="E27" s="26">
        <f t="shared" si="3"/>
        <v>377.14285714285711</v>
      </c>
      <c r="F27" s="27">
        <f t="shared" si="4"/>
        <v>65157.857142857145</v>
      </c>
      <c r="G27" s="26">
        <f t="shared" si="5"/>
        <v>5794.2857142857147</v>
      </c>
      <c r="H27" s="27">
        <f t="shared" si="6"/>
        <v>59740.714285714283</v>
      </c>
      <c r="I27">
        <v>8</v>
      </c>
    </row>
    <row r="28" spans="1:27" x14ac:dyDescent="0.2">
      <c r="A28" s="1">
        <v>8000</v>
      </c>
      <c r="B28" s="1">
        <f t="shared" si="0"/>
        <v>133.33333333333334</v>
      </c>
      <c r="C28" s="1">
        <f t="shared" si="1"/>
        <v>7.4999999999999997E-3</v>
      </c>
      <c r="D28" s="26">
        <f t="shared" si="2"/>
        <v>5399.9999999999991</v>
      </c>
      <c r="E28" s="26">
        <f t="shared" si="3"/>
        <v>329.99999999999994</v>
      </c>
      <c r="F28" s="27">
        <f t="shared" si="4"/>
        <v>65205</v>
      </c>
      <c r="G28" s="26">
        <f t="shared" si="5"/>
        <v>5069.9999999999991</v>
      </c>
      <c r="H28" s="27">
        <f t="shared" si="6"/>
        <v>60465</v>
      </c>
      <c r="I28">
        <v>9</v>
      </c>
    </row>
    <row r="29" spans="1:27" x14ac:dyDescent="0.2">
      <c r="A29" s="1">
        <v>9000</v>
      </c>
      <c r="B29" s="1">
        <f t="shared" si="0"/>
        <v>150</v>
      </c>
      <c r="C29" s="1">
        <f t="shared" si="1"/>
        <v>6.6666666666666671E-3</v>
      </c>
      <c r="D29" s="26">
        <f t="shared" si="2"/>
        <v>4800</v>
      </c>
      <c r="E29" s="26">
        <f t="shared" si="3"/>
        <v>293.33333333333331</v>
      </c>
      <c r="F29" s="27">
        <f t="shared" si="4"/>
        <v>65241.666666666664</v>
      </c>
      <c r="G29" s="26">
        <f t="shared" si="5"/>
        <v>4506.666666666667</v>
      </c>
      <c r="H29" s="27">
        <f t="shared" si="6"/>
        <v>61028.333333333336</v>
      </c>
      <c r="I29">
        <v>10</v>
      </c>
    </row>
    <row r="30" spans="1:27" x14ac:dyDescent="0.2">
      <c r="A30" s="1">
        <v>10000</v>
      </c>
      <c r="B30" s="1">
        <f t="shared" si="0"/>
        <v>166.66666666666666</v>
      </c>
      <c r="C30" s="1">
        <f t="shared" si="1"/>
        <v>6.0000000000000001E-3</v>
      </c>
      <c r="D30" s="26">
        <f t="shared" si="2"/>
        <v>4320</v>
      </c>
      <c r="E30" s="26">
        <f t="shared" si="3"/>
        <v>264</v>
      </c>
      <c r="F30" s="27">
        <f t="shared" si="4"/>
        <v>65271</v>
      </c>
      <c r="G30" s="26">
        <f t="shared" si="5"/>
        <v>4056</v>
      </c>
      <c r="H30" s="27">
        <f t="shared" si="6"/>
        <v>61479</v>
      </c>
      <c r="I30">
        <v>11</v>
      </c>
    </row>
  </sheetData>
  <mergeCells count="6">
    <mergeCell ref="L1:P1"/>
    <mergeCell ref="Q1:U1"/>
    <mergeCell ref="V1:Z1"/>
    <mergeCell ref="AA1:AF1"/>
    <mergeCell ref="AM1:AR1"/>
    <mergeCell ref="AG1:AL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2CC-38FC-438F-9D75-AAFE78B3F39C}">
  <dimension ref="A1:AR337"/>
  <sheetViews>
    <sheetView workbookViewId="0">
      <selection activeCell="D6" sqref="D6:F10"/>
    </sheetView>
  </sheetViews>
  <sheetFormatPr defaultRowHeight="12.6" x14ac:dyDescent="0.2"/>
  <cols>
    <col min="1" max="1" width="27.08984375" bestFit="1" customWidth="1"/>
    <col min="2" max="2" width="12" bestFit="1" customWidth="1"/>
    <col min="5" max="5" width="12.453125" bestFit="1" customWidth="1"/>
    <col min="9" max="9" width="9.90625" bestFit="1" customWidth="1"/>
    <col min="11" max="11" width="17.36328125" bestFit="1" customWidth="1"/>
    <col min="18" max="18" width="11.90625" bestFit="1" customWidth="1"/>
    <col min="20" max="20" width="12" bestFit="1" customWidth="1"/>
    <col min="23" max="23" width="11.9062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2" t="s">
        <v>163</v>
      </c>
      <c r="M1" s="53"/>
      <c r="N1" s="53"/>
      <c r="O1" s="53"/>
      <c r="P1" s="54"/>
      <c r="Q1" s="55" t="s">
        <v>170</v>
      </c>
      <c r="R1" s="56"/>
      <c r="S1" s="56"/>
      <c r="T1" s="56"/>
      <c r="U1" s="57"/>
      <c r="V1" s="58" t="s">
        <v>167</v>
      </c>
      <c r="W1" s="59"/>
      <c r="X1" s="59"/>
      <c r="Y1" s="59"/>
      <c r="Z1" s="60"/>
      <c r="AA1" s="61" t="s">
        <v>177</v>
      </c>
      <c r="AB1" s="62"/>
      <c r="AC1" s="62"/>
      <c r="AD1" s="62"/>
      <c r="AE1" s="62"/>
      <c r="AF1" s="63"/>
      <c r="AG1" s="55" t="s">
        <v>174</v>
      </c>
      <c r="AH1" s="56"/>
      <c r="AI1" s="56"/>
      <c r="AJ1" s="56"/>
      <c r="AK1" s="56"/>
      <c r="AL1" s="57"/>
      <c r="AM1" s="64" t="s">
        <v>172</v>
      </c>
      <c r="AN1" s="65"/>
      <c r="AO1" s="65"/>
      <c r="AP1" s="65"/>
      <c r="AQ1" s="65"/>
      <c r="AR1" s="66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</v>
      </c>
      <c r="P3" s="17">
        <f>(M3/B3)-(O3*2^16)</f>
        <v>6716253.6389324954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0</v>
      </c>
      <c r="U3" s="20">
        <f>(R3/B3)-(T3*2^16)</f>
        <v>208853.01425233929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0</v>
      </c>
      <c r="Z3" s="18">
        <f>(V3/B3)-(Y3*2^16)</f>
        <v>414442.70015698584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0</v>
      </c>
      <c r="AF3" s="22">
        <f>(AC3/B3)-(AE3*2^16)</f>
        <v>316853.01425233926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0</v>
      </c>
      <c r="AL3" s="20">
        <f>(AI3/B3)-(AK3*2^16)</f>
        <v>388853.01425233926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0</v>
      </c>
      <c r="AR3" s="24">
        <f>(AO3/B3)-(AQ3*2^16)</f>
        <v>532853.01425233926</v>
      </c>
    </row>
    <row r="4" spans="1:44" x14ac:dyDescent="0.2">
      <c r="A4" s="13" t="s">
        <v>144</v>
      </c>
      <c r="B4" s="1">
        <v>55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</row>
    <row r="6" spans="1:44" x14ac:dyDescent="0.2">
      <c r="A6" s="13" t="s">
        <v>136</v>
      </c>
      <c r="B6" s="1">
        <v>18</v>
      </c>
    </row>
    <row r="7" spans="1:44" x14ac:dyDescent="0.2">
      <c r="A7" s="13" t="s">
        <v>145</v>
      </c>
      <c r="B7" s="1">
        <f>B5-B6</f>
        <v>22</v>
      </c>
    </row>
    <row r="8" spans="1:44" x14ac:dyDescent="0.2">
      <c r="A8" s="13" t="s">
        <v>146</v>
      </c>
      <c r="B8" s="1">
        <v>127</v>
      </c>
    </row>
    <row r="9" spans="1:44" x14ac:dyDescent="0.2">
      <c r="A9" s="13" t="s">
        <v>149</v>
      </c>
      <c r="B9" s="1">
        <f>B7/B8</f>
        <v>0.17322834645669291</v>
      </c>
    </row>
    <row r="10" spans="1:44" x14ac:dyDescent="0.2">
      <c r="A10" s="13" t="s">
        <v>148</v>
      </c>
      <c r="B10" s="1">
        <f>Sheet3!B65</f>
        <v>29</v>
      </c>
      <c r="R10" s="28"/>
    </row>
    <row r="11" spans="1:44" x14ac:dyDescent="0.2">
      <c r="A11" s="13" t="s">
        <v>147</v>
      </c>
      <c r="B11" s="1">
        <f>(B5-B10)/B9</f>
        <v>63.5</v>
      </c>
    </row>
    <row r="12" spans="1:44" x14ac:dyDescent="0.2">
      <c r="A12" s="14" t="s">
        <v>150</v>
      </c>
      <c r="B12" s="1">
        <f>0.0015</f>
        <v>1.5E-3</v>
      </c>
    </row>
    <row r="13" spans="1:44" x14ac:dyDescent="0.2">
      <c r="A13" s="14" t="s">
        <v>165</v>
      </c>
      <c r="B13" s="2">
        <f>2^16*B3*B4</f>
        <v>5.0062222222222223E-2</v>
      </c>
    </row>
    <row r="18" spans="1:9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190</v>
      </c>
      <c r="F18" s="1" t="s">
        <v>169</v>
      </c>
      <c r="G18" s="2"/>
      <c r="H18" s="1"/>
      <c r="I18" s="2"/>
    </row>
    <row r="19" spans="1:9" x14ac:dyDescent="0.2">
      <c r="A19" s="1">
        <v>1200</v>
      </c>
      <c r="B19" s="1">
        <f>A19/60</f>
        <v>20</v>
      </c>
      <c r="C19" s="1">
        <f>1/B19</f>
        <v>0.05</v>
      </c>
      <c r="D19" s="26">
        <f>C19/($B$4*$B$3)</f>
        <v>65454.545454545456</v>
      </c>
      <c r="E19" s="29">
        <f>($B$7/360)*C19</f>
        <v>3.0555555555555557E-3</v>
      </c>
      <c r="F19" s="26">
        <f>($B$7/360)*D19</f>
        <v>4000</v>
      </c>
      <c r="G19" s="27"/>
      <c r="H19" s="26"/>
      <c r="I19" s="27"/>
    </row>
    <row r="20" spans="1:9" x14ac:dyDescent="0.2">
      <c r="A20" s="1">
        <v>15000</v>
      </c>
      <c r="B20" s="1">
        <f t="shared" ref="B20" si="0">A20/60</f>
        <v>250</v>
      </c>
      <c r="C20" s="1">
        <f t="shared" ref="C20" si="1">1/B20</f>
        <v>4.0000000000000001E-3</v>
      </c>
      <c r="D20" s="26">
        <f>C20/($B$4*$B$3)</f>
        <v>5236.363636363636</v>
      </c>
      <c r="E20" s="29">
        <f>($B$7/360)*C20</f>
        <v>2.4444444444444443E-4</v>
      </c>
      <c r="F20" s="26">
        <f>($B$7/360)*D20</f>
        <v>319.99999999999994</v>
      </c>
      <c r="G20" s="27"/>
      <c r="H20" s="26"/>
      <c r="I20" s="27"/>
    </row>
    <row r="41" spans="1:3" x14ac:dyDescent="0.2">
      <c r="A41">
        <v>200</v>
      </c>
      <c r="B41">
        <f>A41/60</f>
        <v>3.3333333333333335</v>
      </c>
      <c r="C41">
        <f>1/B41</f>
        <v>0.3</v>
      </c>
    </row>
    <row r="42" spans="1:3" x14ac:dyDescent="0.2">
      <c r="A42">
        <v>250</v>
      </c>
      <c r="B42">
        <f t="shared" ref="B42:B105" si="2">A42/60</f>
        <v>4.166666666666667</v>
      </c>
      <c r="C42">
        <f t="shared" ref="C42:C105" si="3">1/B42</f>
        <v>0.24</v>
      </c>
    </row>
    <row r="43" spans="1:3" x14ac:dyDescent="0.2">
      <c r="A43">
        <v>300</v>
      </c>
      <c r="B43">
        <f t="shared" si="2"/>
        <v>5</v>
      </c>
      <c r="C43">
        <f t="shared" si="3"/>
        <v>0.2</v>
      </c>
    </row>
    <row r="44" spans="1:3" x14ac:dyDescent="0.2">
      <c r="A44">
        <v>350</v>
      </c>
      <c r="B44">
        <f t="shared" si="2"/>
        <v>5.833333333333333</v>
      </c>
      <c r="C44">
        <f t="shared" si="3"/>
        <v>0.17142857142857143</v>
      </c>
    </row>
    <row r="45" spans="1:3" x14ac:dyDescent="0.2">
      <c r="A45">
        <v>400</v>
      </c>
      <c r="B45">
        <f t="shared" si="2"/>
        <v>6.666666666666667</v>
      </c>
      <c r="C45">
        <f t="shared" si="3"/>
        <v>0.15</v>
      </c>
    </row>
    <row r="46" spans="1:3" x14ac:dyDescent="0.2">
      <c r="A46">
        <v>450</v>
      </c>
      <c r="B46">
        <f t="shared" si="2"/>
        <v>7.5</v>
      </c>
      <c r="C46">
        <f t="shared" si="3"/>
        <v>0.13333333333333333</v>
      </c>
    </row>
    <row r="47" spans="1:3" x14ac:dyDescent="0.2">
      <c r="A47">
        <v>500</v>
      </c>
      <c r="B47">
        <f t="shared" si="2"/>
        <v>8.3333333333333339</v>
      </c>
      <c r="C47">
        <f t="shared" si="3"/>
        <v>0.12</v>
      </c>
    </row>
    <row r="48" spans="1:3" x14ac:dyDescent="0.2">
      <c r="A48">
        <v>550</v>
      </c>
      <c r="B48">
        <f t="shared" si="2"/>
        <v>9.1666666666666661</v>
      </c>
      <c r="C48">
        <f t="shared" si="3"/>
        <v>0.1090909090909091</v>
      </c>
    </row>
    <row r="49" spans="1:3" x14ac:dyDescent="0.2">
      <c r="A49">
        <v>600</v>
      </c>
      <c r="B49">
        <f t="shared" si="2"/>
        <v>10</v>
      </c>
      <c r="C49">
        <f t="shared" si="3"/>
        <v>0.1</v>
      </c>
    </row>
    <row r="50" spans="1:3" x14ac:dyDescent="0.2">
      <c r="A50">
        <v>650</v>
      </c>
      <c r="B50">
        <f t="shared" si="2"/>
        <v>10.833333333333334</v>
      </c>
      <c r="C50">
        <f t="shared" si="3"/>
        <v>9.2307692307692299E-2</v>
      </c>
    </row>
    <row r="51" spans="1:3" x14ac:dyDescent="0.2">
      <c r="A51">
        <v>700</v>
      </c>
      <c r="B51">
        <f t="shared" si="2"/>
        <v>11.666666666666666</v>
      </c>
      <c r="C51">
        <f t="shared" si="3"/>
        <v>8.5714285714285715E-2</v>
      </c>
    </row>
    <row r="52" spans="1:3" x14ac:dyDescent="0.2">
      <c r="A52">
        <v>750</v>
      </c>
      <c r="B52">
        <f t="shared" si="2"/>
        <v>12.5</v>
      </c>
      <c r="C52">
        <f t="shared" si="3"/>
        <v>0.08</v>
      </c>
    </row>
    <row r="53" spans="1:3" x14ac:dyDescent="0.2">
      <c r="A53">
        <v>800</v>
      </c>
      <c r="B53">
        <f t="shared" si="2"/>
        <v>13.333333333333334</v>
      </c>
      <c r="C53">
        <f t="shared" si="3"/>
        <v>7.4999999999999997E-2</v>
      </c>
    </row>
    <row r="54" spans="1:3" x14ac:dyDescent="0.2">
      <c r="A54">
        <v>850</v>
      </c>
      <c r="B54">
        <f t="shared" si="2"/>
        <v>14.166666666666666</v>
      </c>
      <c r="C54">
        <f t="shared" si="3"/>
        <v>7.0588235294117646E-2</v>
      </c>
    </row>
    <row r="55" spans="1:3" x14ac:dyDescent="0.2">
      <c r="A55">
        <v>900</v>
      </c>
      <c r="B55">
        <f t="shared" si="2"/>
        <v>15</v>
      </c>
      <c r="C55">
        <f t="shared" si="3"/>
        <v>6.6666666666666666E-2</v>
      </c>
    </row>
    <row r="56" spans="1:3" x14ac:dyDescent="0.2">
      <c r="A56">
        <v>950</v>
      </c>
      <c r="B56">
        <f t="shared" si="2"/>
        <v>15.833333333333334</v>
      </c>
      <c r="C56">
        <f t="shared" si="3"/>
        <v>6.3157894736842107E-2</v>
      </c>
    </row>
    <row r="57" spans="1:3" x14ac:dyDescent="0.2">
      <c r="A57">
        <v>1000</v>
      </c>
      <c r="B57">
        <f t="shared" si="2"/>
        <v>16.666666666666668</v>
      </c>
      <c r="C57">
        <f t="shared" si="3"/>
        <v>0.06</v>
      </c>
    </row>
    <row r="58" spans="1:3" x14ac:dyDescent="0.2">
      <c r="A58">
        <v>1050</v>
      </c>
      <c r="B58">
        <f t="shared" si="2"/>
        <v>17.5</v>
      </c>
      <c r="C58">
        <f t="shared" si="3"/>
        <v>5.7142857142857141E-2</v>
      </c>
    </row>
    <row r="59" spans="1:3" x14ac:dyDescent="0.2">
      <c r="A59">
        <v>1100</v>
      </c>
      <c r="B59">
        <f t="shared" si="2"/>
        <v>18.333333333333332</v>
      </c>
      <c r="C59">
        <f t="shared" si="3"/>
        <v>5.454545454545455E-2</v>
      </c>
    </row>
    <row r="60" spans="1:3" x14ac:dyDescent="0.2">
      <c r="A60">
        <v>1150</v>
      </c>
      <c r="B60">
        <f t="shared" si="2"/>
        <v>19.166666666666668</v>
      </c>
      <c r="C60">
        <f t="shared" si="3"/>
        <v>5.2173913043478258E-2</v>
      </c>
    </row>
    <row r="61" spans="1:3" x14ac:dyDescent="0.2">
      <c r="A61">
        <v>1200</v>
      </c>
      <c r="B61">
        <f t="shared" si="2"/>
        <v>20</v>
      </c>
      <c r="C61">
        <f t="shared" si="3"/>
        <v>0.05</v>
      </c>
    </row>
    <row r="62" spans="1:3" x14ac:dyDescent="0.2">
      <c r="A62">
        <v>1250</v>
      </c>
      <c r="B62">
        <f t="shared" si="2"/>
        <v>20.833333333333332</v>
      </c>
      <c r="C62">
        <f t="shared" si="3"/>
        <v>4.8000000000000001E-2</v>
      </c>
    </row>
    <row r="63" spans="1:3" x14ac:dyDescent="0.2">
      <c r="A63">
        <v>1300</v>
      </c>
      <c r="B63">
        <f t="shared" si="2"/>
        <v>21.666666666666668</v>
      </c>
      <c r="C63">
        <f t="shared" si="3"/>
        <v>4.6153846153846149E-2</v>
      </c>
    </row>
    <row r="64" spans="1:3" x14ac:dyDescent="0.2">
      <c r="A64">
        <v>1350</v>
      </c>
      <c r="B64">
        <f t="shared" si="2"/>
        <v>22.5</v>
      </c>
      <c r="C64">
        <f t="shared" si="3"/>
        <v>4.4444444444444446E-2</v>
      </c>
    </row>
    <row r="65" spans="1:3" x14ac:dyDescent="0.2">
      <c r="A65">
        <v>1400</v>
      </c>
      <c r="B65">
        <f t="shared" si="2"/>
        <v>23.333333333333332</v>
      </c>
      <c r="C65">
        <f t="shared" si="3"/>
        <v>4.2857142857142858E-2</v>
      </c>
    </row>
    <row r="66" spans="1:3" x14ac:dyDescent="0.2">
      <c r="A66">
        <v>1450</v>
      </c>
      <c r="B66">
        <f t="shared" si="2"/>
        <v>24.166666666666668</v>
      </c>
      <c r="C66">
        <f t="shared" si="3"/>
        <v>4.1379310344827586E-2</v>
      </c>
    </row>
    <row r="67" spans="1:3" x14ac:dyDescent="0.2">
      <c r="A67">
        <v>1500</v>
      </c>
      <c r="B67">
        <f t="shared" si="2"/>
        <v>25</v>
      </c>
      <c r="C67">
        <f t="shared" si="3"/>
        <v>0.04</v>
      </c>
    </row>
    <row r="68" spans="1:3" x14ac:dyDescent="0.2">
      <c r="A68">
        <v>1550</v>
      </c>
      <c r="B68">
        <f t="shared" si="2"/>
        <v>25.833333333333332</v>
      </c>
      <c r="C68">
        <f t="shared" si="3"/>
        <v>3.870967741935484E-2</v>
      </c>
    </row>
    <row r="69" spans="1:3" x14ac:dyDescent="0.2">
      <c r="A69">
        <v>1600</v>
      </c>
      <c r="B69">
        <f t="shared" si="2"/>
        <v>26.666666666666668</v>
      </c>
      <c r="C69">
        <f t="shared" si="3"/>
        <v>3.7499999999999999E-2</v>
      </c>
    </row>
    <row r="70" spans="1:3" x14ac:dyDescent="0.2">
      <c r="A70">
        <v>1650</v>
      </c>
      <c r="B70">
        <f t="shared" si="2"/>
        <v>27.5</v>
      </c>
      <c r="C70">
        <f t="shared" si="3"/>
        <v>3.6363636363636362E-2</v>
      </c>
    </row>
    <row r="71" spans="1:3" x14ac:dyDescent="0.2">
      <c r="A71">
        <v>1700</v>
      </c>
      <c r="B71">
        <f t="shared" si="2"/>
        <v>28.333333333333332</v>
      </c>
      <c r="C71">
        <f t="shared" si="3"/>
        <v>3.5294117647058823E-2</v>
      </c>
    </row>
    <row r="72" spans="1:3" x14ac:dyDescent="0.2">
      <c r="A72">
        <v>1750</v>
      </c>
      <c r="B72">
        <f t="shared" si="2"/>
        <v>29.166666666666668</v>
      </c>
      <c r="C72">
        <f t="shared" si="3"/>
        <v>3.4285714285714287E-2</v>
      </c>
    </row>
    <row r="73" spans="1:3" x14ac:dyDescent="0.2">
      <c r="A73">
        <v>1800</v>
      </c>
      <c r="B73">
        <f t="shared" si="2"/>
        <v>30</v>
      </c>
      <c r="C73">
        <f t="shared" si="3"/>
        <v>3.3333333333333333E-2</v>
      </c>
    </row>
    <row r="74" spans="1:3" x14ac:dyDescent="0.2">
      <c r="A74">
        <v>1850</v>
      </c>
      <c r="B74">
        <f t="shared" si="2"/>
        <v>30.833333333333332</v>
      </c>
      <c r="C74">
        <f t="shared" si="3"/>
        <v>3.2432432432432434E-2</v>
      </c>
    </row>
    <row r="75" spans="1:3" x14ac:dyDescent="0.2">
      <c r="A75">
        <v>1900</v>
      </c>
      <c r="B75">
        <f t="shared" si="2"/>
        <v>31.666666666666668</v>
      </c>
      <c r="C75">
        <f t="shared" si="3"/>
        <v>3.1578947368421054E-2</v>
      </c>
    </row>
    <row r="76" spans="1:3" x14ac:dyDescent="0.2">
      <c r="A76">
        <v>1950</v>
      </c>
      <c r="B76">
        <f t="shared" si="2"/>
        <v>32.5</v>
      </c>
      <c r="C76">
        <f t="shared" si="3"/>
        <v>3.0769230769230771E-2</v>
      </c>
    </row>
    <row r="77" spans="1:3" x14ac:dyDescent="0.2">
      <c r="A77">
        <v>2000</v>
      </c>
      <c r="B77">
        <f t="shared" si="2"/>
        <v>33.333333333333336</v>
      </c>
      <c r="C77">
        <f t="shared" si="3"/>
        <v>0.03</v>
      </c>
    </row>
    <row r="78" spans="1:3" x14ac:dyDescent="0.2">
      <c r="A78">
        <v>2050</v>
      </c>
      <c r="B78">
        <f t="shared" si="2"/>
        <v>34.166666666666664</v>
      </c>
      <c r="C78">
        <f t="shared" si="3"/>
        <v>2.9268292682926831E-2</v>
      </c>
    </row>
    <row r="79" spans="1:3" x14ac:dyDescent="0.2">
      <c r="A79">
        <v>2100</v>
      </c>
      <c r="B79">
        <f t="shared" si="2"/>
        <v>35</v>
      </c>
      <c r="C79">
        <f t="shared" si="3"/>
        <v>2.8571428571428571E-2</v>
      </c>
    </row>
    <row r="80" spans="1:3" x14ac:dyDescent="0.2">
      <c r="A80">
        <v>2150</v>
      </c>
      <c r="B80">
        <f t="shared" si="2"/>
        <v>35.833333333333336</v>
      </c>
      <c r="C80">
        <f t="shared" si="3"/>
        <v>2.7906976744186046E-2</v>
      </c>
    </row>
    <row r="81" spans="1:3" x14ac:dyDescent="0.2">
      <c r="A81">
        <v>2200</v>
      </c>
      <c r="B81">
        <f t="shared" si="2"/>
        <v>36.666666666666664</v>
      </c>
      <c r="C81">
        <f t="shared" si="3"/>
        <v>2.7272727272727275E-2</v>
      </c>
    </row>
    <row r="82" spans="1:3" x14ac:dyDescent="0.2">
      <c r="A82">
        <v>2250</v>
      </c>
      <c r="B82">
        <f t="shared" si="2"/>
        <v>37.5</v>
      </c>
      <c r="C82">
        <f t="shared" si="3"/>
        <v>2.6666666666666668E-2</v>
      </c>
    </row>
    <row r="83" spans="1:3" x14ac:dyDescent="0.2">
      <c r="A83">
        <v>2300</v>
      </c>
      <c r="B83">
        <f t="shared" si="2"/>
        <v>38.333333333333336</v>
      </c>
      <c r="C83">
        <f t="shared" si="3"/>
        <v>2.6086956521739129E-2</v>
      </c>
    </row>
    <row r="84" spans="1:3" x14ac:dyDescent="0.2">
      <c r="A84">
        <v>2350</v>
      </c>
      <c r="B84">
        <f t="shared" si="2"/>
        <v>39.166666666666664</v>
      </c>
      <c r="C84">
        <f t="shared" si="3"/>
        <v>2.5531914893617023E-2</v>
      </c>
    </row>
    <row r="85" spans="1:3" x14ac:dyDescent="0.2">
      <c r="A85">
        <v>2400</v>
      </c>
      <c r="B85">
        <f t="shared" si="2"/>
        <v>40</v>
      </c>
      <c r="C85">
        <f t="shared" si="3"/>
        <v>2.5000000000000001E-2</v>
      </c>
    </row>
    <row r="86" spans="1:3" x14ac:dyDescent="0.2">
      <c r="A86">
        <v>2450</v>
      </c>
      <c r="B86">
        <f t="shared" si="2"/>
        <v>40.833333333333336</v>
      </c>
      <c r="C86">
        <f t="shared" si="3"/>
        <v>2.4489795918367346E-2</v>
      </c>
    </row>
    <row r="87" spans="1:3" x14ac:dyDescent="0.2">
      <c r="A87">
        <v>2500</v>
      </c>
      <c r="B87">
        <f t="shared" si="2"/>
        <v>41.666666666666664</v>
      </c>
      <c r="C87">
        <f t="shared" si="3"/>
        <v>2.4E-2</v>
      </c>
    </row>
    <row r="88" spans="1:3" x14ac:dyDescent="0.2">
      <c r="A88">
        <v>2550</v>
      </c>
      <c r="B88">
        <f t="shared" si="2"/>
        <v>42.5</v>
      </c>
      <c r="C88">
        <f t="shared" si="3"/>
        <v>2.3529411764705882E-2</v>
      </c>
    </row>
    <row r="89" spans="1:3" x14ac:dyDescent="0.2">
      <c r="A89">
        <v>2600</v>
      </c>
      <c r="B89">
        <f t="shared" si="2"/>
        <v>43.333333333333336</v>
      </c>
      <c r="C89">
        <f t="shared" si="3"/>
        <v>2.3076923076923075E-2</v>
      </c>
    </row>
    <row r="90" spans="1:3" x14ac:dyDescent="0.2">
      <c r="A90">
        <v>2650</v>
      </c>
      <c r="B90">
        <f t="shared" si="2"/>
        <v>44.166666666666664</v>
      </c>
      <c r="C90">
        <f t="shared" si="3"/>
        <v>2.2641509433962266E-2</v>
      </c>
    </row>
    <row r="91" spans="1:3" x14ac:dyDescent="0.2">
      <c r="A91">
        <v>2700</v>
      </c>
      <c r="B91">
        <f t="shared" si="2"/>
        <v>45</v>
      </c>
      <c r="C91">
        <f t="shared" si="3"/>
        <v>2.2222222222222223E-2</v>
      </c>
    </row>
    <row r="92" spans="1:3" x14ac:dyDescent="0.2">
      <c r="A92">
        <v>2750</v>
      </c>
      <c r="B92">
        <f t="shared" si="2"/>
        <v>45.833333333333336</v>
      </c>
      <c r="C92">
        <f t="shared" si="3"/>
        <v>2.1818181818181816E-2</v>
      </c>
    </row>
    <row r="93" spans="1:3" x14ac:dyDescent="0.2">
      <c r="A93">
        <v>2800</v>
      </c>
      <c r="B93">
        <f t="shared" si="2"/>
        <v>46.666666666666664</v>
      </c>
      <c r="C93">
        <f t="shared" si="3"/>
        <v>2.1428571428571429E-2</v>
      </c>
    </row>
    <row r="94" spans="1:3" x14ac:dyDescent="0.2">
      <c r="A94">
        <v>2850</v>
      </c>
      <c r="B94">
        <f t="shared" si="2"/>
        <v>47.5</v>
      </c>
      <c r="C94">
        <f t="shared" si="3"/>
        <v>2.1052631578947368E-2</v>
      </c>
    </row>
    <row r="95" spans="1:3" x14ac:dyDescent="0.2">
      <c r="A95">
        <v>2900</v>
      </c>
      <c r="B95">
        <f t="shared" si="2"/>
        <v>48.333333333333336</v>
      </c>
      <c r="C95">
        <f t="shared" si="3"/>
        <v>2.0689655172413793E-2</v>
      </c>
    </row>
    <row r="96" spans="1:3" x14ac:dyDescent="0.2">
      <c r="A96">
        <v>2950</v>
      </c>
      <c r="B96">
        <f t="shared" si="2"/>
        <v>49.166666666666664</v>
      </c>
      <c r="C96">
        <f t="shared" si="3"/>
        <v>2.033898305084746E-2</v>
      </c>
    </row>
    <row r="97" spans="1:3" x14ac:dyDescent="0.2">
      <c r="A97">
        <v>3000</v>
      </c>
      <c r="B97">
        <f t="shared" si="2"/>
        <v>50</v>
      </c>
      <c r="C97">
        <f t="shared" si="3"/>
        <v>0.02</v>
      </c>
    </row>
    <row r="98" spans="1:3" x14ac:dyDescent="0.2">
      <c r="A98">
        <v>3050</v>
      </c>
      <c r="B98">
        <f t="shared" si="2"/>
        <v>50.833333333333336</v>
      </c>
      <c r="C98">
        <f t="shared" si="3"/>
        <v>1.9672131147540982E-2</v>
      </c>
    </row>
    <row r="99" spans="1:3" x14ac:dyDescent="0.2">
      <c r="A99">
        <v>3100</v>
      </c>
      <c r="B99">
        <f t="shared" si="2"/>
        <v>51.666666666666664</v>
      </c>
      <c r="C99">
        <f t="shared" si="3"/>
        <v>1.935483870967742E-2</v>
      </c>
    </row>
    <row r="100" spans="1:3" x14ac:dyDescent="0.2">
      <c r="A100">
        <v>3150</v>
      </c>
      <c r="B100">
        <f t="shared" si="2"/>
        <v>52.5</v>
      </c>
      <c r="C100">
        <f t="shared" si="3"/>
        <v>1.9047619047619049E-2</v>
      </c>
    </row>
    <row r="101" spans="1:3" x14ac:dyDescent="0.2">
      <c r="A101">
        <v>3200</v>
      </c>
      <c r="B101">
        <f t="shared" si="2"/>
        <v>53.333333333333336</v>
      </c>
      <c r="C101">
        <f t="shared" si="3"/>
        <v>1.8749999999999999E-2</v>
      </c>
    </row>
    <row r="102" spans="1:3" x14ac:dyDescent="0.2">
      <c r="A102">
        <v>3250</v>
      </c>
      <c r="B102">
        <f t="shared" si="2"/>
        <v>54.166666666666664</v>
      </c>
      <c r="C102">
        <f t="shared" si="3"/>
        <v>1.8461538461538463E-2</v>
      </c>
    </row>
    <row r="103" spans="1:3" x14ac:dyDescent="0.2">
      <c r="A103">
        <v>3300</v>
      </c>
      <c r="B103">
        <f t="shared" si="2"/>
        <v>55</v>
      </c>
      <c r="C103">
        <f t="shared" si="3"/>
        <v>1.8181818181818181E-2</v>
      </c>
    </row>
    <row r="104" spans="1:3" x14ac:dyDescent="0.2">
      <c r="A104">
        <v>3350</v>
      </c>
      <c r="B104">
        <f t="shared" si="2"/>
        <v>55.833333333333336</v>
      </c>
      <c r="C104">
        <f t="shared" si="3"/>
        <v>1.7910447761194027E-2</v>
      </c>
    </row>
    <row r="105" spans="1:3" x14ac:dyDescent="0.2">
      <c r="A105">
        <v>3400</v>
      </c>
      <c r="B105">
        <f t="shared" si="2"/>
        <v>56.666666666666664</v>
      </c>
      <c r="C105">
        <f t="shared" si="3"/>
        <v>1.7647058823529412E-2</v>
      </c>
    </row>
    <row r="106" spans="1:3" x14ac:dyDescent="0.2">
      <c r="A106">
        <v>3450</v>
      </c>
      <c r="B106">
        <f t="shared" ref="B106:B169" si="4">A106/60</f>
        <v>57.5</v>
      </c>
      <c r="C106">
        <f t="shared" ref="C106:C169" si="5">1/B106</f>
        <v>1.7391304347826087E-2</v>
      </c>
    </row>
    <row r="107" spans="1:3" x14ac:dyDescent="0.2">
      <c r="A107">
        <v>3500</v>
      </c>
      <c r="B107">
        <f t="shared" si="4"/>
        <v>58.333333333333336</v>
      </c>
      <c r="C107">
        <f t="shared" si="5"/>
        <v>1.7142857142857144E-2</v>
      </c>
    </row>
    <row r="108" spans="1:3" x14ac:dyDescent="0.2">
      <c r="A108">
        <v>3550</v>
      </c>
      <c r="B108">
        <f t="shared" si="4"/>
        <v>59.166666666666664</v>
      </c>
      <c r="C108">
        <f t="shared" si="5"/>
        <v>1.6901408450704227E-2</v>
      </c>
    </row>
    <row r="109" spans="1:3" x14ac:dyDescent="0.2">
      <c r="A109">
        <v>3600</v>
      </c>
      <c r="B109">
        <f t="shared" si="4"/>
        <v>60</v>
      </c>
      <c r="C109">
        <f t="shared" si="5"/>
        <v>1.6666666666666666E-2</v>
      </c>
    </row>
    <row r="110" spans="1:3" x14ac:dyDescent="0.2">
      <c r="A110">
        <v>3650</v>
      </c>
      <c r="B110">
        <f t="shared" si="4"/>
        <v>60.833333333333336</v>
      </c>
      <c r="C110">
        <f t="shared" si="5"/>
        <v>1.643835616438356E-2</v>
      </c>
    </row>
    <row r="111" spans="1:3" x14ac:dyDescent="0.2">
      <c r="A111">
        <v>3700</v>
      </c>
      <c r="B111">
        <f t="shared" si="4"/>
        <v>61.666666666666664</v>
      </c>
      <c r="C111">
        <f t="shared" si="5"/>
        <v>1.6216216216216217E-2</v>
      </c>
    </row>
    <row r="112" spans="1:3" x14ac:dyDescent="0.2">
      <c r="A112">
        <v>3750</v>
      </c>
      <c r="B112">
        <f t="shared" si="4"/>
        <v>62.5</v>
      </c>
      <c r="C112">
        <f t="shared" si="5"/>
        <v>1.6E-2</v>
      </c>
    </row>
    <row r="113" spans="1:3" x14ac:dyDescent="0.2">
      <c r="A113">
        <v>3800</v>
      </c>
      <c r="B113">
        <f t="shared" si="4"/>
        <v>63.333333333333336</v>
      </c>
      <c r="C113">
        <f t="shared" si="5"/>
        <v>1.5789473684210527E-2</v>
      </c>
    </row>
    <row r="114" spans="1:3" x14ac:dyDescent="0.2">
      <c r="A114">
        <v>3850</v>
      </c>
      <c r="B114">
        <f t="shared" si="4"/>
        <v>64.166666666666671</v>
      </c>
      <c r="C114">
        <f t="shared" si="5"/>
        <v>1.5584415584415583E-2</v>
      </c>
    </row>
    <row r="115" spans="1:3" x14ac:dyDescent="0.2">
      <c r="A115">
        <v>3900</v>
      </c>
      <c r="B115">
        <f t="shared" si="4"/>
        <v>65</v>
      </c>
      <c r="C115">
        <f t="shared" si="5"/>
        <v>1.5384615384615385E-2</v>
      </c>
    </row>
    <row r="116" spans="1:3" x14ac:dyDescent="0.2">
      <c r="A116">
        <v>3950</v>
      </c>
      <c r="B116">
        <f t="shared" si="4"/>
        <v>65.833333333333329</v>
      </c>
      <c r="C116">
        <f t="shared" si="5"/>
        <v>1.518987341772152E-2</v>
      </c>
    </row>
    <row r="117" spans="1:3" x14ac:dyDescent="0.2">
      <c r="A117">
        <v>4000</v>
      </c>
      <c r="B117">
        <f t="shared" si="4"/>
        <v>66.666666666666671</v>
      </c>
      <c r="C117">
        <f t="shared" si="5"/>
        <v>1.4999999999999999E-2</v>
      </c>
    </row>
    <row r="118" spans="1:3" x14ac:dyDescent="0.2">
      <c r="A118">
        <v>4050</v>
      </c>
      <c r="B118">
        <f t="shared" si="4"/>
        <v>67.5</v>
      </c>
      <c r="C118">
        <f t="shared" si="5"/>
        <v>1.4814814814814815E-2</v>
      </c>
    </row>
    <row r="119" spans="1:3" x14ac:dyDescent="0.2">
      <c r="A119">
        <v>4100</v>
      </c>
      <c r="B119">
        <f t="shared" si="4"/>
        <v>68.333333333333329</v>
      </c>
      <c r="C119">
        <f t="shared" si="5"/>
        <v>1.4634146341463415E-2</v>
      </c>
    </row>
    <row r="120" spans="1:3" x14ac:dyDescent="0.2">
      <c r="A120">
        <v>4150</v>
      </c>
      <c r="B120">
        <f t="shared" si="4"/>
        <v>69.166666666666671</v>
      </c>
      <c r="C120">
        <f t="shared" si="5"/>
        <v>1.4457831325301203E-2</v>
      </c>
    </row>
    <row r="121" spans="1:3" x14ac:dyDescent="0.2">
      <c r="A121">
        <v>4200</v>
      </c>
      <c r="B121">
        <f t="shared" si="4"/>
        <v>70</v>
      </c>
      <c r="C121">
        <f t="shared" si="5"/>
        <v>1.4285714285714285E-2</v>
      </c>
    </row>
    <row r="122" spans="1:3" x14ac:dyDescent="0.2">
      <c r="A122">
        <v>4250</v>
      </c>
      <c r="B122">
        <f t="shared" si="4"/>
        <v>70.833333333333329</v>
      </c>
      <c r="C122">
        <f t="shared" si="5"/>
        <v>1.411764705882353E-2</v>
      </c>
    </row>
    <row r="123" spans="1:3" x14ac:dyDescent="0.2">
      <c r="A123">
        <v>4300</v>
      </c>
      <c r="B123">
        <f t="shared" si="4"/>
        <v>71.666666666666671</v>
      </c>
      <c r="C123">
        <f t="shared" si="5"/>
        <v>1.3953488372093023E-2</v>
      </c>
    </row>
    <row r="124" spans="1:3" x14ac:dyDescent="0.2">
      <c r="A124">
        <v>4350</v>
      </c>
      <c r="B124">
        <f t="shared" si="4"/>
        <v>72.5</v>
      </c>
      <c r="C124">
        <f t="shared" si="5"/>
        <v>1.3793103448275862E-2</v>
      </c>
    </row>
    <row r="125" spans="1:3" x14ac:dyDescent="0.2">
      <c r="A125">
        <v>4400</v>
      </c>
      <c r="B125">
        <f t="shared" si="4"/>
        <v>73.333333333333329</v>
      </c>
      <c r="C125">
        <f t="shared" si="5"/>
        <v>1.3636363636363637E-2</v>
      </c>
    </row>
    <row r="126" spans="1:3" x14ac:dyDescent="0.2">
      <c r="A126">
        <v>4450</v>
      </c>
      <c r="B126">
        <f t="shared" si="4"/>
        <v>74.166666666666671</v>
      </c>
      <c r="C126">
        <f t="shared" si="5"/>
        <v>1.3483146067415729E-2</v>
      </c>
    </row>
    <row r="127" spans="1:3" x14ac:dyDescent="0.2">
      <c r="A127">
        <v>4500</v>
      </c>
      <c r="B127">
        <f t="shared" si="4"/>
        <v>75</v>
      </c>
      <c r="C127">
        <f t="shared" si="5"/>
        <v>1.3333333333333334E-2</v>
      </c>
    </row>
    <row r="128" spans="1:3" x14ac:dyDescent="0.2">
      <c r="A128">
        <v>4550</v>
      </c>
      <c r="B128">
        <f t="shared" si="4"/>
        <v>75.833333333333329</v>
      </c>
      <c r="C128">
        <f t="shared" si="5"/>
        <v>1.3186813186813187E-2</v>
      </c>
    </row>
    <row r="129" spans="1:3" x14ac:dyDescent="0.2">
      <c r="A129">
        <v>4600</v>
      </c>
      <c r="B129">
        <f t="shared" si="4"/>
        <v>76.666666666666671</v>
      </c>
      <c r="C129">
        <f t="shared" si="5"/>
        <v>1.3043478260869565E-2</v>
      </c>
    </row>
    <row r="130" spans="1:3" x14ac:dyDescent="0.2">
      <c r="A130">
        <v>4650</v>
      </c>
      <c r="B130">
        <f t="shared" si="4"/>
        <v>77.5</v>
      </c>
      <c r="C130">
        <f t="shared" si="5"/>
        <v>1.2903225806451613E-2</v>
      </c>
    </row>
    <row r="131" spans="1:3" x14ac:dyDescent="0.2">
      <c r="A131">
        <v>4700</v>
      </c>
      <c r="B131">
        <f t="shared" si="4"/>
        <v>78.333333333333329</v>
      </c>
      <c r="C131">
        <f t="shared" si="5"/>
        <v>1.2765957446808512E-2</v>
      </c>
    </row>
    <row r="132" spans="1:3" x14ac:dyDescent="0.2">
      <c r="A132">
        <v>4750</v>
      </c>
      <c r="B132">
        <f t="shared" si="4"/>
        <v>79.166666666666671</v>
      </c>
      <c r="C132">
        <f t="shared" si="5"/>
        <v>1.2631578947368421E-2</v>
      </c>
    </row>
    <row r="133" spans="1:3" x14ac:dyDescent="0.2">
      <c r="A133">
        <v>4800</v>
      </c>
      <c r="B133">
        <f t="shared" si="4"/>
        <v>80</v>
      </c>
      <c r="C133">
        <f t="shared" si="5"/>
        <v>1.2500000000000001E-2</v>
      </c>
    </row>
    <row r="134" spans="1:3" x14ac:dyDescent="0.2">
      <c r="A134">
        <v>4850</v>
      </c>
      <c r="B134">
        <f t="shared" si="4"/>
        <v>80.833333333333329</v>
      </c>
      <c r="C134">
        <f t="shared" si="5"/>
        <v>1.2371134020618558E-2</v>
      </c>
    </row>
    <row r="135" spans="1:3" x14ac:dyDescent="0.2">
      <c r="A135">
        <v>4900</v>
      </c>
      <c r="B135">
        <f t="shared" si="4"/>
        <v>81.666666666666671</v>
      </c>
      <c r="C135">
        <f t="shared" si="5"/>
        <v>1.2244897959183673E-2</v>
      </c>
    </row>
    <row r="136" spans="1:3" x14ac:dyDescent="0.2">
      <c r="A136">
        <v>4950</v>
      </c>
      <c r="B136">
        <f t="shared" si="4"/>
        <v>82.5</v>
      </c>
      <c r="C136">
        <f t="shared" si="5"/>
        <v>1.2121212121212121E-2</v>
      </c>
    </row>
    <row r="137" spans="1:3" x14ac:dyDescent="0.2">
      <c r="A137">
        <v>5000</v>
      </c>
      <c r="B137">
        <f t="shared" si="4"/>
        <v>83.333333333333329</v>
      </c>
      <c r="C137">
        <f t="shared" si="5"/>
        <v>1.2E-2</v>
      </c>
    </row>
    <row r="138" spans="1:3" x14ac:dyDescent="0.2">
      <c r="A138">
        <v>5050</v>
      </c>
      <c r="B138">
        <f t="shared" si="4"/>
        <v>84.166666666666671</v>
      </c>
      <c r="C138">
        <f t="shared" si="5"/>
        <v>1.1881188118811881E-2</v>
      </c>
    </row>
    <row r="139" spans="1:3" x14ac:dyDescent="0.2">
      <c r="A139">
        <v>5100</v>
      </c>
      <c r="B139">
        <f t="shared" si="4"/>
        <v>85</v>
      </c>
      <c r="C139">
        <f t="shared" si="5"/>
        <v>1.1764705882352941E-2</v>
      </c>
    </row>
    <row r="140" spans="1:3" x14ac:dyDescent="0.2">
      <c r="A140">
        <v>5150</v>
      </c>
      <c r="B140">
        <f t="shared" si="4"/>
        <v>85.833333333333329</v>
      </c>
      <c r="C140">
        <f t="shared" si="5"/>
        <v>1.1650485436893204E-2</v>
      </c>
    </row>
    <row r="141" spans="1:3" x14ac:dyDescent="0.2">
      <c r="A141">
        <v>5200</v>
      </c>
      <c r="B141">
        <f t="shared" si="4"/>
        <v>86.666666666666671</v>
      </c>
      <c r="C141">
        <f t="shared" si="5"/>
        <v>1.1538461538461537E-2</v>
      </c>
    </row>
    <row r="142" spans="1:3" x14ac:dyDescent="0.2">
      <c r="A142">
        <v>5250</v>
      </c>
      <c r="B142">
        <f t="shared" si="4"/>
        <v>87.5</v>
      </c>
      <c r="C142">
        <f t="shared" si="5"/>
        <v>1.1428571428571429E-2</v>
      </c>
    </row>
    <row r="143" spans="1:3" x14ac:dyDescent="0.2">
      <c r="A143">
        <v>5300</v>
      </c>
      <c r="B143">
        <f t="shared" si="4"/>
        <v>88.333333333333329</v>
      </c>
      <c r="C143">
        <f t="shared" si="5"/>
        <v>1.1320754716981133E-2</v>
      </c>
    </row>
    <row r="144" spans="1:3" x14ac:dyDescent="0.2">
      <c r="A144">
        <v>5350</v>
      </c>
      <c r="B144">
        <f t="shared" si="4"/>
        <v>89.166666666666671</v>
      </c>
      <c r="C144">
        <f t="shared" si="5"/>
        <v>1.1214953271028037E-2</v>
      </c>
    </row>
    <row r="145" spans="1:3" x14ac:dyDescent="0.2">
      <c r="A145">
        <v>5400</v>
      </c>
      <c r="B145">
        <f t="shared" si="4"/>
        <v>90</v>
      </c>
      <c r="C145">
        <f t="shared" si="5"/>
        <v>1.1111111111111112E-2</v>
      </c>
    </row>
    <row r="146" spans="1:3" x14ac:dyDescent="0.2">
      <c r="A146">
        <v>5450</v>
      </c>
      <c r="B146">
        <f t="shared" si="4"/>
        <v>90.833333333333329</v>
      </c>
      <c r="C146">
        <f t="shared" si="5"/>
        <v>1.1009174311926606E-2</v>
      </c>
    </row>
    <row r="147" spans="1:3" x14ac:dyDescent="0.2">
      <c r="A147">
        <v>5500</v>
      </c>
      <c r="B147">
        <f t="shared" si="4"/>
        <v>91.666666666666671</v>
      </c>
      <c r="C147">
        <f t="shared" si="5"/>
        <v>1.0909090909090908E-2</v>
      </c>
    </row>
    <row r="148" spans="1:3" x14ac:dyDescent="0.2">
      <c r="A148">
        <v>5550</v>
      </c>
      <c r="B148">
        <f t="shared" si="4"/>
        <v>92.5</v>
      </c>
      <c r="C148">
        <f t="shared" si="5"/>
        <v>1.0810810810810811E-2</v>
      </c>
    </row>
    <row r="149" spans="1:3" x14ac:dyDescent="0.2">
      <c r="A149">
        <v>5600</v>
      </c>
      <c r="B149">
        <f t="shared" si="4"/>
        <v>93.333333333333329</v>
      </c>
      <c r="C149">
        <f t="shared" si="5"/>
        <v>1.0714285714285714E-2</v>
      </c>
    </row>
    <row r="150" spans="1:3" x14ac:dyDescent="0.2">
      <c r="A150">
        <v>5650</v>
      </c>
      <c r="B150">
        <f t="shared" si="4"/>
        <v>94.166666666666671</v>
      </c>
      <c r="C150">
        <f t="shared" si="5"/>
        <v>1.0619469026548672E-2</v>
      </c>
    </row>
    <row r="151" spans="1:3" x14ac:dyDescent="0.2">
      <c r="A151">
        <v>5700</v>
      </c>
      <c r="B151">
        <f t="shared" si="4"/>
        <v>95</v>
      </c>
      <c r="C151">
        <f t="shared" si="5"/>
        <v>1.0526315789473684E-2</v>
      </c>
    </row>
    <row r="152" spans="1:3" x14ac:dyDescent="0.2">
      <c r="A152">
        <v>5750</v>
      </c>
      <c r="B152">
        <f t="shared" si="4"/>
        <v>95.833333333333329</v>
      </c>
      <c r="C152">
        <f t="shared" si="5"/>
        <v>1.0434782608695653E-2</v>
      </c>
    </row>
    <row r="153" spans="1:3" x14ac:dyDescent="0.2">
      <c r="A153">
        <v>5800</v>
      </c>
      <c r="B153">
        <f t="shared" si="4"/>
        <v>96.666666666666671</v>
      </c>
      <c r="C153">
        <f t="shared" si="5"/>
        <v>1.0344827586206896E-2</v>
      </c>
    </row>
    <row r="154" spans="1:3" x14ac:dyDescent="0.2">
      <c r="A154">
        <v>5850</v>
      </c>
      <c r="B154">
        <f t="shared" si="4"/>
        <v>97.5</v>
      </c>
      <c r="C154">
        <f t="shared" si="5"/>
        <v>1.0256410256410256E-2</v>
      </c>
    </row>
    <row r="155" spans="1:3" x14ac:dyDescent="0.2">
      <c r="A155">
        <v>5900</v>
      </c>
      <c r="B155">
        <f t="shared" si="4"/>
        <v>98.333333333333329</v>
      </c>
      <c r="C155">
        <f t="shared" si="5"/>
        <v>1.016949152542373E-2</v>
      </c>
    </row>
    <row r="156" spans="1:3" x14ac:dyDescent="0.2">
      <c r="A156">
        <v>5950</v>
      </c>
      <c r="B156">
        <f t="shared" si="4"/>
        <v>99.166666666666671</v>
      </c>
      <c r="C156">
        <f t="shared" si="5"/>
        <v>1.0084033613445377E-2</v>
      </c>
    </row>
    <row r="157" spans="1:3" x14ac:dyDescent="0.2">
      <c r="A157">
        <v>6000</v>
      </c>
      <c r="B157">
        <f t="shared" si="4"/>
        <v>100</v>
      </c>
      <c r="C157">
        <f t="shared" si="5"/>
        <v>0.01</v>
      </c>
    </row>
    <row r="158" spans="1:3" x14ac:dyDescent="0.2">
      <c r="A158">
        <v>6050</v>
      </c>
      <c r="B158">
        <f t="shared" si="4"/>
        <v>100.83333333333333</v>
      </c>
      <c r="C158">
        <f t="shared" si="5"/>
        <v>9.9173553719008271E-3</v>
      </c>
    </row>
    <row r="159" spans="1:3" x14ac:dyDescent="0.2">
      <c r="A159">
        <v>6100</v>
      </c>
      <c r="B159">
        <f t="shared" si="4"/>
        <v>101.66666666666667</v>
      </c>
      <c r="C159">
        <f t="shared" si="5"/>
        <v>9.8360655737704909E-3</v>
      </c>
    </row>
    <row r="160" spans="1:3" x14ac:dyDescent="0.2">
      <c r="A160">
        <v>6150</v>
      </c>
      <c r="B160">
        <f t="shared" si="4"/>
        <v>102.5</v>
      </c>
      <c r="C160">
        <f t="shared" si="5"/>
        <v>9.7560975609756097E-3</v>
      </c>
    </row>
    <row r="161" spans="1:3" x14ac:dyDescent="0.2">
      <c r="A161">
        <v>6200</v>
      </c>
      <c r="B161">
        <f t="shared" si="4"/>
        <v>103.33333333333333</v>
      </c>
      <c r="C161">
        <f t="shared" si="5"/>
        <v>9.6774193548387101E-3</v>
      </c>
    </row>
    <row r="162" spans="1:3" x14ac:dyDescent="0.2">
      <c r="A162">
        <v>6250</v>
      </c>
      <c r="B162">
        <f t="shared" si="4"/>
        <v>104.16666666666667</v>
      </c>
      <c r="C162">
        <f t="shared" si="5"/>
        <v>9.5999999999999992E-3</v>
      </c>
    </row>
    <row r="163" spans="1:3" x14ac:dyDescent="0.2">
      <c r="A163">
        <v>6300</v>
      </c>
      <c r="B163">
        <f t="shared" si="4"/>
        <v>105</v>
      </c>
      <c r="C163">
        <f t="shared" si="5"/>
        <v>9.5238095238095247E-3</v>
      </c>
    </row>
    <row r="164" spans="1:3" x14ac:dyDescent="0.2">
      <c r="A164">
        <v>6350</v>
      </c>
      <c r="B164">
        <f t="shared" si="4"/>
        <v>105.83333333333333</v>
      </c>
      <c r="C164">
        <f t="shared" si="5"/>
        <v>9.4488188976377951E-3</v>
      </c>
    </row>
    <row r="165" spans="1:3" x14ac:dyDescent="0.2">
      <c r="A165">
        <v>6400</v>
      </c>
      <c r="B165">
        <f t="shared" si="4"/>
        <v>106.66666666666667</v>
      </c>
      <c r="C165">
        <f t="shared" si="5"/>
        <v>9.3749999999999997E-3</v>
      </c>
    </row>
    <row r="166" spans="1:3" x14ac:dyDescent="0.2">
      <c r="A166">
        <v>6450</v>
      </c>
      <c r="B166">
        <f t="shared" si="4"/>
        <v>107.5</v>
      </c>
      <c r="C166">
        <f t="shared" si="5"/>
        <v>9.3023255813953487E-3</v>
      </c>
    </row>
    <row r="167" spans="1:3" x14ac:dyDescent="0.2">
      <c r="A167">
        <v>6500</v>
      </c>
      <c r="B167">
        <f t="shared" si="4"/>
        <v>108.33333333333333</v>
      </c>
      <c r="C167">
        <f t="shared" si="5"/>
        <v>9.2307692307692316E-3</v>
      </c>
    </row>
    <row r="168" spans="1:3" x14ac:dyDescent="0.2">
      <c r="A168">
        <v>6550</v>
      </c>
      <c r="B168">
        <f t="shared" si="4"/>
        <v>109.16666666666667</v>
      </c>
      <c r="C168">
        <f t="shared" si="5"/>
        <v>9.1603053435114507E-3</v>
      </c>
    </row>
    <row r="169" spans="1:3" x14ac:dyDescent="0.2">
      <c r="A169">
        <v>6600</v>
      </c>
      <c r="B169">
        <f t="shared" si="4"/>
        <v>110</v>
      </c>
      <c r="C169">
        <f t="shared" si="5"/>
        <v>9.0909090909090905E-3</v>
      </c>
    </row>
    <row r="170" spans="1:3" x14ac:dyDescent="0.2">
      <c r="A170">
        <v>6650</v>
      </c>
      <c r="B170">
        <f t="shared" ref="B170:B233" si="6">A170/60</f>
        <v>110.83333333333333</v>
      </c>
      <c r="C170">
        <f t="shared" ref="C170:C233" si="7">1/B170</f>
        <v>9.0225563909774441E-3</v>
      </c>
    </row>
    <row r="171" spans="1:3" x14ac:dyDescent="0.2">
      <c r="A171">
        <v>6700</v>
      </c>
      <c r="B171">
        <f t="shared" si="6"/>
        <v>111.66666666666667</v>
      </c>
      <c r="C171">
        <f t="shared" si="7"/>
        <v>8.9552238805970137E-3</v>
      </c>
    </row>
    <row r="172" spans="1:3" x14ac:dyDescent="0.2">
      <c r="A172">
        <v>6750</v>
      </c>
      <c r="B172">
        <f t="shared" si="6"/>
        <v>112.5</v>
      </c>
      <c r="C172">
        <f t="shared" si="7"/>
        <v>8.8888888888888889E-3</v>
      </c>
    </row>
    <row r="173" spans="1:3" x14ac:dyDescent="0.2">
      <c r="A173">
        <v>6800</v>
      </c>
      <c r="B173">
        <f t="shared" si="6"/>
        <v>113.33333333333333</v>
      </c>
      <c r="C173">
        <f t="shared" si="7"/>
        <v>8.8235294117647058E-3</v>
      </c>
    </row>
    <row r="174" spans="1:3" x14ac:dyDescent="0.2">
      <c r="A174">
        <v>6850</v>
      </c>
      <c r="B174">
        <f t="shared" si="6"/>
        <v>114.16666666666667</v>
      </c>
      <c r="C174">
        <f t="shared" si="7"/>
        <v>8.7591240875912399E-3</v>
      </c>
    </row>
    <row r="175" spans="1:3" x14ac:dyDescent="0.2">
      <c r="A175">
        <v>6900</v>
      </c>
      <c r="B175">
        <f t="shared" si="6"/>
        <v>115</v>
      </c>
      <c r="C175">
        <f t="shared" si="7"/>
        <v>8.6956521739130436E-3</v>
      </c>
    </row>
    <row r="176" spans="1:3" x14ac:dyDescent="0.2">
      <c r="A176">
        <v>6950</v>
      </c>
      <c r="B176">
        <f t="shared" si="6"/>
        <v>115.83333333333333</v>
      </c>
      <c r="C176">
        <f t="shared" si="7"/>
        <v>8.6330935251798559E-3</v>
      </c>
    </row>
    <row r="177" spans="1:3" x14ac:dyDescent="0.2">
      <c r="A177">
        <v>7000</v>
      </c>
      <c r="B177">
        <f t="shared" si="6"/>
        <v>116.66666666666667</v>
      </c>
      <c r="C177">
        <f t="shared" si="7"/>
        <v>8.5714285714285719E-3</v>
      </c>
    </row>
    <row r="178" spans="1:3" x14ac:dyDescent="0.2">
      <c r="A178">
        <v>7050</v>
      </c>
      <c r="B178">
        <f t="shared" si="6"/>
        <v>117.5</v>
      </c>
      <c r="C178">
        <f t="shared" si="7"/>
        <v>8.5106382978723406E-3</v>
      </c>
    </row>
    <row r="179" spans="1:3" x14ac:dyDescent="0.2">
      <c r="A179">
        <v>7100</v>
      </c>
      <c r="B179">
        <f t="shared" si="6"/>
        <v>118.33333333333333</v>
      </c>
      <c r="C179">
        <f t="shared" si="7"/>
        <v>8.4507042253521136E-3</v>
      </c>
    </row>
    <row r="180" spans="1:3" x14ac:dyDescent="0.2">
      <c r="A180">
        <v>7150</v>
      </c>
      <c r="B180">
        <f t="shared" si="6"/>
        <v>119.16666666666667</v>
      </c>
      <c r="C180">
        <f t="shared" si="7"/>
        <v>8.3916083916083916E-3</v>
      </c>
    </row>
    <row r="181" spans="1:3" x14ac:dyDescent="0.2">
      <c r="A181">
        <v>7200</v>
      </c>
      <c r="B181">
        <f t="shared" si="6"/>
        <v>120</v>
      </c>
      <c r="C181">
        <f t="shared" si="7"/>
        <v>8.3333333333333332E-3</v>
      </c>
    </row>
    <row r="182" spans="1:3" x14ac:dyDescent="0.2">
      <c r="A182">
        <v>7250</v>
      </c>
      <c r="B182">
        <f t="shared" si="6"/>
        <v>120.83333333333333</v>
      </c>
      <c r="C182">
        <f t="shared" si="7"/>
        <v>8.2758620689655175E-3</v>
      </c>
    </row>
    <row r="183" spans="1:3" x14ac:dyDescent="0.2">
      <c r="A183">
        <v>7300</v>
      </c>
      <c r="B183">
        <f t="shared" si="6"/>
        <v>121.66666666666667</v>
      </c>
      <c r="C183">
        <f t="shared" si="7"/>
        <v>8.21917808219178E-3</v>
      </c>
    </row>
    <row r="184" spans="1:3" x14ac:dyDescent="0.2">
      <c r="A184">
        <v>7350</v>
      </c>
      <c r="B184">
        <f t="shared" si="6"/>
        <v>122.5</v>
      </c>
      <c r="C184">
        <f t="shared" si="7"/>
        <v>8.1632653061224497E-3</v>
      </c>
    </row>
    <row r="185" spans="1:3" x14ac:dyDescent="0.2">
      <c r="A185">
        <v>7400</v>
      </c>
      <c r="B185">
        <f t="shared" si="6"/>
        <v>123.33333333333333</v>
      </c>
      <c r="C185">
        <f t="shared" si="7"/>
        <v>8.1081081081081086E-3</v>
      </c>
    </row>
    <row r="186" spans="1:3" x14ac:dyDescent="0.2">
      <c r="A186">
        <v>7450</v>
      </c>
      <c r="B186">
        <f t="shared" si="6"/>
        <v>124.16666666666667</v>
      </c>
      <c r="C186">
        <f t="shared" si="7"/>
        <v>8.0536912751677844E-3</v>
      </c>
    </row>
    <row r="187" spans="1:3" x14ac:dyDescent="0.2">
      <c r="A187">
        <v>7500</v>
      </c>
      <c r="B187">
        <f t="shared" si="6"/>
        <v>125</v>
      </c>
      <c r="C187">
        <f t="shared" si="7"/>
        <v>8.0000000000000002E-3</v>
      </c>
    </row>
    <row r="188" spans="1:3" x14ac:dyDescent="0.2">
      <c r="A188">
        <v>7550</v>
      </c>
      <c r="B188">
        <f t="shared" si="6"/>
        <v>125.83333333333333</v>
      </c>
      <c r="C188">
        <f t="shared" si="7"/>
        <v>7.9470198675496689E-3</v>
      </c>
    </row>
    <row r="189" spans="1:3" x14ac:dyDescent="0.2">
      <c r="A189">
        <v>7600</v>
      </c>
      <c r="B189">
        <f t="shared" si="6"/>
        <v>126.66666666666667</v>
      </c>
      <c r="C189">
        <f t="shared" si="7"/>
        <v>7.8947368421052634E-3</v>
      </c>
    </row>
    <row r="190" spans="1:3" x14ac:dyDescent="0.2">
      <c r="A190">
        <v>7650</v>
      </c>
      <c r="B190">
        <f t="shared" si="6"/>
        <v>127.5</v>
      </c>
      <c r="C190">
        <f t="shared" si="7"/>
        <v>7.8431372549019607E-3</v>
      </c>
    </row>
    <row r="191" spans="1:3" x14ac:dyDescent="0.2">
      <c r="A191">
        <v>7700</v>
      </c>
      <c r="B191">
        <f t="shared" si="6"/>
        <v>128.33333333333334</v>
      </c>
      <c r="C191">
        <f t="shared" si="7"/>
        <v>7.7922077922077913E-3</v>
      </c>
    </row>
    <row r="192" spans="1:3" x14ac:dyDescent="0.2">
      <c r="A192">
        <v>7750</v>
      </c>
      <c r="B192">
        <f t="shared" si="6"/>
        <v>129.16666666666666</v>
      </c>
      <c r="C192">
        <f t="shared" si="7"/>
        <v>7.7419354838709686E-3</v>
      </c>
    </row>
    <row r="193" spans="1:3" x14ac:dyDescent="0.2">
      <c r="A193">
        <v>7800</v>
      </c>
      <c r="B193">
        <f t="shared" si="6"/>
        <v>130</v>
      </c>
      <c r="C193">
        <f t="shared" si="7"/>
        <v>7.6923076923076927E-3</v>
      </c>
    </row>
    <row r="194" spans="1:3" x14ac:dyDescent="0.2">
      <c r="A194">
        <v>7850</v>
      </c>
      <c r="B194">
        <f t="shared" si="6"/>
        <v>130.83333333333334</v>
      </c>
      <c r="C194">
        <f t="shared" si="7"/>
        <v>7.6433121019108272E-3</v>
      </c>
    </row>
    <row r="195" spans="1:3" x14ac:dyDescent="0.2">
      <c r="A195">
        <v>7900</v>
      </c>
      <c r="B195">
        <f t="shared" si="6"/>
        <v>131.66666666666666</v>
      </c>
      <c r="C195">
        <f t="shared" si="7"/>
        <v>7.5949367088607601E-3</v>
      </c>
    </row>
    <row r="196" spans="1:3" x14ac:dyDescent="0.2">
      <c r="A196">
        <v>7950</v>
      </c>
      <c r="B196">
        <f t="shared" si="6"/>
        <v>132.5</v>
      </c>
      <c r="C196">
        <f t="shared" si="7"/>
        <v>7.5471698113207548E-3</v>
      </c>
    </row>
    <row r="197" spans="1:3" x14ac:dyDescent="0.2">
      <c r="A197">
        <v>8000</v>
      </c>
      <c r="B197">
        <f t="shared" si="6"/>
        <v>133.33333333333334</v>
      </c>
      <c r="C197">
        <f t="shared" si="7"/>
        <v>7.4999999999999997E-3</v>
      </c>
    </row>
    <row r="198" spans="1:3" x14ac:dyDescent="0.2">
      <c r="A198">
        <v>8050</v>
      </c>
      <c r="B198">
        <f t="shared" si="6"/>
        <v>134.16666666666666</v>
      </c>
      <c r="C198">
        <f t="shared" si="7"/>
        <v>7.4534161490683237E-3</v>
      </c>
    </row>
    <row r="199" spans="1:3" x14ac:dyDescent="0.2">
      <c r="A199">
        <v>8100</v>
      </c>
      <c r="B199">
        <f t="shared" si="6"/>
        <v>135</v>
      </c>
      <c r="C199">
        <f t="shared" si="7"/>
        <v>7.4074074074074077E-3</v>
      </c>
    </row>
    <row r="200" spans="1:3" x14ac:dyDescent="0.2">
      <c r="A200">
        <v>8150</v>
      </c>
      <c r="B200">
        <f t="shared" si="6"/>
        <v>135.83333333333334</v>
      </c>
      <c r="C200">
        <f t="shared" si="7"/>
        <v>7.3619631901840482E-3</v>
      </c>
    </row>
    <row r="201" spans="1:3" x14ac:dyDescent="0.2">
      <c r="A201">
        <v>8200</v>
      </c>
      <c r="B201">
        <f t="shared" si="6"/>
        <v>136.66666666666666</v>
      </c>
      <c r="C201">
        <f t="shared" si="7"/>
        <v>7.3170731707317077E-3</v>
      </c>
    </row>
    <row r="202" spans="1:3" x14ac:dyDescent="0.2">
      <c r="A202">
        <v>8250</v>
      </c>
      <c r="B202">
        <f t="shared" si="6"/>
        <v>137.5</v>
      </c>
      <c r="C202">
        <f t="shared" si="7"/>
        <v>7.2727272727272727E-3</v>
      </c>
    </row>
    <row r="203" spans="1:3" x14ac:dyDescent="0.2">
      <c r="A203">
        <v>8300</v>
      </c>
      <c r="B203">
        <f t="shared" si="6"/>
        <v>138.33333333333334</v>
      </c>
      <c r="C203">
        <f t="shared" si="7"/>
        <v>7.2289156626506017E-3</v>
      </c>
    </row>
    <row r="204" spans="1:3" x14ac:dyDescent="0.2">
      <c r="A204">
        <v>8350</v>
      </c>
      <c r="B204">
        <f t="shared" si="6"/>
        <v>139.16666666666666</v>
      </c>
      <c r="C204">
        <f t="shared" si="7"/>
        <v>7.1856287425149708E-3</v>
      </c>
    </row>
    <row r="205" spans="1:3" x14ac:dyDescent="0.2">
      <c r="A205">
        <v>8400</v>
      </c>
      <c r="B205">
        <f t="shared" si="6"/>
        <v>140</v>
      </c>
      <c r="C205">
        <f t="shared" si="7"/>
        <v>7.1428571428571426E-3</v>
      </c>
    </row>
    <row r="206" spans="1:3" x14ac:dyDescent="0.2">
      <c r="A206">
        <v>8450</v>
      </c>
      <c r="B206">
        <f t="shared" si="6"/>
        <v>140.83333333333334</v>
      </c>
      <c r="C206">
        <f t="shared" si="7"/>
        <v>7.100591715976331E-3</v>
      </c>
    </row>
    <row r="207" spans="1:3" x14ac:dyDescent="0.2">
      <c r="A207">
        <v>8500</v>
      </c>
      <c r="B207">
        <f t="shared" si="6"/>
        <v>141.66666666666666</v>
      </c>
      <c r="C207">
        <f t="shared" si="7"/>
        <v>7.058823529411765E-3</v>
      </c>
    </row>
    <row r="208" spans="1:3" x14ac:dyDescent="0.2">
      <c r="A208">
        <v>8550</v>
      </c>
      <c r="B208">
        <f t="shared" si="6"/>
        <v>142.5</v>
      </c>
      <c r="C208">
        <f t="shared" si="7"/>
        <v>7.0175438596491229E-3</v>
      </c>
    </row>
    <row r="209" spans="1:3" x14ac:dyDescent="0.2">
      <c r="A209">
        <v>8600</v>
      </c>
      <c r="B209">
        <f t="shared" si="6"/>
        <v>143.33333333333334</v>
      </c>
      <c r="C209">
        <f t="shared" si="7"/>
        <v>6.9767441860465115E-3</v>
      </c>
    </row>
    <row r="210" spans="1:3" x14ac:dyDescent="0.2">
      <c r="A210">
        <v>8650</v>
      </c>
      <c r="B210">
        <f t="shared" si="6"/>
        <v>144.16666666666666</v>
      </c>
      <c r="C210">
        <f t="shared" si="7"/>
        <v>6.9364161849710991E-3</v>
      </c>
    </row>
    <row r="211" spans="1:3" x14ac:dyDescent="0.2">
      <c r="A211">
        <v>8700</v>
      </c>
      <c r="B211">
        <f t="shared" si="6"/>
        <v>145</v>
      </c>
      <c r="C211">
        <f t="shared" si="7"/>
        <v>6.8965517241379309E-3</v>
      </c>
    </row>
    <row r="212" spans="1:3" x14ac:dyDescent="0.2">
      <c r="A212">
        <v>8750</v>
      </c>
      <c r="B212">
        <f t="shared" si="6"/>
        <v>145.83333333333334</v>
      </c>
      <c r="C212">
        <f t="shared" si="7"/>
        <v>6.8571428571428568E-3</v>
      </c>
    </row>
    <row r="213" spans="1:3" x14ac:dyDescent="0.2">
      <c r="A213">
        <v>8800</v>
      </c>
      <c r="B213">
        <f t="shared" si="6"/>
        <v>146.66666666666666</v>
      </c>
      <c r="C213">
        <f t="shared" si="7"/>
        <v>6.8181818181818187E-3</v>
      </c>
    </row>
    <row r="214" spans="1:3" x14ac:dyDescent="0.2">
      <c r="A214">
        <v>8850</v>
      </c>
      <c r="B214">
        <f t="shared" si="6"/>
        <v>147.5</v>
      </c>
      <c r="C214">
        <f t="shared" si="7"/>
        <v>6.7796610169491523E-3</v>
      </c>
    </row>
    <row r="215" spans="1:3" x14ac:dyDescent="0.2">
      <c r="A215">
        <v>8900</v>
      </c>
      <c r="B215">
        <f t="shared" si="6"/>
        <v>148.33333333333334</v>
      </c>
      <c r="C215">
        <f t="shared" si="7"/>
        <v>6.7415730337078645E-3</v>
      </c>
    </row>
    <row r="216" spans="1:3" x14ac:dyDescent="0.2">
      <c r="A216">
        <v>8950</v>
      </c>
      <c r="B216">
        <f t="shared" si="6"/>
        <v>149.16666666666666</v>
      </c>
      <c r="C216">
        <f t="shared" si="7"/>
        <v>6.7039106145251404E-3</v>
      </c>
    </row>
    <row r="217" spans="1:3" x14ac:dyDescent="0.2">
      <c r="A217">
        <v>9000</v>
      </c>
      <c r="B217">
        <f t="shared" si="6"/>
        <v>150</v>
      </c>
      <c r="C217">
        <f t="shared" si="7"/>
        <v>6.6666666666666671E-3</v>
      </c>
    </row>
    <row r="218" spans="1:3" x14ac:dyDescent="0.2">
      <c r="A218">
        <v>9050</v>
      </c>
      <c r="B218">
        <f t="shared" si="6"/>
        <v>150.83333333333334</v>
      </c>
      <c r="C218">
        <f t="shared" si="7"/>
        <v>6.6298342541436456E-3</v>
      </c>
    </row>
    <row r="219" spans="1:3" x14ac:dyDescent="0.2">
      <c r="A219">
        <v>9100</v>
      </c>
      <c r="B219">
        <f t="shared" si="6"/>
        <v>151.66666666666666</v>
      </c>
      <c r="C219">
        <f t="shared" si="7"/>
        <v>6.5934065934065934E-3</v>
      </c>
    </row>
    <row r="220" spans="1:3" x14ac:dyDescent="0.2">
      <c r="A220">
        <v>9150</v>
      </c>
      <c r="B220">
        <f t="shared" si="6"/>
        <v>152.5</v>
      </c>
      <c r="C220">
        <f t="shared" si="7"/>
        <v>6.5573770491803279E-3</v>
      </c>
    </row>
    <row r="221" spans="1:3" x14ac:dyDescent="0.2">
      <c r="A221">
        <v>9200</v>
      </c>
      <c r="B221">
        <f t="shared" si="6"/>
        <v>153.33333333333334</v>
      </c>
      <c r="C221">
        <f t="shared" si="7"/>
        <v>6.5217391304347823E-3</v>
      </c>
    </row>
    <row r="222" spans="1:3" x14ac:dyDescent="0.2">
      <c r="A222">
        <v>9250</v>
      </c>
      <c r="B222">
        <f t="shared" si="6"/>
        <v>154.16666666666666</v>
      </c>
      <c r="C222">
        <f t="shared" si="7"/>
        <v>6.486486486486487E-3</v>
      </c>
    </row>
    <row r="223" spans="1:3" x14ac:dyDescent="0.2">
      <c r="A223">
        <v>9300</v>
      </c>
      <c r="B223">
        <f t="shared" si="6"/>
        <v>155</v>
      </c>
      <c r="C223">
        <f t="shared" si="7"/>
        <v>6.4516129032258064E-3</v>
      </c>
    </row>
    <row r="224" spans="1:3" x14ac:dyDescent="0.2">
      <c r="A224">
        <v>9350</v>
      </c>
      <c r="B224">
        <f t="shared" si="6"/>
        <v>155.83333333333334</v>
      </c>
      <c r="C224">
        <f t="shared" si="7"/>
        <v>6.4171122994652399E-3</v>
      </c>
    </row>
    <row r="225" spans="1:3" x14ac:dyDescent="0.2">
      <c r="A225">
        <v>9400</v>
      </c>
      <c r="B225">
        <f t="shared" si="6"/>
        <v>156.66666666666666</v>
      </c>
      <c r="C225">
        <f t="shared" si="7"/>
        <v>6.3829787234042559E-3</v>
      </c>
    </row>
    <row r="226" spans="1:3" x14ac:dyDescent="0.2">
      <c r="A226">
        <v>9450</v>
      </c>
      <c r="B226">
        <f t="shared" si="6"/>
        <v>157.5</v>
      </c>
      <c r="C226">
        <f t="shared" si="7"/>
        <v>6.3492063492063492E-3</v>
      </c>
    </row>
    <row r="227" spans="1:3" x14ac:dyDescent="0.2">
      <c r="A227">
        <v>9500</v>
      </c>
      <c r="B227">
        <f t="shared" si="6"/>
        <v>158.33333333333334</v>
      </c>
      <c r="C227">
        <f t="shared" si="7"/>
        <v>6.3157894736842104E-3</v>
      </c>
    </row>
    <row r="228" spans="1:3" x14ac:dyDescent="0.2">
      <c r="A228">
        <v>9550</v>
      </c>
      <c r="B228">
        <f t="shared" si="6"/>
        <v>159.16666666666666</v>
      </c>
      <c r="C228">
        <f t="shared" si="7"/>
        <v>6.2827225130890054E-3</v>
      </c>
    </row>
    <row r="229" spans="1:3" x14ac:dyDescent="0.2">
      <c r="A229">
        <v>9600</v>
      </c>
      <c r="B229">
        <f t="shared" si="6"/>
        <v>160</v>
      </c>
      <c r="C229">
        <f t="shared" si="7"/>
        <v>6.2500000000000003E-3</v>
      </c>
    </row>
    <row r="230" spans="1:3" x14ac:dyDescent="0.2">
      <c r="A230">
        <v>9650</v>
      </c>
      <c r="B230">
        <f t="shared" si="6"/>
        <v>160.83333333333334</v>
      </c>
      <c r="C230">
        <f t="shared" si="7"/>
        <v>6.2176165803108805E-3</v>
      </c>
    </row>
    <row r="231" spans="1:3" x14ac:dyDescent="0.2">
      <c r="A231">
        <v>9700</v>
      </c>
      <c r="B231">
        <f t="shared" si="6"/>
        <v>161.66666666666666</v>
      </c>
      <c r="C231">
        <f t="shared" si="7"/>
        <v>6.1855670103092789E-3</v>
      </c>
    </row>
    <row r="232" spans="1:3" x14ac:dyDescent="0.2">
      <c r="A232">
        <v>9750</v>
      </c>
      <c r="B232">
        <f t="shared" si="6"/>
        <v>162.5</v>
      </c>
      <c r="C232">
        <f t="shared" si="7"/>
        <v>6.1538461538461538E-3</v>
      </c>
    </row>
    <row r="233" spans="1:3" x14ac:dyDescent="0.2">
      <c r="A233">
        <v>9800</v>
      </c>
      <c r="B233">
        <f t="shared" si="6"/>
        <v>163.33333333333334</v>
      </c>
      <c r="C233">
        <f t="shared" si="7"/>
        <v>6.1224489795918364E-3</v>
      </c>
    </row>
    <row r="234" spans="1:3" x14ac:dyDescent="0.2">
      <c r="A234">
        <v>9850</v>
      </c>
      <c r="B234">
        <f t="shared" ref="B234:B297" si="8">A234/60</f>
        <v>164.16666666666666</v>
      </c>
      <c r="C234">
        <f t="shared" ref="C234:C297" si="9">1/B234</f>
        <v>6.0913705583756353E-3</v>
      </c>
    </row>
    <row r="235" spans="1:3" x14ac:dyDescent="0.2">
      <c r="A235">
        <v>9900</v>
      </c>
      <c r="B235">
        <f t="shared" si="8"/>
        <v>165</v>
      </c>
      <c r="C235">
        <f t="shared" si="9"/>
        <v>6.0606060606060606E-3</v>
      </c>
    </row>
    <row r="236" spans="1:3" x14ac:dyDescent="0.2">
      <c r="A236">
        <v>9950</v>
      </c>
      <c r="B236">
        <f t="shared" si="8"/>
        <v>165.83333333333334</v>
      </c>
      <c r="C236">
        <f t="shared" si="9"/>
        <v>6.030150753768844E-3</v>
      </c>
    </row>
    <row r="237" spans="1:3" x14ac:dyDescent="0.2">
      <c r="A237">
        <v>10000</v>
      </c>
      <c r="B237">
        <f t="shared" si="8"/>
        <v>166.66666666666666</v>
      </c>
      <c r="C237">
        <f t="shared" si="9"/>
        <v>6.0000000000000001E-3</v>
      </c>
    </row>
    <row r="238" spans="1:3" x14ac:dyDescent="0.2">
      <c r="A238">
        <v>10050</v>
      </c>
      <c r="B238">
        <f t="shared" si="8"/>
        <v>167.5</v>
      </c>
      <c r="C238">
        <f t="shared" si="9"/>
        <v>5.9701492537313433E-3</v>
      </c>
    </row>
    <row r="239" spans="1:3" x14ac:dyDescent="0.2">
      <c r="A239">
        <v>10100</v>
      </c>
      <c r="B239">
        <f t="shared" si="8"/>
        <v>168.33333333333334</v>
      </c>
      <c r="C239">
        <f t="shared" si="9"/>
        <v>5.9405940594059407E-3</v>
      </c>
    </row>
    <row r="240" spans="1:3" x14ac:dyDescent="0.2">
      <c r="A240">
        <v>10150</v>
      </c>
      <c r="B240">
        <f t="shared" si="8"/>
        <v>169.16666666666666</v>
      </c>
      <c r="C240">
        <f t="shared" si="9"/>
        <v>5.9113300492610842E-3</v>
      </c>
    </row>
    <row r="241" spans="1:3" x14ac:dyDescent="0.2">
      <c r="A241">
        <v>10200</v>
      </c>
      <c r="B241">
        <f t="shared" si="8"/>
        <v>170</v>
      </c>
      <c r="C241">
        <f t="shared" si="9"/>
        <v>5.8823529411764705E-3</v>
      </c>
    </row>
    <row r="242" spans="1:3" x14ac:dyDescent="0.2">
      <c r="A242">
        <v>10250</v>
      </c>
      <c r="B242">
        <f t="shared" si="8"/>
        <v>170.83333333333334</v>
      </c>
      <c r="C242">
        <f t="shared" si="9"/>
        <v>5.8536585365853658E-3</v>
      </c>
    </row>
    <row r="243" spans="1:3" x14ac:dyDescent="0.2">
      <c r="A243">
        <v>10300</v>
      </c>
      <c r="B243">
        <f t="shared" si="8"/>
        <v>171.66666666666666</v>
      </c>
      <c r="C243">
        <f t="shared" si="9"/>
        <v>5.8252427184466021E-3</v>
      </c>
    </row>
    <row r="244" spans="1:3" x14ac:dyDescent="0.2">
      <c r="A244">
        <v>10350</v>
      </c>
      <c r="B244">
        <f t="shared" si="8"/>
        <v>172.5</v>
      </c>
      <c r="C244">
        <f t="shared" si="9"/>
        <v>5.7971014492753624E-3</v>
      </c>
    </row>
    <row r="245" spans="1:3" x14ac:dyDescent="0.2">
      <c r="A245">
        <v>10400</v>
      </c>
      <c r="B245">
        <f t="shared" si="8"/>
        <v>173.33333333333334</v>
      </c>
      <c r="C245">
        <f t="shared" si="9"/>
        <v>5.7692307692307687E-3</v>
      </c>
    </row>
    <row r="246" spans="1:3" x14ac:dyDescent="0.2">
      <c r="A246">
        <v>10450</v>
      </c>
      <c r="B246">
        <f t="shared" si="8"/>
        <v>174.16666666666666</v>
      </c>
      <c r="C246">
        <f t="shared" si="9"/>
        <v>5.7416267942583732E-3</v>
      </c>
    </row>
    <row r="247" spans="1:3" x14ac:dyDescent="0.2">
      <c r="A247">
        <v>10500</v>
      </c>
      <c r="B247">
        <f t="shared" si="8"/>
        <v>175</v>
      </c>
      <c r="C247">
        <f t="shared" si="9"/>
        <v>5.7142857142857143E-3</v>
      </c>
    </row>
    <row r="248" spans="1:3" x14ac:dyDescent="0.2">
      <c r="A248">
        <v>10550</v>
      </c>
      <c r="B248">
        <f t="shared" si="8"/>
        <v>175.83333333333334</v>
      </c>
      <c r="C248">
        <f t="shared" si="9"/>
        <v>5.6872037914691941E-3</v>
      </c>
    </row>
    <row r="249" spans="1:3" x14ac:dyDescent="0.2">
      <c r="A249">
        <v>10600</v>
      </c>
      <c r="B249">
        <f t="shared" si="8"/>
        <v>176.66666666666666</v>
      </c>
      <c r="C249">
        <f t="shared" si="9"/>
        <v>5.6603773584905665E-3</v>
      </c>
    </row>
    <row r="250" spans="1:3" x14ac:dyDescent="0.2">
      <c r="A250">
        <v>10650</v>
      </c>
      <c r="B250">
        <f t="shared" si="8"/>
        <v>177.5</v>
      </c>
      <c r="C250">
        <f t="shared" si="9"/>
        <v>5.6338028169014088E-3</v>
      </c>
    </row>
    <row r="251" spans="1:3" x14ac:dyDescent="0.2">
      <c r="A251">
        <v>10700</v>
      </c>
      <c r="B251">
        <f t="shared" si="8"/>
        <v>178.33333333333334</v>
      </c>
      <c r="C251">
        <f t="shared" si="9"/>
        <v>5.6074766355140183E-3</v>
      </c>
    </row>
    <row r="252" spans="1:3" x14ac:dyDescent="0.2">
      <c r="A252">
        <v>10750</v>
      </c>
      <c r="B252">
        <f t="shared" si="8"/>
        <v>179.16666666666666</v>
      </c>
      <c r="C252">
        <f t="shared" si="9"/>
        <v>5.5813953488372094E-3</v>
      </c>
    </row>
    <row r="253" spans="1:3" x14ac:dyDescent="0.2">
      <c r="A253">
        <v>10800</v>
      </c>
      <c r="B253">
        <f t="shared" si="8"/>
        <v>180</v>
      </c>
      <c r="C253">
        <f t="shared" si="9"/>
        <v>5.5555555555555558E-3</v>
      </c>
    </row>
    <row r="254" spans="1:3" x14ac:dyDescent="0.2">
      <c r="A254">
        <v>10850</v>
      </c>
      <c r="B254">
        <f t="shared" si="8"/>
        <v>180.83333333333334</v>
      </c>
      <c r="C254">
        <f t="shared" si="9"/>
        <v>5.5299539170506912E-3</v>
      </c>
    </row>
    <row r="255" spans="1:3" x14ac:dyDescent="0.2">
      <c r="A255">
        <v>10900</v>
      </c>
      <c r="B255">
        <f t="shared" si="8"/>
        <v>181.66666666666666</v>
      </c>
      <c r="C255">
        <f t="shared" si="9"/>
        <v>5.5045871559633031E-3</v>
      </c>
    </row>
    <row r="256" spans="1:3" x14ac:dyDescent="0.2">
      <c r="A256">
        <v>10950</v>
      </c>
      <c r="B256">
        <f t="shared" si="8"/>
        <v>182.5</v>
      </c>
      <c r="C256">
        <f t="shared" si="9"/>
        <v>5.4794520547945206E-3</v>
      </c>
    </row>
    <row r="257" spans="1:3" x14ac:dyDescent="0.2">
      <c r="A257">
        <v>11000</v>
      </c>
      <c r="B257">
        <f t="shared" si="8"/>
        <v>183.33333333333334</v>
      </c>
      <c r="C257">
        <f t="shared" si="9"/>
        <v>5.4545454545454541E-3</v>
      </c>
    </row>
    <row r="258" spans="1:3" x14ac:dyDescent="0.2">
      <c r="A258">
        <v>11050</v>
      </c>
      <c r="B258">
        <f t="shared" si="8"/>
        <v>184.16666666666666</v>
      </c>
      <c r="C258">
        <f t="shared" si="9"/>
        <v>5.4298642533936658E-3</v>
      </c>
    </row>
    <row r="259" spans="1:3" x14ac:dyDescent="0.2">
      <c r="A259">
        <v>11100</v>
      </c>
      <c r="B259">
        <f t="shared" si="8"/>
        <v>185</v>
      </c>
      <c r="C259">
        <f t="shared" si="9"/>
        <v>5.4054054054054057E-3</v>
      </c>
    </row>
    <row r="260" spans="1:3" x14ac:dyDescent="0.2">
      <c r="A260">
        <v>11150</v>
      </c>
      <c r="B260">
        <f t="shared" si="8"/>
        <v>185.83333333333334</v>
      </c>
      <c r="C260">
        <f t="shared" si="9"/>
        <v>5.3811659192825106E-3</v>
      </c>
    </row>
    <row r="261" spans="1:3" x14ac:dyDescent="0.2">
      <c r="A261">
        <v>11200</v>
      </c>
      <c r="B261">
        <f t="shared" si="8"/>
        <v>186.66666666666666</v>
      </c>
      <c r="C261">
        <f t="shared" si="9"/>
        <v>5.3571428571428572E-3</v>
      </c>
    </row>
    <row r="262" spans="1:3" x14ac:dyDescent="0.2">
      <c r="A262">
        <v>11250</v>
      </c>
      <c r="B262">
        <f t="shared" si="8"/>
        <v>187.5</v>
      </c>
      <c r="C262">
        <f t="shared" si="9"/>
        <v>5.3333333333333332E-3</v>
      </c>
    </row>
    <row r="263" spans="1:3" x14ac:dyDescent="0.2">
      <c r="A263">
        <v>11300</v>
      </c>
      <c r="B263">
        <f t="shared" si="8"/>
        <v>188.33333333333334</v>
      </c>
      <c r="C263">
        <f t="shared" si="9"/>
        <v>5.3097345132743362E-3</v>
      </c>
    </row>
    <row r="264" spans="1:3" x14ac:dyDescent="0.2">
      <c r="A264">
        <v>11350</v>
      </c>
      <c r="B264">
        <f t="shared" si="8"/>
        <v>189.16666666666666</v>
      </c>
      <c r="C264">
        <f t="shared" si="9"/>
        <v>5.2863436123348024E-3</v>
      </c>
    </row>
    <row r="265" spans="1:3" x14ac:dyDescent="0.2">
      <c r="A265">
        <v>11400</v>
      </c>
      <c r="B265">
        <f t="shared" si="8"/>
        <v>190</v>
      </c>
      <c r="C265">
        <f t="shared" si="9"/>
        <v>5.263157894736842E-3</v>
      </c>
    </row>
    <row r="266" spans="1:3" x14ac:dyDescent="0.2">
      <c r="A266">
        <v>11450</v>
      </c>
      <c r="B266">
        <f t="shared" si="8"/>
        <v>190.83333333333334</v>
      </c>
      <c r="C266">
        <f t="shared" si="9"/>
        <v>5.2401746724890829E-3</v>
      </c>
    </row>
    <row r="267" spans="1:3" x14ac:dyDescent="0.2">
      <c r="A267">
        <v>11500</v>
      </c>
      <c r="B267">
        <f t="shared" si="8"/>
        <v>191.66666666666666</v>
      </c>
      <c r="C267">
        <f t="shared" si="9"/>
        <v>5.2173913043478265E-3</v>
      </c>
    </row>
    <row r="268" spans="1:3" x14ac:dyDescent="0.2">
      <c r="A268">
        <v>11550</v>
      </c>
      <c r="B268">
        <f t="shared" si="8"/>
        <v>192.5</v>
      </c>
      <c r="C268">
        <f t="shared" si="9"/>
        <v>5.1948051948051948E-3</v>
      </c>
    </row>
    <row r="269" spans="1:3" x14ac:dyDescent="0.2">
      <c r="A269">
        <v>11600</v>
      </c>
      <c r="B269">
        <f t="shared" si="8"/>
        <v>193.33333333333334</v>
      </c>
      <c r="C269">
        <f t="shared" si="9"/>
        <v>5.1724137931034482E-3</v>
      </c>
    </row>
    <row r="270" spans="1:3" x14ac:dyDescent="0.2">
      <c r="A270">
        <v>11650</v>
      </c>
      <c r="B270">
        <f t="shared" si="8"/>
        <v>194.16666666666666</v>
      </c>
      <c r="C270">
        <f t="shared" si="9"/>
        <v>5.1502145922746783E-3</v>
      </c>
    </row>
    <row r="271" spans="1:3" x14ac:dyDescent="0.2">
      <c r="A271">
        <v>11700</v>
      </c>
      <c r="B271">
        <f t="shared" si="8"/>
        <v>195</v>
      </c>
      <c r="C271">
        <f t="shared" si="9"/>
        <v>5.1282051282051282E-3</v>
      </c>
    </row>
    <row r="272" spans="1:3" x14ac:dyDescent="0.2">
      <c r="A272">
        <v>11750</v>
      </c>
      <c r="B272">
        <f t="shared" si="8"/>
        <v>195.83333333333334</v>
      </c>
      <c r="C272">
        <f t="shared" si="9"/>
        <v>5.106382978723404E-3</v>
      </c>
    </row>
    <row r="273" spans="1:3" x14ac:dyDescent="0.2">
      <c r="A273">
        <v>11800</v>
      </c>
      <c r="B273">
        <f t="shared" si="8"/>
        <v>196.66666666666666</v>
      </c>
      <c r="C273">
        <f t="shared" si="9"/>
        <v>5.0847457627118649E-3</v>
      </c>
    </row>
    <row r="274" spans="1:3" x14ac:dyDescent="0.2">
      <c r="A274">
        <v>11850</v>
      </c>
      <c r="B274">
        <f t="shared" si="8"/>
        <v>197.5</v>
      </c>
      <c r="C274">
        <f t="shared" si="9"/>
        <v>5.0632911392405064E-3</v>
      </c>
    </row>
    <row r="275" spans="1:3" x14ac:dyDescent="0.2">
      <c r="A275">
        <v>11900</v>
      </c>
      <c r="B275">
        <f t="shared" si="8"/>
        <v>198.33333333333334</v>
      </c>
      <c r="C275">
        <f t="shared" si="9"/>
        <v>5.0420168067226885E-3</v>
      </c>
    </row>
    <row r="276" spans="1:3" x14ac:dyDescent="0.2">
      <c r="A276">
        <v>11950</v>
      </c>
      <c r="B276">
        <f t="shared" si="8"/>
        <v>199.16666666666666</v>
      </c>
      <c r="C276">
        <f t="shared" si="9"/>
        <v>5.0209205020920501E-3</v>
      </c>
    </row>
    <row r="277" spans="1:3" x14ac:dyDescent="0.2">
      <c r="A277">
        <v>12000</v>
      </c>
      <c r="B277">
        <f t="shared" si="8"/>
        <v>200</v>
      </c>
      <c r="C277">
        <f t="shared" si="9"/>
        <v>5.0000000000000001E-3</v>
      </c>
    </row>
    <row r="278" spans="1:3" x14ac:dyDescent="0.2">
      <c r="A278">
        <v>12050</v>
      </c>
      <c r="B278">
        <f t="shared" si="8"/>
        <v>200.83333333333334</v>
      </c>
      <c r="C278">
        <f t="shared" si="9"/>
        <v>4.9792531120331947E-3</v>
      </c>
    </row>
    <row r="279" spans="1:3" x14ac:dyDescent="0.2">
      <c r="A279">
        <v>12100</v>
      </c>
      <c r="B279">
        <f t="shared" si="8"/>
        <v>201.66666666666666</v>
      </c>
      <c r="C279">
        <f t="shared" si="9"/>
        <v>4.9586776859504135E-3</v>
      </c>
    </row>
    <row r="280" spans="1:3" x14ac:dyDescent="0.2">
      <c r="A280">
        <v>12150</v>
      </c>
      <c r="B280">
        <f t="shared" si="8"/>
        <v>202.5</v>
      </c>
      <c r="C280">
        <f t="shared" si="9"/>
        <v>4.9382716049382715E-3</v>
      </c>
    </row>
    <row r="281" spans="1:3" x14ac:dyDescent="0.2">
      <c r="A281">
        <v>12200</v>
      </c>
      <c r="B281">
        <f t="shared" si="8"/>
        <v>203.33333333333334</v>
      </c>
      <c r="C281">
        <f t="shared" si="9"/>
        <v>4.9180327868852455E-3</v>
      </c>
    </row>
    <row r="282" spans="1:3" x14ac:dyDescent="0.2">
      <c r="A282">
        <v>12250</v>
      </c>
      <c r="B282">
        <f t="shared" si="8"/>
        <v>204.16666666666666</v>
      </c>
      <c r="C282">
        <f t="shared" si="9"/>
        <v>4.89795918367347E-3</v>
      </c>
    </row>
    <row r="283" spans="1:3" x14ac:dyDescent="0.2">
      <c r="A283">
        <v>12300</v>
      </c>
      <c r="B283">
        <f t="shared" si="8"/>
        <v>205</v>
      </c>
      <c r="C283">
        <f t="shared" si="9"/>
        <v>4.8780487804878049E-3</v>
      </c>
    </row>
    <row r="284" spans="1:3" x14ac:dyDescent="0.2">
      <c r="A284">
        <v>12350</v>
      </c>
      <c r="B284">
        <f t="shared" si="8"/>
        <v>205.83333333333334</v>
      </c>
      <c r="C284">
        <f t="shared" si="9"/>
        <v>4.8582995951416998E-3</v>
      </c>
    </row>
    <row r="285" spans="1:3" x14ac:dyDescent="0.2">
      <c r="A285">
        <v>12400</v>
      </c>
      <c r="B285">
        <f t="shared" si="8"/>
        <v>206.66666666666666</v>
      </c>
      <c r="C285">
        <f t="shared" si="9"/>
        <v>4.8387096774193551E-3</v>
      </c>
    </row>
    <row r="286" spans="1:3" x14ac:dyDescent="0.2">
      <c r="A286">
        <v>12450</v>
      </c>
      <c r="B286">
        <f t="shared" si="8"/>
        <v>207.5</v>
      </c>
      <c r="C286">
        <f t="shared" si="9"/>
        <v>4.8192771084337354E-3</v>
      </c>
    </row>
    <row r="287" spans="1:3" x14ac:dyDescent="0.2">
      <c r="A287">
        <v>12500</v>
      </c>
      <c r="B287">
        <f t="shared" si="8"/>
        <v>208.33333333333334</v>
      </c>
      <c r="C287">
        <f t="shared" si="9"/>
        <v>4.7999999999999996E-3</v>
      </c>
    </row>
    <row r="288" spans="1:3" x14ac:dyDescent="0.2">
      <c r="A288">
        <v>12550</v>
      </c>
      <c r="B288">
        <f t="shared" si="8"/>
        <v>209.16666666666666</v>
      </c>
      <c r="C288">
        <f t="shared" si="9"/>
        <v>4.780876494023905E-3</v>
      </c>
    </row>
    <row r="289" spans="1:3" x14ac:dyDescent="0.2">
      <c r="A289">
        <v>12600</v>
      </c>
      <c r="B289">
        <f t="shared" si="8"/>
        <v>210</v>
      </c>
      <c r="C289">
        <f t="shared" si="9"/>
        <v>4.7619047619047623E-3</v>
      </c>
    </row>
    <row r="290" spans="1:3" x14ac:dyDescent="0.2">
      <c r="A290">
        <v>12650</v>
      </c>
      <c r="B290">
        <f t="shared" si="8"/>
        <v>210.83333333333334</v>
      </c>
      <c r="C290">
        <f t="shared" si="9"/>
        <v>4.7430830039525687E-3</v>
      </c>
    </row>
    <row r="291" spans="1:3" x14ac:dyDescent="0.2">
      <c r="A291">
        <v>12700</v>
      </c>
      <c r="B291">
        <f t="shared" si="8"/>
        <v>211.66666666666666</v>
      </c>
      <c r="C291">
        <f t="shared" si="9"/>
        <v>4.7244094488188976E-3</v>
      </c>
    </row>
    <row r="292" spans="1:3" x14ac:dyDescent="0.2">
      <c r="A292">
        <v>12750</v>
      </c>
      <c r="B292">
        <f t="shared" si="8"/>
        <v>212.5</v>
      </c>
      <c r="C292">
        <f t="shared" si="9"/>
        <v>4.7058823529411761E-3</v>
      </c>
    </row>
    <row r="293" spans="1:3" x14ac:dyDescent="0.2">
      <c r="A293">
        <v>12800</v>
      </c>
      <c r="B293">
        <f t="shared" si="8"/>
        <v>213.33333333333334</v>
      </c>
      <c r="C293">
        <f t="shared" si="9"/>
        <v>4.6874999999999998E-3</v>
      </c>
    </row>
    <row r="294" spans="1:3" x14ac:dyDescent="0.2">
      <c r="A294">
        <v>12850</v>
      </c>
      <c r="B294">
        <f t="shared" si="8"/>
        <v>214.16666666666666</v>
      </c>
      <c r="C294">
        <f t="shared" si="9"/>
        <v>4.6692607003891049E-3</v>
      </c>
    </row>
    <row r="295" spans="1:3" x14ac:dyDescent="0.2">
      <c r="A295">
        <v>12900</v>
      </c>
      <c r="B295">
        <f t="shared" si="8"/>
        <v>215</v>
      </c>
      <c r="C295">
        <f t="shared" si="9"/>
        <v>4.6511627906976744E-3</v>
      </c>
    </row>
    <row r="296" spans="1:3" x14ac:dyDescent="0.2">
      <c r="A296">
        <v>12950</v>
      </c>
      <c r="B296">
        <f t="shared" si="8"/>
        <v>215.83333333333334</v>
      </c>
      <c r="C296">
        <f t="shared" si="9"/>
        <v>4.633204633204633E-3</v>
      </c>
    </row>
    <row r="297" spans="1:3" x14ac:dyDescent="0.2">
      <c r="A297">
        <v>13000</v>
      </c>
      <c r="B297">
        <f t="shared" si="8"/>
        <v>216.66666666666666</v>
      </c>
      <c r="C297">
        <f t="shared" si="9"/>
        <v>4.6153846153846158E-3</v>
      </c>
    </row>
    <row r="298" spans="1:3" x14ac:dyDescent="0.2">
      <c r="A298">
        <v>13050</v>
      </c>
      <c r="B298">
        <f t="shared" ref="B298:B337" si="10">A298/60</f>
        <v>217.5</v>
      </c>
      <c r="C298">
        <f t="shared" ref="C298:C337" si="11">1/B298</f>
        <v>4.5977011494252873E-3</v>
      </c>
    </row>
    <row r="299" spans="1:3" x14ac:dyDescent="0.2">
      <c r="A299">
        <v>13100</v>
      </c>
      <c r="B299">
        <f t="shared" si="10"/>
        <v>218.33333333333334</v>
      </c>
      <c r="C299">
        <f t="shared" si="11"/>
        <v>4.5801526717557254E-3</v>
      </c>
    </row>
    <row r="300" spans="1:3" x14ac:dyDescent="0.2">
      <c r="A300">
        <v>13150</v>
      </c>
      <c r="B300">
        <f t="shared" si="10"/>
        <v>219.16666666666666</v>
      </c>
      <c r="C300">
        <f t="shared" si="11"/>
        <v>4.5627376425855515E-3</v>
      </c>
    </row>
    <row r="301" spans="1:3" x14ac:dyDescent="0.2">
      <c r="A301">
        <v>13200</v>
      </c>
      <c r="B301">
        <f t="shared" si="10"/>
        <v>220</v>
      </c>
      <c r="C301">
        <f t="shared" si="11"/>
        <v>4.5454545454545452E-3</v>
      </c>
    </row>
    <row r="302" spans="1:3" x14ac:dyDescent="0.2">
      <c r="A302">
        <v>13250</v>
      </c>
      <c r="B302">
        <f t="shared" si="10"/>
        <v>220.83333333333334</v>
      </c>
      <c r="C302">
        <f t="shared" si="11"/>
        <v>4.528301886792453E-3</v>
      </c>
    </row>
    <row r="303" spans="1:3" x14ac:dyDescent="0.2">
      <c r="A303">
        <v>13300</v>
      </c>
      <c r="B303">
        <f t="shared" si="10"/>
        <v>221.66666666666666</v>
      </c>
      <c r="C303">
        <f t="shared" si="11"/>
        <v>4.5112781954887221E-3</v>
      </c>
    </row>
    <row r="304" spans="1:3" x14ac:dyDescent="0.2">
      <c r="A304">
        <v>13350</v>
      </c>
      <c r="B304">
        <f t="shared" si="10"/>
        <v>222.5</v>
      </c>
      <c r="C304">
        <f t="shared" si="11"/>
        <v>4.4943820224719105E-3</v>
      </c>
    </row>
    <row r="305" spans="1:3" x14ac:dyDescent="0.2">
      <c r="A305">
        <v>13400</v>
      </c>
      <c r="B305">
        <f t="shared" si="10"/>
        <v>223.33333333333334</v>
      </c>
      <c r="C305">
        <f t="shared" si="11"/>
        <v>4.4776119402985069E-3</v>
      </c>
    </row>
    <row r="306" spans="1:3" x14ac:dyDescent="0.2">
      <c r="A306">
        <v>13450</v>
      </c>
      <c r="B306">
        <f t="shared" si="10"/>
        <v>224.16666666666666</v>
      </c>
      <c r="C306">
        <f t="shared" si="11"/>
        <v>4.4609665427509295E-3</v>
      </c>
    </row>
    <row r="307" spans="1:3" x14ac:dyDescent="0.2">
      <c r="A307">
        <v>13500</v>
      </c>
      <c r="B307">
        <f t="shared" si="10"/>
        <v>225</v>
      </c>
      <c r="C307">
        <f t="shared" si="11"/>
        <v>4.4444444444444444E-3</v>
      </c>
    </row>
    <row r="308" spans="1:3" x14ac:dyDescent="0.2">
      <c r="A308">
        <v>13550</v>
      </c>
      <c r="B308">
        <f t="shared" si="10"/>
        <v>225.83333333333334</v>
      </c>
      <c r="C308">
        <f t="shared" si="11"/>
        <v>4.4280442804428043E-3</v>
      </c>
    </row>
    <row r="309" spans="1:3" x14ac:dyDescent="0.2">
      <c r="A309">
        <v>13600</v>
      </c>
      <c r="B309">
        <f t="shared" si="10"/>
        <v>226.66666666666666</v>
      </c>
      <c r="C309">
        <f t="shared" si="11"/>
        <v>4.4117647058823529E-3</v>
      </c>
    </row>
    <row r="310" spans="1:3" x14ac:dyDescent="0.2">
      <c r="A310">
        <v>13650</v>
      </c>
      <c r="B310">
        <f t="shared" si="10"/>
        <v>227.5</v>
      </c>
      <c r="C310">
        <f t="shared" si="11"/>
        <v>4.3956043956043956E-3</v>
      </c>
    </row>
    <row r="311" spans="1:3" x14ac:dyDescent="0.2">
      <c r="A311">
        <v>13700</v>
      </c>
      <c r="B311">
        <f t="shared" si="10"/>
        <v>228.33333333333334</v>
      </c>
      <c r="C311">
        <f t="shared" si="11"/>
        <v>4.3795620437956199E-3</v>
      </c>
    </row>
    <row r="312" spans="1:3" x14ac:dyDescent="0.2">
      <c r="A312">
        <v>13750</v>
      </c>
      <c r="B312">
        <f t="shared" si="10"/>
        <v>229.16666666666666</v>
      </c>
      <c r="C312">
        <f t="shared" si="11"/>
        <v>4.3636363636363638E-3</v>
      </c>
    </row>
    <row r="313" spans="1:3" x14ac:dyDescent="0.2">
      <c r="A313">
        <v>13800</v>
      </c>
      <c r="B313">
        <f t="shared" si="10"/>
        <v>230</v>
      </c>
      <c r="C313">
        <f t="shared" si="11"/>
        <v>4.3478260869565218E-3</v>
      </c>
    </row>
    <row r="314" spans="1:3" x14ac:dyDescent="0.2">
      <c r="A314">
        <v>13850</v>
      </c>
      <c r="B314">
        <f t="shared" si="10"/>
        <v>230.83333333333334</v>
      </c>
      <c r="C314">
        <f t="shared" si="11"/>
        <v>4.3321299638989169E-3</v>
      </c>
    </row>
    <row r="315" spans="1:3" x14ac:dyDescent="0.2">
      <c r="A315">
        <v>13900</v>
      </c>
      <c r="B315">
        <f t="shared" si="10"/>
        <v>231.66666666666666</v>
      </c>
      <c r="C315">
        <f t="shared" si="11"/>
        <v>4.3165467625899279E-3</v>
      </c>
    </row>
    <row r="316" spans="1:3" x14ac:dyDescent="0.2">
      <c r="A316">
        <v>13950</v>
      </c>
      <c r="B316">
        <f t="shared" si="10"/>
        <v>232.5</v>
      </c>
      <c r="C316">
        <f t="shared" si="11"/>
        <v>4.3010752688172043E-3</v>
      </c>
    </row>
    <row r="317" spans="1:3" x14ac:dyDescent="0.2">
      <c r="A317">
        <v>14000</v>
      </c>
      <c r="B317">
        <f t="shared" si="10"/>
        <v>233.33333333333334</v>
      </c>
      <c r="C317">
        <f t="shared" si="11"/>
        <v>4.2857142857142859E-3</v>
      </c>
    </row>
    <row r="318" spans="1:3" x14ac:dyDescent="0.2">
      <c r="A318">
        <v>14050</v>
      </c>
      <c r="B318">
        <f t="shared" si="10"/>
        <v>234.16666666666666</v>
      </c>
      <c r="C318">
        <f t="shared" si="11"/>
        <v>4.2704626334519576E-3</v>
      </c>
    </row>
    <row r="319" spans="1:3" x14ac:dyDescent="0.2">
      <c r="A319">
        <v>14100</v>
      </c>
      <c r="B319">
        <f t="shared" si="10"/>
        <v>235</v>
      </c>
      <c r="C319">
        <f t="shared" si="11"/>
        <v>4.2553191489361703E-3</v>
      </c>
    </row>
    <row r="320" spans="1:3" x14ac:dyDescent="0.2">
      <c r="A320">
        <v>14150</v>
      </c>
      <c r="B320">
        <f t="shared" si="10"/>
        <v>235.83333333333334</v>
      </c>
      <c r="C320">
        <f t="shared" si="11"/>
        <v>4.2402826855123671E-3</v>
      </c>
    </row>
    <row r="321" spans="1:3" x14ac:dyDescent="0.2">
      <c r="A321">
        <v>14200</v>
      </c>
      <c r="B321">
        <f t="shared" si="10"/>
        <v>236.66666666666666</v>
      </c>
      <c r="C321">
        <f t="shared" si="11"/>
        <v>4.2253521126760568E-3</v>
      </c>
    </row>
    <row r="322" spans="1:3" x14ac:dyDescent="0.2">
      <c r="A322">
        <v>14250</v>
      </c>
      <c r="B322">
        <f t="shared" si="10"/>
        <v>237.5</v>
      </c>
      <c r="C322">
        <f t="shared" si="11"/>
        <v>4.2105263157894736E-3</v>
      </c>
    </row>
    <row r="323" spans="1:3" x14ac:dyDescent="0.2">
      <c r="A323">
        <v>14300</v>
      </c>
      <c r="B323">
        <f t="shared" si="10"/>
        <v>238.33333333333334</v>
      </c>
      <c r="C323">
        <f t="shared" si="11"/>
        <v>4.1958041958041958E-3</v>
      </c>
    </row>
    <row r="324" spans="1:3" x14ac:dyDescent="0.2">
      <c r="A324">
        <v>14350</v>
      </c>
      <c r="B324">
        <f t="shared" si="10"/>
        <v>239.16666666666666</v>
      </c>
      <c r="C324">
        <f t="shared" si="11"/>
        <v>4.181184668989547E-3</v>
      </c>
    </row>
    <row r="325" spans="1:3" x14ac:dyDescent="0.2">
      <c r="A325">
        <v>14400</v>
      </c>
      <c r="B325">
        <f t="shared" si="10"/>
        <v>240</v>
      </c>
      <c r="C325">
        <f t="shared" si="11"/>
        <v>4.1666666666666666E-3</v>
      </c>
    </row>
    <row r="326" spans="1:3" x14ac:dyDescent="0.2">
      <c r="A326">
        <v>14450</v>
      </c>
      <c r="B326">
        <f t="shared" si="10"/>
        <v>240.83333333333334</v>
      </c>
      <c r="C326">
        <f t="shared" si="11"/>
        <v>4.1522491349480963E-3</v>
      </c>
    </row>
    <row r="327" spans="1:3" x14ac:dyDescent="0.2">
      <c r="A327">
        <v>14500</v>
      </c>
      <c r="B327">
        <f t="shared" si="10"/>
        <v>241.66666666666666</v>
      </c>
      <c r="C327">
        <f t="shared" si="11"/>
        <v>4.1379310344827587E-3</v>
      </c>
    </row>
    <row r="328" spans="1:3" x14ac:dyDescent="0.2">
      <c r="A328">
        <v>14550</v>
      </c>
      <c r="B328">
        <f t="shared" si="10"/>
        <v>242.5</v>
      </c>
      <c r="C328">
        <f t="shared" si="11"/>
        <v>4.1237113402061857E-3</v>
      </c>
    </row>
    <row r="329" spans="1:3" x14ac:dyDescent="0.2">
      <c r="A329">
        <v>14600</v>
      </c>
      <c r="B329">
        <f t="shared" si="10"/>
        <v>243.33333333333334</v>
      </c>
      <c r="C329">
        <f t="shared" si="11"/>
        <v>4.10958904109589E-3</v>
      </c>
    </row>
    <row r="330" spans="1:3" x14ac:dyDescent="0.2">
      <c r="A330">
        <v>14650</v>
      </c>
      <c r="B330">
        <f t="shared" si="10"/>
        <v>244.16666666666666</v>
      </c>
      <c r="C330">
        <f t="shared" si="11"/>
        <v>4.0955631399317407E-3</v>
      </c>
    </row>
    <row r="331" spans="1:3" x14ac:dyDescent="0.2">
      <c r="A331">
        <v>14700</v>
      </c>
      <c r="B331">
        <f t="shared" si="10"/>
        <v>245</v>
      </c>
      <c r="C331">
        <f t="shared" si="11"/>
        <v>4.0816326530612249E-3</v>
      </c>
    </row>
    <row r="332" spans="1:3" x14ac:dyDescent="0.2">
      <c r="A332">
        <v>14750</v>
      </c>
      <c r="B332">
        <f t="shared" si="10"/>
        <v>245.83333333333334</v>
      </c>
      <c r="C332">
        <f t="shared" si="11"/>
        <v>4.0677966101694916E-3</v>
      </c>
    </row>
    <row r="333" spans="1:3" x14ac:dyDescent="0.2">
      <c r="A333">
        <v>14800</v>
      </c>
      <c r="B333">
        <f t="shared" si="10"/>
        <v>246.66666666666666</v>
      </c>
      <c r="C333">
        <f t="shared" si="11"/>
        <v>4.0540540540540543E-3</v>
      </c>
    </row>
    <row r="334" spans="1:3" x14ac:dyDescent="0.2">
      <c r="A334">
        <v>14850</v>
      </c>
      <c r="B334">
        <f t="shared" si="10"/>
        <v>247.5</v>
      </c>
      <c r="C334">
        <f t="shared" si="11"/>
        <v>4.0404040404040404E-3</v>
      </c>
    </row>
    <row r="335" spans="1:3" x14ac:dyDescent="0.2">
      <c r="A335">
        <v>14900</v>
      </c>
      <c r="B335">
        <f t="shared" si="10"/>
        <v>248.33333333333334</v>
      </c>
      <c r="C335">
        <f t="shared" si="11"/>
        <v>4.0268456375838922E-3</v>
      </c>
    </row>
    <row r="336" spans="1:3" x14ac:dyDescent="0.2">
      <c r="A336">
        <v>14950</v>
      </c>
      <c r="B336">
        <f t="shared" si="10"/>
        <v>249.16666666666666</v>
      </c>
      <c r="C336">
        <f t="shared" si="11"/>
        <v>4.0133779264214051E-3</v>
      </c>
    </row>
    <row r="337" spans="1:3" x14ac:dyDescent="0.2">
      <c r="A337">
        <v>15000</v>
      </c>
      <c r="B337">
        <f t="shared" si="10"/>
        <v>250</v>
      </c>
      <c r="C337">
        <f t="shared" si="11"/>
        <v>4.0000000000000001E-3</v>
      </c>
    </row>
  </sheetData>
  <mergeCells count="6">
    <mergeCell ref="AM1:AR1"/>
    <mergeCell ref="L1:P1"/>
    <mergeCell ref="Q1:U1"/>
    <mergeCell ref="V1:Z1"/>
    <mergeCell ref="AA1:AF1"/>
    <mergeCell ref="AG1:A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K8" sqref="K8"/>
    </sheetView>
  </sheetViews>
  <sheetFormatPr defaultRowHeight="12.6" x14ac:dyDescent="0.2"/>
  <cols>
    <col min="1" max="1" width="3.6328125" bestFit="1" customWidth="1"/>
    <col min="2" max="2" width="16.7265625" bestFit="1" customWidth="1"/>
    <col min="3" max="3" width="5.08984375" bestFit="1" customWidth="1"/>
    <col min="4" max="4" width="20.7265625" bestFit="1" customWidth="1"/>
    <col min="5" max="5" width="19.6328125" bestFit="1" customWidth="1"/>
    <col min="6" max="9" width="9.6328125" customWidth="1"/>
  </cols>
  <sheetData>
    <row r="1" spans="1:5" x14ac:dyDescent="0.2">
      <c r="A1" s="3" t="s">
        <v>2</v>
      </c>
      <c r="B1" s="3" t="s">
        <v>79</v>
      </c>
      <c r="C1" s="3" t="s">
        <v>85</v>
      </c>
      <c r="D1" s="3" t="s">
        <v>16</v>
      </c>
      <c r="E1" s="3" t="s">
        <v>82</v>
      </c>
    </row>
    <row r="2" spans="1:5" x14ac:dyDescent="0.2">
      <c r="A2" s="1">
        <v>1</v>
      </c>
      <c r="B2" s="1" t="s">
        <v>3</v>
      </c>
      <c r="C2" s="1" t="s">
        <v>5</v>
      </c>
      <c r="D2" s="1" t="s">
        <v>3</v>
      </c>
      <c r="E2" s="1"/>
    </row>
    <row r="3" spans="1:5" x14ac:dyDescent="0.2">
      <c r="A3" s="1">
        <v>2</v>
      </c>
      <c r="B3" s="1" t="s">
        <v>4</v>
      </c>
      <c r="C3" s="1" t="s">
        <v>6</v>
      </c>
      <c r="D3" s="1" t="s">
        <v>55</v>
      </c>
      <c r="E3" s="1" t="s">
        <v>192</v>
      </c>
    </row>
    <row r="4" spans="1:5" x14ac:dyDescent="0.2">
      <c r="A4" s="1">
        <v>3</v>
      </c>
      <c r="B4" s="1" t="s">
        <v>7</v>
      </c>
      <c r="C4" s="1" t="s">
        <v>6</v>
      </c>
      <c r="D4" s="1" t="s">
        <v>56</v>
      </c>
      <c r="E4" s="1"/>
    </row>
    <row r="5" spans="1:5" x14ac:dyDescent="0.2">
      <c r="A5" s="1">
        <v>4</v>
      </c>
      <c r="B5" s="1" t="s">
        <v>8</v>
      </c>
      <c r="C5" s="1" t="s">
        <v>6</v>
      </c>
      <c r="D5" s="1" t="s">
        <v>57</v>
      </c>
      <c r="E5" s="1"/>
    </row>
    <row r="6" spans="1:5" x14ac:dyDescent="0.2">
      <c r="A6" s="1">
        <v>5</v>
      </c>
      <c r="B6" s="1" t="s">
        <v>9</v>
      </c>
      <c r="C6" s="1" t="s">
        <v>11</v>
      </c>
      <c r="D6" s="1" t="s">
        <v>9</v>
      </c>
      <c r="E6" s="1"/>
    </row>
    <row r="7" spans="1:5" x14ac:dyDescent="0.2">
      <c r="A7" s="1">
        <v>6</v>
      </c>
      <c r="B7" s="1" t="s">
        <v>58</v>
      </c>
      <c r="C7" s="1" t="s">
        <v>10</v>
      </c>
      <c r="D7" s="1" t="s">
        <v>58</v>
      </c>
      <c r="E7" s="1"/>
    </row>
    <row r="8" spans="1:5" x14ac:dyDescent="0.2">
      <c r="A8" s="1">
        <v>7</v>
      </c>
      <c r="B8" s="1" t="s">
        <v>12</v>
      </c>
      <c r="C8" s="1" t="s">
        <v>6</v>
      </c>
      <c r="D8" s="1" t="s">
        <v>72</v>
      </c>
      <c r="E8" s="1"/>
    </row>
    <row r="9" spans="1:5" x14ac:dyDescent="0.2">
      <c r="A9" s="1">
        <v>8</v>
      </c>
      <c r="B9" s="1" t="s">
        <v>13</v>
      </c>
      <c r="C9" s="1" t="s">
        <v>5</v>
      </c>
      <c r="D9" s="1" t="s">
        <v>77</v>
      </c>
      <c r="E9" s="1"/>
    </row>
    <row r="10" spans="1:5" x14ac:dyDescent="0.2">
      <c r="A10" s="1">
        <v>9</v>
      </c>
      <c r="B10" s="1" t="s">
        <v>14</v>
      </c>
      <c r="C10" s="1" t="s">
        <v>5</v>
      </c>
      <c r="D10" s="1" t="s">
        <v>78</v>
      </c>
      <c r="E10" s="1"/>
    </row>
    <row r="11" spans="1:5" x14ac:dyDescent="0.2">
      <c r="A11" s="1">
        <v>10</v>
      </c>
      <c r="B11" s="1" t="s">
        <v>15</v>
      </c>
      <c r="C11" s="1" t="s">
        <v>6</v>
      </c>
      <c r="D11" s="1" t="s">
        <v>80</v>
      </c>
      <c r="E11" s="1" t="s">
        <v>246</v>
      </c>
    </row>
    <row r="12" spans="1:5" x14ac:dyDescent="0.2">
      <c r="A12" s="1">
        <v>11</v>
      </c>
      <c r="B12" s="1" t="s">
        <v>17</v>
      </c>
      <c r="C12" s="1" t="s">
        <v>6</v>
      </c>
      <c r="D12" s="1" t="s">
        <v>81</v>
      </c>
      <c r="E12" s="1" t="s">
        <v>247</v>
      </c>
    </row>
    <row r="13" spans="1:5" x14ac:dyDescent="0.2">
      <c r="A13" s="1">
        <v>12</v>
      </c>
      <c r="B13" s="1" t="s">
        <v>18</v>
      </c>
      <c r="C13" s="1" t="s">
        <v>6</v>
      </c>
      <c r="D13" s="1"/>
      <c r="E13" s="1" t="s">
        <v>193</v>
      </c>
    </row>
    <row r="14" spans="1:5" x14ac:dyDescent="0.2">
      <c r="A14" s="1">
        <v>13</v>
      </c>
      <c r="B14" s="1" t="s">
        <v>19</v>
      </c>
      <c r="C14" s="1" t="s">
        <v>6</v>
      </c>
      <c r="D14" s="1"/>
      <c r="E14" s="1" t="s">
        <v>248</v>
      </c>
    </row>
    <row r="15" spans="1:5" x14ac:dyDescent="0.2">
      <c r="A15" s="1">
        <v>14</v>
      </c>
      <c r="B15" s="1" t="s">
        <v>20</v>
      </c>
      <c r="C15" s="1" t="s">
        <v>6</v>
      </c>
      <c r="D15" s="1" t="s">
        <v>59</v>
      </c>
      <c r="E15" s="1" t="s">
        <v>249</v>
      </c>
    </row>
    <row r="16" spans="1:5" x14ac:dyDescent="0.2">
      <c r="A16" s="1">
        <v>15</v>
      </c>
      <c r="B16" s="1" t="s">
        <v>21</v>
      </c>
      <c r="C16" s="1" t="s">
        <v>6</v>
      </c>
      <c r="D16" s="1" t="s">
        <v>60</v>
      </c>
      <c r="E16" s="1" t="s">
        <v>250</v>
      </c>
    </row>
    <row r="17" spans="1:8" x14ac:dyDescent="0.2">
      <c r="A17" s="1">
        <v>16</v>
      </c>
      <c r="B17" s="1" t="s">
        <v>22</v>
      </c>
      <c r="C17" s="1" t="s">
        <v>6</v>
      </c>
      <c r="D17" s="1" t="s">
        <v>61</v>
      </c>
      <c r="E17" s="1"/>
    </row>
    <row r="18" spans="1:8" x14ac:dyDescent="0.2">
      <c r="A18" s="1">
        <v>17</v>
      </c>
      <c r="B18" s="1" t="s">
        <v>23</v>
      </c>
      <c r="C18" s="1" t="s">
        <v>6</v>
      </c>
      <c r="D18" s="1" t="s">
        <v>62</v>
      </c>
      <c r="E18" s="1"/>
    </row>
    <row r="19" spans="1:8" x14ac:dyDescent="0.2">
      <c r="A19" s="1">
        <v>18</v>
      </c>
      <c r="B19" s="1" t="s">
        <v>24</v>
      </c>
      <c r="C19" s="1" t="s">
        <v>6</v>
      </c>
      <c r="D19" s="1"/>
      <c r="E19" s="1"/>
    </row>
    <row r="20" spans="1:8" x14ac:dyDescent="0.2">
      <c r="A20" s="1">
        <v>19</v>
      </c>
      <c r="B20" s="1" t="s">
        <v>25</v>
      </c>
      <c r="C20" s="1" t="s">
        <v>6</v>
      </c>
      <c r="D20" s="1"/>
      <c r="E20" s="2"/>
    </row>
    <row r="21" spans="1:8" x14ac:dyDescent="0.2">
      <c r="A21" s="1">
        <v>20</v>
      </c>
      <c r="B21" s="1" t="s">
        <v>26</v>
      </c>
      <c r="C21" s="1" t="s">
        <v>6</v>
      </c>
      <c r="D21" s="1" t="s">
        <v>73</v>
      </c>
      <c r="E21" s="1"/>
    </row>
    <row r="22" spans="1:8" x14ac:dyDescent="0.2">
      <c r="A22" s="1">
        <v>21</v>
      </c>
      <c r="B22" s="1" t="s">
        <v>27</v>
      </c>
      <c r="C22" s="1" t="s">
        <v>6</v>
      </c>
      <c r="D22" s="1" t="s">
        <v>257</v>
      </c>
      <c r="E22" s="1" t="s">
        <v>257</v>
      </c>
    </row>
    <row r="23" spans="1:8" x14ac:dyDescent="0.2">
      <c r="A23" s="1">
        <v>22</v>
      </c>
      <c r="B23" s="1" t="s">
        <v>28</v>
      </c>
      <c r="C23" s="1" t="s">
        <v>6</v>
      </c>
      <c r="D23" s="1" t="s">
        <v>258</v>
      </c>
      <c r="E23" s="1" t="s">
        <v>258</v>
      </c>
    </row>
    <row r="24" spans="1:8" x14ac:dyDescent="0.2">
      <c r="A24" s="1">
        <v>23</v>
      </c>
      <c r="B24" s="1" t="s">
        <v>29</v>
      </c>
      <c r="C24" s="1" t="s">
        <v>5</v>
      </c>
      <c r="D24" s="1" t="s">
        <v>29</v>
      </c>
      <c r="E24" s="1"/>
    </row>
    <row r="25" spans="1:8" x14ac:dyDescent="0.2">
      <c r="A25" s="1">
        <v>24</v>
      </c>
      <c r="B25" s="1" t="s">
        <v>30</v>
      </c>
      <c r="C25" s="1" t="s">
        <v>5</v>
      </c>
      <c r="D25" s="1" t="s">
        <v>30</v>
      </c>
      <c r="E25" s="1"/>
    </row>
    <row r="26" spans="1:8" x14ac:dyDescent="0.2">
      <c r="A26" s="1">
        <v>25</v>
      </c>
      <c r="B26" s="1" t="s">
        <v>31</v>
      </c>
      <c r="C26" s="1" t="s">
        <v>6</v>
      </c>
      <c r="D26" s="1"/>
      <c r="E26" s="1" t="s">
        <v>251</v>
      </c>
    </row>
    <row r="27" spans="1:8" x14ac:dyDescent="0.2">
      <c r="A27" s="1">
        <v>26</v>
      </c>
      <c r="B27" s="1" t="s">
        <v>32</v>
      </c>
      <c r="C27" s="1" t="s">
        <v>6</v>
      </c>
      <c r="D27" s="1"/>
      <c r="E27" s="1" t="s">
        <v>252</v>
      </c>
    </row>
    <row r="28" spans="1:8" x14ac:dyDescent="0.2">
      <c r="A28" s="1">
        <v>27</v>
      </c>
      <c r="B28" s="1" t="s">
        <v>33</v>
      </c>
      <c r="C28" s="1" t="s">
        <v>6</v>
      </c>
      <c r="D28" s="1"/>
      <c r="E28" s="1" t="s">
        <v>253</v>
      </c>
    </row>
    <row r="29" spans="1:8" x14ac:dyDescent="0.2">
      <c r="A29" s="1">
        <v>28</v>
      </c>
      <c r="B29" s="1" t="s">
        <v>34</v>
      </c>
      <c r="C29" s="1" t="s">
        <v>6</v>
      </c>
      <c r="D29" s="1"/>
      <c r="E29" s="1"/>
    </row>
    <row r="30" spans="1:8" x14ac:dyDescent="0.2">
      <c r="A30" s="1">
        <v>29</v>
      </c>
      <c r="B30" s="1" t="s">
        <v>35</v>
      </c>
      <c r="C30" s="1" t="s">
        <v>6</v>
      </c>
      <c r="D30" s="1" t="s">
        <v>83</v>
      </c>
      <c r="E30" s="1" t="s">
        <v>254</v>
      </c>
    </row>
    <row r="31" spans="1:8" x14ac:dyDescent="0.2">
      <c r="A31" s="1">
        <v>30</v>
      </c>
      <c r="B31" s="1" t="s">
        <v>36</v>
      </c>
      <c r="C31" s="1" t="s">
        <v>6</v>
      </c>
      <c r="D31" s="1" t="s">
        <v>65</v>
      </c>
      <c r="E31" s="1" t="s">
        <v>65</v>
      </c>
      <c r="F31" s="33" t="s">
        <v>195</v>
      </c>
    </row>
    <row r="32" spans="1:8" x14ac:dyDescent="0.2">
      <c r="A32" s="1">
        <v>31</v>
      </c>
      <c r="B32" s="1" t="s">
        <v>37</v>
      </c>
      <c r="C32" s="1" t="s">
        <v>6</v>
      </c>
      <c r="D32" s="1" t="s">
        <v>66</v>
      </c>
      <c r="E32" s="1" t="s">
        <v>66</v>
      </c>
      <c r="F32" s="33" t="s">
        <v>194</v>
      </c>
      <c r="H32" t="s">
        <v>196</v>
      </c>
    </row>
    <row r="33" spans="1:5" x14ac:dyDescent="0.2">
      <c r="A33" s="1">
        <v>32</v>
      </c>
      <c r="B33" s="1" t="s">
        <v>38</v>
      </c>
      <c r="C33" s="1" t="s">
        <v>6</v>
      </c>
      <c r="D33" s="1" t="s">
        <v>63</v>
      </c>
      <c r="E33" s="1" t="s">
        <v>63</v>
      </c>
    </row>
    <row r="34" spans="1:5" x14ac:dyDescent="0.2">
      <c r="A34" s="1">
        <v>33</v>
      </c>
      <c r="B34" s="1" t="s">
        <v>39</v>
      </c>
      <c r="C34" s="1" t="s">
        <v>6</v>
      </c>
      <c r="D34" s="1" t="s">
        <v>64</v>
      </c>
      <c r="E34" s="1" t="s">
        <v>64</v>
      </c>
    </row>
    <row r="35" spans="1:5" x14ac:dyDescent="0.2">
      <c r="A35" s="1">
        <v>34</v>
      </c>
      <c r="B35" s="1" t="s">
        <v>40</v>
      </c>
      <c r="C35" s="1" t="s">
        <v>6</v>
      </c>
      <c r="D35" s="1" t="s">
        <v>67</v>
      </c>
      <c r="E35" s="1"/>
    </row>
    <row r="36" spans="1:5" x14ac:dyDescent="0.2">
      <c r="A36" s="1">
        <v>35</v>
      </c>
      <c r="B36" s="1" t="s">
        <v>41</v>
      </c>
      <c r="C36" s="1" t="s">
        <v>5</v>
      </c>
      <c r="D36" s="1" t="s">
        <v>41</v>
      </c>
      <c r="E36" s="1"/>
    </row>
    <row r="37" spans="1:5" x14ac:dyDescent="0.2">
      <c r="A37" s="1">
        <v>36</v>
      </c>
      <c r="B37" s="1" t="s">
        <v>42</v>
      </c>
      <c r="C37" s="1" t="s">
        <v>5</v>
      </c>
      <c r="D37" s="1" t="s">
        <v>42</v>
      </c>
      <c r="E37" s="1"/>
    </row>
    <row r="38" spans="1:5" x14ac:dyDescent="0.2">
      <c r="A38" s="1">
        <v>37</v>
      </c>
      <c r="B38" s="1" t="s">
        <v>43</v>
      </c>
      <c r="C38" s="1" t="s">
        <v>6</v>
      </c>
      <c r="D38" s="1" t="s">
        <v>68</v>
      </c>
      <c r="E38" s="1"/>
    </row>
    <row r="39" spans="1:5" x14ac:dyDescent="0.2">
      <c r="A39" s="1">
        <v>38</v>
      </c>
      <c r="B39" s="1" t="s">
        <v>44</v>
      </c>
      <c r="C39" s="1" t="s">
        <v>6</v>
      </c>
      <c r="D39" s="1" t="s">
        <v>69</v>
      </c>
      <c r="E39" s="1" t="s">
        <v>255</v>
      </c>
    </row>
    <row r="40" spans="1:5" x14ac:dyDescent="0.2">
      <c r="A40" s="1">
        <v>39</v>
      </c>
      <c r="B40" s="1" t="s">
        <v>45</v>
      </c>
      <c r="C40" s="1" t="s">
        <v>6</v>
      </c>
      <c r="D40" s="1" t="s">
        <v>70</v>
      </c>
      <c r="E40" s="1"/>
    </row>
    <row r="41" spans="1:5" x14ac:dyDescent="0.2">
      <c r="A41" s="1">
        <v>40</v>
      </c>
      <c r="B41" s="1" t="s">
        <v>46</v>
      </c>
      <c r="C41" s="1" t="s">
        <v>6</v>
      </c>
      <c r="D41" s="1" t="s">
        <v>71</v>
      </c>
      <c r="E41" s="1"/>
    </row>
    <row r="42" spans="1:5" x14ac:dyDescent="0.2">
      <c r="A42" s="1">
        <v>41</v>
      </c>
      <c r="B42" s="1" t="s">
        <v>47</v>
      </c>
      <c r="C42" s="1" t="s">
        <v>6</v>
      </c>
      <c r="D42" s="1" t="s">
        <v>74</v>
      </c>
      <c r="E42" s="1"/>
    </row>
    <row r="43" spans="1:5" x14ac:dyDescent="0.2">
      <c r="A43" s="1">
        <v>42</v>
      </c>
      <c r="B43" s="1" t="s">
        <v>48</v>
      </c>
      <c r="C43" s="1" t="s">
        <v>6</v>
      </c>
      <c r="D43" s="1" t="s">
        <v>75</v>
      </c>
      <c r="E43" s="1" t="s">
        <v>160</v>
      </c>
    </row>
    <row r="44" spans="1:5" x14ac:dyDescent="0.2">
      <c r="A44" s="1">
        <v>43</v>
      </c>
      <c r="B44" s="1" t="s">
        <v>49</v>
      </c>
      <c r="C44" s="1" t="s">
        <v>6</v>
      </c>
      <c r="D44" s="1" t="s">
        <v>76</v>
      </c>
      <c r="E44" s="1"/>
    </row>
    <row r="45" spans="1:5" x14ac:dyDescent="0.2">
      <c r="A45" s="1">
        <v>44</v>
      </c>
      <c r="B45" s="1" t="s">
        <v>50</v>
      </c>
      <c r="C45" s="1" t="s">
        <v>11</v>
      </c>
      <c r="D45" s="1" t="s">
        <v>50</v>
      </c>
      <c r="E45" s="1"/>
    </row>
    <row r="46" spans="1:5" x14ac:dyDescent="0.2">
      <c r="A46" s="1">
        <v>45</v>
      </c>
      <c r="B46" s="1" t="s">
        <v>51</v>
      </c>
      <c r="C46" s="1" t="s">
        <v>6</v>
      </c>
      <c r="D46" s="1" t="s">
        <v>84</v>
      </c>
      <c r="E46" s="1"/>
    </row>
    <row r="47" spans="1:5" x14ac:dyDescent="0.2">
      <c r="A47" s="1">
        <v>46</v>
      </c>
      <c r="B47" s="1" t="s">
        <v>52</v>
      </c>
      <c r="C47" s="1" t="s">
        <v>6</v>
      </c>
      <c r="D47" s="1"/>
      <c r="E47" s="1" t="s">
        <v>256</v>
      </c>
    </row>
    <row r="48" spans="1:5" x14ac:dyDescent="0.2">
      <c r="A48" s="1">
        <v>47</v>
      </c>
      <c r="B48" s="1" t="s">
        <v>53</v>
      </c>
      <c r="C48" s="1" t="s">
        <v>5</v>
      </c>
      <c r="D48" s="1" t="s">
        <v>53</v>
      </c>
      <c r="E48" s="1"/>
    </row>
    <row r="49" spans="1:5" x14ac:dyDescent="0.2">
      <c r="A49" s="1">
        <v>48</v>
      </c>
      <c r="B49" s="1" t="s">
        <v>54</v>
      </c>
      <c r="C49" s="1" t="s">
        <v>5</v>
      </c>
      <c r="D49" s="1" t="s">
        <v>54</v>
      </c>
      <c r="E49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A6F7-0053-4B3B-ADA7-20EA37105384}">
  <dimension ref="A1:R29"/>
  <sheetViews>
    <sheetView workbookViewId="0">
      <selection activeCell="H40" sqref="H40"/>
    </sheetView>
  </sheetViews>
  <sheetFormatPr defaultRowHeight="12.6" x14ac:dyDescent="0.2"/>
  <sheetData>
    <row r="1" spans="1:14" x14ac:dyDescent="0.2">
      <c r="A1" s="51" t="s">
        <v>213</v>
      </c>
      <c r="B1" s="51"/>
    </row>
    <row r="2" spans="1:14" x14ac:dyDescent="0.2">
      <c r="A2" s="2" t="s">
        <v>214</v>
      </c>
      <c r="B2" s="2">
        <v>9.9999999999999995E-7</v>
      </c>
    </row>
    <row r="3" spans="1:14" x14ac:dyDescent="0.2">
      <c r="A3" s="2" t="s">
        <v>215</v>
      </c>
      <c r="B3" s="2">
        <v>333</v>
      </c>
    </row>
    <row r="4" spans="1:14" x14ac:dyDescent="0.2">
      <c r="A4" s="2" t="s">
        <v>202</v>
      </c>
      <c r="B4" s="2">
        <v>1500000</v>
      </c>
      <c r="C4" s="35" t="s">
        <v>216</v>
      </c>
    </row>
    <row r="5" spans="1:14" x14ac:dyDescent="0.2">
      <c r="A5" s="2" t="s">
        <v>206</v>
      </c>
      <c r="B5" s="2">
        <v>15000</v>
      </c>
      <c r="C5" s="35" t="s">
        <v>217</v>
      </c>
    </row>
    <row r="6" spans="1:14" x14ac:dyDescent="0.2">
      <c r="A6" s="2" t="s">
        <v>218</v>
      </c>
      <c r="B6" s="36">
        <f>IF(B3*(B5/(B4+B5))&gt;3.3,3.3,B3*(B5/(B4+B5)))</f>
        <v>3.2970297029702968</v>
      </c>
    </row>
    <row r="8" spans="1:14" x14ac:dyDescent="0.2">
      <c r="A8" s="2" t="s">
        <v>219</v>
      </c>
      <c r="B8" s="2">
        <v>100000</v>
      </c>
      <c r="D8" s="35" t="s">
        <v>220</v>
      </c>
    </row>
    <row r="9" spans="1:14" x14ac:dyDescent="0.2">
      <c r="A9" s="2" t="s">
        <v>221</v>
      </c>
      <c r="B9" s="2">
        <v>68000</v>
      </c>
      <c r="C9" s="1" t="s">
        <v>222</v>
      </c>
      <c r="D9" s="35" t="s">
        <v>223</v>
      </c>
    </row>
    <row r="10" spans="1:14" x14ac:dyDescent="0.2">
      <c r="A10" s="2" t="s">
        <v>224</v>
      </c>
      <c r="B10" s="2">
        <f>B9/(B8+B9)</f>
        <v>0.40476190476190477</v>
      </c>
      <c r="C10" s="1">
        <f>1.4/3.3</f>
        <v>0.42424242424242425</v>
      </c>
    </row>
    <row r="12" spans="1:14" x14ac:dyDescent="0.2">
      <c r="A12" s="2" t="s">
        <v>225</v>
      </c>
      <c r="B12" s="2">
        <v>68000</v>
      </c>
      <c r="C12" s="35" t="s">
        <v>223</v>
      </c>
    </row>
    <row r="13" spans="1:14" x14ac:dyDescent="0.2">
      <c r="A13" s="2" t="s">
        <v>226</v>
      </c>
      <c r="B13" s="2">
        <v>20000</v>
      </c>
      <c r="C13" s="35" t="s">
        <v>227</v>
      </c>
    </row>
    <row r="15" spans="1:14" x14ac:dyDescent="0.2">
      <c r="A15" s="2" t="s">
        <v>219</v>
      </c>
      <c r="B15" s="2">
        <v>100000</v>
      </c>
      <c r="C15" s="35" t="s">
        <v>220</v>
      </c>
      <c r="L15" s="37"/>
    </row>
    <row r="16" spans="1:14" x14ac:dyDescent="0.2">
      <c r="A16" s="2" t="s">
        <v>221</v>
      </c>
      <c r="B16" s="2">
        <v>1500000</v>
      </c>
      <c r="C16" s="35" t="s">
        <v>216</v>
      </c>
      <c r="N16" s="37"/>
    </row>
    <row r="20" spans="1:18" x14ac:dyDescent="0.2">
      <c r="A20" s="1" t="s">
        <v>228</v>
      </c>
      <c r="B20" s="1" t="s">
        <v>229</v>
      </c>
      <c r="C20" s="3" t="s">
        <v>230</v>
      </c>
      <c r="E20" s="1" t="s">
        <v>231</v>
      </c>
      <c r="F20" s="1" t="s">
        <v>232</v>
      </c>
      <c r="G20" s="1" t="s">
        <v>226</v>
      </c>
      <c r="H20" s="1" t="s">
        <v>225</v>
      </c>
      <c r="I20" s="1" t="s">
        <v>233</v>
      </c>
      <c r="J20" s="1" t="s">
        <v>234</v>
      </c>
      <c r="K20" s="38" t="s">
        <v>235</v>
      </c>
      <c r="M20" s="1" t="s">
        <v>236</v>
      </c>
      <c r="N20" s="1" t="s">
        <v>237</v>
      </c>
      <c r="O20" s="3" t="s">
        <v>238</v>
      </c>
      <c r="P20" s="39" t="s">
        <v>239</v>
      </c>
      <c r="Q20" s="1" t="s">
        <v>240</v>
      </c>
      <c r="R20" s="1" t="s">
        <v>240</v>
      </c>
    </row>
    <row r="21" spans="1:18" x14ac:dyDescent="0.2">
      <c r="A21" s="40">
        <v>1.0200000000000001E-2</v>
      </c>
      <c r="B21" s="41">
        <f>((2*A21)/$B$2)^(1/2)</f>
        <v>142.82856857085702</v>
      </c>
      <c r="C21" s="42">
        <f>B21*($B$5/($B$4+$B$5))</f>
        <v>1.414144243275812</v>
      </c>
      <c r="E21" s="1">
        <v>0</v>
      </c>
      <c r="F21" s="1">
        <v>0</v>
      </c>
      <c r="G21" s="1">
        <f>$B$13*E21</f>
        <v>0</v>
      </c>
      <c r="H21" s="1">
        <f>$B$12*F21</f>
        <v>0</v>
      </c>
      <c r="I21" s="1">
        <f>IF(AND(H21=0,G21&gt;0),1/((1/G21)+1/($B$8)),IF(AND(G21=0,H21&gt;0),1/((1/H21)+1/($B$8)),IF(AND(H21=0,G21=0),B8,1/((1/$B$8)+(1/H21)+(1/G21)))))</f>
        <v>100000</v>
      </c>
      <c r="J21" s="1">
        <f>$B$9/(I21+$B$9)</f>
        <v>0.40476190476190477</v>
      </c>
      <c r="K21" s="43">
        <f>3.3*J21</f>
        <v>1.3357142857142856</v>
      </c>
      <c r="M21" s="1">
        <v>0.2</v>
      </c>
      <c r="N21" s="1">
        <v>3</v>
      </c>
      <c r="O21" s="3">
        <f>(($B$15+$B$16)*K21-($B$15*M21))/$B$16</f>
        <v>1.4114285714285713</v>
      </c>
      <c r="P21" s="39">
        <f>(($B$15+$B$16)*K21-($B$15*N21))/$B$16</f>
        <v>1.2247619047619045</v>
      </c>
      <c r="Q21" s="1">
        <f>O21-P21</f>
        <v>0.18666666666666676</v>
      </c>
      <c r="R21" s="1">
        <f>$B$15*(N21-M21)/$B$16</f>
        <v>0.18666666666666668</v>
      </c>
    </row>
    <row r="22" spans="1:18" x14ac:dyDescent="0.2">
      <c r="A22" s="40">
        <v>2.5000000000000001E-2</v>
      </c>
      <c r="B22" s="41">
        <f>((2*A22)/$B$2)^(1/2)</f>
        <v>223.60679774997899</v>
      </c>
      <c r="C22" s="42">
        <f>B22*($B$5/($B$4+$B$5))</f>
        <v>2.2139286905938516</v>
      </c>
      <c r="E22" s="1">
        <v>0</v>
      </c>
      <c r="F22" s="1">
        <v>1</v>
      </c>
      <c r="G22" s="1">
        <f>$B$13*E22</f>
        <v>0</v>
      </c>
      <c r="H22" s="1">
        <f>$B$12*F22</f>
        <v>68000</v>
      </c>
      <c r="I22" s="1">
        <f>IF(AND(H22=0,G22&gt;0),1/((1/G22)+1/($B$8)),IF(AND(G22=0,H22&gt;0),1/((1/H22)+1/($B$8)),IF(AND(H22=0,G22=0),B9,1/((1/$B$8)+(1/H22)+(1/G22)))))</f>
        <v>40476.190476190473</v>
      </c>
      <c r="J22" s="1">
        <f>$B$9/(I22+$B$9)</f>
        <v>0.62686567164179108</v>
      </c>
      <c r="K22" s="43">
        <f>3.3*J22</f>
        <v>2.0686567164179106</v>
      </c>
      <c r="M22" s="1">
        <v>0.2</v>
      </c>
      <c r="N22" s="1">
        <v>3</v>
      </c>
      <c r="O22" s="3">
        <f>(($B$15+$B$16)*K22-($B$15*M22))/$B$16</f>
        <v>2.1932338308457715</v>
      </c>
      <c r="P22" s="39">
        <f>(($B$15+$B$16)*K22-($B$15*N22))/$B$16</f>
        <v>2.0065671641791045</v>
      </c>
      <c r="Q22" s="1">
        <f>O22-P22</f>
        <v>0.18666666666666698</v>
      </c>
      <c r="R22" s="1">
        <f t="shared" ref="R22:R24" si="0">$B$15*(N22-M22)/$B$16</f>
        <v>0.18666666666666668</v>
      </c>
    </row>
    <row r="23" spans="1:18" x14ac:dyDescent="0.2">
      <c r="A23" s="40">
        <v>0.04</v>
      </c>
      <c r="B23" s="41">
        <f>((2*A23)/$B$2)^(1/2)</f>
        <v>282.84271247461902</v>
      </c>
      <c r="C23" s="42">
        <f>B23*($B$5/($B$4+$B$5))</f>
        <v>2.8004228957883073</v>
      </c>
      <c r="E23" s="1">
        <v>1</v>
      </c>
      <c r="F23" s="1">
        <v>0</v>
      </c>
      <c r="G23" s="1">
        <f>$B$13*E23</f>
        <v>20000</v>
      </c>
      <c r="H23" s="1">
        <f>$B$12*F23</f>
        <v>0</v>
      </c>
      <c r="I23" s="1">
        <f>IF(AND(H23=0,G23&gt;0),1/((1/G23)+1/($B$8)),IF(AND(G23=0,H23&gt;0),1/((1/H23)+1/($B$8)),IF(AND(H23=0,G23=0),B10,1/((1/$B$8)+(1/H23)+(1/G23)))))</f>
        <v>16666.666666666668</v>
      </c>
      <c r="J23" s="1">
        <f>$B$9/(I23+$B$9)</f>
        <v>0.8031496062992125</v>
      </c>
      <c r="K23" s="43">
        <f>3.3*J23</f>
        <v>2.6503937007874012</v>
      </c>
      <c r="M23" s="1">
        <v>0.2</v>
      </c>
      <c r="N23" s="1">
        <v>3</v>
      </c>
      <c r="O23" s="3">
        <f>(($B$15+$B$16)*K23-($B$15*M23))/$B$16</f>
        <v>2.8137532808398946</v>
      </c>
      <c r="P23" s="39">
        <f>(($B$15+$B$16)*K23-($B$15*N23))/$B$16</f>
        <v>2.6270866141732281</v>
      </c>
      <c r="Q23" s="1">
        <f>O23-P23</f>
        <v>0.18666666666666654</v>
      </c>
      <c r="R23" s="1">
        <f t="shared" si="0"/>
        <v>0.18666666666666668</v>
      </c>
    </row>
    <row r="24" spans="1:18" ht="13.8" x14ac:dyDescent="0.25">
      <c r="A24" s="44">
        <v>4.6199999999999998E-2</v>
      </c>
      <c r="B24" s="45">
        <f>((2*A24)/$B$2)^(1/2)</f>
        <v>303.97368307141329</v>
      </c>
      <c r="C24" s="46">
        <f>B24*($B$5/($B$4+$B$5))</f>
        <v>3.0096404264496366</v>
      </c>
      <c r="E24" s="47">
        <v>1</v>
      </c>
      <c r="F24" s="47">
        <v>1</v>
      </c>
      <c r="G24" s="47">
        <f>$B$13*E24</f>
        <v>20000</v>
      </c>
      <c r="H24" s="47">
        <f>$B$12*F24</f>
        <v>68000</v>
      </c>
      <c r="I24" s="47">
        <f>IF(AND(H24=0,G24&gt;0),1/((1/G24)+1/($B$8)),IF(AND(G24=0,H24&gt;0),1/((1/H24)+1/($B$8)),IF(AND(H24=0,G24=0),B11,1/((1/$B$8)+(1/H24)+(1/G24)))))</f>
        <v>13385.826771653543</v>
      </c>
      <c r="J24" s="47">
        <f>$B$9/(I24+$B$9)</f>
        <v>0.83552631578947367</v>
      </c>
      <c r="K24" s="46">
        <f>3.3*J24</f>
        <v>2.7572368421052631</v>
      </c>
      <c r="M24" s="1">
        <v>0.2</v>
      </c>
      <c r="N24" s="1">
        <v>3</v>
      </c>
      <c r="O24" s="48">
        <f>(($B$15+$B$16)*K24-($B$15*M24))/$B$16</f>
        <v>2.9277192982456137</v>
      </c>
      <c r="P24" s="48">
        <f>(($B$15+$B$16)*K24-($B$15*N24))/$B$16</f>
        <v>2.7410526315789472</v>
      </c>
      <c r="Q24" s="48">
        <f>O24-P24</f>
        <v>0.18666666666666654</v>
      </c>
      <c r="R24" s="48">
        <f t="shared" si="0"/>
        <v>0.18666666666666668</v>
      </c>
    </row>
    <row r="25" spans="1:18" x14ac:dyDescent="0.2">
      <c r="A25" s="1" t="s">
        <v>241</v>
      </c>
      <c r="B25" s="1" t="s">
        <v>228</v>
      </c>
      <c r="C25" s="3" t="s">
        <v>230</v>
      </c>
    </row>
    <row r="26" spans="1:18" x14ac:dyDescent="0.2">
      <c r="A26" s="1">
        <v>100</v>
      </c>
      <c r="B26" s="5">
        <f>($B$2*A26^2)/2</f>
        <v>5.0000000000000001E-3</v>
      </c>
      <c r="C26" s="42">
        <f>A26*($B$5/($B$4+$B$5))</f>
        <v>0.99009900990099009</v>
      </c>
    </row>
    <row r="27" spans="1:18" x14ac:dyDescent="0.2">
      <c r="A27" s="1">
        <v>224</v>
      </c>
      <c r="B27" s="5">
        <f t="shared" ref="B27:B29" si="1">($B$2*A27^2)/2</f>
        <v>2.5087999999999999E-2</v>
      </c>
      <c r="C27" s="42">
        <f t="shared" ref="C27:C29" si="2">A27*($B$5/($B$4+$B$5))</f>
        <v>2.217821782178218</v>
      </c>
    </row>
    <row r="28" spans="1:18" x14ac:dyDescent="0.2">
      <c r="A28" s="1">
        <v>300</v>
      </c>
      <c r="B28" s="5">
        <f t="shared" si="1"/>
        <v>4.4999999999999998E-2</v>
      </c>
      <c r="C28" s="42">
        <f t="shared" si="2"/>
        <v>2.9702970297029703</v>
      </c>
    </row>
    <row r="29" spans="1:18" x14ac:dyDescent="0.2">
      <c r="A29" s="48">
        <v>304</v>
      </c>
      <c r="B29" s="44">
        <f t="shared" si="1"/>
        <v>4.6207999999999999E-2</v>
      </c>
      <c r="C29" s="46">
        <f t="shared" si="2"/>
        <v>3.0099009900990099</v>
      </c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C8A0-CA37-4B5A-9204-4711E454FBBE}">
  <dimension ref="A1:J7"/>
  <sheetViews>
    <sheetView workbookViewId="0">
      <selection activeCell="E6" sqref="E6"/>
    </sheetView>
  </sheetViews>
  <sheetFormatPr defaultRowHeight="12.6" x14ac:dyDescent="0.2"/>
  <cols>
    <col min="1" max="1" width="15.453125" bestFit="1" customWidth="1"/>
    <col min="4" max="4" width="15.36328125" bestFit="1" customWidth="1"/>
  </cols>
  <sheetData>
    <row r="1" spans="1:10" x14ac:dyDescent="0.2">
      <c r="A1" t="s">
        <v>197</v>
      </c>
      <c r="B1" s="2">
        <v>12</v>
      </c>
      <c r="E1" t="s">
        <v>198</v>
      </c>
      <c r="H1" t="s">
        <v>199</v>
      </c>
      <c r="I1">
        <v>400</v>
      </c>
    </row>
    <row r="2" spans="1:10" x14ac:dyDescent="0.2">
      <c r="A2" s="2" t="s">
        <v>200</v>
      </c>
      <c r="B2" s="2">
        <v>9.9999999999999995E-7</v>
      </c>
      <c r="D2" t="s">
        <v>201</v>
      </c>
      <c r="E2">
        <v>94</v>
      </c>
      <c r="H2" t="s">
        <v>202</v>
      </c>
      <c r="I2" s="34">
        <v>5100000</v>
      </c>
      <c r="J2" t="s">
        <v>203</v>
      </c>
    </row>
    <row r="3" spans="1:10" x14ac:dyDescent="0.2">
      <c r="A3" s="2" t="s">
        <v>204</v>
      </c>
      <c r="B3" s="2">
        <v>300</v>
      </c>
      <c r="D3" t="s">
        <v>205</v>
      </c>
      <c r="E3">
        <v>93.98</v>
      </c>
      <c r="H3" t="s">
        <v>206</v>
      </c>
      <c r="I3" s="34">
        <v>43000</v>
      </c>
      <c r="J3" t="s">
        <v>207</v>
      </c>
    </row>
    <row r="4" spans="1:10" x14ac:dyDescent="0.2">
      <c r="A4" s="2" t="s">
        <v>208</v>
      </c>
      <c r="B4" s="2">
        <f>(B2*(B3^2))/2</f>
        <v>4.4999999999999998E-2</v>
      </c>
      <c r="D4" t="s">
        <v>209</v>
      </c>
      <c r="E4">
        <v>92.5</v>
      </c>
      <c r="H4" t="s">
        <v>210</v>
      </c>
      <c r="I4">
        <f>I1*(I3/(I2+I3))</f>
        <v>3.3443515457903943</v>
      </c>
    </row>
    <row r="5" spans="1:10" x14ac:dyDescent="0.2">
      <c r="A5" s="2" t="s">
        <v>211</v>
      </c>
      <c r="B5" s="2">
        <f>B3/B1</f>
        <v>25</v>
      </c>
      <c r="D5" t="s">
        <v>212</v>
      </c>
      <c r="E5">
        <v>3</v>
      </c>
    </row>
    <row r="6" spans="1:10" x14ac:dyDescent="0.2">
      <c r="D6" t="s">
        <v>205</v>
      </c>
      <c r="E6">
        <f>91.5</f>
        <v>91.5</v>
      </c>
      <c r="J6" s="34">
        <f>300/(I2+I3)</f>
        <v>5.8331713007972001E-5</v>
      </c>
    </row>
    <row r="7" spans="1:10" x14ac:dyDescent="0.2">
      <c r="E7">
        <f>E6-6</f>
        <v>85.5</v>
      </c>
      <c r="J7" s="34">
        <v>5.8E-5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C4D-205D-4BA5-B37A-C3D515743A6A}">
  <dimension ref="A1:B10"/>
  <sheetViews>
    <sheetView workbookViewId="0">
      <selection sqref="A1:XFD1048576"/>
    </sheetView>
  </sheetViews>
  <sheetFormatPr defaultRowHeight="12.6" x14ac:dyDescent="0.2"/>
  <cols>
    <col min="1" max="1" width="11.26953125" bestFit="1" customWidth="1"/>
  </cols>
  <sheetData>
    <row r="1" spans="1:2" x14ac:dyDescent="0.2">
      <c r="A1" s="2" t="s">
        <v>202</v>
      </c>
      <c r="B1" s="2">
        <v>330000</v>
      </c>
    </row>
    <row r="2" spans="1:2" x14ac:dyDescent="0.2">
      <c r="A2" s="2" t="s">
        <v>206</v>
      </c>
      <c r="B2" s="2">
        <v>2200000</v>
      </c>
    </row>
    <row r="3" spans="1:2" x14ac:dyDescent="0.2">
      <c r="A3" s="2" t="s">
        <v>242</v>
      </c>
      <c r="B3" s="2">
        <v>1.41</v>
      </c>
    </row>
    <row r="4" spans="1:2" x14ac:dyDescent="0.2">
      <c r="A4" s="2" t="s">
        <v>235</v>
      </c>
      <c r="B4" s="2">
        <f>B3-0.1835</f>
        <v>1.2264999999999999</v>
      </c>
    </row>
    <row r="5" spans="1:2" x14ac:dyDescent="0.2">
      <c r="A5" s="2" t="s">
        <v>236</v>
      </c>
      <c r="B5" s="2">
        <v>0</v>
      </c>
    </row>
    <row r="6" spans="1:2" x14ac:dyDescent="0.2">
      <c r="A6" s="2" t="s">
        <v>237</v>
      </c>
      <c r="B6" s="2">
        <v>3.3</v>
      </c>
    </row>
    <row r="7" spans="1:2" x14ac:dyDescent="0.2">
      <c r="A7" s="2" t="s">
        <v>238</v>
      </c>
      <c r="B7" s="2">
        <f>((B1+B2)*B4-(B1*B5))/B2</f>
        <v>1.4104749999999999</v>
      </c>
    </row>
    <row r="8" spans="1:2" x14ac:dyDescent="0.2">
      <c r="A8" s="2" t="s">
        <v>239</v>
      </c>
      <c r="B8" s="2">
        <f>((B1+B2)*B4-(B1*B6))/B2</f>
        <v>0.91547500000000004</v>
      </c>
    </row>
    <row r="9" spans="1:2" x14ac:dyDescent="0.2">
      <c r="A9" s="2" t="s">
        <v>240</v>
      </c>
      <c r="B9" s="2">
        <f>B7-B8</f>
        <v>0.49499999999999988</v>
      </c>
    </row>
    <row r="10" spans="1:2" x14ac:dyDescent="0.2">
      <c r="A10" s="2" t="s">
        <v>240</v>
      </c>
      <c r="B10" s="2">
        <f>B1*(B6-B5)/B2</f>
        <v>0.495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D29A-2B20-4F70-8A3F-3E3ADB9F6627}">
  <dimension ref="A1:B12"/>
  <sheetViews>
    <sheetView workbookViewId="0">
      <selection sqref="A1:XFD1048576"/>
    </sheetView>
  </sheetViews>
  <sheetFormatPr defaultRowHeight="12.6" x14ac:dyDescent="0.2"/>
  <sheetData>
    <row r="1" spans="1:2" x14ac:dyDescent="0.2">
      <c r="A1" t="s">
        <v>243</v>
      </c>
      <c r="B1">
        <v>3.3</v>
      </c>
    </row>
    <row r="2" spans="1:2" x14ac:dyDescent="0.2">
      <c r="A2" t="s">
        <v>202</v>
      </c>
      <c r="B2">
        <v>75000</v>
      </c>
    </row>
    <row r="3" spans="1:2" x14ac:dyDescent="0.2">
      <c r="A3" t="s">
        <v>206</v>
      </c>
      <c r="B3">
        <v>100000</v>
      </c>
    </row>
    <row r="4" spans="1:2" x14ac:dyDescent="0.2">
      <c r="A4" t="s">
        <v>235</v>
      </c>
      <c r="B4">
        <v>1.226</v>
      </c>
    </row>
    <row r="5" spans="1:2" x14ac:dyDescent="0.2">
      <c r="A5" t="s">
        <v>219</v>
      </c>
      <c r="B5">
        <v>330000</v>
      </c>
    </row>
    <row r="6" spans="1:2" x14ac:dyDescent="0.2">
      <c r="A6" t="s">
        <v>221</v>
      </c>
      <c r="B6">
        <v>2200000</v>
      </c>
    </row>
    <row r="7" spans="1:2" x14ac:dyDescent="0.2">
      <c r="A7" t="s">
        <v>236</v>
      </c>
      <c r="B7">
        <v>0</v>
      </c>
    </row>
    <row r="8" spans="1:2" x14ac:dyDescent="0.2">
      <c r="A8" t="s">
        <v>237</v>
      </c>
      <c r="B8">
        <v>3.3</v>
      </c>
    </row>
    <row r="9" spans="1:2" x14ac:dyDescent="0.2">
      <c r="A9" t="s">
        <v>238</v>
      </c>
      <c r="B9">
        <f>((B5+B6)*B4-(B5*B7))/B6</f>
        <v>1.4098999999999999</v>
      </c>
    </row>
    <row r="10" spans="1:2" x14ac:dyDescent="0.2">
      <c r="A10" t="s">
        <v>239</v>
      </c>
      <c r="B10">
        <f>((B5+B6)*B4-(B5*B8))/B6</f>
        <v>0.91490000000000005</v>
      </c>
    </row>
    <row r="11" spans="1:2" x14ac:dyDescent="0.2">
      <c r="A11" t="s">
        <v>240</v>
      </c>
      <c r="B11">
        <f>B9-B10</f>
        <v>0.49499999999999988</v>
      </c>
    </row>
    <row r="12" spans="1:2" x14ac:dyDescent="0.2">
      <c r="A12" t="s">
        <v>240</v>
      </c>
      <c r="B12">
        <f>B5*(B8-B7)/B6</f>
        <v>0.495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229D-9D44-4C7F-8241-DAEA6E4E24A3}">
  <dimension ref="A1:B5"/>
  <sheetViews>
    <sheetView workbookViewId="0">
      <selection sqref="A1:XFD1048576"/>
    </sheetView>
  </sheetViews>
  <sheetFormatPr defaultRowHeight="12.6" x14ac:dyDescent="0.2"/>
  <sheetData>
    <row r="1" spans="1:2" x14ac:dyDescent="0.2">
      <c r="A1" t="s">
        <v>235</v>
      </c>
      <c r="B1">
        <v>1.226</v>
      </c>
    </row>
    <row r="2" spans="1:2" x14ac:dyDescent="0.2">
      <c r="A2" t="s">
        <v>202</v>
      </c>
      <c r="B2">
        <v>330000</v>
      </c>
    </row>
    <row r="3" spans="1:2" x14ac:dyDescent="0.2">
      <c r="A3" t="s">
        <v>244</v>
      </c>
      <c r="B3">
        <v>2200000</v>
      </c>
    </row>
    <row r="4" spans="1:2" x14ac:dyDescent="0.2">
      <c r="A4" t="s">
        <v>236</v>
      </c>
      <c r="B4">
        <v>0</v>
      </c>
    </row>
    <row r="5" spans="1:2" x14ac:dyDescent="0.2">
      <c r="A5" t="s">
        <v>245</v>
      </c>
      <c r="B5">
        <f>B1*(1+(B2/B3))-B4*(B2/B3)</f>
        <v>1.4098999999999999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37" sqref="D37"/>
    </sheetView>
  </sheetViews>
  <sheetFormatPr defaultRowHeight="12.6" x14ac:dyDescent="0.2"/>
  <cols>
    <col min="1" max="1" width="14.6328125" bestFit="1" customWidth="1"/>
    <col min="2" max="2" width="12" bestFit="1" customWidth="1"/>
    <col min="3" max="3" width="33.08984375" bestFit="1" customWidth="1"/>
    <col min="4" max="4" width="16.453125" bestFit="1" customWidth="1"/>
    <col min="5" max="5" width="18" bestFit="1" customWidth="1"/>
    <col min="6" max="6" width="18.453125" customWidth="1"/>
    <col min="7" max="7" width="9.08984375" bestFit="1" customWidth="1"/>
    <col min="8" max="8" width="8.90625" customWidth="1"/>
    <col min="12" max="12" width="12" bestFit="1" customWidth="1"/>
    <col min="16" max="17" width="12" bestFit="1" customWidth="1"/>
  </cols>
  <sheetData>
    <row r="1" spans="1:8" x14ac:dyDescent="0.2">
      <c r="A1" s="1" t="s">
        <v>89</v>
      </c>
      <c r="B1" s="1" t="s">
        <v>99</v>
      </c>
      <c r="C1" s="3" t="s">
        <v>92</v>
      </c>
      <c r="D1" s="3" t="s">
        <v>93</v>
      </c>
      <c r="E1" s="1" t="s">
        <v>94</v>
      </c>
      <c r="F1" s="6"/>
    </row>
    <row r="2" spans="1:8" x14ac:dyDescent="0.2">
      <c r="A2" s="1">
        <v>72000000</v>
      </c>
      <c r="B2" s="1">
        <f>1/A2</f>
        <v>1.3888888888888889E-8</v>
      </c>
      <c r="C2" s="3">
        <v>0.2</v>
      </c>
      <c r="D2" s="3">
        <v>15000</v>
      </c>
      <c r="E2" s="1">
        <f>(60/(D2*$B$2))/(360/$C$2)</f>
        <v>160</v>
      </c>
      <c r="F2" s="6"/>
    </row>
    <row r="6" spans="1:8" x14ac:dyDescent="0.2">
      <c r="A6" s="1" t="s">
        <v>97</v>
      </c>
      <c r="B6" s="1" t="s">
        <v>90</v>
      </c>
      <c r="C6" s="1" t="s">
        <v>95</v>
      </c>
      <c r="D6" s="1" t="s">
        <v>100</v>
      </c>
      <c r="E6" s="1" t="s">
        <v>101</v>
      </c>
      <c r="F6" s="1" t="s">
        <v>98</v>
      </c>
      <c r="G6" s="1" t="s">
        <v>96</v>
      </c>
      <c r="H6" s="4" t="s">
        <v>91</v>
      </c>
    </row>
    <row r="7" spans="1:8" x14ac:dyDescent="0.2">
      <c r="A7" s="1">
        <v>50</v>
      </c>
      <c r="B7" s="5">
        <f>A7/60</f>
        <v>0.83333333333333337</v>
      </c>
      <c r="C7" s="5">
        <f>1/B7</f>
        <v>1.2</v>
      </c>
      <c r="D7" s="1">
        <f>INT(C7/$B$2)</f>
        <v>86400000</v>
      </c>
      <c r="E7" s="1">
        <f>INT(D7/$E$2)</f>
        <v>540000</v>
      </c>
      <c r="F7" s="1">
        <f>INT(E7/(360/$C$2))</f>
        <v>300</v>
      </c>
      <c r="G7" s="1">
        <f>INT(E7/(2^16))</f>
        <v>8</v>
      </c>
      <c r="H7" s="1">
        <f>E7-(G7*2^16)</f>
        <v>15712</v>
      </c>
    </row>
    <row r="8" spans="1:8" x14ac:dyDescent="0.2">
      <c r="A8" s="1">
        <v>500</v>
      </c>
      <c r="B8" s="5">
        <f t="shared" ref="B8:B36" si="0">A8/60</f>
        <v>8.3333333333333339</v>
      </c>
      <c r="C8" s="5">
        <f t="shared" ref="C8:C36" si="1">1/B8</f>
        <v>0.12</v>
      </c>
      <c r="D8" s="1">
        <f t="shared" ref="D8:D37" si="2">INT(C8/$B$2)</f>
        <v>8640000</v>
      </c>
      <c r="E8" s="1">
        <f t="shared" ref="E8:E37" si="3">INT(D8/$E$2)</f>
        <v>54000</v>
      </c>
      <c r="F8" s="1">
        <f t="shared" ref="F8:F37" si="4">INT(E8/(360/$C$2))</f>
        <v>30</v>
      </c>
      <c r="G8" s="1">
        <f t="shared" ref="G8:G36" si="5">INT(E8/(2^16))</f>
        <v>0</v>
      </c>
      <c r="H8" s="1">
        <f t="shared" ref="H8:H37" si="6">E8-(G8*2^16)</f>
        <v>54000</v>
      </c>
    </row>
    <row r="9" spans="1:8" x14ac:dyDescent="0.2">
      <c r="A9" s="1">
        <v>1000</v>
      </c>
      <c r="B9" s="5">
        <f t="shared" si="0"/>
        <v>16.666666666666668</v>
      </c>
      <c r="C9" s="5">
        <f t="shared" si="1"/>
        <v>0.06</v>
      </c>
      <c r="D9" s="1">
        <f t="shared" si="2"/>
        <v>4320000</v>
      </c>
      <c r="E9" s="1">
        <f t="shared" si="3"/>
        <v>27000</v>
      </c>
      <c r="F9" s="1">
        <f t="shared" si="4"/>
        <v>15</v>
      </c>
      <c r="G9" s="1">
        <f t="shared" si="5"/>
        <v>0</v>
      </c>
      <c r="H9" s="1">
        <f t="shared" si="6"/>
        <v>27000</v>
      </c>
    </row>
    <row r="10" spans="1:8" x14ac:dyDescent="0.2">
      <c r="A10" s="1">
        <v>1500</v>
      </c>
      <c r="B10" s="5">
        <f t="shared" si="0"/>
        <v>25</v>
      </c>
      <c r="C10" s="5">
        <f t="shared" si="1"/>
        <v>0.04</v>
      </c>
      <c r="D10" s="1">
        <f t="shared" si="2"/>
        <v>2880000</v>
      </c>
      <c r="E10" s="1">
        <f t="shared" si="3"/>
        <v>18000</v>
      </c>
      <c r="F10" s="1">
        <f t="shared" si="4"/>
        <v>10</v>
      </c>
      <c r="G10" s="1">
        <f t="shared" si="5"/>
        <v>0</v>
      </c>
      <c r="H10" s="1">
        <f t="shared" si="6"/>
        <v>18000</v>
      </c>
    </row>
    <row r="11" spans="1:8" x14ac:dyDescent="0.2">
      <c r="A11" s="1">
        <v>2000</v>
      </c>
      <c r="B11" s="5">
        <f t="shared" si="0"/>
        <v>33.333333333333336</v>
      </c>
      <c r="C11" s="5">
        <f t="shared" si="1"/>
        <v>0.03</v>
      </c>
      <c r="D11" s="1">
        <f t="shared" si="2"/>
        <v>2160000</v>
      </c>
      <c r="E11" s="1">
        <f t="shared" si="3"/>
        <v>13500</v>
      </c>
      <c r="F11" s="1">
        <f t="shared" si="4"/>
        <v>7</v>
      </c>
      <c r="G11" s="1">
        <f t="shared" si="5"/>
        <v>0</v>
      </c>
      <c r="H11" s="1">
        <f t="shared" si="6"/>
        <v>13500</v>
      </c>
    </row>
    <row r="12" spans="1:8" x14ac:dyDescent="0.2">
      <c r="A12" s="1">
        <v>2500</v>
      </c>
      <c r="B12" s="5">
        <f t="shared" si="0"/>
        <v>41.666666666666664</v>
      </c>
      <c r="C12" s="5">
        <f t="shared" si="1"/>
        <v>2.4E-2</v>
      </c>
      <c r="D12" s="1">
        <f t="shared" si="2"/>
        <v>1728000</v>
      </c>
      <c r="E12" s="1">
        <f t="shared" si="3"/>
        <v>10800</v>
      </c>
      <c r="F12" s="1">
        <f t="shared" si="4"/>
        <v>6</v>
      </c>
      <c r="G12" s="1">
        <f t="shared" si="5"/>
        <v>0</v>
      </c>
      <c r="H12" s="1">
        <f t="shared" si="6"/>
        <v>10800</v>
      </c>
    </row>
    <row r="13" spans="1:8" x14ac:dyDescent="0.2">
      <c r="A13" s="1">
        <v>3000</v>
      </c>
      <c r="B13" s="5">
        <f t="shared" si="0"/>
        <v>50</v>
      </c>
      <c r="C13" s="5">
        <f t="shared" si="1"/>
        <v>0.02</v>
      </c>
      <c r="D13" s="1">
        <f t="shared" si="2"/>
        <v>1440000</v>
      </c>
      <c r="E13" s="1">
        <f t="shared" si="3"/>
        <v>9000</v>
      </c>
      <c r="F13" s="1">
        <f t="shared" si="4"/>
        <v>5</v>
      </c>
      <c r="G13" s="1">
        <f t="shared" si="5"/>
        <v>0</v>
      </c>
      <c r="H13" s="1">
        <f t="shared" si="6"/>
        <v>9000</v>
      </c>
    </row>
    <row r="14" spans="1:8" x14ac:dyDescent="0.2">
      <c r="A14" s="1">
        <v>3500</v>
      </c>
      <c r="B14" s="5">
        <f t="shared" si="0"/>
        <v>58.333333333333336</v>
      </c>
      <c r="C14" s="5">
        <f t="shared" si="1"/>
        <v>1.7142857142857144E-2</v>
      </c>
      <c r="D14" s="1">
        <f t="shared" si="2"/>
        <v>1234285</v>
      </c>
      <c r="E14" s="1">
        <f t="shared" si="3"/>
        <v>7714</v>
      </c>
      <c r="F14" s="1">
        <f t="shared" si="4"/>
        <v>4</v>
      </c>
      <c r="G14" s="1">
        <f t="shared" si="5"/>
        <v>0</v>
      </c>
      <c r="H14" s="1">
        <f t="shared" si="6"/>
        <v>7714</v>
      </c>
    </row>
    <row r="15" spans="1:8" x14ac:dyDescent="0.2">
      <c r="A15" s="1">
        <v>4000</v>
      </c>
      <c r="B15" s="5">
        <f t="shared" si="0"/>
        <v>66.666666666666671</v>
      </c>
      <c r="C15" s="5">
        <f t="shared" si="1"/>
        <v>1.4999999999999999E-2</v>
      </c>
      <c r="D15" s="1">
        <f t="shared" si="2"/>
        <v>1080000</v>
      </c>
      <c r="E15" s="1">
        <f t="shared" si="3"/>
        <v>6750</v>
      </c>
      <c r="F15" s="1">
        <f t="shared" si="4"/>
        <v>3</v>
      </c>
      <c r="G15" s="1">
        <f t="shared" si="5"/>
        <v>0</v>
      </c>
      <c r="H15" s="1">
        <f t="shared" si="6"/>
        <v>6750</v>
      </c>
    </row>
    <row r="16" spans="1:8" x14ac:dyDescent="0.2">
      <c r="A16" s="1">
        <v>4500</v>
      </c>
      <c r="B16" s="5">
        <f t="shared" si="0"/>
        <v>75</v>
      </c>
      <c r="C16" s="5">
        <f t="shared" si="1"/>
        <v>1.3333333333333334E-2</v>
      </c>
      <c r="D16" s="1">
        <f t="shared" si="2"/>
        <v>960000</v>
      </c>
      <c r="E16" s="1">
        <f t="shared" si="3"/>
        <v>6000</v>
      </c>
      <c r="F16" s="1">
        <f t="shared" si="4"/>
        <v>3</v>
      </c>
      <c r="G16" s="1">
        <f t="shared" si="5"/>
        <v>0</v>
      </c>
      <c r="H16" s="1">
        <f t="shared" si="6"/>
        <v>6000</v>
      </c>
    </row>
    <row r="17" spans="1:10" x14ac:dyDescent="0.2">
      <c r="A17" s="1">
        <v>5000</v>
      </c>
      <c r="B17" s="5">
        <f t="shared" si="0"/>
        <v>83.333333333333329</v>
      </c>
      <c r="C17" s="5">
        <f t="shared" si="1"/>
        <v>1.2E-2</v>
      </c>
      <c r="D17" s="1">
        <f t="shared" si="2"/>
        <v>864000</v>
      </c>
      <c r="E17" s="1">
        <f t="shared" si="3"/>
        <v>5400</v>
      </c>
      <c r="F17" s="1">
        <f t="shared" si="4"/>
        <v>3</v>
      </c>
      <c r="G17" s="1">
        <f t="shared" si="5"/>
        <v>0</v>
      </c>
      <c r="H17" s="1">
        <f t="shared" si="6"/>
        <v>5400</v>
      </c>
    </row>
    <row r="18" spans="1:10" x14ac:dyDescent="0.2">
      <c r="A18" s="1">
        <v>5500</v>
      </c>
      <c r="B18" s="5">
        <f t="shared" si="0"/>
        <v>91.666666666666671</v>
      </c>
      <c r="C18" s="5">
        <f t="shared" si="1"/>
        <v>1.0909090909090908E-2</v>
      </c>
      <c r="D18" s="1">
        <f t="shared" si="2"/>
        <v>785454</v>
      </c>
      <c r="E18" s="1">
        <f t="shared" si="3"/>
        <v>4909</v>
      </c>
      <c r="F18" s="1">
        <f t="shared" si="4"/>
        <v>2</v>
      </c>
      <c r="G18" s="1">
        <f t="shared" si="5"/>
        <v>0</v>
      </c>
      <c r="H18" s="1">
        <f t="shared" si="6"/>
        <v>4909</v>
      </c>
    </row>
    <row r="19" spans="1:10" x14ac:dyDescent="0.2">
      <c r="A19" s="1">
        <v>6000</v>
      </c>
      <c r="B19" s="5">
        <f t="shared" si="0"/>
        <v>100</v>
      </c>
      <c r="C19" s="5">
        <f t="shared" si="1"/>
        <v>0.01</v>
      </c>
      <c r="D19" s="1">
        <f t="shared" si="2"/>
        <v>720000</v>
      </c>
      <c r="E19" s="1">
        <f t="shared" si="3"/>
        <v>4500</v>
      </c>
      <c r="F19" s="1">
        <f t="shared" si="4"/>
        <v>2</v>
      </c>
      <c r="G19" s="1">
        <f t="shared" si="5"/>
        <v>0</v>
      </c>
      <c r="H19" s="1">
        <f t="shared" si="6"/>
        <v>4500</v>
      </c>
    </row>
    <row r="20" spans="1:10" x14ac:dyDescent="0.2">
      <c r="A20" s="1">
        <v>6500</v>
      </c>
      <c r="B20" s="5">
        <f t="shared" si="0"/>
        <v>108.33333333333333</v>
      </c>
      <c r="C20" s="5">
        <f t="shared" si="1"/>
        <v>9.2307692307692316E-3</v>
      </c>
      <c r="D20" s="1">
        <f t="shared" si="2"/>
        <v>664615</v>
      </c>
      <c r="E20" s="1">
        <f t="shared" si="3"/>
        <v>4153</v>
      </c>
      <c r="F20" s="1">
        <f t="shared" si="4"/>
        <v>2</v>
      </c>
      <c r="G20" s="1">
        <f t="shared" si="5"/>
        <v>0</v>
      </c>
      <c r="H20" s="1">
        <f t="shared" si="6"/>
        <v>4153</v>
      </c>
    </row>
    <row r="21" spans="1:10" x14ac:dyDescent="0.2">
      <c r="A21" s="1">
        <v>7000</v>
      </c>
      <c r="B21" s="5">
        <f t="shared" si="0"/>
        <v>116.66666666666667</v>
      </c>
      <c r="C21" s="5">
        <f t="shared" si="1"/>
        <v>8.5714285714285719E-3</v>
      </c>
      <c r="D21" s="1">
        <f t="shared" si="2"/>
        <v>617142</v>
      </c>
      <c r="E21" s="1">
        <f t="shared" si="3"/>
        <v>3857</v>
      </c>
      <c r="F21" s="1">
        <f t="shared" si="4"/>
        <v>2</v>
      </c>
      <c r="G21" s="1">
        <f t="shared" si="5"/>
        <v>0</v>
      </c>
      <c r="H21" s="1">
        <f t="shared" si="6"/>
        <v>3857</v>
      </c>
    </row>
    <row r="22" spans="1:10" x14ac:dyDescent="0.2">
      <c r="A22" s="1">
        <v>7500</v>
      </c>
      <c r="B22" s="5">
        <f t="shared" si="0"/>
        <v>125</v>
      </c>
      <c r="C22" s="5">
        <f t="shared" si="1"/>
        <v>8.0000000000000002E-3</v>
      </c>
      <c r="D22" s="1">
        <f t="shared" si="2"/>
        <v>576000</v>
      </c>
      <c r="E22" s="1">
        <f t="shared" si="3"/>
        <v>3600</v>
      </c>
      <c r="F22" s="1">
        <f t="shared" si="4"/>
        <v>2</v>
      </c>
      <c r="G22" s="1">
        <f t="shared" si="5"/>
        <v>0</v>
      </c>
      <c r="H22" s="1">
        <f t="shared" si="6"/>
        <v>3600</v>
      </c>
    </row>
    <row r="23" spans="1:10" x14ac:dyDescent="0.2">
      <c r="A23" s="1">
        <v>8000</v>
      </c>
      <c r="B23" s="5">
        <f t="shared" si="0"/>
        <v>133.33333333333334</v>
      </c>
      <c r="C23" s="5">
        <f t="shared" si="1"/>
        <v>7.4999999999999997E-3</v>
      </c>
      <c r="D23" s="1">
        <f t="shared" si="2"/>
        <v>540000</v>
      </c>
      <c r="E23" s="1">
        <f t="shared" si="3"/>
        <v>3375</v>
      </c>
      <c r="F23" s="1">
        <f t="shared" si="4"/>
        <v>1</v>
      </c>
      <c r="G23" s="1">
        <f t="shared" si="5"/>
        <v>0</v>
      </c>
      <c r="H23" s="1">
        <f t="shared" si="6"/>
        <v>3375</v>
      </c>
      <c r="J23">
        <f>E23/1800</f>
        <v>1.875</v>
      </c>
    </row>
    <row r="24" spans="1:10" x14ac:dyDescent="0.2">
      <c r="A24" s="1">
        <v>8500</v>
      </c>
      <c r="B24" s="5">
        <f t="shared" si="0"/>
        <v>141.66666666666666</v>
      </c>
      <c r="C24" s="5">
        <f t="shared" si="1"/>
        <v>7.058823529411765E-3</v>
      </c>
      <c r="D24" s="1">
        <f t="shared" si="2"/>
        <v>508235</v>
      </c>
      <c r="E24" s="1">
        <f t="shared" si="3"/>
        <v>3176</v>
      </c>
      <c r="F24" s="1">
        <f t="shared" si="4"/>
        <v>1</v>
      </c>
      <c r="G24" s="1">
        <f t="shared" si="5"/>
        <v>0</v>
      </c>
      <c r="H24" s="1">
        <f t="shared" si="6"/>
        <v>3176</v>
      </c>
      <c r="J24">
        <f>40/360</f>
        <v>0.1111111111111111</v>
      </c>
    </row>
    <row r="25" spans="1:10" x14ac:dyDescent="0.2">
      <c r="A25" s="1">
        <v>9000</v>
      </c>
      <c r="B25" s="5">
        <f t="shared" si="0"/>
        <v>150</v>
      </c>
      <c r="C25" s="5">
        <f t="shared" si="1"/>
        <v>6.6666666666666671E-3</v>
      </c>
      <c r="D25" s="1">
        <f t="shared" si="2"/>
        <v>480000</v>
      </c>
      <c r="E25" s="1">
        <f t="shared" si="3"/>
        <v>3000</v>
      </c>
      <c r="F25" s="1">
        <f t="shared" si="4"/>
        <v>1</v>
      </c>
      <c r="G25" s="1">
        <f t="shared" si="5"/>
        <v>0</v>
      </c>
      <c r="H25" s="1">
        <f t="shared" si="6"/>
        <v>3000</v>
      </c>
    </row>
    <row r="26" spans="1:10" x14ac:dyDescent="0.2">
      <c r="A26" s="1">
        <v>9500</v>
      </c>
      <c r="B26" s="5">
        <f t="shared" si="0"/>
        <v>158.33333333333334</v>
      </c>
      <c r="C26" s="5">
        <f t="shared" si="1"/>
        <v>6.3157894736842104E-3</v>
      </c>
      <c r="D26" s="1">
        <f t="shared" si="2"/>
        <v>454736</v>
      </c>
      <c r="E26" s="1">
        <f t="shared" si="3"/>
        <v>2842</v>
      </c>
      <c r="F26" s="1">
        <f t="shared" si="4"/>
        <v>1</v>
      </c>
      <c r="G26" s="1">
        <f t="shared" si="5"/>
        <v>0</v>
      </c>
      <c r="H26" s="1">
        <f t="shared" si="6"/>
        <v>2842</v>
      </c>
    </row>
    <row r="27" spans="1:10" x14ac:dyDescent="0.2">
      <c r="A27" s="1">
        <v>10000</v>
      </c>
      <c r="B27" s="5">
        <f t="shared" si="0"/>
        <v>166.66666666666666</v>
      </c>
      <c r="C27" s="5">
        <f t="shared" si="1"/>
        <v>6.0000000000000001E-3</v>
      </c>
      <c r="D27" s="1">
        <f t="shared" si="2"/>
        <v>432000</v>
      </c>
      <c r="E27" s="1">
        <f t="shared" si="3"/>
        <v>2700</v>
      </c>
      <c r="F27" s="1">
        <f t="shared" si="4"/>
        <v>1</v>
      </c>
      <c r="G27" s="1">
        <f t="shared" si="5"/>
        <v>0</v>
      </c>
      <c r="H27" s="1">
        <f t="shared" si="6"/>
        <v>2700</v>
      </c>
    </row>
    <row r="28" spans="1:10" x14ac:dyDescent="0.2">
      <c r="A28" s="1">
        <v>10500</v>
      </c>
      <c r="B28" s="5">
        <f t="shared" si="0"/>
        <v>175</v>
      </c>
      <c r="C28" s="5">
        <f t="shared" si="1"/>
        <v>5.7142857142857143E-3</v>
      </c>
      <c r="D28" s="1">
        <f t="shared" si="2"/>
        <v>411428</v>
      </c>
      <c r="E28" s="1">
        <f t="shared" si="3"/>
        <v>2571</v>
      </c>
      <c r="F28" s="1">
        <f t="shared" si="4"/>
        <v>1</v>
      </c>
      <c r="G28" s="1">
        <f t="shared" si="5"/>
        <v>0</v>
      </c>
      <c r="H28" s="1">
        <f t="shared" si="6"/>
        <v>2571</v>
      </c>
    </row>
    <row r="29" spans="1:10" x14ac:dyDescent="0.2">
      <c r="A29" s="1">
        <v>11000</v>
      </c>
      <c r="B29" s="5">
        <f t="shared" si="0"/>
        <v>183.33333333333334</v>
      </c>
      <c r="C29" s="5">
        <f t="shared" si="1"/>
        <v>5.4545454545454541E-3</v>
      </c>
      <c r="D29" s="1">
        <f t="shared" si="2"/>
        <v>392727</v>
      </c>
      <c r="E29" s="1">
        <f t="shared" si="3"/>
        <v>2454</v>
      </c>
      <c r="F29" s="1">
        <f t="shared" si="4"/>
        <v>1</v>
      </c>
      <c r="G29" s="1">
        <f t="shared" si="5"/>
        <v>0</v>
      </c>
      <c r="H29" s="1">
        <f t="shared" si="6"/>
        <v>2454</v>
      </c>
    </row>
    <row r="30" spans="1:10" x14ac:dyDescent="0.2">
      <c r="A30" s="1">
        <v>11500</v>
      </c>
      <c r="B30" s="5">
        <f t="shared" si="0"/>
        <v>191.66666666666666</v>
      </c>
      <c r="C30" s="5">
        <f t="shared" si="1"/>
        <v>5.2173913043478265E-3</v>
      </c>
      <c r="D30" s="1">
        <f t="shared" si="2"/>
        <v>375652</v>
      </c>
      <c r="E30" s="1">
        <f t="shared" si="3"/>
        <v>2347</v>
      </c>
      <c r="F30" s="1">
        <f t="shared" si="4"/>
        <v>1</v>
      </c>
      <c r="G30" s="1">
        <f t="shared" si="5"/>
        <v>0</v>
      </c>
      <c r="H30" s="1">
        <f t="shared" si="6"/>
        <v>2347</v>
      </c>
    </row>
    <row r="31" spans="1:10" x14ac:dyDescent="0.2">
      <c r="A31" s="1">
        <v>12000</v>
      </c>
      <c r="B31" s="5">
        <f t="shared" si="0"/>
        <v>200</v>
      </c>
      <c r="C31" s="5">
        <f t="shared" si="1"/>
        <v>5.0000000000000001E-3</v>
      </c>
      <c r="D31" s="1">
        <f t="shared" si="2"/>
        <v>360000</v>
      </c>
      <c r="E31" s="1">
        <f t="shared" si="3"/>
        <v>2250</v>
      </c>
      <c r="F31" s="1">
        <f t="shared" si="4"/>
        <v>1</v>
      </c>
      <c r="G31" s="1">
        <f t="shared" si="5"/>
        <v>0</v>
      </c>
      <c r="H31" s="1">
        <f t="shared" si="6"/>
        <v>2250</v>
      </c>
    </row>
    <row r="32" spans="1:10" x14ac:dyDescent="0.2">
      <c r="A32" s="1">
        <v>12500</v>
      </c>
      <c r="B32" s="5">
        <f t="shared" si="0"/>
        <v>208.33333333333334</v>
      </c>
      <c r="C32" s="5">
        <f t="shared" si="1"/>
        <v>4.7999999999999996E-3</v>
      </c>
      <c r="D32" s="1">
        <f t="shared" si="2"/>
        <v>345600</v>
      </c>
      <c r="E32" s="1">
        <f t="shared" si="3"/>
        <v>2160</v>
      </c>
      <c r="F32" s="1">
        <f t="shared" si="4"/>
        <v>1</v>
      </c>
      <c r="G32" s="1">
        <f t="shared" si="5"/>
        <v>0</v>
      </c>
      <c r="H32" s="1">
        <f t="shared" si="6"/>
        <v>2160</v>
      </c>
    </row>
    <row r="33" spans="1:8" x14ac:dyDescent="0.2">
      <c r="A33" s="1">
        <v>13000</v>
      </c>
      <c r="B33" s="5">
        <f t="shared" si="0"/>
        <v>216.66666666666666</v>
      </c>
      <c r="C33" s="5">
        <f t="shared" si="1"/>
        <v>4.6153846153846158E-3</v>
      </c>
      <c r="D33" s="1">
        <f t="shared" si="2"/>
        <v>332307</v>
      </c>
      <c r="E33" s="1">
        <f t="shared" si="3"/>
        <v>2076</v>
      </c>
      <c r="F33" s="1">
        <f t="shared" si="4"/>
        <v>1</v>
      </c>
      <c r="G33" s="1">
        <f t="shared" si="5"/>
        <v>0</v>
      </c>
      <c r="H33" s="1">
        <f t="shared" si="6"/>
        <v>2076</v>
      </c>
    </row>
    <row r="34" spans="1:8" x14ac:dyDescent="0.2">
      <c r="A34" s="1">
        <v>13500</v>
      </c>
      <c r="B34" s="5">
        <f t="shared" si="0"/>
        <v>225</v>
      </c>
      <c r="C34" s="5">
        <f t="shared" si="1"/>
        <v>4.4444444444444444E-3</v>
      </c>
      <c r="D34" s="1">
        <f t="shared" si="2"/>
        <v>320000</v>
      </c>
      <c r="E34" s="1">
        <f t="shared" si="3"/>
        <v>2000</v>
      </c>
      <c r="F34" s="1">
        <f t="shared" si="4"/>
        <v>1</v>
      </c>
      <c r="G34" s="1">
        <f t="shared" si="5"/>
        <v>0</v>
      </c>
      <c r="H34" s="1">
        <f t="shared" si="6"/>
        <v>2000</v>
      </c>
    </row>
    <row r="35" spans="1:8" x14ac:dyDescent="0.2">
      <c r="A35" s="1">
        <v>14000</v>
      </c>
      <c r="B35" s="5">
        <f t="shared" si="0"/>
        <v>233.33333333333334</v>
      </c>
      <c r="C35" s="5">
        <f t="shared" si="1"/>
        <v>4.2857142857142859E-3</v>
      </c>
      <c r="D35" s="1">
        <f t="shared" si="2"/>
        <v>308571</v>
      </c>
      <c r="E35" s="1">
        <f t="shared" si="3"/>
        <v>1928</v>
      </c>
      <c r="F35" s="1">
        <f t="shared" si="4"/>
        <v>1</v>
      </c>
      <c r="G35" s="1">
        <f t="shared" si="5"/>
        <v>0</v>
      </c>
      <c r="H35" s="1">
        <f t="shared" si="6"/>
        <v>1928</v>
      </c>
    </row>
    <row r="36" spans="1:8" x14ac:dyDescent="0.2">
      <c r="A36" s="1">
        <v>14500</v>
      </c>
      <c r="B36" s="5">
        <f t="shared" si="0"/>
        <v>241.66666666666666</v>
      </c>
      <c r="C36" s="5">
        <f t="shared" si="1"/>
        <v>4.1379310344827587E-3</v>
      </c>
      <c r="D36" s="1">
        <f t="shared" si="2"/>
        <v>297931</v>
      </c>
      <c r="E36" s="1">
        <f t="shared" si="3"/>
        <v>1862</v>
      </c>
      <c r="F36" s="1">
        <f t="shared" si="4"/>
        <v>1</v>
      </c>
      <c r="G36" s="1">
        <f t="shared" si="5"/>
        <v>0</v>
      </c>
      <c r="H36" s="1">
        <f t="shared" si="6"/>
        <v>1862</v>
      </c>
    </row>
    <row r="37" spans="1:8" x14ac:dyDescent="0.2">
      <c r="A37" s="1">
        <v>15000</v>
      </c>
      <c r="B37" s="5">
        <f>A37/60</f>
        <v>250</v>
      </c>
      <c r="C37" s="5">
        <f>1/B37</f>
        <v>4.0000000000000001E-3</v>
      </c>
      <c r="D37" s="1">
        <f t="shared" si="2"/>
        <v>288000</v>
      </c>
      <c r="E37" s="1">
        <f t="shared" si="3"/>
        <v>1800</v>
      </c>
      <c r="F37" s="1">
        <f t="shared" si="4"/>
        <v>1</v>
      </c>
      <c r="G37" s="1">
        <f>INT(E37/(2^16))</f>
        <v>0</v>
      </c>
      <c r="H37" s="1">
        <f t="shared" si="6"/>
        <v>1800</v>
      </c>
    </row>
    <row r="39" spans="1:8" x14ac:dyDescent="0.2">
      <c r="C39" s="7">
        <f>C37/1800</f>
        <v>2.2222222222222221E-6</v>
      </c>
    </row>
    <row r="40" spans="1:8" x14ac:dyDescent="0.2">
      <c r="C40">
        <f>C39/B2</f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122D-D143-4F88-A338-5A908FBFDD51}">
  <dimension ref="A1:J104"/>
  <sheetViews>
    <sheetView topLeftCell="A14" workbookViewId="0">
      <selection sqref="A1:XFD1048576"/>
    </sheetView>
  </sheetViews>
  <sheetFormatPr defaultRowHeight="12.6" x14ac:dyDescent="0.2"/>
  <cols>
    <col min="1" max="1" width="19" bestFit="1" customWidth="1"/>
    <col min="2" max="2" width="70.7265625" bestFit="1" customWidth="1"/>
    <col min="3" max="3" width="33.08984375" bestFit="1" customWidth="1"/>
    <col min="4" max="4" width="16.453125" bestFit="1" customWidth="1"/>
    <col min="5" max="5" width="18" bestFit="1" customWidth="1"/>
    <col min="6" max="6" width="18.453125" customWidth="1"/>
    <col min="7" max="7" width="9.08984375" bestFit="1" customWidth="1"/>
    <col min="8" max="8" width="8.90625" customWidth="1"/>
    <col min="12" max="12" width="12" bestFit="1" customWidth="1"/>
    <col min="16" max="17" width="12" bestFit="1" customWidth="1"/>
  </cols>
  <sheetData>
    <row r="1" spans="1:6" x14ac:dyDescent="0.2">
      <c r="A1" t="s">
        <v>102</v>
      </c>
    </row>
    <row r="3" spans="1:6" x14ac:dyDescent="0.2">
      <c r="C3" s="3" t="s">
        <v>92</v>
      </c>
      <c r="D3" s="3" t="s">
        <v>93</v>
      </c>
      <c r="E3" s="1" t="s">
        <v>94</v>
      </c>
      <c r="F3" s="6"/>
    </row>
    <row r="4" spans="1:6" x14ac:dyDescent="0.2">
      <c r="C4" s="3">
        <v>0.2</v>
      </c>
      <c r="D4" s="3">
        <v>15000</v>
      </c>
      <c r="E4" s="1">
        <f>(60/(D4*$C$20))/(360/$C$4)</f>
        <v>160</v>
      </c>
      <c r="F4" s="6"/>
    </row>
    <row r="5" spans="1:6" x14ac:dyDescent="0.2">
      <c r="E5" s="6"/>
      <c r="F5" s="6"/>
    </row>
    <row r="6" spans="1:6" x14ac:dyDescent="0.2">
      <c r="A6" s="6" t="s">
        <v>107</v>
      </c>
      <c r="B6" s="6">
        <f>65535*C21</f>
        <v>10485600</v>
      </c>
      <c r="E6" s="6"/>
      <c r="F6" s="6"/>
    </row>
    <row r="7" spans="1:6" x14ac:dyDescent="0.2">
      <c r="A7" s="6"/>
      <c r="B7" s="6"/>
      <c r="E7" s="6"/>
      <c r="F7" s="6"/>
    </row>
    <row r="8" spans="1:6" x14ac:dyDescent="0.2">
      <c r="A8" s="6"/>
      <c r="B8" s="6"/>
      <c r="E8" s="6"/>
      <c r="F8" s="6"/>
    </row>
    <row r="9" spans="1:6" x14ac:dyDescent="0.2">
      <c r="A9" s="6"/>
      <c r="B9" s="6"/>
      <c r="E9" s="6"/>
      <c r="F9" s="6"/>
    </row>
    <row r="10" spans="1:6" x14ac:dyDescent="0.2">
      <c r="A10" s="6"/>
      <c r="B10" s="6"/>
      <c r="E10" s="6"/>
      <c r="F10" s="6"/>
    </row>
    <row r="11" spans="1:6" x14ac:dyDescent="0.2">
      <c r="A11" s="6"/>
      <c r="B11" s="6"/>
      <c r="E11" s="6"/>
      <c r="F11" s="6"/>
    </row>
    <row r="12" spans="1:6" x14ac:dyDescent="0.2">
      <c r="A12" s="6"/>
      <c r="B12" s="6"/>
      <c r="E12" s="6"/>
      <c r="F12" s="6"/>
    </row>
    <row r="13" spans="1:6" x14ac:dyDescent="0.2">
      <c r="A13" s="6"/>
      <c r="B13" s="6"/>
      <c r="E13" s="6"/>
      <c r="F13" s="6"/>
    </row>
    <row r="14" spans="1:6" x14ac:dyDescent="0.2">
      <c r="A14" s="6"/>
      <c r="B14" s="6"/>
      <c r="E14" s="6"/>
      <c r="F14" s="6"/>
    </row>
    <row r="15" spans="1:6" x14ac:dyDescent="0.2">
      <c r="A15" s="10" t="s">
        <v>105</v>
      </c>
      <c r="B15" s="6">
        <v>50</v>
      </c>
      <c r="E15" s="6"/>
      <c r="F15" s="6"/>
    </row>
    <row r="16" spans="1:6" x14ac:dyDescent="0.2">
      <c r="A16" s="11" t="s">
        <v>93</v>
      </c>
      <c r="B16" s="9">
        <v>15000</v>
      </c>
      <c r="E16" s="6"/>
      <c r="F16" s="6"/>
    </row>
    <row r="17" spans="1:6" x14ac:dyDescent="0.2">
      <c r="A17" s="11" t="s">
        <v>113</v>
      </c>
      <c r="B17" s="9">
        <v>15000</v>
      </c>
      <c r="E17" s="6"/>
      <c r="F17" s="6"/>
    </row>
    <row r="18" spans="1:6" x14ac:dyDescent="0.2">
      <c r="A18" s="11"/>
      <c r="B18" s="9"/>
      <c r="E18" s="6"/>
      <c r="F18" s="6"/>
    </row>
    <row r="19" spans="1:6" x14ac:dyDescent="0.2">
      <c r="A19" s="11" t="s">
        <v>123</v>
      </c>
      <c r="B19" s="13" t="s">
        <v>103</v>
      </c>
      <c r="C19" s="1">
        <v>72000000</v>
      </c>
      <c r="E19" s="6"/>
      <c r="F19" s="6"/>
    </row>
    <row r="20" spans="1:6" x14ac:dyDescent="0.2">
      <c r="A20" s="11" t="s">
        <v>123</v>
      </c>
      <c r="B20" s="13" t="s">
        <v>104</v>
      </c>
      <c r="C20" s="1">
        <f>1/C19</f>
        <v>1.3888888888888889E-8</v>
      </c>
      <c r="E20" s="6"/>
      <c r="F20" s="6"/>
    </row>
    <row r="21" spans="1:6" x14ac:dyDescent="0.2">
      <c r="A21" s="11" t="s">
        <v>123</v>
      </c>
      <c r="B21" s="10" t="s">
        <v>106</v>
      </c>
      <c r="C21" s="6">
        <v>160</v>
      </c>
      <c r="E21" s="6"/>
      <c r="F21" s="6"/>
    </row>
    <row r="22" spans="1:6" x14ac:dyDescent="0.2">
      <c r="A22" t="s">
        <v>123</v>
      </c>
      <c r="B22" s="12" t="s">
        <v>114</v>
      </c>
      <c r="C22" s="6">
        <v>40</v>
      </c>
      <c r="E22" s="6"/>
      <c r="F22" s="6"/>
    </row>
    <row r="23" spans="1:6" x14ac:dyDescent="0.2">
      <c r="A23" t="s">
        <v>123</v>
      </c>
      <c r="B23" s="10" t="s">
        <v>115</v>
      </c>
      <c r="C23" s="6">
        <v>18</v>
      </c>
      <c r="E23" s="6"/>
      <c r="F23" s="6"/>
    </row>
    <row r="24" spans="1:6" x14ac:dyDescent="0.2">
      <c r="A24" t="s">
        <v>123</v>
      </c>
      <c r="B24" s="10" t="s">
        <v>120</v>
      </c>
      <c r="C24" s="6">
        <v>0.2</v>
      </c>
      <c r="E24" s="6"/>
      <c r="F24" s="6"/>
    </row>
    <row r="25" spans="1:6" x14ac:dyDescent="0.2">
      <c r="A25" t="s">
        <v>112</v>
      </c>
      <c r="B25" s="10" t="s">
        <v>116</v>
      </c>
      <c r="C25" s="6">
        <f>C22-C23</f>
        <v>22</v>
      </c>
      <c r="E25" s="6"/>
      <c r="F25" s="6"/>
    </row>
    <row r="26" spans="1:6" x14ac:dyDescent="0.2">
      <c r="A26" t="s">
        <v>112</v>
      </c>
      <c r="B26" s="10" t="s">
        <v>121</v>
      </c>
      <c r="C26" s="6">
        <f>C25/C24</f>
        <v>110</v>
      </c>
      <c r="E26" s="6"/>
      <c r="F26" s="6"/>
    </row>
    <row r="27" spans="1:6" x14ac:dyDescent="0.2">
      <c r="A27" t="s">
        <v>111</v>
      </c>
      <c r="B27" s="10" t="s">
        <v>108</v>
      </c>
      <c r="C27" s="6">
        <v>35</v>
      </c>
      <c r="E27" s="6"/>
      <c r="F27" s="6"/>
    </row>
    <row r="28" spans="1:6" x14ac:dyDescent="0.2">
      <c r="A28" t="s">
        <v>112</v>
      </c>
      <c r="B28" s="10" t="s">
        <v>109</v>
      </c>
      <c r="C28" s="6">
        <f>C22-C27</f>
        <v>5</v>
      </c>
      <c r="E28" s="6"/>
      <c r="F28" s="6"/>
    </row>
    <row r="29" spans="1:6" x14ac:dyDescent="0.2">
      <c r="A29" t="s">
        <v>112</v>
      </c>
      <c r="B29" s="10" t="s">
        <v>122</v>
      </c>
      <c r="C29" s="6">
        <f>C28/C24</f>
        <v>25</v>
      </c>
      <c r="E29" s="6"/>
      <c r="F29" s="6"/>
    </row>
    <row r="30" spans="1:6" x14ac:dyDescent="0.2">
      <c r="A30" t="s">
        <v>117</v>
      </c>
      <c r="B30" s="11" t="s">
        <v>110</v>
      </c>
      <c r="C30" s="9">
        <v>5003</v>
      </c>
      <c r="E30" s="6"/>
      <c r="F30" s="6"/>
    </row>
    <row r="31" spans="1:6" x14ac:dyDescent="0.2">
      <c r="A31" t="s">
        <v>117</v>
      </c>
      <c r="B31" s="11" t="s">
        <v>118</v>
      </c>
      <c r="C31" s="9">
        <f>C30/60</f>
        <v>83.38333333333334</v>
      </c>
      <c r="E31" s="6"/>
      <c r="F31" s="6"/>
    </row>
    <row r="32" spans="1:6" x14ac:dyDescent="0.2">
      <c r="A32" t="s">
        <v>117</v>
      </c>
      <c r="B32" s="11" t="s">
        <v>119</v>
      </c>
      <c r="C32" s="9">
        <f>1/C31</f>
        <v>1.1992804317409553E-2</v>
      </c>
      <c r="E32" s="6"/>
      <c r="F32" s="6"/>
    </row>
    <row r="33" spans="2:6" x14ac:dyDescent="0.2">
      <c r="B33" s="11" t="s">
        <v>124</v>
      </c>
      <c r="C33" s="9">
        <f>C32/$C$20</f>
        <v>863481.91085348779</v>
      </c>
      <c r="E33" s="6"/>
      <c r="F33" s="6"/>
    </row>
    <row r="34" spans="2:6" x14ac:dyDescent="0.2">
      <c r="B34" s="11" t="s">
        <v>125</v>
      </c>
      <c r="C34" s="9">
        <f>INT(C32/$C$20)</f>
        <v>863481</v>
      </c>
      <c r="E34" s="6"/>
      <c r="F34" s="6"/>
    </row>
    <row r="35" spans="2:6" x14ac:dyDescent="0.2">
      <c r="B35" s="11" t="s">
        <v>126</v>
      </c>
      <c r="C35" s="9">
        <f>C33-C34</f>
        <v>0.91085348778869957</v>
      </c>
      <c r="E35" s="6"/>
      <c r="F35" s="6"/>
    </row>
    <row r="36" spans="2:6" x14ac:dyDescent="0.2">
      <c r="B36" s="11" t="s">
        <v>127</v>
      </c>
      <c r="C36" s="9">
        <f>(C33-C34)/C33</f>
        <v>1.0548611109738113E-6</v>
      </c>
      <c r="E36" s="6"/>
      <c r="F36" s="6"/>
    </row>
    <row r="37" spans="2:6" x14ac:dyDescent="0.2">
      <c r="B37" s="11" t="s">
        <v>128</v>
      </c>
      <c r="C37" s="9">
        <f>C33/$C$21</f>
        <v>5396.7619428342987</v>
      </c>
      <c r="E37" s="6"/>
      <c r="F37" s="6"/>
    </row>
    <row r="38" spans="2:6" x14ac:dyDescent="0.2">
      <c r="B38" s="11" t="s">
        <v>129</v>
      </c>
      <c r="C38" s="9">
        <f>INT(C34/$C$21)</f>
        <v>5396</v>
      </c>
      <c r="E38" s="6"/>
      <c r="F38" s="6"/>
    </row>
    <row r="39" spans="2:6" x14ac:dyDescent="0.2">
      <c r="B39" s="11" t="s">
        <v>130</v>
      </c>
      <c r="C39" s="9">
        <f>C37-C38</f>
        <v>0.76194283429867937</v>
      </c>
      <c r="E39" s="6"/>
      <c r="F39" s="6"/>
    </row>
    <row r="40" spans="2:6" x14ac:dyDescent="0.2">
      <c r="B40" s="11" t="s">
        <v>131</v>
      </c>
      <c r="C40" s="9">
        <f>INT(C39*$C$21)</f>
        <v>121</v>
      </c>
      <c r="E40" s="6"/>
      <c r="F40" s="6"/>
    </row>
    <row r="41" spans="2:6" x14ac:dyDescent="0.2">
      <c r="B41" s="11" t="s">
        <v>132</v>
      </c>
      <c r="C41" s="9">
        <f>C38/(360/$C$24)</f>
        <v>2.9977777777777779</v>
      </c>
      <c r="D41">
        <f>C41*(360/C24)</f>
        <v>5396</v>
      </c>
      <c r="E41" s="6">
        <f>D41/C38</f>
        <v>1</v>
      </c>
      <c r="F41" s="6"/>
    </row>
    <row r="42" spans="2:6" x14ac:dyDescent="0.2">
      <c r="B42" s="11" t="s">
        <v>133</v>
      </c>
      <c r="C42" s="9">
        <f>INT(C38/(360/$C$24))</f>
        <v>2</v>
      </c>
      <c r="D42">
        <f>C42*(360/C24)</f>
        <v>3600</v>
      </c>
      <c r="E42" s="6">
        <f>D42/C38</f>
        <v>0.66716085989621943</v>
      </c>
      <c r="F42" s="6"/>
    </row>
    <row r="43" spans="2:6" x14ac:dyDescent="0.2">
      <c r="B43" s="11" t="s">
        <v>134</v>
      </c>
      <c r="C43" s="9">
        <f>ROUND(C38/(360/$C$24),0)</f>
        <v>3</v>
      </c>
      <c r="D43">
        <f>C43*(360/C24)</f>
        <v>5400</v>
      </c>
      <c r="E43" s="6">
        <f>D43/C38</f>
        <v>1.0007412898443291</v>
      </c>
      <c r="F43" s="6"/>
    </row>
    <row r="44" spans="2:6" x14ac:dyDescent="0.2">
      <c r="B44" s="11"/>
      <c r="C44" s="9"/>
      <c r="E44" s="6"/>
      <c r="F44" s="6"/>
    </row>
    <row r="45" spans="2:6" x14ac:dyDescent="0.2">
      <c r="B45" s="11"/>
      <c r="C45" s="9"/>
      <c r="E45" s="6"/>
      <c r="F45" s="6"/>
    </row>
    <row r="46" spans="2:6" x14ac:dyDescent="0.2">
      <c r="B46" s="11"/>
      <c r="C46" s="9">
        <f>INT((C25/360)*C38)</f>
        <v>329</v>
      </c>
      <c r="E46" s="6"/>
      <c r="F46" s="6"/>
    </row>
    <row r="47" spans="2:6" x14ac:dyDescent="0.2">
      <c r="B47" s="11"/>
      <c r="C47" s="9">
        <f>INT(((C29*C46)/C26))</f>
        <v>74</v>
      </c>
      <c r="D47">
        <f>C47*C21*C20</f>
        <v>1.6444444444444444E-4</v>
      </c>
      <c r="E47" s="6"/>
      <c r="F47" s="6"/>
    </row>
    <row r="48" spans="2:6" x14ac:dyDescent="0.2">
      <c r="B48" s="11"/>
      <c r="C48" s="9"/>
      <c r="D48">
        <f>D47/C32</f>
        <v>1.3711925925925928E-2</v>
      </c>
      <c r="E48" s="6">
        <f>D48*360</f>
        <v>4.9362933333333343</v>
      </c>
      <c r="F48" s="6"/>
    </row>
    <row r="49" spans="1:6" x14ac:dyDescent="0.2">
      <c r="B49" s="11"/>
      <c r="C49" s="9"/>
      <c r="E49" s="6">
        <f>E48/5</f>
        <v>0.98725866666666684</v>
      </c>
      <c r="F49" s="6"/>
    </row>
    <row r="50" spans="1:6" x14ac:dyDescent="0.2">
      <c r="B50" s="11"/>
      <c r="C50" s="9"/>
      <c r="E50" s="6"/>
      <c r="F50" s="6"/>
    </row>
    <row r="51" spans="1:6" x14ac:dyDescent="0.2">
      <c r="B51" s="11"/>
      <c r="C51" s="9"/>
      <c r="E51" s="6"/>
      <c r="F51" s="6"/>
    </row>
    <row r="52" spans="1:6" x14ac:dyDescent="0.2">
      <c r="A52" s="6"/>
      <c r="B52" s="10"/>
      <c r="C52" s="6"/>
      <c r="E52" s="6"/>
      <c r="F52" s="6"/>
    </row>
    <row r="53" spans="1:6" x14ac:dyDescent="0.2">
      <c r="A53" s="6"/>
      <c r="B53" s="6"/>
      <c r="E53" s="6"/>
      <c r="F53" s="6"/>
    </row>
    <row r="54" spans="1:6" x14ac:dyDescent="0.2">
      <c r="A54" s="6"/>
      <c r="B54" s="6"/>
      <c r="E54" s="6"/>
      <c r="F54" s="6"/>
    </row>
    <row r="55" spans="1:6" x14ac:dyDescent="0.2">
      <c r="A55" s="6"/>
      <c r="B55" s="6"/>
      <c r="E55" s="6"/>
      <c r="F55" s="6"/>
    </row>
    <row r="56" spans="1:6" x14ac:dyDescent="0.2">
      <c r="A56" s="6"/>
      <c r="B56" s="6"/>
      <c r="E56" s="6"/>
      <c r="F56" s="6"/>
    </row>
    <row r="57" spans="1:6" x14ac:dyDescent="0.2">
      <c r="A57" s="6"/>
      <c r="B57" s="6"/>
      <c r="E57" s="6"/>
      <c r="F57" s="6"/>
    </row>
    <row r="58" spans="1:6" x14ac:dyDescent="0.2">
      <c r="A58" s="6"/>
      <c r="B58" s="6"/>
      <c r="E58" s="6"/>
      <c r="F58" s="6"/>
    </row>
    <row r="59" spans="1:6" x14ac:dyDescent="0.2">
      <c r="A59" s="6"/>
      <c r="B59" s="6"/>
      <c r="E59" s="6"/>
      <c r="F59" s="6"/>
    </row>
    <row r="60" spans="1:6" x14ac:dyDescent="0.2">
      <c r="A60" s="6"/>
      <c r="B60" s="6"/>
      <c r="E60" s="6"/>
      <c r="F60" s="6"/>
    </row>
    <row r="61" spans="1:6" x14ac:dyDescent="0.2">
      <c r="A61" s="6"/>
      <c r="B61" s="6"/>
      <c r="E61" s="6"/>
      <c r="F61" s="6"/>
    </row>
    <row r="62" spans="1:6" x14ac:dyDescent="0.2">
      <c r="A62" s="6"/>
      <c r="B62" s="6"/>
    </row>
    <row r="63" spans="1:6" x14ac:dyDescent="0.2">
      <c r="A63" s="6"/>
      <c r="B63" s="6"/>
    </row>
    <row r="64" spans="1:6" x14ac:dyDescent="0.2">
      <c r="A64" s="6"/>
      <c r="B64" s="6"/>
    </row>
    <row r="65" spans="1:8" x14ac:dyDescent="0.2">
      <c r="A65" s="6"/>
      <c r="B65" s="6"/>
      <c r="D65" s="1" t="s">
        <v>100</v>
      </c>
      <c r="E65" s="1" t="s">
        <v>101</v>
      </c>
      <c r="F65" s="1" t="s">
        <v>98</v>
      </c>
      <c r="G65" s="1" t="s">
        <v>96</v>
      </c>
      <c r="H65" s="4" t="s">
        <v>91</v>
      </c>
    </row>
    <row r="66" spans="1:8" x14ac:dyDescent="0.2">
      <c r="B66" s="6"/>
      <c r="D66" s="1">
        <f t="shared" ref="D66:D96" si="0">INT(C71/$C$20)</f>
        <v>86400000</v>
      </c>
      <c r="E66" s="1">
        <f>INT(D66/$E$4)</f>
        <v>540000</v>
      </c>
      <c r="F66" s="1">
        <f>INT(E66/(360/$C$4))</f>
        <v>300</v>
      </c>
      <c r="G66" s="1">
        <f>INT(E66/(2^16))</f>
        <v>8</v>
      </c>
      <c r="H66" s="1">
        <f>E66-(G66*2^16)</f>
        <v>15712</v>
      </c>
    </row>
    <row r="67" spans="1:8" x14ac:dyDescent="0.2">
      <c r="D67" s="1">
        <f t="shared" si="0"/>
        <v>8640000</v>
      </c>
      <c r="E67" s="1">
        <f t="shared" ref="E67:E82" si="1">INT(D67/$E$4)</f>
        <v>54000</v>
      </c>
      <c r="F67" s="1">
        <f t="shared" ref="F67:F96" si="2">INT(E67/(360/$C$4))</f>
        <v>30</v>
      </c>
      <c r="G67" s="1">
        <f t="shared" ref="G67:G95" si="3">INT(E67/(2^16))</f>
        <v>0</v>
      </c>
      <c r="H67" s="1">
        <f t="shared" ref="H67:H96" si="4">E67-(G67*2^16)</f>
        <v>54000</v>
      </c>
    </row>
    <row r="68" spans="1:8" x14ac:dyDescent="0.2">
      <c r="D68" s="1">
        <f t="shared" si="0"/>
        <v>4320000</v>
      </c>
      <c r="E68" s="1">
        <f t="shared" si="1"/>
        <v>27000</v>
      </c>
      <c r="F68" s="1">
        <f t="shared" si="2"/>
        <v>15</v>
      </c>
      <c r="G68" s="1">
        <f t="shared" si="3"/>
        <v>0</v>
      </c>
      <c r="H68" s="1">
        <f t="shared" si="4"/>
        <v>27000</v>
      </c>
    </row>
    <row r="69" spans="1:8" x14ac:dyDescent="0.2">
      <c r="A69" s="1" t="s">
        <v>97</v>
      </c>
      <c r="D69" s="1">
        <f t="shared" si="0"/>
        <v>2880000</v>
      </c>
      <c r="E69" s="1">
        <f t="shared" si="1"/>
        <v>18000</v>
      </c>
      <c r="F69" s="1">
        <f t="shared" si="2"/>
        <v>10</v>
      </c>
      <c r="G69" s="1">
        <f t="shared" si="3"/>
        <v>0</v>
      </c>
      <c r="H69" s="1">
        <f t="shared" si="4"/>
        <v>18000</v>
      </c>
    </row>
    <row r="70" spans="1:8" x14ac:dyDescent="0.2">
      <c r="A70" s="1">
        <v>50</v>
      </c>
      <c r="B70" s="1" t="s">
        <v>90</v>
      </c>
      <c r="C70" s="1" t="s">
        <v>95</v>
      </c>
      <c r="D70" s="1">
        <f t="shared" si="0"/>
        <v>2160000</v>
      </c>
      <c r="E70" s="1">
        <f t="shared" si="1"/>
        <v>13500</v>
      </c>
      <c r="F70" s="1">
        <f t="shared" si="2"/>
        <v>7</v>
      </c>
      <c r="G70" s="1">
        <f t="shared" si="3"/>
        <v>0</v>
      </c>
      <c r="H70" s="1">
        <f t="shared" si="4"/>
        <v>13500</v>
      </c>
    </row>
    <row r="71" spans="1:8" x14ac:dyDescent="0.2">
      <c r="A71" s="1">
        <v>500</v>
      </c>
      <c r="B71" s="5">
        <f t="shared" ref="B71:B101" si="5">A70/60</f>
        <v>0.83333333333333337</v>
      </c>
      <c r="C71" s="5">
        <f t="shared" ref="C71:C101" si="6">1/B71</f>
        <v>1.2</v>
      </c>
      <c r="D71" s="1">
        <f t="shared" si="0"/>
        <v>1728000</v>
      </c>
      <c r="E71" s="1">
        <f t="shared" si="1"/>
        <v>10800</v>
      </c>
      <c r="F71" s="1">
        <f t="shared" si="2"/>
        <v>6</v>
      </c>
      <c r="G71" s="1">
        <f t="shared" si="3"/>
        <v>0</v>
      </c>
      <c r="H71" s="1">
        <f t="shared" si="4"/>
        <v>10800</v>
      </c>
    </row>
    <row r="72" spans="1:8" x14ac:dyDescent="0.2">
      <c r="A72" s="1">
        <v>1000</v>
      </c>
      <c r="B72" s="5">
        <f t="shared" si="5"/>
        <v>8.3333333333333339</v>
      </c>
      <c r="C72" s="5">
        <f t="shared" si="6"/>
        <v>0.12</v>
      </c>
      <c r="D72" s="1">
        <f t="shared" si="0"/>
        <v>1440000</v>
      </c>
      <c r="E72" s="1">
        <f t="shared" si="1"/>
        <v>9000</v>
      </c>
      <c r="F72" s="1">
        <f t="shared" si="2"/>
        <v>5</v>
      </c>
      <c r="G72" s="1">
        <f t="shared" si="3"/>
        <v>0</v>
      </c>
      <c r="H72" s="1">
        <f t="shared" si="4"/>
        <v>9000</v>
      </c>
    </row>
    <row r="73" spans="1:8" x14ac:dyDescent="0.2">
      <c r="A73" s="1">
        <v>1500</v>
      </c>
      <c r="B73" s="5">
        <f t="shared" si="5"/>
        <v>16.666666666666668</v>
      </c>
      <c r="C73" s="5">
        <f t="shared" si="6"/>
        <v>0.06</v>
      </c>
      <c r="D73" s="1">
        <f t="shared" si="0"/>
        <v>1234285</v>
      </c>
      <c r="E73" s="1">
        <f t="shared" si="1"/>
        <v>7714</v>
      </c>
      <c r="F73" s="1">
        <f t="shared" si="2"/>
        <v>4</v>
      </c>
      <c r="G73" s="1">
        <f t="shared" si="3"/>
        <v>0</v>
      </c>
      <c r="H73" s="1">
        <f t="shared" si="4"/>
        <v>7714</v>
      </c>
    </row>
    <row r="74" spans="1:8" x14ac:dyDescent="0.2">
      <c r="A74" s="1">
        <v>2000</v>
      </c>
      <c r="B74" s="5">
        <f t="shared" si="5"/>
        <v>25</v>
      </c>
      <c r="C74" s="5">
        <f t="shared" si="6"/>
        <v>0.04</v>
      </c>
      <c r="D74" s="1">
        <f t="shared" si="0"/>
        <v>1080000</v>
      </c>
      <c r="E74" s="1">
        <f t="shared" si="1"/>
        <v>6750</v>
      </c>
      <c r="F74" s="1">
        <f t="shared" si="2"/>
        <v>3</v>
      </c>
      <c r="G74" s="1">
        <f t="shared" si="3"/>
        <v>0</v>
      </c>
      <c r="H74" s="1">
        <f t="shared" si="4"/>
        <v>6750</v>
      </c>
    </row>
    <row r="75" spans="1:8" x14ac:dyDescent="0.2">
      <c r="A75" s="1">
        <v>2500</v>
      </c>
      <c r="B75" s="5">
        <f t="shared" si="5"/>
        <v>33.333333333333336</v>
      </c>
      <c r="C75" s="5">
        <f t="shared" si="6"/>
        <v>0.03</v>
      </c>
      <c r="D75" s="1">
        <f t="shared" si="0"/>
        <v>960000</v>
      </c>
      <c r="E75" s="1">
        <f t="shared" si="1"/>
        <v>6000</v>
      </c>
      <c r="F75" s="1">
        <f t="shared" si="2"/>
        <v>3</v>
      </c>
      <c r="G75" s="1">
        <f t="shared" si="3"/>
        <v>0</v>
      </c>
      <c r="H75" s="1">
        <f t="shared" si="4"/>
        <v>6000</v>
      </c>
    </row>
    <row r="76" spans="1:8" x14ac:dyDescent="0.2">
      <c r="A76" s="1">
        <v>3000</v>
      </c>
      <c r="B76" s="5">
        <f t="shared" si="5"/>
        <v>41.666666666666664</v>
      </c>
      <c r="C76" s="5">
        <f t="shared" si="6"/>
        <v>2.4E-2</v>
      </c>
      <c r="D76" s="1">
        <f t="shared" si="0"/>
        <v>864000</v>
      </c>
      <c r="E76" s="1">
        <f t="shared" si="1"/>
        <v>5400</v>
      </c>
      <c r="F76" s="1">
        <f t="shared" si="2"/>
        <v>3</v>
      </c>
      <c r="G76" s="1">
        <f t="shared" si="3"/>
        <v>0</v>
      </c>
      <c r="H76" s="1">
        <f t="shared" si="4"/>
        <v>5400</v>
      </c>
    </row>
    <row r="77" spans="1:8" x14ac:dyDescent="0.2">
      <c r="A77" s="1">
        <v>3500</v>
      </c>
      <c r="B77" s="5">
        <f t="shared" si="5"/>
        <v>50</v>
      </c>
      <c r="C77" s="5">
        <f t="shared" si="6"/>
        <v>0.02</v>
      </c>
      <c r="D77" s="1">
        <f t="shared" si="0"/>
        <v>785454</v>
      </c>
      <c r="E77" s="1">
        <f t="shared" si="1"/>
        <v>4909</v>
      </c>
      <c r="F77" s="1">
        <f t="shared" si="2"/>
        <v>2</v>
      </c>
      <c r="G77" s="1">
        <f t="shared" si="3"/>
        <v>0</v>
      </c>
      <c r="H77" s="1">
        <f t="shared" si="4"/>
        <v>4909</v>
      </c>
    </row>
    <row r="78" spans="1:8" x14ac:dyDescent="0.2">
      <c r="A78" s="1">
        <v>4000</v>
      </c>
      <c r="B78" s="5">
        <f t="shared" si="5"/>
        <v>58.333333333333336</v>
      </c>
      <c r="C78" s="5">
        <f t="shared" si="6"/>
        <v>1.7142857142857144E-2</v>
      </c>
      <c r="D78" s="1">
        <f t="shared" si="0"/>
        <v>720000</v>
      </c>
      <c r="E78" s="1">
        <f t="shared" si="1"/>
        <v>4500</v>
      </c>
      <c r="F78" s="1">
        <f t="shared" si="2"/>
        <v>2</v>
      </c>
      <c r="G78" s="1">
        <f t="shared" si="3"/>
        <v>0</v>
      </c>
      <c r="H78" s="1">
        <f t="shared" si="4"/>
        <v>4500</v>
      </c>
    </row>
    <row r="79" spans="1:8" x14ac:dyDescent="0.2">
      <c r="A79" s="1">
        <v>4500</v>
      </c>
      <c r="B79" s="5">
        <f t="shared" si="5"/>
        <v>66.666666666666671</v>
      </c>
      <c r="C79" s="5">
        <f t="shared" si="6"/>
        <v>1.4999999999999999E-2</v>
      </c>
      <c r="D79" s="1">
        <f t="shared" si="0"/>
        <v>664615</v>
      </c>
      <c r="E79" s="1">
        <f t="shared" si="1"/>
        <v>4153</v>
      </c>
      <c r="F79" s="1">
        <f t="shared" si="2"/>
        <v>2</v>
      </c>
      <c r="G79" s="1">
        <f t="shared" si="3"/>
        <v>0</v>
      </c>
      <c r="H79" s="1">
        <f t="shared" si="4"/>
        <v>4153</v>
      </c>
    </row>
    <row r="80" spans="1:8" x14ac:dyDescent="0.2">
      <c r="A80" s="1">
        <v>5000</v>
      </c>
      <c r="B80" s="5">
        <f t="shared" si="5"/>
        <v>75</v>
      </c>
      <c r="C80" s="5">
        <f t="shared" si="6"/>
        <v>1.3333333333333334E-2</v>
      </c>
      <c r="D80" s="1">
        <f t="shared" si="0"/>
        <v>617142</v>
      </c>
      <c r="E80" s="1">
        <f t="shared" si="1"/>
        <v>3857</v>
      </c>
      <c r="F80" s="1">
        <f t="shared" si="2"/>
        <v>2</v>
      </c>
      <c r="G80" s="1">
        <f t="shared" si="3"/>
        <v>0</v>
      </c>
      <c r="H80" s="1">
        <f t="shared" si="4"/>
        <v>3857</v>
      </c>
    </row>
    <row r="81" spans="1:10" x14ac:dyDescent="0.2">
      <c r="A81" s="1">
        <v>5500</v>
      </c>
      <c r="B81" s="5">
        <f t="shared" si="5"/>
        <v>83.333333333333329</v>
      </c>
      <c r="C81" s="5">
        <f t="shared" si="6"/>
        <v>1.2E-2</v>
      </c>
      <c r="D81" s="1">
        <f t="shared" si="0"/>
        <v>576000</v>
      </c>
      <c r="E81" s="1">
        <f t="shared" si="1"/>
        <v>3600</v>
      </c>
      <c r="F81" s="1">
        <f t="shared" si="2"/>
        <v>2</v>
      </c>
      <c r="G81" s="1">
        <f t="shared" si="3"/>
        <v>0</v>
      </c>
      <c r="H81" s="1">
        <f t="shared" si="4"/>
        <v>3600</v>
      </c>
    </row>
    <row r="82" spans="1:10" x14ac:dyDescent="0.2">
      <c r="A82" s="1">
        <v>6000</v>
      </c>
      <c r="B82" s="5">
        <f t="shared" si="5"/>
        <v>91.666666666666671</v>
      </c>
      <c r="C82" s="5">
        <f t="shared" si="6"/>
        <v>1.0909090909090908E-2</v>
      </c>
      <c r="D82" s="1">
        <f t="shared" si="0"/>
        <v>540000</v>
      </c>
      <c r="E82" s="1">
        <f t="shared" si="1"/>
        <v>3375</v>
      </c>
      <c r="F82" s="1">
        <f t="shared" si="2"/>
        <v>1</v>
      </c>
      <c r="G82" s="1">
        <f t="shared" si="3"/>
        <v>0</v>
      </c>
      <c r="H82" s="1">
        <f t="shared" si="4"/>
        <v>3375</v>
      </c>
      <c r="J82">
        <f>ROUND(E82/1800,0)</f>
        <v>2</v>
      </c>
    </row>
    <row r="83" spans="1:10" x14ac:dyDescent="0.2">
      <c r="A83" s="1">
        <v>6500</v>
      </c>
      <c r="B83" s="5">
        <f t="shared" si="5"/>
        <v>100</v>
      </c>
      <c r="C83" s="5">
        <f t="shared" si="6"/>
        <v>0.01</v>
      </c>
      <c r="D83" s="1">
        <f t="shared" si="0"/>
        <v>508235</v>
      </c>
      <c r="E83" s="1">
        <f t="shared" ref="E83:E96" si="7">INT(D83/$E$4)</f>
        <v>3176</v>
      </c>
      <c r="F83" s="1">
        <f t="shared" si="2"/>
        <v>1</v>
      </c>
      <c r="G83" s="1">
        <f t="shared" si="3"/>
        <v>0</v>
      </c>
      <c r="H83" s="1">
        <f t="shared" si="4"/>
        <v>3176</v>
      </c>
      <c r="J83">
        <f>40/360</f>
        <v>0.1111111111111111</v>
      </c>
    </row>
    <row r="84" spans="1:10" x14ac:dyDescent="0.2">
      <c r="A84" s="1">
        <v>7000</v>
      </c>
      <c r="B84" s="5">
        <f t="shared" si="5"/>
        <v>108.33333333333333</v>
      </c>
      <c r="C84" s="5">
        <f t="shared" si="6"/>
        <v>9.2307692307692316E-3</v>
      </c>
      <c r="D84" s="1">
        <f t="shared" si="0"/>
        <v>480000</v>
      </c>
      <c r="E84" s="1">
        <f t="shared" si="7"/>
        <v>3000</v>
      </c>
      <c r="F84" s="1">
        <f t="shared" si="2"/>
        <v>1</v>
      </c>
      <c r="G84" s="1">
        <f t="shared" si="3"/>
        <v>0</v>
      </c>
      <c r="H84" s="1">
        <f t="shared" si="4"/>
        <v>3000</v>
      </c>
    </row>
    <row r="85" spans="1:10" x14ac:dyDescent="0.2">
      <c r="A85" s="1">
        <v>7500</v>
      </c>
      <c r="B85" s="5">
        <f t="shared" si="5"/>
        <v>116.66666666666667</v>
      </c>
      <c r="C85" s="5">
        <f t="shared" si="6"/>
        <v>8.5714285714285719E-3</v>
      </c>
      <c r="D85" s="1">
        <f t="shared" si="0"/>
        <v>454736</v>
      </c>
      <c r="E85" s="1">
        <f t="shared" si="7"/>
        <v>2842</v>
      </c>
      <c r="F85" s="1">
        <f t="shared" si="2"/>
        <v>1</v>
      </c>
      <c r="G85" s="1">
        <f t="shared" si="3"/>
        <v>0</v>
      </c>
      <c r="H85" s="1">
        <f t="shared" si="4"/>
        <v>2842</v>
      </c>
    </row>
    <row r="86" spans="1:10" x14ac:dyDescent="0.2">
      <c r="A86" s="1">
        <v>8000</v>
      </c>
      <c r="B86" s="5">
        <f t="shared" si="5"/>
        <v>125</v>
      </c>
      <c r="C86" s="5">
        <f t="shared" si="6"/>
        <v>8.0000000000000002E-3</v>
      </c>
      <c r="D86" s="1">
        <f t="shared" si="0"/>
        <v>432000</v>
      </c>
      <c r="E86" s="1">
        <f t="shared" si="7"/>
        <v>2700</v>
      </c>
      <c r="F86" s="1">
        <f t="shared" si="2"/>
        <v>1</v>
      </c>
      <c r="G86" s="1">
        <f t="shared" si="3"/>
        <v>0</v>
      </c>
      <c r="H86" s="1">
        <f t="shared" si="4"/>
        <v>2700</v>
      </c>
    </row>
    <row r="87" spans="1:10" x14ac:dyDescent="0.2">
      <c r="A87" s="1">
        <v>8500</v>
      </c>
      <c r="B87" s="5">
        <f t="shared" si="5"/>
        <v>133.33333333333334</v>
      </c>
      <c r="C87" s="5">
        <f t="shared" si="6"/>
        <v>7.4999999999999997E-3</v>
      </c>
      <c r="D87" s="1">
        <f t="shared" si="0"/>
        <v>411428</v>
      </c>
      <c r="E87" s="1">
        <f t="shared" si="7"/>
        <v>2571</v>
      </c>
      <c r="F87" s="1">
        <f t="shared" si="2"/>
        <v>1</v>
      </c>
      <c r="G87" s="1">
        <f t="shared" si="3"/>
        <v>0</v>
      </c>
      <c r="H87" s="1">
        <f t="shared" si="4"/>
        <v>2571</v>
      </c>
    </row>
    <row r="88" spans="1:10" x14ac:dyDescent="0.2">
      <c r="A88" s="1">
        <v>9000</v>
      </c>
      <c r="B88" s="5">
        <f t="shared" si="5"/>
        <v>141.66666666666666</v>
      </c>
      <c r="C88" s="5">
        <f t="shared" si="6"/>
        <v>7.058823529411765E-3</v>
      </c>
      <c r="D88" s="1">
        <f t="shared" si="0"/>
        <v>392727</v>
      </c>
      <c r="E88" s="1">
        <f t="shared" si="7"/>
        <v>2454</v>
      </c>
      <c r="F88" s="1">
        <f t="shared" si="2"/>
        <v>1</v>
      </c>
      <c r="G88" s="1">
        <f t="shared" si="3"/>
        <v>0</v>
      </c>
      <c r="H88" s="1">
        <f t="shared" si="4"/>
        <v>2454</v>
      </c>
    </row>
    <row r="89" spans="1:10" x14ac:dyDescent="0.2">
      <c r="A89" s="1">
        <v>9500</v>
      </c>
      <c r="B89" s="5">
        <f t="shared" si="5"/>
        <v>150</v>
      </c>
      <c r="C89" s="5">
        <f t="shared" si="6"/>
        <v>6.6666666666666671E-3</v>
      </c>
      <c r="D89" s="1">
        <f t="shared" si="0"/>
        <v>375652</v>
      </c>
      <c r="E89" s="1">
        <f t="shared" si="7"/>
        <v>2347</v>
      </c>
      <c r="F89" s="1">
        <f t="shared" si="2"/>
        <v>1</v>
      </c>
      <c r="G89" s="1">
        <f t="shared" si="3"/>
        <v>0</v>
      </c>
      <c r="H89" s="1">
        <f t="shared" si="4"/>
        <v>2347</v>
      </c>
    </row>
    <row r="90" spans="1:10" x14ac:dyDescent="0.2">
      <c r="A90" s="1">
        <v>10000</v>
      </c>
      <c r="B90" s="5">
        <f t="shared" si="5"/>
        <v>158.33333333333334</v>
      </c>
      <c r="C90" s="5">
        <f t="shared" si="6"/>
        <v>6.3157894736842104E-3</v>
      </c>
      <c r="D90" s="1">
        <f t="shared" si="0"/>
        <v>360000</v>
      </c>
      <c r="E90" s="1">
        <f t="shared" si="7"/>
        <v>2250</v>
      </c>
      <c r="F90" s="1">
        <f t="shared" si="2"/>
        <v>1</v>
      </c>
      <c r="G90" s="1">
        <f t="shared" si="3"/>
        <v>0</v>
      </c>
      <c r="H90" s="1">
        <f t="shared" si="4"/>
        <v>2250</v>
      </c>
    </row>
    <row r="91" spans="1:10" x14ac:dyDescent="0.2">
      <c r="A91" s="1">
        <v>10500</v>
      </c>
      <c r="B91" s="5">
        <f t="shared" si="5"/>
        <v>166.66666666666666</v>
      </c>
      <c r="C91" s="5">
        <f t="shared" si="6"/>
        <v>6.0000000000000001E-3</v>
      </c>
      <c r="D91" s="1">
        <f t="shared" si="0"/>
        <v>345600</v>
      </c>
      <c r="E91" s="1">
        <f t="shared" si="7"/>
        <v>2160</v>
      </c>
      <c r="F91" s="1">
        <f t="shared" si="2"/>
        <v>1</v>
      </c>
      <c r="G91" s="1">
        <f t="shared" si="3"/>
        <v>0</v>
      </c>
      <c r="H91" s="1">
        <f t="shared" si="4"/>
        <v>2160</v>
      </c>
    </row>
    <row r="92" spans="1:10" x14ac:dyDescent="0.2">
      <c r="A92" s="1">
        <v>11000</v>
      </c>
      <c r="B92" s="5">
        <f t="shared" si="5"/>
        <v>175</v>
      </c>
      <c r="C92" s="5">
        <f t="shared" si="6"/>
        <v>5.7142857142857143E-3</v>
      </c>
      <c r="D92" s="1">
        <f t="shared" si="0"/>
        <v>332307</v>
      </c>
      <c r="E92" s="1">
        <f t="shared" si="7"/>
        <v>2076</v>
      </c>
      <c r="F92" s="1">
        <f t="shared" si="2"/>
        <v>1</v>
      </c>
      <c r="G92" s="1">
        <f t="shared" si="3"/>
        <v>0</v>
      </c>
      <c r="H92" s="1">
        <f t="shared" si="4"/>
        <v>2076</v>
      </c>
    </row>
    <row r="93" spans="1:10" x14ac:dyDescent="0.2">
      <c r="A93" s="1">
        <v>11500</v>
      </c>
      <c r="B93" s="5">
        <f t="shared" si="5"/>
        <v>183.33333333333334</v>
      </c>
      <c r="C93" s="5">
        <f t="shared" si="6"/>
        <v>5.4545454545454541E-3</v>
      </c>
      <c r="D93" s="1">
        <f t="shared" si="0"/>
        <v>320000</v>
      </c>
      <c r="E93" s="1">
        <f t="shared" si="7"/>
        <v>2000</v>
      </c>
      <c r="F93" s="1">
        <f t="shared" si="2"/>
        <v>1</v>
      </c>
      <c r="G93" s="1">
        <f t="shared" si="3"/>
        <v>0</v>
      </c>
      <c r="H93" s="1">
        <f t="shared" si="4"/>
        <v>2000</v>
      </c>
    </row>
    <row r="94" spans="1:10" x14ac:dyDescent="0.2">
      <c r="A94" s="1">
        <v>12000</v>
      </c>
      <c r="B94" s="5">
        <f t="shared" si="5"/>
        <v>191.66666666666666</v>
      </c>
      <c r="C94" s="5">
        <f t="shared" si="6"/>
        <v>5.2173913043478265E-3</v>
      </c>
      <c r="D94" s="1">
        <f t="shared" si="0"/>
        <v>308571</v>
      </c>
      <c r="E94" s="1">
        <f t="shared" si="7"/>
        <v>1928</v>
      </c>
      <c r="F94" s="1">
        <f t="shared" si="2"/>
        <v>1</v>
      </c>
      <c r="G94" s="1">
        <f t="shared" si="3"/>
        <v>0</v>
      </c>
      <c r="H94" s="1">
        <f t="shared" si="4"/>
        <v>1928</v>
      </c>
    </row>
    <row r="95" spans="1:10" x14ac:dyDescent="0.2">
      <c r="A95" s="1">
        <v>12500</v>
      </c>
      <c r="B95" s="5">
        <f t="shared" si="5"/>
        <v>200</v>
      </c>
      <c r="C95" s="5">
        <f t="shared" si="6"/>
        <v>5.0000000000000001E-3</v>
      </c>
      <c r="D95" s="1">
        <f t="shared" si="0"/>
        <v>297931</v>
      </c>
      <c r="E95" s="1">
        <f t="shared" si="7"/>
        <v>1862</v>
      </c>
      <c r="F95" s="1">
        <f t="shared" si="2"/>
        <v>1</v>
      </c>
      <c r="G95" s="1">
        <f t="shared" si="3"/>
        <v>0</v>
      </c>
      <c r="H95" s="1">
        <f t="shared" si="4"/>
        <v>1862</v>
      </c>
    </row>
    <row r="96" spans="1:10" x14ac:dyDescent="0.2">
      <c r="A96" s="1">
        <v>13000</v>
      </c>
      <c r="B96" s="5">
        <f t="shared" si="5"/>
        <v>208.33333333333334</v>
      </c>
      <c r="C96" s="5">
        <f t="shared" si="6"/>
        <v>4.7999999999999996E-3</v>
      </c>
      <c r="D96" s="1">
        <f t="shared" si="0"/>
        <v>288000</v>
      </c>
      <c r="E96" s="1">
        <f t="shared" si="7"/>
        <v>1800</v>
      </c>
      <c r="F96" s="1">
        <f t="shared" si="2"/>
        <v>1</v>
      </c>
      <c r="G96" s="1">
        <f>INT(E96/(2^16))</f>
        <v>0</v>
      </c>
      <c r="H96" s="1">
        <f t="shared" si="4"/>
        <v>1800</v>
      </c>
    </row>
    <row r="97" spans="1:3" x14ac:dyDescent="0.2">
      <c r="A97" s="1">
        <v>13500</v>
      </c>
      <c r="B97" s="5">
        <f t="shared" si="5"/>
        <v>216.66666666666666</v>
      </c>
      <c r="C97" s="5">
        <f t="shared" si="6"/>
        <v>4.6153846153846158E-3</v>
      </c>
    </row>
    <row r="98" spans="1:3" x14ac:dyDescent="0.2">
      <c r="A98" s="1">
        <v>14000</v>
      </c>
      <c r="B98" s="5">
        <f t="shared" si="5"/>
        <v>225</v>
      </c>
      <c r="C98" s="5">
        <f t="shared" si="6"/>
        <v>4.4444444444444444E-3</v>
      </c>
    </row>
    <row r="99" spans="1:3" x14ac:dyDescent="0.2">
      <c r="A99" s="1">
        <v>14500</v>
      </c>
      <c r="B99" s="5">
        <f t="shared" si="5"/>
        <v>233.33333333333334</v>
      </c>
      <c r="C99" s="5">
        <f t="shared" si="6"/>
        <v>4.2857142857142859E-3</v>
      </c>
    </row>
    <row r="100" spans="1:3" x14ac:dyDescent="0.2">
      <c r="A100" s="1">
        <v>15000</v>
      </c>
      <c r="B100" s="5">
        <f t="shared" si="5"/>
        <v>241.66666666666666</v>
      </c>
      <c r="C100" s="5">
        <f t="shared" si="6"/>
        <v>4.1379310344827587E-3</v>
      </c>
    </row>
    <row r="101" spans="1:3" x14ac:dyDescent="0.2">
      <c r="B101" s="5">
        <f t="shared" si="5"/>
        <v>250</v>
      </c>
      <c r="C101" s="5">
        <f t="shared" si="6"/>
        <v>4.0000000000000001E-3</v>
      </c>
    </row>
    <row r="103" spans="1:3" x14ac:dyDescent="0.2">
      <c r="C103" s="7">
        <f>C101/1800</f>
        <v>2.2222222222222221E-6</v>
      </c>
    </row>
    <row r="104" spans="1:3" x14ac:dyDescent="0.2">
      <c r="C104">
        <f>C103/C20</f>
        <v>160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Backlog</vt:lpstr>
      <vt:lpstr>Pin_Description</vt:lpstr>
      <vt:lpstr>HV_Interrupt</vt:lpstr>
      <vt:lpstr>Capacitor_Energy</vt:lpstr>
      <vt:lpstr>Sheet5</vt:lpstr>
      <vt:lpstr>Sheet6</vt:lpstr>
      <vt:lpstr>Sheet7</vt:lpstr>
      <vt:lpstr>Calculation</vt:lpstr>
      <vt:lpstr>Rengineering</vt:lpstr>
      <vt:lpstr>Sheet1</vt:lpstr>
      <vt:lpstr>Rereengineering</vt:lpstr>
      <vt:lpstr>Sheet3</vt:lpstr>
      <vt:lpstr>Rerereengineering</vt:lpstr>
      <vt:lpstr>Pulse_Management</vt:lpstr>
      <vt:lpstr>New_concept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Jerena, Fabio</cp:lastModifiedBy>
  <dcterms:created xsi:type="dcterms:W3CDTF">2013-04-08T12:59:15Z</dcterms:created>
  <dcterms:modified xsi:type="dcterms:W3CDTF">2021-11-15T23:37:53Z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2020-10-09T06:30:45Z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3c802505-ebc4-483f-96f6-59872d0dd3dc</vt:lpwstr>
  </property>
  <property fmtid="{D5CDD505-2E9C-101B-9397-08002B2CF9AE}" pid="8" name="MSIP_Label_7fea2623-af8f-4fb8-b1cf-b63cc8e496aa_ContentBits">
    <vt:lpwstr>0</vt:lpwstr>
  </property>
</Properties>
</file>