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fkribs\Desktop\Project Resources\PowerApps\MeasurementCalculator\"/>
    </mc:Choice>
  </mc:AlternateContent>
  <xr:revisionPtr revIDLastSave="0" documentId="8_{1B5E2DF4-F89A-4427-8D80-B130763C6F33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VOLUME" sheetId="1" r:id="rId1"/>
    <sheet name="Tabl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4" i="1" l="1"/>
  <c r="B9" i="1" l="1"/>
  <c r="B10" i="1" l="1"/>
  <c r="B11" i="1" l="1"/>
  <c r="O3" i="1" l="1"/>
  <c r="O4" i="1" s="1"/>
  <c r="S3" i="1"/>
  <c r="W3" i="1"/>
  <c r="L11" i="1" s="1"/>
  <c r="Y3" i="1"/>
  <c r="L12" i="1" s="1"/>
  <c r="AA3" i="1"/>
  <c r="L13" i="1" s="1"/>
  <c r="AC3" i="1"/>
  <c r="AC8" i="1" s="1"/>
  <c r="L4" i="1"/>
  <c r="U3" i="1" s="1"/>
  <c r="L10" i="1" s="1"/>
  <c r="AC4" i="1"/>
  <c r="AC11" i="1" s="1"/>
  <c r="AE4" i="1"/>
  <c r="AE11" i="1" s="1"/>
  <c r="H5" i="1"/>
  <c r="AC5" i="1"/>
  <c r="AE5" i="1"/>
  <c r="H6" i="1"/>
  <c r="AE3" i="1" s="1"/>
  <c r="AE8" i="1" s="1"/>
  <c r="AC6" i="1"/>
  <c r="AE6" i="1"/>
  <c r="AC7" i="1"/>
  <c r="AE7" i="1"/>
  <c r="G9" i="1"/>
  <c r="O14" i="1"/>
  <c r="L24" i="1"/>
  <c r="O15" i="1" l="1"/>
  <c r="Q4" i="1" s="1"/>
  <c r="AE9" i="1"/>
  <c r="AE10" i="1" s="1"/>
  <c r="AE14" i="1" s="1"/>
  <c r="Q3" i="1"/>
  <c r="S4" i="1"/>
  <c r="L9" i="1" s="1"/>
  <c r="AC12" i="1"/>
  <c r="AC13" i="1" s="1"/>
  <c r="AC15" i="1" s="1"/>
  <c r="AC9" i="1"/>
  <c r="AC10" i="1" s="1"/>
  <c r="AC14" i="1" s="1"/>
  <c r="O11" i="1"/>
  <c r="O12" i="1" s="1"/>
  <c r="O8" i="1"/>
  <c r="O9" i="1" s="1"/>
  <c r="AE12" i="1"/>
  <c r="AE13" i="1" s="1"/>
  <c r="AE15" i="1" s="1"/>
  <c r="O5" i="1"/>
  <c r="O6" i="1" s="1"/>
  <c r="O7" i="1" s="1"/>
  <c r="AC19" i="1" l="1"/>
  <c r="Q5" i="1"/>
  <c r="Q6" i="1" s="1"/>
  <c r="L8" i="1" s="1"/>
  <c r="AC23" i="1"/>
  <c r="AC16" i="1"/>
  <c r="AC17" i="1" s="1"/>
  <c r="O10" i="1"/>
  <c r="O13" i="1" s="1"/>
  <c r="O16" i="1" s="1"/>
  <c r="O17" i="1" s="1"/>
  <c r="L7" i="1" s="1"/>
  <c r="AE23" i="1"/>
  <c r="AE16" i="1"/>
  <c r="AE17" i="1" s="1"/>
  <c r="AE19" i="1"/>
  <c r="AC20" i="1" l="1"/>
  <c r="AC18" i="1"/>
  <c r="AE20" i="1"/>
  <c r="AE18" i="1"/>
  <c r="AC21" i="1" l="1"/>
  <c r="AC22" i="1" s="1"/>
  <c r="L14" i="1" s="1"/>
  <c r="L15" i="1" s="1"/>
  <c r="L26" i="1" s="1"/>
  <c r="B13" i="1" s="1"/>
  <c r="L3" i="3" s="1"/>
  <c r="AE21" i="1"/>
  <c r="AE22" i="1" s="1"/>
  <c r="AE24" i="1" s="1"/>
  <c r="M14" i="1" s="1"/>
  <c r="M15" i="1" s="1"/>
  <c r="B14" i="1" l="1"/>
  <c r="M3" i="3" s="1"/>
  <c r="D13" i="1"/>
  <c r="D14" i="1"/>
</calcChain>
</file>

<file path=xl/sharedStrings.xml><?xml version="1.0" encoding="utf-8"?>
<sst xmlns="http://schemas.openxmlformats.org/spreadsheetml/2006/main" count="109" uniqueCount="78">
  <si>
    <t>VOLUME CALCULATIONS</t>
  </si>
  <si>
    <t>C' CALCULATION</t>
  </si>
  <si>
    <t>Fb</t>
  </si>
  <si>
    <t>Fr</t>
  </si>
  <si>
    <t>Y</t>
  </si>
  <si>
    <t>Fpb</t>
  </si>
  <si>
    <t>Ftb</t>
  </si>
  <si>
    <t>Ftf</t>
  </si>
  <si>
    <t>Fgr</t>
  </si>
  <si>
    <t>Fpv</t>
  </si>
  <si>
    <t>ORIFICE SIZE</t>
  </si>
  <si>
    <t>b=</t>
  </si>
  <si>
    <t>k=</t>
  </si>
  <si>
    <t>x2=</t>
  </si>
  <si>
    <t>PSIG</t>
  </si>
  <si>
    <t>TUBE BORE</t>
  </si>
  <si>
    <t>ROOTS</t>
  </si>
  <si>
    <t>RANGE</t>
  </si>
  <si>
    <t>READINGS</t>
  </si>
  <si>
    <t>Pb=</t>
  </si>
  <si>
    <t>Ko=</t>
  </si>
  <si>
    <t>E=</t>
  </si>
  <si>
    <t>Y=</t>
  </si>
  <si>
    <t>TEMP</t>
  </si>
  <si>
    <t>DIFFERENTIAL (in " H2O)</t>
  </si>
  <si>
    <t>"H2O</t>
  </si>
  <si>
    <t>Tb=</t>
  </si>
  <si>
    <t>temp=</t>
  </si>
  <si>
    <t>S/G</t>
  </si>
  <si>
    <t>STATIC (PSIG)</t>
  </si>
  <si>
    <t>Fr=</t>
  </si>
  <si>
    <t>N2</t>
  </si>
  <si>
    <t>Fb=</t>
  </si>
  <si>
    <t>CO2</t>
  </si>
  <si>
    <t>SPECIFIC GRAVITY</t>
  </si>
  <si>
    <t>BETA RATIO =</t>
  </si>
  <si>
    <t>Fpb=</t>
  </si>
  <si>
    <t>P adj</t>
  </si>
  <si>
    <t>PRESSURE BASE</t>
  </si>
  <si>
    <t xml:space="preserve"> </t>
  </si>
  <si>
    <t>Ftb=</t>
  </si>
  <si>
    <t>Ftf=</t>
  </si>
  <si>
    <t>VOLUME(MCF/DAY)</t>
  </si>
  <si>
    <t>Fgr=</t>
  </si>
  <si>
    <t>T adj</t>
  </si>
  <si>
    <t>COEFFICIENT</t>
  </si>
  <si>
    <t>Fpv=</t>
  </si>
  <si>
    <t>B=</t>
  </si>
  <si>
    <t>Pi</t>
  </si>
  <si>
    <t>C'=</t>
  </si>
  <si>
    <t>t</t>
  </si>
  <si>
    <t>L</t>
  </si>
  <si>
    <t>Fa=</t>
  </si>
  <si>
    <t>n</t>
  </si>
  <si>
    <t>FaL=</t>
  </si>
  <si>
    <t>B</t>
  </si>
  <si>
    <t>Fwt=</t>
  </si>
  <si>
    <t>E 2</t>
  </si>
  <si>
    <t>Fpwl=</t>
  </si>
  <si>
    <t>b</t>
  </si>
  <si>
    <t>FhgL=</t>
  </si>
  <si>
    <t>D</t>
  </si>
  <si>
    <t>Fhgt=</t>
  </si>
  <si>
    <t xml:space="preserve">        hw pf =</t>
  </si>
  <si>
    <t>Qh=</t>
  </si>
  <si>
    <t>Qd=</t>
  </si>
  <si>
    <t>TEMERATURE (DEG. F)</t>
  </si>
  <si>
    <t>Value</t>
  </si>
  <si>
    <t>Column1</t>
  </si>
  <si>
    <t>Column2</t>
  </si>
  <si>
    <t>Tube Bore</t>
  </si>
  <si>
    <t>Orifice Size</t>
  </si>
  <si>
    <t>ID</t>
  </si>
  <si>
    <t>DefaultsID</t>
  </si>
  <si>
    <t>DIFFERENTIAL</t>
  </si>
  <si>
    <t>STATIC</t>
  </si>
  <si>
    <t>TEMERATURE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</si>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</sst>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MS Sans Serif"/>
      <family val="2"/>
    </font>
    <font>
      <b/>
      <u/>
      <sz val="10"/>
      <name val="MS Sans Serif"/>
      <family val="2"/>
    </font>
    <font>
      <u/>
      <sz val="10"/>
      <name val="MS Sans Serif"/>
      <family val="2"/>
    </font>
    <font>
      <i/>
      <sz val="10"/>
      <name val="MS Sans Serif"/>
      <family val="2"/>
    </font>
    <font>
      <sz val="10"/>
      <color indexed="10"/>
      <name val="MS Sans Serif"/>
      <family val="2"/>
    </font>
    <font>
      <sz val="10"/>
      <color rgb="FF000000"/>
      <name val="MS Sans Serif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u/>
      <sz val="10"/>
      <color theme="1"/>
      <name val="MS Sans Serif"/>
      <family val="2"/>
    </font>
    <font>
      <b/>
      <sz val="10"/>
      <color theme="1"/>
      <name val="MS Sans Serif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3" borderId="1" xfId="0" applyFill="1" applyBorder="1" applyProtection="1">
      <protection locked="0"/>
    </xf>
    <xf numFmtId="0" fontId="0" fillId="2" borderId="0" xfId="0" applyFill="1"/>
    <xf numFmtId="0" fontId="4" fillId="2" borderId="0" xfId="0" applyFont="1" applyFill="1"/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1" fillId="0" borderId="0" xfId="0" applyFont="1"/>
    <xf numFmtId="0" fontId="0" fillId="3" borderId="0" xfId="0" applyFill="1"/>
    <xf numFmtId="0" fontId="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3" fillId="0" borderId="0" xfId="0" applyFont="1" applyAlignment="1">
      <alignment horizontal="right"/>
    </xf>
    <xf numFmtId="0" fontId="0" fillId="4" borderId="0" xfId="0" applyFill="1"/>
    <xf numFmtId="0" fontId="0" fillId="3" borderId="0" xfId="0" applyFill="1" applyProtection="1">
      <protection locked="0"/>
    </xf>
    <xf numFmtId="0" fontId="0" fillId="3" borderId="0" xfId="0" applyFill="1" applyAlignment="1" applyProtection="1">
      <alignment horizontal="right"/>
      <protection locked="0"/>
    </xf>
    <xf numFmtId="0" fontId="0" fillId="3" borderId="0" xfId="0" applyFill="1" applyAlignment="1">
      <alignment horizontal="left"/>
    </xf>
    <xf numFmtId="0" fontId="6" fillId="2" borderId="0" xfId="0" applyFont="1" applyFill="1"/>
    <xf numFmtId="0" fontId="7" fillId="3" borderId="2" xfId="0" applyFont="1" applyFill="1" applyBorder="1"/>
    <xf numFmtId="0" fontId="7" fillId="3" borderId="1" xfId="0" applyFont="1" applyFill="1" applyBorder="1"/>
    <xf numFmtId="0" fontId="7" fillId="3" borderId="3" xfId="0" applyFont="1" applyFill="1" applyBorder="1"/>
    <xf numFmtId="0" fontId="7" fillId="3" borderId="3" xfId="0" applyFont="1" applyFill="1" applyBorder="1" applyAlignment="1">
      <alignment horizontal="right"/>
    </xf>
    <xf numFmtId="0" fontId="7" fillId="5" borderId="2" xfId="0" applyFont="1" applyFill="1" applyBorder="1"/>
    <xf numFmtId="0" fontId="7" fillId="5" borderId="3" xfId="0" applyFont="1" applyFill="1" applyBorder="1"/>
    <xf numFmtId="0" fontId="7" fillId="6" borderId="2" xfId="0" applyFont="1" applyFill="1" applyBorder="1"/>
    <xf numFmtId="0" fontId="0" fillId="7" borderId="0" xfId="0" applyFill="1"/>
    <xf numFmtId="0" fontId="7" fillId="7" borderId="2" xfId="0" applyFont="1" applyFill="1" applyBorder="1"/>
    <xf numFmtId="0" fontId="7" fillId="7" borderId="2" xfId="0" applyFont="1" applyFill="1" applyBorder="1" applyAlignment="1">
      <alignment horizontal="left"/>
    </xf>
    <xf numFmtId="0" fontId="7" fillId="8" borderId="2" xfId="0" applyFont="1" applyFill="1" applyBorder="1"/>
    <xf numFmtId="0" fontId="8" fillId="9" borderId="2" xfId="0" applyFont="1" applyFill="1" applyBorder="1" applyAlignment="1">
      <alignment horizontal="center"/>
    </xf>
    <xf numFmtId="0" fontId="8" fillId="9" borderId="3" xfId="0" applyFont="1" applyFill="1" applyBorder="1"/>
    <xf numFmtId="0" fontId="7" fillId="8" borderId="3" xfId="0" applyFont="1" applyFill="1" applyBorder="1"/>
    <xf numFmtId="0" fontId="7" fillId="9" borderId="2" xfId="0" applyFont="1" applyFill="1" applyBorder="1"/>
    <xf numFmtId="0" fontId="7" fillId="9" borderId="3" xfId="0" applyFont="1" applyFill="1" applyBorder="1"/>
    <xf numFmtId="0" fontId="7" fillId="3" borderId="4" xfId="0" applyFont="1" applyFill="1" applyBorder="1"/>
    <xf numFmtId="0" fontId="7" fillId="3" borderId="4" xfId="0" applyFont="1" applyFill="1" applyBorder="1" applyAlignment="1">
      <alignment horizontal="left"/>
    </xf>
    <xf numFmtId="2" fontId="7" fillId="7" borderId="2" xfId="0" applyNumberFormat="1" applyFont="1" applyFill="1" applyBorder="1"/>
    <xf numFmtId="0" fontId="9" fillId="3" borderId="4" xfId="0" applyFont="1" applyFill="1" applyBorder="1"/>
    <xf numFmtId="0" fontId="9" fillId="3" borderId="5" xfId="0" applyFont="1" applyFill="1" applyBorder="1"/>
    <xf numFmtId="0" fontId="9" fillId="3" borderId="5" xfId="0" applyFont="1" applyFill="1" applyBorder="1" applyAlignment="1">
      <alignment horizontal="left"/>
    </xf>
    <xf numFmtId="0" fontId="7" fillId="5" borderId="6" xfId="0" applyFont="1" applyFill="1" applyBorder="1"/>
    <xf numFmtId="0" fontId="7" fillId="5" borderId="8" xfId="0" applyFont="1" applyFill="1" applyBorder="1"/>
    <xf numFmtId="0" fontId="7" fillId="5" borderId="7" xfId="0" applyFont="1" applyFill="1" applyBorder="1"/>
    <xf numFmtId="0" fontId="9" fillId="3" borderId="9" xfId="0" applyFont="1" applyFill="1" applyBorder="1" applyAlignment="1">
      <alignment horizontal="left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top style="thin">
          <color theme="0"/>
        </top>
      </border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Button"/>
</file>

<file path=xl/ctrlProps/ctrlProp2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14</xdr:row>
          <xdr:rowOff>133350</xdr:rowOff>
        </xdr:from>
        <xdr:to>
          <xdr:col>0</xdr:col>
          <xdr:colOff>1457325</xdr:colOff>
          <xdr:row>16</xdr:row>
          <xdr:rowOff>9525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MS Sans Serif"/>
                </a:rPr>
                <a:t>LINEAR CALCS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MS Sans Serif"/>
                </a:rPr>
                <a:t>ENTER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MS Sans Serif"/>
                </a:rPr>
                <a:t>ENTER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MS Sans Serif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14</xdr:row>
          <xdr:rowOff>133350</xdr:rowOff>
        </xdr:from>
        <xdr:to>
          <xdr:col>2</xdr:col>
          <xdr:colOff>209550</xdr:colOff>
          <xdr:row>16</xdr:row>
          <xdr:rowOff>9525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MS Sans Serif"/>
                </a:rPr>
                <a:t>L-10 CALCS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MS Sans Serif"/>
                </a:rPr>
                <a:t>L-10 CALCS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DA13EB-0830-44CE-9E80-C68E21CCC98A}" name="Table1" displayName="Table1" ref="A2:C15" totalsRowShown="0">
  <autoFilter ref="A2:C15" xr:uid="{4F85070E-E252-4D80-8F34-862D325411F9}"/>
  <tableColumns count="3">
    <tableColumn id="1" xr3:uid="{86EC8CD7-A613-47DB-BFEE-BA738813F338}" name="Column2"/>
    <tableColumn id="2" xr3:uid="{B5FFF5FC-483D-4CC7-9165-6D8D0132AD24}" name="Value"/>
    <tableColumn id="3" xr3:uid="{1CA075A5-B350-4370-8082-8B4209FCB257}" name="Column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3C9F62-AD2B-4F15-A6AC-50A5C1623C3F}" name="InputTable" displayName="InputTable" ref="A2:F3" totalsRowShown="0">
  <autoFilter ref="A2:F3" xr:uid="{1107379F-B023-4B10-BE35-D28301E9C1DD}"/>
  <tableColumns count="6">
    <tableColumn id="1" xr3:uid="{EA8E8173-9BED-43F9-B3EF-A2831AEDB0CC}" name="ID"/>
    <tableColumn id="2" xr3:uid="{45B20575-39F1-44AB-814F-6CA18569A6DC}" name="ORIFICE SIZE"/>
    <tableColumn id="3" xr3:uid="{48BDD0BF-E525-49C4-9FB5-FD3017030F69}" name="TUBE BORE"/>
    <tableColumn id="4" xr3:uid="{08FA9CC5-5F47-446F-9656-1B1B019698CE}" name="DIFFERENTIAL"/>
    <tableColumn id="5" xr3:uid="{961E258B-51F3-4ED1-A531-C5D62709A404}" name="STATIC"/>
    <tableColumn id="6" xr3:uid="{1E52842A-C29B-425E-9F2A-AE736B1BBDB3}" name="TEMERATUR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E653D6-60F3-4E5C-866B-AC28BBFD4B75}" name="OutputTable" displayName="OutputTable" ref="L2:N3" totalsRowShown="0">
  <autoFilter ref="L2:N3" xr:uid="{BD7A7D3A-68F4-4360-BDFD-75782A983E01}"/>
  <tableColumns count="3">
    <tableColumn id="1" xr3:uid="{73E09D3F-99B8-427E-A1F6-BA7C3E0869F2}" name="VOLUME" dataDxfId="10">
      <calculatedColumnFormula>VOLUME!B13</calculatedColumnFormula>
    </tableColumn>
    <tableColumn id="2" xr3:uid="{4DAAFBCB-C9B7-49A3-A517-CB472E647923}" name="COEFFICIENT" dataDxfId="9">
      <calculatedColumnFormula>VOLUME!B14</calculatedColumnFormula>
    </tableColumn>
    <tableColumn id="3" xr3:uid="{06F13B82-AB83-4012-B49F-487E8D21347E}" name="ID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2736AC-027B-43BE-84E0-7B3D43F04962}" name="DefaultsTable" displayName="DefaultsTable" ref="G2:K3" totalsRowShown="0" headerRowBorderDxfId="8" tableBorderDxfId="7">
  <autoFilter ref="G2:K3" xr:uid="{D638E2C4-4A07-4983-9082-EE63FFE7D151}"/>
  <tableColumns count="5">
    <tableColumn id="4" xr3:uid="{3CB2353E-D3DE-4115-B157-A09CC26DBCA2}" name="DefaultsID"/>
    <tableColumn id="1" xr3:uid="{67E2C77C-F291-4454-8F27-6C339B878460}" name="SPECIFIC GRAVITY"/>
    <tableColumn id="2" xr3:uid="{F246CB8B-686D-41F7-8985-CCBF96441943}" name="CO2"/>
    <tableColumn id="3" xr3:uid="{083F08C8-3795-4A85-943E-341439218CD2}" name="N2"/>
    <tableColumn id="5" xr3:uid="{8240EEB4-F431-42B9-BC43-8AB0FD028E09}" name="PRESSURE BAS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71DFAC-888D-4E96-9815-2FA97283B402}" name="DefaultEntries" displayName="DefaultEntries" ref="G5:J6" totalsRowShown="0" headerRowBorderDxfId="6" tableBorderDxfId="5" totalsRowBorderDxfId="4">
  <autoFilter ref="G5:J6" xr:uid="{31B69251-ACB5-47F9-97B5-1AD12ED11D8A}"/>
  <tableColumns count="4">
    <tableColumn id="1" xr3:uid="{87326223-14E2-409B-BE0E-32A41F9ABF31}" name="DefaultsID" dataDxfId="3"/>
    <tableColumn id="2" xr3:uid="{15964E44-7226-4C33-875B-74885E372845}" name="SPECIFIC GRAVITY" dataDxfId="2"/>
    <tableColumn id="3" xr3:uid="{E23F636B-4EA3-4EB4-8B3D-52BC57709E63}" name="CO2" dataDxfId="1"/>
    <tableColumn id="4" xr3:uid="{82FAA756-4D87-480D-8597-0079D8B12725}" name="N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"/>
  <sheetViews>
    <sheetView showGridLines="0" tabSelected="1" zoomScale="130" zoomScaleNormal="130" workbookViewId="0">
      <selection activeCell="L13" sqref="L13"/>
    </sheetView>
  </sheetViews>
  <sheetFormatPr defaultRowHeight="12.75" x14ac:dyDescent="0.2"/>
  <cols>
    <col min="1" max="1" width="23.42578125" customWidth="1"/>
    <col min="3" max="3" width="4" customWidth="1"/>
    <col min="4" max="4" width="10.7109375" customWidth="1"/>
    <col min="5" max="5" width="7.42578125" customWidth="1"/>
    <col min="6" max="6" width="8.85546875" customWidth="1"/>
    <col min="7" max="7" width="5.7109375" customWidth="1"/>
    <col min="8" max="8" width="9.42578125" customWidth="1"/>
    <col min="9" max="9" width="6.85546875" customWidth="1"/>
    <col min="10" max="10" width="5.7109375" customWidth="1"/>
    <col min="15" max="15" width="8.7109375" customWidth="1"/>
  </cols>
  <sheetData>
    <row r="1" spans="1:31" x14ac:dyDescent="0.2">
      <c r="A1" s="8"/>
      <c r="B1" s="14" t="s">
        <v>0</v>
      </c>
      <c r="F1" s="11"/>
      <c r="G1" s="8"/>
      <c r="H1" s="11"/>
      <c r="I1" s="8"/>
      <c r="J1" s="8"/>
      <c r="K1" s="14" t="s">
        <v>1</v>
      </c>
      <c r="O1" s="1" t="s">
        <v>2</v>
      </c>
      <c r="Q1" s="1" t="s">
        <v>3</v>
      </c>
      <c r="S1" s="1" t="s">
        <v>4</v>
      </c>
      <c r="U1" s="1" t="s">
        <v>5</v>
      </c>
      <c r="W1" s="1" t="s">
        <v>6</v>
      </c>
      <c r="Y1" s="1" t="s">
        <v>7</v>
      </c>
      <c r="AA1" s="1" t="s">
        <v>8</v>
      </c>
      <c r="AC1" s="1" t="s">
        <v>9</v>
      </c>
    </row>
    <row r="2" spans="1:31" x14ac:dyDescent="0.2">
      <c r="A2" s="23" t="s">
        <v>69</v>
      </c>
      <c r="B2" s="14" t="s">
        <v>67</v>
      </c>
      <c r="C2" t="s">
        <v>68</v>
      </c>
      <c r="F2" s="11"/>
      <c r="G2" s="8"/>
      <c r="H2" s="11"/>
      <c r="I2" s="8"/>
      <c r="J2" s="8"/>
      <c r="K2" s="14"/>
      <c r="O2" s="1"/>
      <c r="Q2" s="1"/>
      <c r="S2" s="1"/>
      <c r="U2" s="1"/>
      <c r="W2" s="1"/>
      <c r="Y2" s="1"/>
      <c r="AA2" s="1"/>
      <c r="AC2" s="1"/>
    </row>
    <row r="3" spans="1:31" x14ac:dyDescent="0.2">
      <c r="A3" s="15" t="s">
        <v>10</v>
      </c>
      <c r="B3" s="7">
        <v>2.5</v>
      </c>
      <c r="C3" s="8">
        <v>1</v>
      </c>
      <c r="D3" s="8"/>
      <c r="E3" s="16"/>
      <c r="F3" s="8"/>
      <c r="G3" s="17"/>
      <c r="H3" s="8"/>
      <c r="I3" s="17"/>
      <c r="J3" s="8"/>
      <c r="N3" s="18" t="s">
        <v>11</v>
      </c>
      <c r="O3">
        <f>($B$3/$B$4)</f>
        <v>0.625</v>
      </c>
      <c r="P3" s="3" t="s">
        <v>12</v>
      </c>
      <c r="Q3">
        <f>0.604/(1-O3^4)^0.5</f>
        <v>0.65612956257206867</v>
      </c>
      <c r="R3" s="3" t="s">
        <v>13</v>
      </c>
      <c r="S3">
        <f>B5/(27.707*(B6+14.73))</f>
        <v>5.6499830477326381E-2</v>
      </c>
      <c r="U3">
        <f>14.73/L4</f>
        <v>1.0054607508532423</v>
      </c>
      <c r="W3">
        <f>(L5+459.67)/519.67</f>
        <v>1.0000000000000002</v>
      </c>
      <c r="Y3">
        <f>SQRT(519.67/(B7+459.67))</f>
        <v>0.94683305399031392</v>
      </c>
      <c r="AA3">
        <f>SQRT(1/B8)</f>
        <v>1.1801515411874575</v>
      </c>
      <c r="AC3" s="4">
        <f>B6</f>
        <v>320</v>
      </c>
      <c r="AD3" s="4" t="s">
        <v>14</v>
      </c>
      <c r="AE3" s="4">
        <f>H6</f>
        <v>826.5</v>
      </c>
    </row>
    <row r="4" spans="1:31" x14ac:dyDescent="0.2">
      <c r="A4" s="15" t="s">
        <v>15</v>
      </c>
      <c r="B4" s="7">
        <v>4</v>
      </c>
      <c r="C4" s="8">
        <v>2</v>
      </c>
      <c r="D4" s="1" t="s">
        <v>16</v>
      </c>
      <c r="E4" s="12"/>
      <c r="F4" s="1" t="s">
        <v>17</v>
      </c>
      <c r="G4" s="13"/>
      <c r="H4" s="5" t="s">
        <v>18</v>
      </c>
      <c r="I4" s="3"/>
      <c r="J4" s="8"/>
      <c r="K4" t="s">
        <v>19</v>
      </c>
      <c r="L4">
        <f>B11</f>
        <v>14.65</v>
      </c>
      <c r="N4" s="3" t="s">
        <v>20</v>
      </c>
      <c r="O4">
        <f>0.5993+(0.007/B4)+((0.364+(0.076/(B4^0.5)))*O3^4)</f>
        <v>0.66239033203125008</v>
      </c>
      <c r="P4" s="3" t="s">
        <v>21</v>
      </c>
      <c r="Q4">
        <f>O15</f>
        <v>1150.5859375</v>
      </c>
      <c r="R4" s="3" t="s">
        <v>22</v>
      </c>
      <c r="S4">
        <f>((1+S3)^0.5)-((0.41+0.35*(O3^4))*(S3/1.3*((1+S3)^0.5)))</f>
        <v>1.0071603654473789</v>
      </c>
      <c r="AC4" s="4">
        <f>B7</f>
        <v>120</v>
      </c>
      <c r="AD4" s="4" t="s">
        <v>23</v>
      </c>
      <c r="AE4" s="4">
        <f>B7</f>
        <v>120</v>
      </c>
    </row>
    <row r="5" spans="1:31" x14ac:dyDescent="0.2">
      <c r="A5" s="15" t="s">
        <v>24</v>
      </c>
      <c r="B5" s="7">
        <v>524</v>
      </c>
      <c r="C5" s="8">
        <v>3</v>
      </c>
      <c r="D5" s="2">
        <v>5</v>
      </c>
      <c r="E5" s="17"/>
      <c r="F5" s="2">
        <v>100</v>
      </c>
      <c r="G5" s="17"/>
      <c r="H5">
        <f>ROUND(D5^2*F5/100,2)</f>
        <v>25</v>
      </c>
      <c r="I5" s="3" t="s">
        <v>25</v>
      </c>
      <c r="J5" s="8"/>
      <c r="K5" t="s">
        <v>26</v>
      </c>
      <c r="L5">
        <v>60</v>
      </c>
      <c r="N5" s="3" t="s">
        <v>27</v>
      </c>
      <c r="O5">
        <f>(0.07+0.5/B4)-O3</f>
        <v>-0.43</v>
      </c>
      <c r="P5" s="3" t="s">
        <v>11</v>
      </c>
      <c r="Q5">
        <f>O15/(12835*B3*Q3)</f>
        <v>5.4650428854933951E-2</v>
      </c>
      <c r="R5" s="3"/>
      <c r="AC5" s="4">
        <f>B8</f>
        <v>0.71799999999999997</v>
      </c>
      <c r="AD5" s="4" t="s">
        <v>28</v>
      </c>
      <c r="AE5" s="4">
        <f>B8</f>
        <v>0.71799999999999997</v>
      </c>
    </row>
    <row r="6" spans="1:31" x14ac:dyDescent="0.2">
      <c r="A6" s="15" t="s">
        <v>29</v>
      </c>
      <c r="B6" s="7">
        <v>320</v>
      </c>
      <c r="C6" s="8">
        <v>4</v>
      </c>
      <c r="D6" s="2">
        <v>7.49</v>
      </c>
      <c r="E6" s="17"/>
      <c r="F6" s="2">
        <v>1500</v>
      </c>
      <c r="G6" s="17"/>
      <c r="H6">
        <f>ROUND((D6^2*F6/100)-15,2)</f>
        <v>826.5</v>
      </c>
      <c r="I6" s="3" t="s">
        <v>14</v>
      </c>
      <c r="J6" s="8"/>
      <c r="N6" s="3" t="s">
        <v>27</v>
      </c>
      <c r="O6">
        <f>IF(O5&lt;0,0,O5^2.5)</f>
        <v>0</v>
      </c>
      <c r="P6" s="3" t="s">
        <v>30</v>
      </c>
      <c r="Q6">
        <f>1+Q5/L24</f>
        <v>1.0001304910158537</v>
      </c>
      <c r="R6" s="3"/>
      <c r="AC6" s="6">
        <f>B10</f>
        <v>0</v>
      </c>
      <c r="AD6" s="4" t="s">
        <v>31</v>
      </c>
      <c r="AE6" s="6">
        <f>B10</f>
        <v>0</v>
      </c>
    </row>
    <row r="7" spans="1:31" x14ac:dyDescent="0.2">
      <c r="A7" s="15" t="s">
        <v>66</v>
      </c>
      <c r="B7" s="7">
        <v>120</v>
      </c>
      <c r="C7" s="8">
        <v>5</v>
      </c>
      <c r="D7" s="8"/>
      <c r="E7" s="17"/>
      <c r="F7" s="8"/>
      <c r="G7" s="17"/>
      <c r="H7" s="8"/>
      <c r="I7" s="17"/>
      <c r="J7" s="8"/>
      <c r="K7" t="s">
        <v>32</v>
      </c>
      <c r="L7">
        <f>O17</f>
        <v>1390.4375781143015</v>
      </c>
      <c r="N7" s="3" t="s">
        <v>20</v>
      </c>
      <c r="O7">
        <f>O4+0.4*((1.6-1/B4)^5)*O6</f>
        <v>0.66239033203125008</v>
      </c>
      <c r="P7" s="3"/>
      <c r="R7" s="3"/>
      <c r="AC7" s="6">
        <f>B9</f>
        <v>0</v>
      </c>
      <c r="AD7" s="4" t="s">
        <v>33</v>
      </c>
      <c r="AE7" s="6">
        <f>B9</f>
        <v>0</v>
      </c>
    </row>
    <row r="8" spans="1:31" x14ac:dyDescent="0.2">
      <c r="A8" s="15" t="s">
        <v>34</v>
      </c>
      <c r="B8" s="20">
        <v>0.71799999999999997</v>
      </c>
      <c r="C8" s="8">
        <v>6</v>
      </c>
      <c r="D8" s="8"/>
      <c r="E8" s="8"/>
      <c r="F8" s="8"/>
      <c r="G8" s="17"/>
      <c r="H8" s="8"/>
      <c r="I8" s="17"/>
      <c r="J8" s="8"/>
      <c r="K8" t="s">
        <v>30</v>
      </c>
      <c r="L8">
        <f>Q6</f>
        <v>1.0001304910158537</v>
      </c>
      <c r="N8" s="3" t="s">
        <v>27</v>
      </c>
      <c r="O8">
        <f>0.5-O3</f>
        <v>-0.125</v>
      </c>
      <c r="P8" s="3"/>
      <c r="R8" s="3"/>
      <c r="AC8">
        <f>156.47*AC3</f>
        <v>50070.400000000001</v>
      </c>
      <c r="AD8" s="3"/>
      <c r="AE8">
        <f>156.47*AE3</f>
        <v>129322.455</v>
      </c>
    </row>
    <row r="9" spans="1:31" x14ac:dyDescent="0.2">
      <c r="A9" s="22" t="s">
        <v>33</v>
      </c>
      <c r="B9" s="21">
        <f>DefaultEntries[CO2]</f>
        <v>0</v>
      </c>
      <c r="C9" s="8">
        <v>7</v>
      </c>
      <c r="D9" s="8"/>
      <c r="E9" t="s">
        <v>35</v>
      </c>
      <c r="G9" s="3">
        <f>B3/B4</f>
        <v>0.625</v>
      </c>
      <c r="H9" s="8"/>
      <c r="I9" s="17"/>
      <c r="J9" s="8"/>
      <c r="K9" t="s">
        <v>22</v>
      </c>
      <c r="L9">
        <f>S4</f>
        <v>1.0071603654473789</v>
      </c>
      <c r="N9" s="3" t="s">
        <v>27</v>
      </c>
      <c r="O9">
        <f>IF(O8&lt;0,0,O8^1.5)</f>
        <v>0</v>
      </c>
      <c r="P9" s="3"/>
      <c r="R9" s="3"/>
      <c r="AC9">
        <f>160.8-(7.22*AC5)+(AC7-0.392*AC6)</f>
        <v>155.61604</v>
      </c>
      <c r="AD9" s="3"/>
      <c r="AE9">
        <f>160.8-(7.22*AE5)+(AE7-0.392*AE6)</f>
        <v>155.61604</v>
      </c>
    </row>
    <row r="10" spans="1:31" x14ac:dyDescent="0.2">
      <c r="A10" s="22" t="s">
        <v>31</v>
      </c>
      <c r="B10" s="21">
        <f>DefaultEntries[N2]</f>
        <v>0</v>
      </c>
      <c r="C10" s="8">
        <v>8</v>
      </c>
      <c r="D10" s="8"/>
      <c r="E10" s="17"/>
      <c r="F10" s="8"/>
      <c r="G10" s="17"/>
      <c r="H10" s="8"/>
      <c r="I10" s="17"/>
      <c r="J10" s="8"/>
      <c r="K10" t="s">
        <v>36</v>
      </c>
      <c r="L10">
        <f>U3</f>
        <v>1.0054607508532423</v>
      </c>
      <c r="N10" s="3" t="s">
        <v>20</v>
      </c>
      <c r="O10">
        <f>O7-(0.009+0.034/B4)*O9</f>
        <v>0.66239033203125008</v>
      </c>
      <c r="P10" s="3"/>
      <c r="R10" s="3"/>
      <c r="AC10">
        <f>ROUND(AC8/AC9,1)</f>
        <v>321.8</v>
      </c>
      <c r="AD10" s="3" t="s">
        <v>37</v>
      </c>
      <c r="AE10">
        <f>ROUND(AE8/AE9,1)</f>
        <v>831</v>
      </c>
    </row>
    <row r="11" spans="1:31" x14ac:dyDescent="0.2">
      <c r="A11" t="s">
        <v>38</v>
      </c>
      <c r="B11" s="2">
        <f>Tables!K3</f>
        <v>14.65</v>
      </c>
      <c r="C11" s="8">
        <v>9</v>
      </c>
      <c r="D11" s="8"/>
      <c r="E11" s="17" t="s">
        <v>39</v>
      </c>
      <c r="F11" s="8"/>
      <c r="G11" s="17"/>
      <c r="H11" s="8"/>
      <c r="I11" s="17"/>
      <c r="J11" s="8"/>
      <c r="K11" t="s">
        <v>40</v>
      </c>
      <c r="L11">
        <f>W3</f>
        <v>1.0000000000000002</v>
      </c>
      <c r="N11" s="3" t="s">
        <v>27</v>
      </c>
      <c r="O11">
        <f>O3-0.7</f>
        <v>-7.4999999999999956E-2</v>
      </c>
      <c r="P11" s="3"/>
      <c r="R11" s="3"/>
      <c r="AC11">
        <f>226.29*(AC4+460)</f>
        <v>131248.19999999998</v>
      </c>
      <c r="AD11" s="3"/>
      <c r="AE11">
        <f>226.29*(AE4+460)</f>
        <v>131248.19999999998</v>
      </c>
    </row>
    <row r="12" spans="1:31" x14ac:dyDescent="0.2">
      <c r="A12" s="10"/>
      <c r="B12" s="1"/>
      <c r="C12" s="11">
        <v>10</v>
      </c>
      <c r="D12" s="1"/>
      <c r="E12" s="17"/>
      <c r="F12" s="8"/>
      <c r="G12" s="17"/>
      <c r="H12" s="8"/>
      <c r="I12" s="17"/>
      <c r="J12" s="8"/>
      <c r="K12" t="s">
        <v>41</v>
      </c>
      <c r="L12">
        <f>Y3</f>
        <v>0.94683305399031392</v>
      </c>
      <c r="N12" s="3" t="s">
        <v>27</v>
      </c>
      <c r="O12">
        <f>IF(O11&lt;0,0,O11^2.5)</f>
        <v>0</v>
      </c>
      <c r="P12" s="3"/>
      <c r="R12" s="3"/>
      <c r="AC12">
        <f>99.15+(211.9*AC5)-(AC7+1.681*AC6)</f>
        <v>251.29420000000002</v>
      </c>
      <c r="AD12" s="3"/>
      <c r="AE12">
        <f>99.15+(211.9*AE5)-(AE7+1.681*AE6)</f>
        <v>251.29420000000002</v>
      </c>
    </row>
    <row r="13" spans="1:31" x14ac:dyDescent="0.2">
      <c r="A13" t="s">
        <v>42</v>
      </c>
      <c r="B13">
        <f>L26</f>
        <v>16222.869005205192</v>
      </c>
      <c r="C13" s="8">
        <v>11</v>
      </c>
      <c r="D13">
        <f>M15*D5*D6*24/1000*SQRT(F5*F6)/100</f>
        <v>5854.4788355744386</v>
      </c>
      <c r="E13" s="17"/>
      <c r="F13" s="8"/>
      <c r="G13" s="17"/>
      <c r="H13" s="8"/>
      <c r="I13" s="17"/>
      <c r="J13" s="8"/>
      <c r="K13" t="s">
        <v>43</v>
      </c>
      <c r="L13">
        <f>AA3</f>
        <v>1.1801515411874575</v>
      </c>
      <c r="N13" s="3" t="s">
        <v>20</v>
      </c>
      <c r="O13">
        <f>O10+(65/B4^2+3)*O12</f>
        <v>0.66239033203125008</v>
      </c>
      <c r="P13" s="3"/>
      <c r="R13" s="3"/>
      <c r="AC13">
        <f>ROUND((AC11/AC12)-460,1)</f>
        <v>62.3</v>
      </c>
      <c r="AD13" s="3" t="s">
        <v>44</v>
      </c>
      <c r="AE13">
        <f>ROUND((AE11/AE12)-460,1)</f>
        <v>62.3</v>
      </c>
    </row>
    <row r="14" spans="1:31" x14ac:dyDescent="0.2">
      <c r="A14" t="s">
        <v>45</v>
      </c>
      <c r="B14">
        <f>ROUND(L15*24/1000,3)</f>
        <v>38.735999999999997</v>
      </c>
      <c r="C14" s="8">
        <v>12</v>
      </c>
      <c r="D14">
        <f>ROUND(M15*24/1000*SQRT(F6*F5)/100,3)</f>
        <v>156.328</v>
      </c>
      <c r="E14" s="17"/>
      <c r="F14" s="8"/>
      <c r="G14" s="17"/>
      <c r="H14" s="8"/>
      <c r="I14" s="17"/>
      <c r="J14" s="8"/>
      <c r="K14" t="s">
        <v>46</v>
      </c>
      <c r="L14">
        <f>AC24</f>
        <v>1.0257000000000001</v>
      </c>
      <c r="M14">
        <f>AE24</f>
        <v>1.0688</v>
      </c>
      <c r="N14" s="3" t="s">
        <v>47</v>
      </c>
      <c r="O14">
        <f>530/B4^0.5</f>
        <v>265</v>
      </c>
      <c r="P14" s="3"/>
      <c r="R14" s="3"/>
      <c r="AC14">
        <f>(AC10+14.7)/1000</f>
        <v>0.33650000000000002</v>
      </c>
      <c r="AD14" s="3" t="s">
        <v>48</v>
      </c>
      <c r="AE14">
        <f>(AE10+14.7)/1000</f>
        <v>0.84570000000000001</v>
      </c>
    </row>
    <row r="15" spans="1:31" x14ac:dyDescent="0.2">
      <c r="A15" s="9"/>
      <c r="B15" s="9"/>
      <c r="C15" s="9"/>
      <c r="D15" s="9"/>
      <c r="E15" s="13"/>
      <c r="F15" s="9"/>
      <c r="G15" s="13"/>
      <c r="H15" s="9"/>
      <c r="I15" s="13"/>
      <c r="J15" s="9"/>
      <c r="K15" t="s">
        <v>49</v>
      </c>
      <c r="L15">
        <f>L7*L8*L9*L10*L11*L12*L13*L14</f>
        <v>1613.9997289020791</v>
      </c>
      <c r="M15">
        <f>L7*L8*L9*L10*L11*L12*L13*M14</f>
        <v>1681.8201328366404</v>
      </c>
      <c r="N15" s="3" t="s">
        <v>21</v>
      </c>
      <c r="O15">
        <f>B3*(830-5000*O3+9000*O3^2-4200*O3^3+O14)</f>
        <v>1150.5859375</v>
      </c>
      <c r="P15" s="3"/>
      <c r="R15" s="3"/>
      <c r="AC15">
        <f>(AC13+460)/500</f>
        <v>1.0446</v>
      </c>
      <c r="AD15" s="3" t="s">
        <v>50</v>
      </c>
      <c r="AE15">
        <f>(AE13+460)/500</f>
        <v>1.0446</v>
      </c>
    </row>
    <row r="16" spans="1:31" x14ac:dyDescent="0.2">
      <c r="A16" s="9"/>
      <c r="B16" s="9"/>
      <c r="C16" s="9"/>
      <c r="D16" s="9"/>
      <c r="E16" s="13"/>
      <c r="F16" s="9"/>
      <c r="G16" s="13"/>
      <c r="H16" s="9"/>
      <c r="I16" s="13"/>
      <c r="J16" s="9"/>
      <c r="N16" s="3" t="s">
        <v>20</v>
      </c>
      <c r="O16">
        <f>O13/(1+((15*O15)/(1000000*B3)))</f>
        <v>0.65784886213262905</v>
      </c>
      <c r="P16" s="3"/>
      <c r="R16" s="3"/>
      <c r="AC16">
        <f>(0.0330378/(AC15^2))-(0.0221323/(AC15^3))+(0.0161353/(AC15^5))</f>
        <v>2.383272678567723E-2</v>
      </c>
      <c r="AD16" s="3" t="s">
        <v>51</v>
      </c>
      <c r="AE16">
        <f>(0.0330378/(AE15^2))-(0.0221323/(AE15^3))+(0.0161353/(AE15^5))</f>
        <v>2.383272678567723E-2</v>
      </c>
    </row>
    <row r="17" spans="1:31" x14ac:dyDescent="0.2">
      <c r="A17" s="9"/>
      <c r="B17" s="9"/>
      <c r="C17" s="9"/>
      <c r="D17" s="9"/>
      <c r="E17" s="13"/>
      <c r="F17" s="9"/>
      <c r="G17" s="9"/>
      <c r="H17" s="9"/>
      <c r="I17" s="13"/>
      <c r="J17" s="9"/>
      <c r="K17" t="s">
        <v>52</v>
      </c>
      <c r="N17" s="3" t="s">
        <v>32</v>
      </c>
      <c r="O17">
        <f>338.178*B3^2*O16</f>
        <v>1390.4375781143015</v>
      </c>
      <c r="R17" s="3"/>
      <c r="AC17" s="3">
        <f>ROUND(((0.265827/(AC15^2))+(0.0457697/(AC15^4))-(0.133185/AC15))/AC16,9)</f>
        <v>6.4849132410000001</v>
      </c>
      <c r="AD17" s="3" t="s">
        <v>53</v>
      </c>
      <c r="AE17" s="3">
        <f>ROUND(((0.265827/(AE15^2))+(0.0457697/(AE15^4))-(0.133185/AE15))/AE16,9)</f>
        <v>6.4849132410000001</v>
      </c>
    </row>
    <row r="18" spans="1:31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t="s">
        <v>54</v>
      </c>
      <c r="AC18">
        <f>ROUND((3-(AC16*(AC17^2)))/(9*AC16*(AC14^2)),7)</f>
        <v>82.252999299999999</v>
      </c>
      <c r="AD18" s="3" t="s">
        <v>55</v>
      </c>
      <c r="AE18">
        <f>ROUND((3-(AE16*(AE17^2)))/(9*AE16*(AE14^2)),7)</f>
        <v>13.022345700000001</v>
      </c>
    </row>
    <row r="19" spans="1:3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t="s">
        <v>56</v>
      </c>
      <c r="AC19" s="3">
        <f>ROUND(1-(0.00075*(AC14^2.3))*(2-(2.718281828^(-20*(1.09-AC15))))-(1.317*((1.09-AC15)^4)*(AC14*(1.69-(AC14^2)))),4)</f>
        <v>0.99990000000000001</v>
      </c>
      <c r="AD19" s="3" t="s">
        <v>57</v>
      </c>
      <c r="AE19" s="3">
        <f>ROUND(1-(0.00075*(AE14^2.3))*(2-(2.718281828^(-20*(1.09-AE15))))-(1.317*((1.09-AE15)^4)*(AE14*(1.69-(AE14^2)))),4)</f>
        <v>0.99919999999999998</v>
      </c>
    </row>
    <row r="20" spans="1:31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t="s">
        <v>58</v>
      </c>
      <c r="AC20">
        <f>ROUND(((9*AC17-(2*AC16*(AC17^3)))/(54*AC16*(AC14^3)))-(AC19/(2*AC16*(AC14^2))),7)</f>
        <v>739.86049130000004</v>
      </c>
      <c r="AD20" s="3" t="s">
        <v>59</v>
      </c>
      <c r="AE20">
        <f>ROUND(((9*AE17-(2*AE16*(AE17^3)))/(54*AE16*(AE14^3)))-(AE19/(2*AE16*(AE14^2))),7)</f>
        <v>28.9679967</v>
      </c>
    </row>
    <row r="21" spans="1:3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t="s">
        <v>60</v>
      </c>
      <c r="AC21">
        <f>ROUND((AC20+((AC20^2)+(AC18^3))^(1/2))^(1/3),8)</f>
        <v>12.143006160000001</v>
      </c>
      <c r="AD21" s="3" t="s">
        <v>61</v>
      </c>
      <c r="AE21">
        <f>ROUND((AE20+((AE20^2)+(AE18^3))^(1/2))^(1/3),8)</f>
        <v>4.3825081199999998</v>
      </c>
    </row>
    <row r="22" spans="1:31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t="s">
        <v>62</v>
      </c>
      <c r="AC22">
        <f>((AC18/AC21)-AC21+(AC17/(3*AC14)))^(1/2)</f>
        <v>1.0269242655269828</v>
      </c>
      <c r="AE22">
        <f>((AE18/AE21)-AE21+(AE17/(3*AE14)))^(1/2)</f>
        <v>1.0700291532967265</v>
      </c>
    </row>
    <row r="23" spans="1:31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AC23">
        <f>1+(0.00132/(AC15^3.25))</f>
        <v>1.0011454769680888</v>
      </c>
      <c r="AE23">
        <f>1+(0.00132/(AE15^3.25))</f>
        <v>1.0011454769680888</v>
      </c>
    </row>
    <row r="24" spans="1:31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t="s">
        <v>63</v>
      </c>
      <c r="L24">
        <f>SQRT(B5)*SQRT(B6+14.73)</f>
        <v>418.80606490355422</v>
      </c>
      <c r="AC24">
        <f>ROUND(AC22/AC23,4)</f>
        <v>1.0257000000000001</v>
      </c>
      <c r="AD24" s="3" t="s">
        <v>9</v>
      </c>
      <c r="AE24">
        <f>ROUND(AE22/AE23,4)</f>
        <v>1.0688</v>
      </c>
    </row>
    <row r="25" spans="1:31" x14ac:dyDescent="0.2">
      <c r="A25" s="9"/>
      <c r="B25" s="9"/>
      <c r="C25" s="9"/>
      <c r="D25" s="9"/>
      <c r="E25" s="9"/>
      <c r="F25" s="9"/>
      <c r="G25" s="9"/>
      <c r="H25" s="9"/>
      <c r="I25" s="9"/>
      <c r="J25" s="9"/>
    </row>
    <row r="26" spans="1:31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t="s">
        <v>64</v>
      </c>
      <c r="L26" s="19">
        <f>L15*L24*24/1000</f>
        <v>16222.869005205192</v>
      </c>
    </row>
    <row r="28" spans="1:31" x14ac:dyDescent="0.2">
      <c r="K28" t="s">
        <v>65</v>
      </c>
    </row>
    <row r="31" spans="1:31" x14ac:dyDescent="0.2">
      <c r="D31" t="s">
        <v>71</v>
      </c>
      <c r="E31" t="s">
        <v>70</v>
      </c>
      <c r="F31" s="24" t="s">
        <v>24</v>
      </c>
    </row>
  </sheetData>
  <sheetProtection selectLockedCells="1"/>
  <pageMargins left="0.75" right="0.75" top="0.86111111111111116" bottom="1" header="0.5" footer="0.5"/>
  <pageSetup firstPageNumber="0" orientation="portrait" horizontalDpi="300" verticalDpi="300" r:id="rId1"/>
  <headerFooter alignWithMargins="0">
    <oddFooter xml:space="preserve">&amp;CPage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>
                <anchor moveWithCells="1" sizeWithCells="1">
                  <from>
                    <xdr:col>0</xdr:col>
                    <xdr:colOff>47625</xdr:colOff>
                    <xdr:row>14</xdr:row>
                    <xdr:rowOff>133350</xdr:rowOff>
                  </from>
                  <to>
                    <xdr:col>0</xdr:col>
                    <xdr:colOff>1457325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>
                <anchor moveWithCells="1" sizeWithCells="1">
                  <from>
                    <xdr:col>0</xdr:col>
                    <xdr:colOff>1438275</xdr:colOff>
                    <xdr:row>14</xdr:row>
                    <xdr:rowOff>133350</xdr:rowOff>
                  </from>
                  <to>
                    <xdr:col>2</xdr:col>
                    <xdr:colOff>209550</xdr:colOff>
                    <xdr:row>16</xdr:row>
                    <xdr:rowOff>9525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FA9E7-3881-4155-80D3-5731D5D04861}">
  <dimension ref="A2:N16"/>
  <sheetViews>
    <sheetView workbookViewId="0">
      <selection activeCell="M2" sqref="M2"/>
    </sheetView>
  </sheetViews>
  <sheetFormatPr defaultRowHeight="12.75" x14ac:dyDescent="0.2"/>
  <cols>
    <col min="2" max="3" width="26.85546875" customWidth="1"/>
    <col min="4" max="4" width="28.5703125" customWidth="1"/>
    <col min="5" max="5" width="26.85546875" customWidth="1"/>
    <col min="6" max="7" width="27.28515625" customWidth="1"/>
    <col min="8" max="13" width="26.85546875" customWidth="1"/>
  </cols>
  <sheetData>
    <row r="2" spans="1:14" x14ac:dyDescent="0.2">
      <c r="A2" t="s">
        <v>72</v>
      </c>
      <c r="B2" s="24" t="s">
        <v>10</v>
      </c>
      <c r="C2" s="24" t="s">
        <v>15</v>
      </c>
      <c r="D2" s="24" t="s">
        <v>74</v>
      </c>
      <c r="E2" s="24" t="s">
        <v>75</v>
      </c>
      <c r="F2" s="24" t="s">
        <v>76</v>
      </c>
      <c r="G2" s="40" t="s">
        <v>73</v>
      </c>
      <c r="H2" s="40" t="s">
        <v>34</v>
      </c>
      <c r="I2" s="41" t="s">
        <v>33</v>
      </c>
      <c r="J2" s="41" t="s">
        <v>31</v>
      </c>
      <c r="K2" s="28" t="s">
        <v>38</v>
      </c>
      <c r="L2" s="28" t="s">
        <v>77</v>
      </c>
      <c r="M2" s="30" t="s">
        <v>45</v>
      </c>
      <c r="N2" t="s">
        <v>72</v>
      </c>
    </row>
    <row r="3" spans="1:14" x14ac:dyDescent="0.2">
      <c r="A3">
        <v>1</v>
      </c>
      <c r="B3">
        <v>2.59</v>
      </c>
      <c r="C3">
        <v>3.0680000000000001</v>
      </c>
      <c r="D3">
        <v>724</v>
      </c>
      <c r="E3">
        <v>335</v>
      </c>
      <c r="F3">
        <v>125</v>
      </c>
      <c r="G3">
        <v>1</v>
      </c>
      <c r="H3">
        <v>0.71799999999999997</v>
      </c>
      <c r="I3">
        <v>0</v>
      </c>
      <c r="J3">
        <v>0</v>
      </c>
      <c r="K3">
        <v>14.65</v>
      </c>
      <c r="L3" s="42">
        <f>VOLUME!B13</f>
        <v>16222.869005205192</v>
      </c>
      <c r="M3" s="31">
        <f>VOLUME!B14</f>
        <v>38.735999999999997</v>
      </c>
      <c r="N3">
        <v>1</v>
      </c>
    </row>
    <row r="4" spans="1:14" x14ac:dyDescent="0.2">
      <c r="K4" s="31"/>
      <c r="L4" s="32"/>
      <c r="M4" s="31"/>
    </row>
    <row r="5" spans="1:14" x14ac:dyDescent="0.2">
      <c r="G5" s="43" t="s">
        <v>73</v>
      </c>
      <c r="H5" s="44" t="s">
        <v>34</v>
      </c>
      <c r="I5" s="45" t="s">
        <v>33</v>
      </c>
      <c r="J5" s="49" t="s">
        <v>31</v>
      </c>
      <c r="K5" s="31"/>
      <c r="L5" s="32"/>
      <c r="M5" s="31"/>
    </row>
    <row r="6" spans="1:14" x14ac:dyDescent="0.2">
      <c r="G6" s="47">
        <v>1</v>
      </c>
      <c r="H6" s="48">
        <v>0.72</v>
      </c>
      <c r="I6" s="48">
        <v>0</v>
      </c>
      <c r="J6" s="46">
        <v>0</v>
      </c>
      <c r="K6" s="31"/>
      <c r="L6" s="32"/>
      <c r="M6" s="31"/>
    </row>
    <row r="7" spans="1:14" x14ac:dyDescent="0.2">
      <c r="K7" s="31"/>
      <c r="L7" s="32"/>
      <c r="M7" s="31"/>
    </row>
    <row r="8" spans="1:14" x14ac:dyDescent="0.2">
      <c r="B8" s="25"/>
      <c r="K8" s="31"/>
      <c r="L8" s="33"/>
      <c r="M8" s="31"/>
    </row>
    <row r="9" spans="1:14" x14ac:dyDescent="0.2">
      <c r="B9" s="25"/>
      <c r="K9" s="31"/>
      <c r="L9" s="33"/>
      <c r="M9" s="31"/>
    </row>
    <row r="10" spans="1:14" x14ac:dyDescent="0.2">
      <c r="B10" s="25"/>
      <c r="K10" s="31"/>
      <c r="L10" s="34"/>
      <c r="M10" s="31"/>
    </row>
    <row r="11" spans="1:14" x14ac:dyDescent="0.2">
      <c r="B11" s="25"/>
      <c r="K11" s="31"/>
      <c r="L11" s="35"/>
      <c r="M11" s="36"/>
    </row>
    <row r="12" spans="1:14" x14ac:dyDescent="0.2">
      <c r="B12" s="25"/>
      <c r="K12" s="31"/>
      <c r="L12" s="34"/>
      <c r="M12" s="37"/>
    </row>
    <row r="13" spans="1:14" x14ac:dyDescent="0.2">
      <c r="B13" s="26"/>
      <c r="K13" s="31"/>
      <c r="L13" s="38"/>
      <c r="M13" s="39"/>
    </row>
    <row r="14" spans="1:14" x14ac:dyDescent="0.2">
      <c r="B14" s="27"/>
    </row>
    <row r="15" spans="1:14" x14ac:dyDescent="0.2">
      <c r="B15" s="27"/>
    </row>
    <row r="16" spans="1:14" x14ac:dyDescent="0.2">
      <c r="B16" s="29"/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086d98d-082f-4cf7-95b6-ea87f9821643">
      <UserInfo>
        <DisplayName>Dave Thompson</DisplayName>
        <AccountId>15</AccountId>
        <AccountType/>
      </UserInfo>
      <UserInfo>
        <DisplayName>Catherine King</DisplayName>
        <AccountId>14</AccountId>
        <AccountType/>
      </UserInfo>
      <UserInfo>
        <DisplayName>Michael Mascenik</DisplayName>
        <AccountId>22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1C5233EB16EA4FB208F71DA55EACB8" ma:contentTypeVersion="4" ma:contentTypeDescription="Create a new document." ma:contentTypeScope="" ma:versionID="07388d9e6ec70361cef97f674fffd12a">
  <xsd:schema xmlns:xsd="http://www.w3.org/2001/XMLSchema" xmlns:xs="http://www.w3.org/2001/XMLSchema" xmlns:p="http://schemas.microsoft.com/office/2006/metadata/properties" xmlns:ns2="9d185e71-bdfd-42b4-8ba9-19cb57403ed2" xmlns:ns3="c086d98d-082f-4cf7-95b6-ea87f9821643" targetNamespace="http://schemas.microsoft.com/office/2006/metadata/properties" ma:root="true" ma:fieldsID="bd7038744dc3756a28663039fdd11a76" ns2:_="" ns3:_="">
    <xsd:import namespace="9d185e71-bdfd-42b4-8ba9-19cb57403ed2"/>
    <xsd:import namespace="c086d98d-082f-4cf7-95b6-ea87f98216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185e71-bdfd-42b4-8ba9-19cb57403e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86d98d-082f-4cf7-95b6-ea87f98216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5CBB2C-7038-486E-A3AF-4E9F457210FB}">
  <ds:schemaRefs>
    <ds:schemaRef ds:uri="http://www.w3.org/XML/1998/namespace"/>
    <ds:schemaRef ds:uri="9d185e71-bdfd-42b4-8ba9-19cb57403ed2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schemas.microsoft.com/office/2006/documentManagement/types"/>
    <ds:schemaRef ds:uri="c086d98d-082f-4cf7-95b6-ea87f9821643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DED20D1-D24E-47AA-8CD1-1FD1E1AB16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185e71-bdfd-42b4-8ba9-19cb57403ed2"/>
    <ds:schemaRef ds:uri="c086d98d-082f-4cf7-95b6-ea87f98216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FB4F92-25D3-4A31-A268-53AF3A7C8D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VOLUME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 Kribs</dc:creator>
  <cp:lastModifiedBy>Forrest Kribs</cp:lastModifiedBy>
  <dcterms:created xsi:type="dcterms:W3CDTF">2018-11-22T13:57:13Z</dcterms:created>
  <dcterms:modified xsi:type="dcterms:W3CDTF">2019-04-15T21:14:26Z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0x010100BB1C5233EB16EA4FB208F71DA55EACB8</vt:lpwstr>
  </property>
  <property fmtid="{D5CDD505-2E9C-101B-9397-08002B2CF9AE}" pid="3" name="AuthorIds_UIVersion_3072">
    <vt:lpwstr>18</vt:lpwstr>
  </property>
  <property fmtid="{D5CDD505-2E9C-101B-9397-08002B2CF9AE}" pid="4" name="AuthorIds_UIVersion_3584">
    <vt:lpwstr>6</vt:lpwstr>
  </property>
</Properties>
</file>