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6"/>
  </bookViews>
  <sheets>
    <sheet name="Resumo" sheetId="7" r:id="rId1"/>
    <sheet name="Resumo Geral" sheetId="5" r:id="rId2"/>
    <sheet name="ORÇAMENTO" sheetId="1" r:id="rId3"/>
    <sheet name="Comp" sheetId="6" r:id="rId4"/>
    <sheet name="Cronograma" sheetId="8" r:id="rId5"/>
    <sheet name="BDI" sheetId="9" r:id="rId6"/>
    <sheet name="Enc. Soc. (Horista)" sheetId="10" r:id="rId7"/>
    <sheet name="Enc. Soc. (Mensalista)" sheetId="11" r:id="rId8"/>
  </sheets>
  <definedNames>
    <definedName name="_xlnm.Print_Area" localSheetId="3">Comp!$B$1:$I$1056</definedName>
    <definedName name="_xlnm.Print_Area" localSheetId="4">Cronograma!$A$15:$J$35</definedName>
    <definedName name="_xlnm.Print_Area" localSheetId="6">'Enc. Soc. (Horista)'!$A$1:$C$56</definedName>
    <definedName name="_xlnm.Print_Area" localSheetId="7">'Enc. Soc. (Mensalista)'!$A$1:$C$56</definedName>
    <definedName name="_xlnm.Print_Area" localSheetId="2">ORÇAMENTO!$A$1:$F$182</definedName>
    <definedName name="_xlnm.Print_Area" localSheetId="0">Resumo!$A$1:$D$56</definedName>
    <definedName name="_xlnm.Print_Area" localSheetId="1">'Resumo Geral'!$A$1:$D$31</definedName>
    <definedName name="_xlnm.Print_Titles" localSheetId="3">Comp!$14:$15</definedName>
    <definedName name="_xlnm.Print_Titles" localSheetId="4">Cronograma!$1:$14</definedName>
    <definedName name="_xlnm.Print_Titles" localSheetId="1">'Resumo Geral'!$1:$15</definedName>
  </definedNames>
  <calcPr calcId="144525"/>
</workbook>
</file>

<file path=xl/calcChain.xml><?xml version="1.0" encoding="utf-8"?>
<calcChain xmlns="http://schemas.openxmlformats.org/spreadsheetml/2006/main">
  <c r="A11" i="10" l="1"/>
  <c r="A10" i="10"/>
  <c r="A9" i="10"/>
  <c r="A8" i="10"/>
  <c r="A7" i="10"/>
  <c r="A10" i="9"/>
  <c r="A9" i="9"/>
  <c r="A8" i="9"/>
  <c r="A7" i="9"/>
  <c r="A6" i="9"/>
  <c r="A10" i="8"/>
  <c r="A9" i="8"/>
  <c r="A8" i="8"/>
  <c r="A7" i="8"/>
  <c r="A6" i="8"/>
  <c r="J31" i="8"/>
  <c r="I31" i="8"/>
  <c r="G31" i="8" s="1"/>
  <c r="B31" i="8"/>
  <c r="D29" i="5"/>
  <c r="D30" i="5" s="1"/>
  <c r="C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A12" i="7"/>
  <c r="A10" i="5"/>
  <c r="A14" i="7" s="1"/>
  <c r="B10" i="6"/>
  <c r="A1" i="5"/>
  <c r="B8" i="6"/>
  <c r="A8" i="5" s="1"/>
  <c r="B7" i="6"/>
  <c r="A7" i="5" s="1"/>
  <c r="A11" i="7" s="1"/>
  <c r="B6" i="6"/>
  <c r="A6" i="5" s="1"/>
  <c r="A10" i="7" s="1"/>
  <c r="B5" i="6"/>
  <c r="A5" i="5" s="1"/>
  <c r="C1048" i="6"/>
  <c r="C1038" i="6"/>
  <c r="C1028" i="6"/>
  <c r="C1018" i="6"/>
  <c r="C998" i="6"/>
  <c r="C988" i="6"/>
  <c r="C978" i="6"/>
  <c r="C968" i="6"/>
  <c r="C958" i="6"/>
  <c r="C947" i="6"/>
  <c r="C937" i="6"/>
  <c r="C927" i="6"/>
  <c r="C917" i="6"/>
  <c r="C907" i="6"/>
  <c r="C897" i="6"/>
  <c r="C887" i="6"/>
  <c r="C877" i="6"/>
  <c r="C867" i="6"/>
  <c r="C857" i="6"/>
  <c r="C847" i="6"/>
  <c r="C837" i="6"/>
  <c r="C16" i="6"/>
  <c r="E179" i="1" l="1"/>
  <c r="F179" i="1" s="1"/>
  <c r="F180" i="1" s="1"/>
  <c r="E1049" i="6"/>
  <c r="B1048" i="6"/>
  <c r="E175" i="1"/>
  <c r="F175" i="1" s="1"/>
  <c r="E1039" i="6"/>
  <c r="B1038" i="6"/>
  <c r="E174" i="1"/>
  <c r="F174" i="1" s="1"/>
  <c r="E1029" i="6"/>
  <c r="B1028" i="6"/>
  <c r="E173" i="1"/>
  <c r="F173" i="1" s="1"/>
  <c r="E1019" i="6"/>
  <c r="B1018" i="6"/>
  <c r="E171" i="1"/>
  <c r="F171" i="1" s="1"/>
  <c r="E1009" i="6"/>
  <c r="C1008" i="6"/>
  <c r="B1008" i="6"/>
  <c r="E170" i="1"/>
  <c r="F170" i="1" s="1"/>
  <c r="E999" i="6"/>
  <c r="B998" i="6"/>
  <c r="E169" i="1"/>
  <c r="F169" i="1" s="1"/>
  <c r="E989" i="6"/>
  <c r="B988" i="6"/>
  <c r="E165" i="1"/>
  <c r="F165" i="1" s="1"/>
  <c r="E979" i="6"/>
  <c r="B978" i="6"/>
  <c r="E164" i="1"/>
  <c r="F164" i="1" s="1"/>
  <c r="E969" i="6"/>
  <c r="B968" i="6"/>
  <c r="E163" i="1"/>
  <c r="F163" i="1" s="1"/>
  <c r="E959" i="6"/>
  <c r="D958" i="6"/>
  <c r="B958" i="6"/>
  <c r="E966" i="6"/>
  <c r="E965" i="6"/>
  <c r="E964" i="6"/>
  <c r="E963" i="6"/>
  <c r="L957" i="6"/>
  <c r="L958" i="6"/>
  <c r="L959" i="6" s="1"/>
  <c r="L960" i="6" s="1"/>
  <c r="L961" i="6" s="1"/>
  <c r="L962" i="6" s="1"/>
  <c r="E948" i="6"/>
  <c r="B947" i="6"/>
  <c r="E161" i="1"/>
  <c r="F161" i="1" s="1"/>
  <c r="E938" i="6"/>
  <c r="B937" i="6"/>
  <c r="E928" i="6"/>
  <c r="B927" i="6"/>
  <c r="E918" i="6"/>
  <c r="B917" i="6"/>
  <c r="E908" i="6"/>
  <c r="B907" i="6"/>
  <c r="E898" i="6"/>
  <c r="B897" i="6"/>
  <c r="E888" i="6"/>
  <c r="B887" i="6"/>
  <c r="E878" i="6"/>
  <c r="B877" i="6"/>
  <c r="E868" i="6"/>
  <c r="B867" i="6"/>
  <c r="E858" i="6"/>
  <c r="B857" i="6"/>
  <c r="E848" i="6"/>
  <c r="B847" i="6"/>
  <c r="E838" i="6"/>
  <c r="B837" i="6"/>
  <c r="E827" i="6"/>
  <c r="C826" i="6"/>
  <c r="B826" i="6"/>
  <c r="E817" i="6"/>
  <c r="E807" i="6"/>
  <c r="C816" i="6"/>
  <c r="B816" i="6"/>
  <c r="D787" i="6"/>
  <c r="C806" i="6"/>
  <c r="B806" i="6"/>
  <c r="E797" i="6"/>
  <c r="C796" i="6"/>
  <c r="B796" i="6"/>
  <c r="E787" i="6"/>
  <c r="C786" i="6"/>
  <c r="B786" i="6"/>
  <c r="E777" i="6"/>
  <c r="C776" i="6"/>
  <c r="B776" i="6"/>
  <c r="E767" i="6"/>
  <c r="C766" i="6"/>
  <c r="B766" i="6"/>
  <c r="E757" i="6"/>
  <c r="C756" i="6"/>
  <c r="B756" i="6"/>
  <c r="E747" i="6"/>
  <c r="C746" i="6"/>
  <c r="B746" i="6"/>
  <c r="E737" i="6"/>
  <c r="C736" i="6"/>
  <c r="B736" i="6"/>
  <c r="E717" i="6"/>
  <c r="E706" i="6"/>
  <c r="E727" i="6"/>
  <c r="C726" i="6"/>
  <c r="B726" i="6"/>
  <c r="C716" i="6"/>
  <c r="B716" i="6"/>
  <c r="E696" i="6"/>
  <c r="C705" i="6"/>
  <c r="B705" i="6"/>
  <c r="C695" i="6"/>
  <c r="B695" i="6"/>
  <c r="E686" i="6"/>
  <c r="C685" i="6"/>
  <c r="B685" i="6"/>
  <c r="F176" i="1" l="1"/>
  <c r="E676" i="6"/>
  <c r="E646" i="6"/>
  <c r="C675" i="6"/>
  <c r="B675" i="6"/>
  <c r="E666" i="6"/>
  <c r="C665" i="6"/>
  <c r="B665" i="6"/>
  <c r="E656" i="6"/>
  <c r="C655" i="6"/>
  <c r="B655" i="6"/>
  <c r="C645" i="6"/>
  <c r="B645" i="6"/>
  <c r="E635" i="6"/>
  <c r="C634" i="6"/>
  <c r="B634" i="6"/>
  <c r="E625" i="6"/>
  <c r="C624" i="6"/>
  <c r="B624" i="6"/>
  <c r="E615" i="6"/>
  <c r="C614" i="6"/>
  <c r="B614" i="6"/>
  <c r="E605" i="6"/>
  <c r="C604" i="6"/>
  <c r="B604" i="6"/>
  <c r="E585" i="6"/>
  <c r="E595" i="6"/>
  <c r="C594" i="6"/>
  <c r="B594" i="6"/>
  <c r="C584" i="6"/>
  <c r="B584" i="6"/>
  <c r="E575" i="6"/>
  <c r="C574" i="6"/>
  <c r="B574" i="6"/>
  <c r="E565" i="6"/>
  <c r="C564" i="6"/>
  <c r="B564" i="6"/>
  <c r="E555" i="6"/>
  <c r="C554" i="6"/>
  <c r="B554" i="6"/>
  <c r="E545" i="6"/>
  <c r="C544" i="6"/>
  <c r="B544" i="6"/>
  <c r="E535" i="6"/>
  <c r="C534" i="6"/>
  <c r="B534" i="6"/>
  <c r="E525" i="6"/>
  <c r="C524" i="6"/>
  <c r="B524" i="6"/>
  <c r="E515" i="6"/>
  <c r="C514" i="6"/>
  <c r="B514" i="6"/>
  <c r="E505" i="6"/>
  <c r="C504" i="6"/>
  <c r="B504" i="6"/>
  <c r="E495" i="6"/>
  <c r="C494" i="6"/>
  <c r="B494" i="6"/>
  <c r="E485" i="6"/>
  <c r="C484" i="6"/>
  <c r="B484" i="6"/>
  <c r="E475" i="6"/>
  <c r="C474" i="6"/>
  <c r="B474" i="6"/>
  <c r="E465" i="6"/>
  <c r="C464" i="6"/>
  <c r="B464" i="6"/>
  <c r="E455" i="6"/>
  <c r="C454" i="6"/>
  <c r="B454" i="6"/>
  <c r="E445" i="6"/>
  <c r="C444" i="6"/>
  <c r="B444" i="6"/>
  <c r="E435" i="6"/>
  <c r="C434" i="6"/>
  <c r="B434" i="6"/>
  <c r="C424" i="6"/>
  <c r="B424" i="6"/>
  <c r="E415" i="6"/>
  <c r="C414" i="6"/>
  <c r="B414" i="6"/>
  <c r="E404" i="6"/>
  <c r="C403" i="6"/>
  <c r="B403" i="6"/>
  <c r="E394" i="6"/>
  <c r="C393" i="6"/>
  <c r="B393" i="6"/>
  <c r="E383" i="6"/>
  <c r="C382" i="6"/>
  <c r="B382" i="6"/>
  <c r="E373" i="6"/>
  <c r="C372" i="6"/>
  <c r="B372" i="6"/>
  <c r="E362" i="6"/>
  <c r="C361" i="6"/>
  <c r="B361" i="6"/>
  <c r="E351" i="6"/>
  <c r="C350" i="6"/>
  <c r="B350" i="6"/>
  <c r="E341" i="6"/>
  <c r="C340" i="6"/>
  <c r="B340" i="6"/>
  <c r="E331" i="6"/>
  <c r="C330" i="6"/>
  <c r="B330" i="6"/>
  <c r="E321" i="6"/>
  <c r="C320" i="6"/>
  <c r="B320" i="6"/>
  <c r="E310" i="6"/>
  <c r="C309" i="6"/>
  <c r="B309" i="6"/>
  <c r="E300" i="6"/>
  <c r="C299" i="6"/>
  <c r="B299" i="6"/>
  <c r="E290" i="6"/>
  <c r="C289" i="6"/>
  <c r="B289" i="6"/>
  <c r="E53" i="1"/>
  <c r="F53" i="1" s="1"/>
  <c r="E279" i="6"/>
  <c r="C278" i="6"/>
  <c r="B278" i="6"/>
  <c r="E268" i="6"/>
  <c r="C267" i="6"/>
  <c r="B267" i="6"/>
  <c r="E258" i="6"/>
  <c r="C257" i="6"/>
  <c r="B257" i="6"/>
  <c r="E248" i="6"/>
  <c r="C247" i="6"/>
  <c r="B247" i="6"/>
  <c r="E238" i="6"/>
  <c r="C237" i="6"/>
  <c r="B237" i="6"/>
  <c r="E228" i="6"/>
  <c r="C227" i="6"/>
  <c r="B227" i="6"/>
  <c r="E205" i="6"/>
  <c r="C204" i="6"/>
  <c r="B204" i="6"/>
  <c r="E195" i="6"/>
  <c r="C194" i="6"/>
  <c r="B194" i="6"/>
  <c r="E185" i="6"/>
  <c r="C184" i="6"/>
  <c r="B184" i="6"/>
  <c r="E175" i="6"/>
  <c r="C174" i="6"/>
  <c r="B174" i="6"/>
  <c r="E165" i="6"/>
  <c r="C164" i="6"/>
  <c r="B164" i="6"/>
  <c r="E155" i="6"/>
  <c r="C154" i="6"/>
  <c r="B154" i="6"/>
  <c r="E145" i="6"/>
  <c r="C144" i="6"/>
  <c r="B144" i="6"/>
  <c r="E135" i="6"/>
  <c r="C134" i="6"/>
  <c r="B134" i="6"/>
  <c r="E125" i="6"/>
  <c r="C124" i="6"/>
  <c r="B124" i="6"/>
  <c r="E115" i="6"/>
  <c r="C114" i="6"/>
  <c r="B114" i="6"/>
  <c r="E105" i="6"/>
  <c r="C104" i="6"/>
  <c r="B104" i="6"/>
  <c r="E95" i="6"/>
  <c r="C94" i="6"/>
  <c r="B94" i="6"/>
  <c r="E85" i="6"/>
  <c r="C84" i="6"/>
  <c r="B84" i="6"/>
  <c r="E75" i="6"/>
  <c r="E65" i="6"/>
  <c r="C74" i="6"/>
  <c r="B74" i="6"/>
  <c r="C64" i="6"/>
  <c r="B64" i="6"/>
  <c r="E54" i="6"/>
  <c r="C53" i="6"/>
  <c r="B53" i="6"/>
  <c r="E43" i="6"/>
  <c r="C42" i="6"/>
  <c r="B42" i="6"/>
  <c r="E33" i="6"/>
  <c r="C32" i="6"/>
  <c r="B32" i="6"/>
  <c r="B16" i="6" l="1"/>
  <c r="F68" i="11" l="1"/>
  <c r="F65" i="11"/>
  <c r="F63" i="11"/>
  <c r="F45" i="11"/>
  <c r="F69" i="11" s="1"/>
  <c r="C43" i="11"/>
  <c r="C42" i="11"/>
  <c r="C41" i="11"/>
  <c r="C40" i="11"/>
  <c r="C39" i="11"/>
  <c r="C38" i="11"/>
  <c r="C44" i="11" s="1"/>
  <c r="C21" i="11"/>
  <c r="F15" i="11"/>
  <c r="G11" i="11"/>
  <c r="G5" i="11"/>
  <c r="G9" i="11" s="1"/>
  <c r="F4" i="11"/>
  <c r="F69" i="10"/>
  <c r="F68" i="10"/>
  <c r="F65" i="10"/>
  <c r="F64" i="10"/>
  <c r="F71" i="10" s="1"/>
  <c r="F63" i="10"/>
  <c r="F51" i="10"/>
  <c r="C49" i="10"/>
  <c r="C48" i="10"/>
  <c r="C47" i="10"/>
  <c r="C46" i="10"/>
  <c r="C45" i="10"/>
  <c r="C50" i="10" s="1"/>
  <c r="C44" i="10"/>
  <c r="C40" i="10"/>
  <c r="C25" i="10"/>
  <c r="F23" i="10"/>
  <c r="G16" i="10"/>
  <c r="F11" i="10"/>
  <c r="G12" i="10" s="1"/>
  <c r="G20" i="10" s="1"/>
  <c r="C35" i="9"/>
  <c r="C34" i="9"/>
  <c r="C27" i="9"/>
  <c r="C19" i="9"/>
  <c r="A1" i="9"/>
  <c r="A1" i="10" s="1"/>
  <c r="A1" i="11" s="1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M9" i="7"/>
  <c r="E1050" i="6"/>
  <c r="H1050" i="6" s="1"/>
  <c r="H1052" i="6" s="1"/>
  <c r="I1049" i="6"/>
  <c r="I1052" i="6" s="1"/>
  <c r="C1049" i="6"/>
  <c r="E1041" i="6"/>
  <c r="H1041" i="6" s="1"/>
  <c r="E1040" i="6"/>
  <c r="H1040" i="6" s="1"/>
  <c r="I1039" i="6"/>
  <c r="I1043" i="6" s="1"/>
  <c r="C1039" i="6"/>
  <c r="E1031" i="6"/>
  <c r="H1031" i="6" s="1"/>
  <c r="E1030" i="6"/>
  <c r="H1030" i="6" s="1"/>
  <c r="I1029" i="6"/>
  <c r="I1033" i="6" s="1"/>
  <c r="D1028" i="6"/>
  <c r="D1029" i="6" s="1"/>
  <c r="C1029" i="6"/>
  <c r="E1021" i="6"/>
  <c r="H1021" i="6" s="1"/>
  <c r="E1020" i="6"/>
  <c r="H1020" i="6" s="1"/>
  <c r="I1019" i="6"/>
  <c r="I1023" i="6" s="1"/>
  <c r="D1019" i="6"/>
  <c r="C1019" i="6"/>
  <c r="E1011" i="6"/>
  <c r="H1011" i="6" s="1"/>
  <c r="E1010" i="6"/>
  <c r="H1010" i="6" s="1"/>
  <c r="I1009" i="6"/>
  <c r="I1013" i="6" s="1"/>
  <c r="D1009" i="6"/>
  <c r="C1009" i="6"/>
  <c r="E1001" i="6"/>
  <c r="H1001" i="6" s="1"/>
  <c r="E1000" i="6"/>
  <c r="H1000" i="6" s="1"/>
  <c r="I999" i="6"/>
  <c r="I1003" i="6" s="1"/>
  <c r="D999" i="6"/>
  <c r="C999" i="6"/>
  <c r="E991" i="6"/>
  <c r="H991" i="6" s="1"/>
  <c r="E990" i="6"/>
  <c r="H990" i="6" s="1"/>
  <c r="I989" i="6"/>
  <c r="I993" i="6" s="1"/>
  <c r="C989" i="6"/>
  <c r="E981" i="6"/>
  <c r="H981" i="6" s="1"/>
  <c r="E980" i="6"/>
  <c r="H980" i="6" s="1"/>
  <c r="I979" i="6"/>
  <c r="I983" i="6" s="1"/>
  <c r="C979" i="6"/>
  <c r="E971" i="6"/>
  <c r="H971" i="6" s="1"/>
  <c r="E970" i="6"/>
  <c r="H970" i="6" s="1"/>
  <c r="I969" i="6"/>
  <c r="I974" i="6" s="1"/>
  <c r="C969" i="6"/>
  <c r="E961" i="6"/>
  <c r="H961" i="6" s="1"/>
  <c r="E960" i="6"/>
  <c r="H960" i="6" s="1"/>
  <c r="I959" i="6"/>
  <c r="I964" i="6" s="1"/>
  <c r="C959" i="6"/>
  <c r="E950" i="6"/>
  <c r="H950" i="6" s="1"/>
  <c r="E949" i="6"/>
  <c r="H949" i="6" s="1"/>
  <c r="I948" i="6"/>
  <c r="I952" i="6" s="1"/>
  <c r="D948" i="6"/>
  <c r="C948" i="6"/>
  <c r="E940" i="6"/>
  <c r="H940" i="6" s="1"/>
  <c r="E939" i="6"/>
  <c r="H939" i="6" s="1"/>
  <c r="F938" i="6"/>
  <c r="F959" i="6" s="1"/>
  <c r="I938" i="6"/>
  <c r="I942" i="6" s="1"/>
  <c r="D938" i="6"/>
  <c r="C938" i="6"/>
  <c r="E930" i="6"/>
  <c r="H930" i="6" s="1"/>
  <c r="E929" i="6"/>
  <c r="H929" i="6" s="1"/>
  <c r="F928" i="6"/>
  <c r="I928" i="6"/>
  <c r="I932" i="6" s="1"/>
  <c r="D928" i="6"/>
  <c r="C928" i="6"/>
  <c r="E920" i="6"/>
  <c r="H920" i="6" s="1"/>
  <c r="E919" i="6"/>
  <c r="H919" i="6" s="1"/>
  <c r="I918" i="6"/>
  <c r="I922" i="6" s="1"/>
  <c r="C918" i="6"/>
  <c r="E910" i="6"/>
  <c r="H910" i="6" s="1"/>
  <c r="E909" i="6"/>
  <c r="H909" i="6" s="1"/>
  <c r="I908" i="6"/>
  <c r="I912" i="6" s="1"/>
  <c r="C908" i="6"/>
  <c r="D907" i="6"/>
  <c r="E900" i="6"/>
  <c r="H900" i="6" s="1"/>
  <c r="E899" i="6"/>
  <c r="H899" i="6" s="1"/>
  <c r="I898" i="6"/>
  <c r="I902" i="6" s="1"/>
  <c r="D898" i="6"/>
  <c r="C898" i="6"/>
  <c r="E890" i="6"/>
  <c r="H890" i="6" s="1"/>
  <c r="E889" i="6"/>
  <c r="H889" i="6" s="1"/>
  <c r="I888" i="6"/>
  <c r="I892" i="6" s="1"/>
  <c r="C888" i="6"/>
  <c r="E880" i="6"/>
  <c r="H880" i="6" s="1"/>
  <c r="E879" i="6"/>
  <c r="H879" i="6" s="1"/>
  <c r="I878" i="6"/>
  <c r="I882" i="6" s="1"/>
  <c r="C878" i="6"/>
  <c r="E870" i="6"/>
  <c r="H870" i="6" s="1"/>
  <c r="E869" i="6"/>
  <c r="H869" i="6" s="1"/>
  <c r="I868" i="6"/>
  <c r="I872" i="6" s="1"/>
  <c r="C868" i="6"/>
  <c r="E860" i="6"/>
  <c r="H860" i="6" s="1"/>
  <c r="E859" i="6"/>
  <c r="H859" i="6" s="1"/>
  <c r="I858" i="6"/>
  <c r="I862" i="6" s="1"/>
  <c r="D858" i="6"/>
  <c r="C858" i="6"/>
  <c r="E850" i="6"/>
  <c r="H850" i="6" s="1"/>
  <c r="E849" i="6"/>
  <c r="H849" i="6" s="1"/>
  <c r="I848" i="6"/>
  <c r="I852" i="6" s="1"/>
  <c r="D847" i="6"/>
  <c r="D857" i="6" s="1"/>
  <c r="D867" i="6" s="1"/>
  <c r="C848" i="6"/>
  <c r="E840" i="6"/>
  <c r="H840" i="6" s="1"/>
  <c r="E839" i="6"/>
  <c r="H839" i="6" s="1"/>
  <c r="I838" i="6"/>
  <c r="I842" i="6" s="1"/>
  <c r="D838" i="6"/>
  <c r="C838" i="6"/>
  <c r="E829" i="6"/>
  <c r="H829" i="6" s="1"/>
  <c r="E828" i="6"/>
  <c r="H828" i="6" s="1"/>
  <c r="I827" i="6"/>
  <c r="I831" i="6" s="1"/>
  <c r="D826" i="6"/>
  <c r="D827" i="6" s="1"/>
  <c r="C827" i="6"/>
  <c r="E819" i="6"/>
  <c r="H819" i="6" s="1"/>
  <c r="E818" i="6"/>
  <c r="H818" i="6" s="1"/>
  <c r="I817" i="6"/>
  <c r="I821" i="6" s="1"/>
  <c r="D817" i="6"/>
  <c r="C817" i="6"/>
  <c r="E809" i="6"/>
  <c r="H809" i="6" s="1"/>
  <c r="E808" i="6"/>
  <c r="H808" i="6" s="1"/>
  <c r="I807" i="6"/>
  <c r="I811" i="6" s="1"/>
  <c r="D806" i="6"/>
  <c r="D807" i="6" s="1"/>
  <c r="C807" i="6"/>
  <c r="E799" i="6"/>
  <c r="H799" i="6" s="1"/>
  <c r="E798" i="6"/>
  <c r="H798" i="6" s="1"/>
  <c r="F797" i="6"/>
  <c r="I797" i="6"/>
  <c r="I801" i="6" s="1"/>
  <c r="D797" i="6"/>
  <c r="C797" i="6"/>
  <c r="E789" i="6"/>
  <c r="H789" i="6" s="1"/>
  <c r="E788" i="6"/>
  <c r="H788" i="6" s="1"/>
  <c r="I787" i="6"/>
  <c r="I791" i="6" s="1"/>
  <c r="C787" i="6"/>
  <c r="E779" i="6"/>
  <c r="H779" i="6" s="1"/>
  <c r="E778" i="6"/>
  <c r="H778" i="6" s="1"/>
  <c r="I777" i="6"/>
  <c r="I781" i="6" s="1"/>
  <c r="C777" i="6"/>
  <c r="E769" i="6"/>
  <c r="H769" i="6" s="1"/>
  <c r="E768" i="6"/>
  <c r="H768" i="6" s="1"/>
  <c r="I767" i="6"/>
  <c r="I771" i="6" s="1"/>
  <c r="C767" i="6"/>
  <c r="E759" i="6"/>
  <c r="H759" i="6" s="1"/>
  <c r="E758" i="6"/>
  <c r="H758" i="6" s="1"/>
  <c r="I757" i="6"/>
  <c r="I761" i="6" s="1"/>
  <c r="C757" i="6"/>
  <c r="E749" i="6"/>
  <c r="H749" i="6" s="1"/>
  <c r="E748" i="6"/>
  <c r="H748" i="6" s="1"/>
  <c r="I747" i="6"/>
  <c r="I751" i="6" s="1"/>
  <c r="C747" i="6"/>
  <c r="E739" i="6"/>
  <c r="H739" i="6" s="1"/>
  <c r="E738" i="6"/>
  <c r="H738" i="6" s="1"/>
  <c r="I737" i="6"/>
  <c r="I741" i="6" s="1"/>
  <c r="D736" i="6"/>
  <c r="C737" i="6"/>
  <c r="E729" i="6"/>
  <c r="H729" i="6" s="1"/>
  <c r="E728" i="6"/>
  <c r="H728" i="6" s="1"/>
  <c r="I727" i="6"/>
  <c r="I731" i="6" s="1"/>
  <c r="D727" i="6"/>
  <c r="C727" i="6"/>
  <c r="E719" i="6"/>
  <c r="H719" i="6" s="1"/>
  <c r="E718" i="6"/>
  <c r="H718" i="6" s="1"/>
  <c r="I717" i="6"/>
  <c r="I721" i="6" s="1"/>
  <c r="C717" i="6"/>
  <c r="E708" i="6"/>
  <c r="H708" i="6" s="1"/>
  <c r="E707" i="6"/>
  <c r="H707" i="6" s="1"/>
  <c r="I706" i="6"/>
  <c r="I711" i="6" s="1"/>
  <c r="C706" i="6"/>
  <c r="E698" i="6"/>
  <c r="H698" i="6" s="1"/>
  <c r="E697" i="6"/>
  <c r="H697" i="6" s="1"/>
  <c r="I696" i="6"/>
  <c r="I700" i="6" s="1"/>
  <c r="D696" i="6"/>
  <c r="C696" i="6"/>
  <c r="E688" i="6"/>
  <c r="H688" i="6" s="1"/>
  <c r="E687" i="6"/>
  <c r="H687" i="6" s="1"/>
  <c r="I686" i="6"/>
  <c r="I690" i="6" s="1"/>
  <c r="D686" i="6"/>
  <c r="C686" i="6"/>
  <c r="E678" i="6"/>
  <c r="H678" i="6" s="1"/>
  <c r="E677" i="6"/>
  <c r="H677" i="6" s="1"/>
  <c r="I676" i="6"/>
  <c r="I680" i="6" s="1"/>
  <c r="D676" i="6"/>
  <c r="C676" i="6"/>
  <c r="E668" i="6"/>
  <c r="H668" i="6" s="1"/>
  <c r="E667" i="6"/>
  <c r="H667" i="6" s="1"/>
  <c r="I666" i="6"/>
  <c r="I670" i="6" s="1"/>
  <c r="D666" i="6"/>
  <c r="C666" i="6"/>
  <c r="E658" i="6"/>
  <c r="H658" i="6" s="1"/>
  <c r="E657" i="6"/>
  <c r="H657" i="6" s="1"/>
  <c r="I656" i="6"/>
  <c r="I660" i="6" s="1"/>
  <c r="D656" i="6"/>
  <c r="C656" i="6"/>
  <c r="E648" i="6"/>
  <c r="H648" i="6" s="1"/>
  <c r="E647" i="6"/>
  <c r="H647" i="6" s="1"/>
  <c r="I646" i="6"/>
  <c r="I650" i="6" s="1"/>
  <c r="D646" i="6"/>
  <c r="C646" i="6"/>
  <c r="E637" i="6"/>
  <c r="H637" i="6" s="1"/>
  <c r="E636" i="6"/>
  <c r="H636" i="6" s="1"/>
  <c r="I635" i="6"/>
  <c r="I639" i="6" s="1"/>
  <c r="D635" i="6"/>
  <c r="C635" i="6"/>
  <c r="E627" i="6"/>
  <c r="H627" i="6" s="1"/>
  <c r="E626" i="6"/>
  <c r="H626" i="6" s="1"/>
  <c r="I625" i="6"/>
  <c r="I629" i="6" s="1"/>
  <c r="D625" i="6"/>
  <c r="C625" i="6"/>
  <c r="E617" i="6"/>
  <c r="H617" i="6" s="1"/>
  <c r="E616" i="6"/>
  <c r="H616" i="6" s="1"/>
  <c r="I615" i="6"/>
  <c r="I619" i="6" s="1"/>
  <c r="C615" i="6"/>
  <c r="E607" i="6"/>
  <c r="H607" i="6" s="1"/>
  <c r="E606" i="6"/>
  <c r="H606" i="6" s="1"/>
  <c r="I605" i="6"/>
  <c r="I609" i="6" s="1"/>
  <c r="C605" i="6"/>
  <c r="E597" i="6"/>
  <c r="H597" i="6" s="1"/>
  <c r="E596" i="6"/>
  <c r="H596" i="6" s="1"/>
  <c r="I595" i="6"/>
  <c r="I599" i="6" s="1"/>
  <c r="C595" i="6"/>
  <c r="E587" i="6"/>
  <c r="H587" i="6" s="1"/>
  <c r="E586" i="6"/>
  <c r="H586" i="6" s="1"/>
  <c r="I585" i="6"/>
  <c r="I589" i="6" s="1"/>
  <c r="C585" i="6"/>
  <c r="E577" i="6"/>
  <c r="H577" i="6" s="1"/>
  <c r="E576" i="6"/>
  <c r="H576" i="6" s="1"/>
  <c r="I575" i="6"/>
  <c r="I579" i="6" s="1"/>
  <c r="C575" i="6"/>
  <c r="E567" i="6"/>
  <c r="H567" i="6" s="1"/>
  <c r="E566" i="6"/>
  <c r="H566" i="6" s="1"/>
  <c r="I565" i="6"/>
  <c r="I569" i="6" s="1"/>
  <c r="C565" i="6"/>
  <c r="E557" i="6"/>
  <c r="H557" i="6" s="1"/>
  <c r="E556" i="6"/>
  <c r="H556" i="6" s="1"/>
  <c r="I555" i="6"/>
  <c r="I559" i="6" s="1"/>
  <c r="C555" i="6"/>
  <c r="E547" i="6"/>
  <c r="H547" i="6" s="1"/>
  <c r="E546" i="6"/>
  <c r="H546" i="6" s="1"/>
  <c r="I545" i="6"/>
  <c r="I549" i="6" s="1"/>
  <c r="C545" i="6"/>
  <c r="E537" i="6"/>
  <c r="H537" i="6" s="1"/>
  <c r="E536" i="6"/>
  <c r="H536" i="6" s="1"/>
  <c r="I535" i="6"/>
  <c r="I539" i="6" s="1"/>
  <c r="C535" i="6"/>
  <c r="E527" i="6"/>
  <c r="H527" i="6" s="1"/>
  <c r="E526" i="6"/>
  <c r="H526" i="6" s="1"/>
  <c r="I525" i="6"/>
  <c r="I529" i="6" s="1"/>
  <c r="C525" i="6"/>
  <c r="E517" i="6"/>
  <c r="H517" i="6" s="1"/>
  <c r="E516" i="6"/>
  <c r="H516" i="6" s="1"/>
  <c r="I515" i="6"/>
  <c r="I519" i="6" s="1"/>
  <c r="D514" i="6"/>
  <c r="D524" i="6" s="1"/>
  <c r="D534" i="6" s="1"/>
  <c r="D544" i="6" s="1"/>
  <c r="D574" i="6" s="1"/>
  <c r="C515" i="6"/>
  <c r="E507" i="6"/>
  <c r="H507" i="6" s="1"/>
  <c r="E506" i="6"/>
  <c r="H506" i="6" s="1"/>
  <c r="I505" i="6"/>
  <c r="I509" i="6" s="1"/>
  <c r="D505" i="6"/>
  <c r="C505" i="6"/>
  <c r="E497" i="6"/>
  <c r="H497" i="6" s="1"/>
  <c r="E496" i="6"/>
  <c r="H496" i="6" s="1"/>
  <c r="I495" i="6"/>
  <c r="I499" i="6" s="1"/>
  <c r="D495" i="6"/>
  <c r="C495" i="6"/>
  <c r="E487" i="6"/>
  <c r="H487" i="6" s="1"/>
  <c r="E486" i="6"/>
  <c r="H486" i="6" s="1"/>
  <c r="F485" i="6"/>
  <c r="I485" i="6"/>
  <c r="I489" i="6" s="1"/>
  <c r="D485" i="6"/>
  <c r="C485" i="6"/>
  <c r="E477" i="6"/>
  <c r="H477" i="6" s="1"/>
  <c r="E476" i="6"/>
  <c r="H476" i="6" s="1"/>
  <c r="I475" i="6"/>
  <c r="I479" i="6" s="1"/>
  <c r="D475" i="6"/>
  <c r="C475" i="6"/>
  <c r="E467" i="6"/>
  <c r="H467" i="6" s="1"/>
  <c r="E466" i="6"/>
  <c r="H466" i="6" s="1"/>
  <c r="I465" i="6"/>
  <c r="I469" i="6" s="1"/>
  <c r="D465" i="6"/>
  <c r="C465" i="6"/>
  <c r="E457" i="6"/>
  <c r="H457" i="6" s="1"/>
  <c r="E456" i="6"/>
  <c r="H456" i="6" s="1"/>
  <c r="I455" i="6"/>
  <c r="I459" i="6" s="1"/>
  <c r="D455" i="6"/>
  <c r="C455" i="6"/>
  <c r="E447" i="6"/>
  <c r="H447" i="6" s="1"/>
  <c r="E446" i="6"/>
  <c r="H446" i="6" s="1"/>
  <c r="I445" i="6"/>
  <c r="I449" i="6" s="1"/>
  <c r="D445" i="6"/>
  <c r="C445" i="6"/>
  <c r="E437" i="6"/>
  <c r="H437" i="6" s="1"/>
  <c r="E436" i="6"/>
  <c r="H436" i="6" s="1"/>
  <c r="I435" i="6"/>
  <c r="I439" i="6" s="1"/>
  <c r="C435" i="6"/>
  <c r="E427" i="6"/>
  <c r="H427" i="6" s="1"/>
  <c r="E426" i="6"/>
  <c r="H426" i="6" s="1"/>
  <c r="I425" i="6"/>
  <c r="I429" i="6" s="1"/>
  <c r="C425" i="6"/>
  <c r="E417" i="6"/>
  <c r="H417" i="6" s="1"/>
  <c r="E416" i="6"/>
  <c r="H416" i="6" s="1"/>
  <c r="I415" i="6"/>
  <c r="I419" i="6" s="1"/>
  <c r="D414" i="6"/>
  <c r="D424" i="6" s="1"/>
  <c r="C415" i="6"/>
  <c r="E406" i="6"/>
  <c r="H406" i="6" s="1"/>
  <c r="E405" i="6"/>
  <c r="H405" i="6" s="1"/>
  <c r="I404" i="6"/>
  <c r="I408" i="6" s="1"/>
  <c r="C404" i="6"/>
  <c r="E396" i="6"/>
  <c r="H396" i="6" s="1"/>
  <c r="E395" i="6"/>
  <c r="H395" i="6" s="1"/>
  <c r="I394" i="6"/>
  <c r="I398" i="6" s="1"/>
  <c r="D393" i="6"/>
  <c r="D394" i="6" s="1"/>
  <c r="C394" i="6"/>
  <c r="E385" i="6"/>
  <c r="H385" i="6" s="1"/>
  <c r="E384" i="6"/>
  <c r="H384" i="6" s="1"/>
  <c r="I383" i="6"/>
  <c r="I387" i="6" s="1"/>
  <c r="C383" i="6"/>
  <c r="E375" i="6"/>
  <c r="H375" i="6" s="1"/>
  <c r="E374" i="6"/>
  <c r="H374" i="6" s="1"/>
  <c r="I373" i="6"/>
  <c r="I377" i="6" s="1"/>
  <c r="C373" i="6"/>
  <c r="E364" i="6"/>
  <c r="H364" i="6" s="1"/>
  <c r="E363" i="6"/>
  <c r="H363" i="6" s="1"/>
  <c r="I362" i="6"/>
  <c r="I367" i="6" s="1"/>
  <c r="D362" i="6"/>
  <c r="C362" i="6"/>
  <c r="E353" i="6"/>
  <c r="H353" i="6" s="1"/>
  <c r="E352" i="6"/>
  <c r="H352" i="6" s="1"/>
  <c r="I351" i="6"/>
  <c r="I356" i="6" s="1"/>
  <c r="D351" i="6"/>
  <c r="C351" i="6"/>
  <c r="E343" i="6"/>
  <c r="H343" i="6" s="1"/>
  <c r="E342" i="6"/>
  <c r="H342" i="6" s="1"/>
  <c r="I341" i="6"/>
  <c r="I345" i="6" s="1"/>
  <c r="D341" i="6"/>
  <c r="C341" i="6"/>
  <c r="E333" i="6"/>
  <c r="H333" i="6" s="1"/>
  <c r="E332" i="6"/>
  <c r="H332" i="6" s="1"/>
  <c r="I331" i="6"/>
  <c r="I335" i="6" s="1"/>
  <c r="D331" i="6"/>
  <c r="C331" i="6"/>
  <c r="E323" i="6"/>
  <c r="H323" i="6" s="1"/>
  <c r="F322" i="6"/>
  <c r="E322" i="6"/>
  <c r="H322" i="6" s="1"/>
  <c r="F321" i="6"/>
  <c r="I321" i="6"/>
  <c r="I325" i="6" s="1"/>
  <c r="D321" i="6"/>
  <c r="C321" i="6"/>
  <c r="E312" i="6"/>
  <c r="H312" i="6" s="1"/>
  <c r="F311" i="6"/>
  <c r="E311" i="6"/>
  <c r="H311" i="6" s="1"/>
  <c r="I310" i="6"/>
  <c r="I314" i="6" s="1"/>
  <c r="C310" i="6"/>
  <c r="E302" i="6"/>
  <c r="H302" i="6" s="1"/>
  <c r="E301" i="6"/>
  <c r="I300" i="6"/>
  <c r="I304" i="6" s="1"/>
  <c r="C300" i="6"/>
  <c r="E292" i="6"/>
  <c r="H292" i="6" s="1"/>
  <c r="E291" i="6"/>
  <c r="H291" i="6" s="1"/>
  <c r="F290" i="6"/>
  <c r="F300" i="6" s="1"/>
  <c r="I290" i="6"/>
  <c r="I294" i="6" s="1"/>
  <c r="C290" i="6"/>
  <c r="E281" i="6"/>
  <c r="H281" i="6" s="1"/>
  <c r="E280" i="6"/>
  <c r="H280" i="6" s="1"/>
  <c r="I279" i="6"/>
  <c r="I284" i="6" s="1"/>
  <c r="C279" i="6"/>
  <c r="E270" i="6"/>
  <c r="H270" i="6" s="1"/>
  <c r="E269" i="6"/>
  <c r="H269" i="6" s="1"/>
  <c r="I268" i="6"/>
  <c r="I272" i="6" s="1"/>
  <c r="C268" i="6"/>
  <c r="E260" i="6"/>
  <c r="H260" i="6" s="1"/>
  <c r="E259" i="6"/>
  <c r="H259" i="6" s="1"/>
  <c r="I258" i="6"/>
  <c r="C258" i="6"/>
  <c r="E250" i="6"/>
  <c r="H250" i="6" s="1"/>
  <c r="E249" i="6"/>
  <c r="H249" i="6" s="1"/>
  <c r="I248" i="6"/>
  <c r="I252" i="6" s="1"/>
  <c r="C248" i="6"/>
  <c r="E240" i="6"/>
  <c r="H240" i="6" s="1"/>
  <c r="E239" i="6"/>
  <c r="H239" i="6" s="1"/>
  <c r="I238" i="6"/>
  <c r="I242" i="6" s="1"/>
  <c r="C238" i="6"/>
  <c r="E230" i="6"/>
  <c r="H230" i="6" s="1"/>
  <c r="E229" i="6"/>
  <c r="H229" i="6" s="1"/>
  <c r="F228" i="6"/>
  <c r="F248" i="6" s="1"/>
  <c r="I228" i="6"/>
  <c r="I232" i="6" s="1"/>
  <c r="C228" i="6"/>
  <c r="E220" i="6"/>
  <c r="H220" i="6" s="1"/>
  <c r="E219" i="6"/>
  <c r="H219" i="6" s="1"/>
  <c r="F218" i="6"/>
  <c r="E218" i="6" s="1"/>
  <c r="I218" i="6" s="1"/>
  <c r="F217" i="6"/>
  <c r="E217" i="6" s="1"/>
  <c r="I217" i="6" s="1"/>
  <c r="E216" i="6"/>
  <c r="I216" i="6" s="1"/>
  <c r="F215" i="6"/>
  <c r="E215" i="6" s="1"/>
  <c r="I215" i="6" s="1"/>
  <c r="F214" i="6"/>
  <c r="E214" i="6" s="1"/>
  <c r="I214" i="6" s="1"/>
  <c r="C213" i="6"/>
  <c r="B213" i="6"/>
  <c r="E207" i="6"/>
  <c r="H207" i="6" s="1"/>
  <c r="E206" i="6"/>
  <c r="H206" i="6" s="1"/>
  <c r="I205" i="6"/>
  <c r="I209" i="6" s="1"/>
  <c r="D205" i="6"/>
  <c r="D237" i="6" s="1"/>
  <c r="D238" i="6" s="1"/>
  <c r="D247" i="6" s="1"/>
  <c r="D248" i="6" s="1"/>
  <c r="D257" i="6" s="1"/>
  <c r="D258" i="6" s="1"/>
  <c r="D267" i="6" s="1"/>
  <c r="D268" i="6" s="1"/>
  <c r="D278" i="6" s="1"/>
  <c r="C205" i="6"/>
  <c r="E197" i="6"/>
  <c r="H197" i="6" s="1"/>
  <c r="E196" i="6"/>
  <c r="H196" i="6" s="1"/>
  <c r="I195" i="6"/>
  <c r="I199" i="6" s="1"/>
  <c r="D195" i="6"/>
  <c r="C195" i="6"/>
  <c r="E187" i="6"/>
  <c r="H187" i="6" s="1"/>
  <c r="E186" i="6"/>
  <c r="H186" i="6" s="1"/>
  <c r="I185" i="6"/>
  <c r="I189" i="6" s="1"/>
  <c r="C185" i="6"/>
  <c r="E177" i="6"/>
  <c r="H177" i="6" s="1"/>
  <c r="E176" i="6"/>
  <c r="H176" i="6" s="1"/>
  <c r="I175" i="6"/>
  <c r="I179" i="6" s="1"/>
  <c r="C175" i="6"/>
  <c r="E167" i="6"/>
  <c r="H167" i="6" s="1"/>
  <c r="E166" i="6"/>
  <c r="H166" i="6" s="1"/>
  <c r="I165" i="6"/>
  <c r="I169" i="6" s="1"/>
  <c r="C165" i="6"/>
  <c r="E157" i="6"/>
  <c r="H157" i="6" s="1"/>
  <c r="E156" i="6"/>
  <c r="H156" i="6" s="1"/>
  <c r="I155" i="6"/>
  <c r="I159" i="6" s="1"/>
  <c r="C155" i="6"/>
  <c r="E147" i="6"/>
  <c r="H147" i="6" s="1"/>
  <c r="E146" i="6"/>
  <c r="H146" i="6" s="1"/>
  <c r="I145" i="6"/>
  <c r="I149" i="6" s="1"/>
  <c r="C145" i="6"/>
  <c r="E137" i="6"/>
  <c r="H137" i="6" s="1"/>
  <c r="E136" i="6"/>
  <c r="H136" i="6" s="1"/>
  <c r="I135" i="6"/>
  <c r="I139" i="6" s="1"/>
  <c r="C135" i="6"/>
  <c r="E127" i="6"/>
  <c r="H127" i="6" s="1"/>
  <c r="E126" i="6"/>
  <c r="H126" i="6" s="1"/>
  <c r="F125" i="6"/>
  <c r="I125" i="6"/>
  <c r="I129" i="6" s="1"/>
  <c r="C125" i="6"/>
  <c r="E117" i="6"/>
  <c r="H117" i="6" s="1"/>
  <c r="E116" i="6"/>
  <c r="H116" i="6" s="1"/>
  <c r="I115" i="6"/>
  <c r="I119" i="6" s="1"/>
  <c r="C115" i="6"/>
  <c r="E107" i="6"/>
  <c r="H107" i="6" s="1"/>
  <c r="E106" i="6"/>
  <c r="H106" i="6" s="1"/>
  <c r="I105" i="6"/>
  <c r="I109" i="6" s="1"/>
  <c r="C105" i="6"/>
  <c r="E97" i="6"/>
  <c r="H97" i="6" s="1"/>
  <c r="E96" i="6"/>
  <c r="H96" i="6" s="1"/>
  <c r="I95" i="6"/>
  <c r="I99" i="6" s="1"/>
  <c r="C95" i="6"/>
  <c r="E87" i="6"/>
  <c r="H87" i="6" s="1"/>
  <c r="E86" i="6"/>
  <c r="H86" i="6" s="1"/>
  <c r="I85" i="6"/>
  <c r="I89" i="6" s="1"/>
  <c r="C85" i="6"/>
  <c r="E77" i="6"/>
  <c r="E76" i="6"/>
  <c r="I75" i="6"/>
  <c r="I79" i="6" s="1"/>
  <c r="H81" i="6" s="1"/>
  <c r="C75" i="6"/>
  <c r="H69" i="6"/>
  <c r="E67" i="6"/>
  <c r="E66" i="6"/>
  <c r="I65" i="6"/>
  <c r="I69" i="6" s="1"/>
  <c r="C65" i="6"/>
  <c r="E56" i="6"/>
  <c r="H56" i="6" s="1"/>
  <c r="E55" i="6"/>
  <c r="H55" i="6" s="1"/>
  <c r="I54" i="6"/>
  <c r="I58" i="6" s="1"/>
  <c r="C54" i="6"/>
  <c r="D53" i="6"/>
  <c r="D64" i="6" s="1"/>
  <c r="E51" i="6"/>
  <c r="E61" i="6" s="1"/>
  <c r="E72" i="6" s="1"/>
  <c r="E82" i="6" s="1"/>
  <c r="E92" i="6" s="1"/>
  <c r="E102" i="6" s="1"/>
  <c r="E112" i="6" s="1"/>
  <c r="E122" i="6" s="1"/>
  <c r="E132" i="6" s="1"/>
  <c r="E142" i="6" s="1"/>
  <c r="E152" i="6" s="1"/>
  <c r="E162" i="6" s="1"/>
  <c r="E172" i="6" s="1"/>
  <c r="E182" i="6" s="1"/>
  <c r="E192" i="6" s="1"/>
  <c r="E202" i="6" s="1"/>
  <c r="E212" i="6" s="1"/>
  <c r="E225" i="6" s="1"/>
  <c r="E235" i="6" s="1"/>
  <c r="E48" i="6"/>
  <c r="E58" i="6" s="1"/>
  <c r="E69" i="6" s="1"/>
  <c r="E79" i="6" s="1"/>
  <c r="E89" i="6" s="1"/>
  <c r="E99" i="6" s="1"/>
  <c r="E109" i="6" s="1"/>
  <c r="E119" i="6" s="1"/>
  <c r="E129" i="6" s="1"/>
  <c r="E139" i="6" s="1"/>
  <c r="E149" i="6" s="1"/>
  <c r="E159" i="6" s="1"/>
  <c r="E169" i="6" s="1"/>
  <c r="E179" i="6" s="1"/>
  <c r="E189" i="6" s="1"/>
  <c r="E199" i="6" s="1"/>
  <c r="E209" i="6" s="1"/>
  <c r="E222" i="6" s="1"/>
  <c r="E232" i="6" s="1"/>
  <c r="E46" i="6"/>
  <c r="H46" i="6" s="1"/>
  <c r="E44" i="6"/>
  <c r="H44" i="6" s="1"/>
  <c r="I43" i="6"/>
  <c r="I48" i="6" s="1"/>
  <c r="D43" i="6"/>
  <c r="C43" i="6"/>
  <c r="E39" i="6"/>
  <c r="E50" i="6" s="1"/>
  <c r="E60" i="6" s="1"/>
  <c r="E71" i="6" s="1"/>
  <c r="E81" i="6" s="1"/>
  <c r="E91" i="6" s="1"/>
  <c r="E101" i="6" s="1"/>
  <c r="E111" i="6" s="1"/>
  <c r="E121" i="6" s="1"/>
  <c r="E131" i="6" s="1"/>
  <c r="E141" i="6" s="1"/>
  <c r="E151" i="6" s="1"/>
  <c r="E161" i="6" s="1"/>
  <c r="E171" i="6" s="1"/>
  <c r="E181" i="6" s="1"/>
  <c r="E191" i="6" s="1"/>
  <c r="E201" i="6" s="1"/>
  <c r="E211" i="6" s="1"/>
  <c r="E224" i="6" s="1"/>
  <c r="E234" i="6" s="1"/>
  <c r="E38" i="6"/>
  <c r="E49" i="6" s="1"/>
  <c r="E59" i="6" s="1"/>
  <c r="E70" i="6" s="1"/>
  <c r="E80" i="6" s="1"/>
  <c r="E90" i="6" s="1"/>
  <c r="E100" i="6" s="1"/>
  <c r="E110" i="6" s="1"/>
  <c r="E120" i="6" s="1"/>
  <c r="E130" i="6" s="1"/>
  <c r="E140" i="6" s="1"/>
  <c r="E150" i="6" s="1"/>
  <c r="E160" i="6" s="1"/>
  <c r="E170" i="6" s="1"/>
  <c r="E180" i="6" s="1"/>
  <c r="E190" i="6" s="1"/>
  <c r="E200" i="6" s="1"/>
  <c r="E210" i="6" s="1"/>
  <c r="E223" i="6" s="1"/>
  <c r="E233" i="6" s="1"/>
  <c r="E35" i="6"/>
  <c r="E34" i="6"/>
  <c r="H34" i="6" s="1"/>
  <c r="I33" i="6"/>
  <c r="I37" i="6" s="1"/>
  <c r="C33" i="6"/>
  <c r="D33" i="6"/>
  <c r="E26" i="6"/>
  <c r="H26" i="6" s="1"/>
  <c r="E25" i="6"/>
  <c r="H25" i="6" s="1"/>
  <c r="E24" i="6"/>
  <c r="I24" i="6" s="1"/>
  <c r="E23" i="6"/>
  <c r="H23" i="6" s="1"/>
  <c r="E22" i="6"/>
  <c r="I22" i="6" s="1"/>
  <c r="E21" i="6"/>
  <c r="I21" i="6" s="1"/>
  <c r="E20" i="6"/>
  <c r="I20" i="6" s="1"/>
  <c r="E19" i="6"/>
  <c r="I19" i="6" s="1"/>
  <c r="E18" i="6"/>
  <c r="I18" i="6" s="1"/>
  <c r="L17" i="6"/>
  <c r="L18" i="6" s="1"/>
  <c r="L19" i="6" s="1"/>
  <c r="L20" i="6" s="1"/>
  <c r="L21" i="6" s="1"/>
  <c r="E17" i="6"/>
  <c r="I17" i="6" s="1"/>
  <c r="O7" i="6"/>
  <c r="C7" i="6"/>
  <c r="C6" i="6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A3" i="5"/>
  <c r="A2" i="5"/>
  <c r="A1" i="7"/>
  <c r="D434" i="6" l="1"/>
  <c r="D435" i="6" s="1"/>
  <c r="D425" i="6"/>
  <c r="D575" i="6"/>
  <c r="D584" i="6"/>
  <c r="D415" i="6"/>
  <c r="D515" i="6"/>
  <c r="D848" i="6"/>
  <c r="F969" i="6"/>
  <c r="D525" i="6"/>
  <c r="L22" i="6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H589" i="6"/>
  <c r="H639" i="6"/>
  <c r="H670" i="6"/>
  <c r="H711" i="6"/>
  <c r="H569" i="6"/>
  <c r="H609" i="6"/>
  <c r="H549" i="6"/>
  <c r="H882" i="6"/>
  <c r="H932" i="6"/>
  <c r="H109" i="6"/>
  <c r="H335" i="6"/>
  <c r="H345" i="6"/>
  <c r="H660" i="6"/>
  <c r="H872" i="6"/>
  <c r="H892" i="6"/>
  <c r="H356" i="6"/>
  <c r="H469" i="6"/>
  <c r="H902" i="6"/>
  <c r="H209" i="6"/>
  <c r="I260" i="6"/>
  <c r="H377" i="6"/>
  <c r="H459" i="6"/>
  <c r="H539" i="6"/>
  <c r="H579" i="6"/>
  <c r="H983" i="6"/>
  <c r="H993" i="6"/>
  <c r="H559" i="6"/>
  <c r="H721" i="6"/>
  <c r="H862" i="6"/>
  <c r="H272" i="6"/>
  <c r="H294" i="6"/>
  <c r="F323" i="6"/>
  <c r="H650" i="6"/>
  <c r="H811" i="6"/>
  <c r="H922" i="6"/>
  <c r="H519" i="6"/>
  <c r="H599" i="6"/>
  <c r="H731" i="6"/>
  <c r="H942" i="6"/>
  <c r="H1023" i="6"/>
  <c r="H58" i="6"/>
  <c r="H262" i="6"/>
  <c r="H479" i="6"/>
  <c r="H24" i="6"/>
  <c r="H27" i="6" s="1"/>
  <c r="H129" i="6"/>
  <c r="H169" i="6"/>
  <c r="H222" i="6"/>
  <c r="H419" i="6"/>
  <c r="H1013" i="6"/>
  <c r="H89" i="6"/>
  <c r="H284" i="6"/>
  <c r="H751" i="6"/>
  <c r="H831" i="6"/>
  <c r="H852" i="6"/>
  <c r="H314" i="6"/>
  <c r="H325" i="6"/>
  <c r="H149" i="6"/>
  <c r="H189" i="6"/>
  <c r="I259" i="6"/>
  <c r="H387" i="6"/>
  <c r="H439" i="6"/>
  <c r="H509" i="6"/>
  <c r="H529" i="6"/>
  <c r="H821" i="6"/>
  <c r="H139" i="6"/>
  <c r="H179" i="6"/>
  <c r="H367" i="6"/>
  <c r="H429" i="6"/>
  <c r="H619" i="6"/>
  <c r="H771" i="6"/>
  <c r="H159" i="6"/>
  <c r="H489" i="6"/>
  <c r="H690" i="6"/>
  <c r="H842" i="6"/>
  <c r="H952" i="6"/>
  <c r="E264" i="6"/>
  <c r="E274" i="6" s="1"/>
  <c r="E286" i="6" s="1"/>
  <c r="E296" i="6" s="1"/>
  <c r="E306" i="6" s="1"/>
  <c r="E316" i="6" s="1"/>
  <c r="E327" i="6" s="1"/>
  <c r="E337" i="6" s="1"/>
  <c r="E347" i="6" s="1"/>
  <c r="E358" i="6" s="1"/>
  <c r="E254" i="6"/>
  <c r="E244" i="6"/>
  <c r="E262" i="6"/>
  <c r="E272" i="6" s="1"/>
  <c r="E284" i="6" s="1"/>
  <c r="E294" i="6" s="1"/>
  <c r="E304" i="6" s="1"/>
  <c r="E314" i="6" s="1"/>
  <c r="E325" i="6" s="1"/>
  <c r="E335" i="6" s="1"/>
  <c r="E345" i="6" s="1"/>
  <c r="E356" i="6" s="1"/>
  <c r="E242" i="6"/>
  <c r="E252" i="6"/>
  <c r="E253" i="6"/>
  <c r="E243" i="6"/>
  <c r="E263" i="6"/>
  <c r="E273" i="6" s="1"/>
  <c r="E285" i="6" s="1"/>
  <c r="E295" i="6" s="1"/>
  <c r="E305" i="6" s="1"/>
  <c r="E315" i="6" s="1"/>
  <c r="E326" i="6" s="1"/>
  <c r="E336" i="6" s="1"/>
  <c r="E346" i="6" s="1"/>
  <c r="E357" i="6" s="1"/>
  <c r="D65" i="6"/>
  <c r="D74" i="6"/>
  <c r="D289" i="6"/>
  <c r="D279" i="6"/>
  <c r="E245" i="6"/>
  <c r="E265" i="6"/>
  <c r="E275" i="6" s="1"/>
  <c r="E287" i="6" s="1"/>
  <c r="E297" i="6" s="1"/>
  <c r="E307" i="6" s="1"/>
  <c r="E317" i="6" s="1"/>
  <c r="E328" i="6" s="1"/>
  <c r="E338" i="6" s="1"/>
  <c r="E348" i="6" s="1"/>
  <c r="E359" i="6" s="1"/>
  <c r="E255" i="6"/>
  <c r="D228" i="6"/>
  <c r="D545" i="6"/>
  <c r="I23" i="6"/>
  <c r="I27" i="6" s="1"/>
  <c r="H48" i="6"/>
  <c r="I82" i="6"/>
  <c r="H99" i="6"/>
  <c r="I222" i="6"/>
  <c r="H232" i="6"/>
  <c r="H242" i="6"/>
  <c r="H252" i="6"/>
  <c r="D555" i="6"/>
  <c r="H700" i="6"/>
  <c r="H35" i="6"/>
  <c r="H37" i="6" s="1"/>
  <c r="E45" i="6"/>
  <c r="H45" i="6" s="1"/>
  <c r="H301" i="6"/>
  <c r="H304" i="6" s="1"/>
  <c r="F312" i="6"/>
  <c r="D565" i="6"/>
  <c r="H119" i="6"/>
  <c r="H199" i="6"/>
  <c r="D535" i="6"/>
  <c r="H449" i="6"/>
  <c r="H629" i="6"/>
  <c r="D877" i="6"/>
  <c r="D868" i="6"/>
  <c r="H398" i="6"/>
  <c r="H408" i="6"/>
  <c r="H499" i="6"/>
  <c r="D737" i="6"/>
  <c r="D908" i="6"/>
  <c r="D917" i="6"/>
  <c r="D918" i="6" s="1"/>
  <c r="H680" i="6"/>
  <c r="H761" i="6"/>
  <c r="H781" i="6"/>
  <c r="H791" i="6"/>
  <c r="H741" i="6"/>
  <c r="H801" i="6"/>
  <c r="H912" i="6"/>
  <c r="H963" i="6"/>
  <c r="H973" i="6"/>
  <c r="G21" i="10"/>
  <c r="G17" i="10"/>
  <c r="G25" i="10"/>
  <c r="G19" i="10"/>
  <c r="G23" i="10"/>
  <c r="G18" i="10"/>
  <c r="G15" i="11"/>
  <c r="G12" i="11"/>
  <c r="G10" i="11"/>
  <c r="H1003" i="6"/>
  <c r="H1033" i="6"/>
  <c r="H1043" i="6"/>
  <c r="G8" i="11"/>
  <c r="G17" i="11"/>
  <c r="G13" i="11"/>
  <c r="F67" i="10"/>
  <c r="F64" i="11"/>
  <c r="D594" i="6" l="1"/>
  <c r="D585" i="6"/>
  <c r="L71" i="6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H70" i="6"/>
  <c r="H71" i="6" s="1"/>
  <c r="I72" i="6" s="1"/>
  <c r="E29" i="1" s="1"/>
  <c r="F29" i="1" s="1"/>
  <c r="H59" i="6"/>
  <c r="H60" i="6" s="1"/>
  <c r="I61" i="6" s="1"/>
  <c r="H28" i="6"/>
  <c r="H29" i="6" s="1"/>
  <c r="I30" i="6" s="1"/>
  <c r="E30" i="1"/>
  <c r="F30" i="1" s="1"/>
  <c r="I262" i="6"/>
  <c r="D887" i="6"/>
  <c r="D888" i="6" s="1"/>
  <c r="D878" i="6"/>
  <c r="H49" i="6"/>
  <c r="H50" i="6" s="1"/>
  <c r="D290" i="6"/>
  <c r="D299" i="6"/>
  <c r="D300" i="6" s="1"/>
  <c r="E377" i="6"/>
  <c r="E387" i="6" s="1"/>
  <c r="E398" i="6" s="1"/>
  <c r="E408" i="6" s="1"/>
  <c r="E419" i="6" s="1"/>
  <c r="E429" i="6" s="1"/>
  <c r="E367" i="6"/>
  <c r="F71" i="11"/>
  <c r="F67" i="11"/>
  <c r="H38" i="6"/>
  <c r="H39" i="6" s="1"/>
  <c r="E378" i="6"/>
  <c r="E388" i="6" s="1"/>
  <c r="E399" i="6" s="1"/>
  <c r="E409" i="6" s="1"/>
  <c r="E420" i="6" s="1"/>
  <c r="E430" i="6" s="1"/>
  <c r="E368" i="6"/>
  <c r="G30" i="10"/>
  <c r="G26" i="10"/>
  <c r="F70" i="10"/>
  <c r="G27" i="10"/>
  <c r="D747" i="6"/>
  <c r="D756" i="6"/>
  <c r="D968" i="6"/>
  <c r="D978" i="6" s="1"/>
  <c r="D959" i="6"/>
  <c r="D969" i="6" s="1"/>
  <c r="E380" i="6"/>
  <c r="E390" i="6" s="1"/>
  <c r="E401" i="6" s="1"/>
  <c r="E411" i="6" s="1"/>
  <c r="E422" i="6" s="1"/>
  <c r="E432" i="6" s="1"/>
  <c r="E370" i="6"/>
  <c r="D75" i="6"/>
  <c r="D84" i="6"/>
  <c r="E379" i="6"/>
  <c r="E389" i="6" s="1"/>
  <c r="E400" i="6" s="1"/>
  <c r="E410" i="6" s="1"/>
  <c r="E421" i="6" s="1"/>
  <c r="E431" i="6" s="1"/>
  <c r="E369" i="6"/>
  <c r="H90" i="6" l="1"/>
  <c r="H91" i="6" s="1"/>
  <c r="I92" i="6" s="1"/>
  <c r="E31" i="1" s="1"/>
  <c r="F31" i="1" s="1"/>
  <c r="D757" i="6"/>
  <c r="D766" i="6"/>
  <c r="D604" i="6"/>
  <c r="D595" i="6"/>
  <c r="L96" i="6"/>
  <c r="L97" i="6" s="1"/>
  <c r="L98" i="6"/>
  <c r="L99" i="6" s="1"/>
  <c r="L100" i="6" s="1"/>
  <c r="E27" i="1"/>
  <c r="F27" i="1" s="1"/>
  <c r="I18" i="8"/>
  <c r="E19" i="1"/>
  <c r="F19" i="1" s="1"/>
  <c r="F20" i="1" s="1"/>
  <c r="I51" i="6"/>
  <c r="E451" i="6"/>
  <c r="E441" i="6"/>
  <c r="E442" i="6"/>
  <c r="E452" i="6"/>
  <c r="E440" i="6"/>
  <c r="E450" i="6"/>
  <c r="I40" i="6"/>
  <c r="D85" i="6"/>
  <c r="D94" i="6"/>
  <c r="E439" i="6"/>
  <c r="E449" i="6"/>
  <c r="G15" i="10"/>
  <c r="G28" i="10"/>
  <c r="G22" i="10"/>
  <c r="G14" i="10"/>
  <c r="G29" i="10"/>
  <c r="G22" i="11"/>
  <c r="G19" i="11"/>
  <c r="F70" i="11"/>
  <c r="G18" i="11"/>
  <c r="D776" i="6" l="1"/>
  <c r="D777" i="6" s="1"/>
  <c r="D767" i="6"/>
  <c r="D605" i="6"/>
  <c r="D614" i="6"/>
  <c r="D615" i="6" s="1"/>
  <c r="L101" i="6"/>
  <c r="L102" i="6" s="1"/>
  <c r="L103" i="6" s="1"/>
  <c r="L104" i="6" s="1"/>
  <c r="L105" i="6" s="1"/>
  <c r="H100" i="6"/>
  <c r="E26" i="1"/>
  <c r="F26" i="1" s="1"/>
  <c r="E22" i="1"/>
  <c r="F22" i="1" s="1"/>
  <c r="F23" i="1" s="1"/>
  <c r="G14" i="11"/>
  <c r="G6" i="11"/>
  <c r="G20" i="11"/>
  <c r="G7" i="11"/>
  <c r="G21" i="11"/>
  <c r="C35" i="10"/>
  <c r="E462" i="6"/>
  <c r="E472" i="6" s="1"/>
  <c r="E482" i="6"/>
  <c r="E492" i="6" s="1"/>
  <c r="C18" i="8"/>
  <c r="G24" i="10"/>
  <c r="E479" i="6"/>
  <c r="E489" i="6" s="1"/>
  <c r="E459" i="6"/>
  <c r="E469" i="6" s="1"/>
  <c r="E480" i="6"/>
  <c r="E490" i="6" s="1"/>
  <c r="E460" i="6"/>
  <c r="E470" i="6" s="1"/>
  <c r="D95" i="6"/>
  <c r="D104" i="6"/>
  <c r="E481" i="6"/>
  <c r="E491" i="6" s="1"/>
  <c r="E461" i="6"/>
  <c r="E471" i="6" s="1"/>
  <c r="H101" i="6" l="1"/>
  <c r="I102" i="6"/>
  <c r="L108" i="6"/>
  <c r="L109" i="6" s="1"/>
  <c r="L110" i="6" s="1"/>
  <c r="L106" i="6"/>
  <c r="L107" i="6" s="1"/>
  <c r="E510" i="6"/>
  <c r="E520" i="6" s="1"/>
  <c r="E500" i="6"/>
  <c r="C28" i="11"/>
  <c r="D105" i="6"/>
  <c r="D114" i="6"/>
  <c r="E509" i="6"/>
  <c r="E519" i="6" s="1"/>
  <c r="E499" i="6"/>
  <c r="E512" i="6"/>
  <c r="E522" i="6" s="1"/>
  <c r="E502" i="6"/>
  <c r="G16" i="11"/>
  <c r="E501" i="6"/>
  <c r="E511" i="6"/>
  <c r="E521" i="6" s="1"/>
  <c r="C31" i="10"/>
  <c r="C27" i="10"/>
  <c r="C28" i="10"/>
  <c r="C30" i="10"/>
  <c r="C29" i="10"/>
  <c r="C36" i="10"/>
  <c r="E32" i="1" l="1"/>
  <c r="F32" i="1" s="1"/>
  <c r="L111" i="6"/>
  <c r="L112" i="6" s="1"/>
  <c r="L113" i="6" s="1"/>
  <c r="L114" i="6" s="1"/>
  <c r="L115" i="6" s="1"/>
  <c r="H110" i="6"/>
  <c r="H111" i="6" s="1"/>
  <c r="I112" i="6" s="1"/>
  <c r="C32" i="10"/>
  <c r="D115" i="6"/>
  <c r="D124" i="6"/>
  <c r="E541" i="6"/>
  <c r="E551" i="6" s="1"/>
  <c r="E561" i="6" s="1"/>
  <c r="E571" i="6" s="1"/>
  <c r="E531" i="6"/>
  <c r="E542" i="6"/>
  <c r="E552" i="6" s="1"/>
  <c r="E562" i="6" s="1"/>
  <c r="E572" i="6" s="1"/>
  <c r="E532" i="6"/>
  <c r="C27" i="11"/>
  <c r="C23" i="11"/>
  <c r="C24" i="11" s="1"/>
  <c r="C29" i="11"/>
  <c r="C33" i="11" s="1"/>
  <c r="E529" i="6"/>
  <c r="E539" i="6"/>
  <c r="E549" i="6" s="1"/>
  <c r="E559" i="6" s="1"/>
  <c r="E569" i="6" s="1"/>
  <c r="E530" i="6"/>
  <c r="E540" i="6"/>
  <c r="E550" i="6" s="1"/>
  <c r="E560" i="6" s="1"/>
  <c r="E570" i="6" s="1"/>
  <c r="E33" i="1" l="1"/>
  <c r="F33" i="1" s="1"/>
  <c r="L116" i="6"/>
  <c r="L117" i="6"/>
  <c r="L118" i="6" s="1"/>
  <c r="L119" i="6" s="1"/>
  <c r="L120" i="6" s="1"/>
  <c r="E580" i="6"/>
  <c r="E590" i="6" s="1"/>
  <c r="E600" i="6" s="1"/>
  <c r="E610" i="6" s="1"/>
  <c r="E620" i="6" s="1"/>
  <c r="E630" i="6" s="1"/>
  <c r="E640" i="6" s="1"/>
  <c r="E651" i="6" s="1"/>
  <c r="E661" i="6" s="1"/>
  <c r="E671" i="6" s="1"/>
  <c r="E681" i="6" s="1"/>
  <c r="E691" i="6" s="1"/>
  <c r="E701" i="6" s="1"/>
  <c r="E712" i="6"/>
  <c r="E722" i="6" s="1"/>
  <c r="E732" i="6" s="1"/>
  <c r="E742" i="6" s="1"/>
  <c r="E752" i="6" s="1"/>
  <c r="E762" i="6" s="1"/>
  <c r="E772" i="6" s="1"/>
  <c r="E782" i="6" s="1"/>
  <c r="E792" i="6" s="1"/>
  <c r="E802" i="6" s="1"/>
  <c r="E812" i="6" s="1"/>
  <c r="E822" i="6" s="1"/>
  <c r="E832" i="6" s="1"/>
  <c r="E843" i="6" s="1"/>
  <c r="E713" i="6"/>
  <c r="E723" i="6" s="1"/>
  <c r="E733" i="6" s="1"/>
  <c r="E743" i="6" s="1"/>
  <c r="E753" i="6" s="1"/>
  <c r="E763" i="6" s="1"/>
  <c r="E773" i="6" s="1"/>
  <c r="E783" i="6" s="1"/>
  <c r="E793" i="6" s="1"/>
  <c r="E803" i="6" s="1"/>
  <c r="E813" i="6" s="1"/>
  <c r="E823" i="6" s="1"/>
  <c r="E833" i="6" s="1"/>
  <c r="E844" i="6" s="1"/>
  <c r="E581" i="6"/>
  <c r="E591" i="6" s="1"/>
  <c r="E601" i="6" s="1"/>
  <c r="E611" i="6" s="1"/>
  <c r="E621" i="6" s="1"/>
  <c r="E631" i="6" s="1"/>
  <c r="E641" i="6" s="1"/>
  <c r="E652" i="6" s="1"/>
  <c r="E662" i="6" s="1"/>
  <c r="E672" i="6" s="1"/>
  <c r="E682" i="6" s="1"/>
  <c r="E692" i="6" s="1"/>
  <c r="E702" i="6" s="1"/>
  <c r="E714" i="6"/>
  <c r="E724" i="6" s="1"/>
  <c r="E734" i="6" s="1"/>
  <c r="E744" i="6" s="1"/>
  <c r="E754" i="6" s="1"/>
  <c r="E764" i="6" s="1"/>
  <c r="E774" i="6" s="1"/>
  <c r="E784" i="6" s="1"/>
  <c r="E794" i="6" s="1"/>
  <c r="E804" i="6" s="1"/>
  <c r="E814" i="6" s="1"/>
  <c r="E824" i="6" s="1"/>
  <c r="E834" i="6" s="1"/>
  <c r="E845" i="6" s="1"/>
  <c r="E855" i="6" s="1"/>
  <c r="E865" i="6" s="1"/>
  <c r="E875" i="6" s="1"/>
  <c r="E885" i="6" s="1"/>
  <c r="E895" i="6" s="1"/>
  <c r="E905" i="6" s="1"/>
  <c r="E915" i="6" s="1"/>
  <c r="E925" i="6" s="1"/>
  <c r="E935" i="6" s="1"/>
  <c r="E945" i="6" s="1"/>
  <c r="E582" i="6"/>
  <c r="E592" i="6" s="1"/>
  <c r="E602" i="6" s="1"/>
  <c r="E612" i="6" s="1"/>
  <c r="E622" i="6" s="1"/>
  <c r="E632" i="6" s="1"/>
  <c r="E642" i="6" s="1"/>
  <c r="E653" i="6" s="1"/>
  <c r="E663" i="6" s="1"/>
  <c r="E673" i="6" s="1"/>
  <c r="E683" i="6" s="1"/>
  <c r="E693" i="6" s="1"/>
  <c r="E703" i="6" s="1"/>
  <c r="C32" i="11"/>
  <c r="C34" i="11" s="1"/>
  <c r="C26" i="11"/>
  <c r="C30" i="11" s="1"/>
  <c r="C35" i="11" s="1"/>
  <c r="C45" i="11" s="1"/>
  <c r="D134" i="6"/>
  <c r="D125" i="6"/>
  <c r="E711" i="6"/>
  <c r="E721" i="6" s="1"/>
  <c r="E731" i="6" s="1"/>
  <c r="E741" i="6" s="1"/>
  <c r="E751" i="6" s="1"/>
  <c r="E761" i="6" s="1"/>
  <c r="E771" i="6" s="1"/>
  <c r="E781" i="6" s="1"/>
  <c r="E791" i="6" s="1"/>
  <c r="E801" i="6" s="1"/>
  <c r="E811" i="6" s="1"/>
  <c r="E821" i="6" s="1"/>
  <c r="E831" i="6" s="1"/>
  <c r="E842" i="6" s="1"/>
  <c r="E852" i="6" s="1"/>
  <c r="E862" i="6" s="1"/>
  <c r="E872" i="6" s="1"/>
  <c r="E882" i="6" s="1"/>
  <c r="E892" i="6" s="1"/>
  <c r="E902" i="6" s="1"/>
  <c r="E912" i="6" s="1"/>
  <c r="E922" i="6" s="1"/>
  <c r="E932" i="6" s="1"/>
  <c r="E942" i="6" s="1"/>
  <c r="E579" i="6"/>
  <c r="E589" i="6" s="1"/>
  <c r="E599" i="6" s="1"/>
  <c r="E609" i="6" s="1"/>
  <c r="E619" i="6" s="1"/>
  <c r="E629" i="6" s="1"/>
  <c r="E639" i="6" s="1"/>
  <c r="E650" i="6" s="1"/>
  <c r="E660" i="6" s="1"/>
  <c r="E670" i="6" s="1"/>
  <c r="E680" i="6" s="1"/>
  <c r="E690" i="6" s="1"/>
  <c r="E700" i="6" s="1"/>
  <c r="C34" i="10"/>
  <c r="C37" i="10" s="1"/>
  <c r="C39" i="10"/>
  <c r="C41" i="10" s="1"/>
  <c r="E952" i="6" l="1"/>
  <c r="E973" i="6" s="1"/>
  <c r="E983" i="6"/>
  <c r="E993" i="6" s="1"/>
  <c r="E1003" i="6" s="1"/>
  <c r="E1013" i="6" s="1"/>
  <c r="E1023" i="6" s="1"/>
  <c r="E1033" i="6" s="1"/>
  <c r="E1043" i="6" s="1"/>
  <c r="E1052" i="6" s="1"/>
  <c r="E986" i="6"/>
  <c r="E996" i="6" s="1"/>
  <c r="E1006" i="6" s="1"/>
  <c r="E1016" i="6" s="1"/>
  <c r="E1026" i="6" s="1"/>
  <c r="E1036" i="6" s="1"/>
  <c r="E1046" i="6" s="1"/>
  <c r="E1055" i="6" s="1"/>
  <c r="E955" i="6"/>
  <c r="E976" i="6" s="1"/>
  <c r="L121" i="6"/>
  <c r="L122" i="6" s="1"/>
  <c r="L123" i="6" s="1"/>
  <c r="L124" i="6" s="1"/>
  <c r="L125" i="6" s="1"/>
  <c r="H120" i="6"/>
  <c r="C42" i="10"/>
  <c r="C51" i="10" s="1"/>
  <c r="L13" i="6" s="1"/>
  <c r="D144" i="6"/>
  <c r="D145" i="6" s="1"/>
  <c r="D154" i="6" s="1"/>
  <c r="D135" i="6"/>
  <c r="E854" i="6"/>
  <c r="E864" i="6" s="1"/>
  <c r="E874" i="6" s="1"/>
  <c r="E884" i="6" s="1"/>
  <c r="E894" i="6" s="1"/>
  <c r="E904" i="6" s="1"/>
  <c r="E914" i="6" s="1"/>
  <c r="E924" i="6" s="1"/>
  <c r="E934" i="6" s="1"/>
  <c r="E944" i="6" s="1"/>
  <c r="E853" i="6"/>
  <c r="E863" i="6" s="1"/>
  <c r="E873" i="6" s="1"/>
  <c r="E883" i="6" s="1"/>
  <c r="E893" i="6" s="1"/>
  <c r="E903" i="6" s="1"/>
  <c r="E913" i="6" s="1"/>
  <c r="E923" i="6" s="1"/>
  <c r="E933" i="6" s="1"/>
  <c r="E943" i="6" s="1"/>
  <c r="H121" i="6" l="1"/>
  <c r="I122" i="6" s="1"/>
  <c r="L126" i="6"/>
  <c r="L127" i="6"/>
  <c r="L128" i="6" s="1"/>
  <c r="L129" i="6" s="1"/>
  <c r="L130" i="6" s="1"/>
  <c r="D164" i="6"/>
  <c r="D165" i="6" s="1"/>
  <c r="D174" i="6" s="1"/>
  <c r="D155" i="6"/>
  <c r="E984" i="6"/>
  <c r="E994" i="6" s="1"/>
  <c r="E1004" i="6" s="1"/>
  <c r="E1014" i="6" s="1"/>
  <c r="E1024" i="6" s="1"/>
  <c r="E1034" i="6" s="1"/>
  <c r="E1044" i="6" s="1"/>
  <c r="E1053" i="6" s="1"/>
  <c r="E953" i="6"/>
  <c r="E974" i="6" s="1"/>
  <c r="E954" i="6"/>
  <c r="E975" i="6" s="1"/>
  <c r="E985" i="6"/>
  <c r="E995" i="6" s="1"/>
  <c r="E1005" i="6" s="1"/>
  <c r="E1015" i="6" s="1"/>
  <c r="E1025" i="6" s="1"/>
  <c r="E1035" i="6" s="1"/>
  <c r="E1045" i="6" s="1"/>
  <c r="E1054" i="6" s="1"/>
  <c r="E34" i="1" l="1"/>
  <c r="F34" i="1" s="1"/>
  <c r="L131" i="6"/>
  <c r="L132" i="6" s="1"/>
  <c r="L133" i="6" s="1"/>
  <c r="L134" i="6" s="1"/>
  <c r="L135" i="6" s="1"/>
  <c r="L136" i="6" s="1"/>
  <c r="L137" i="6" s="1"/>
  <c r="L138" i="6" s="1"/>
  <c r="L139" i="6" s="1"/>
  <c r="L140" i="6" s="1"/>
  <c r="H130" i="6"/>
  <c r="H131" i="6" s="1"/>
  <c r="I132" i="6" s="1"/>
  <c r="D184" i="6"/>
  <c r="D185" i="6" s="1"/>
  <c r="D175" i="6"/>
  <c r="E35" i="1" l="1"/>
  <c r="F35" i="1" s="1"/>
  <c r="L141" i="6"/>
  <c r="L142" i="6" s="1"/>
  <c r="L143" i="6" s="1"/>
  <c r="L144" i="6" s="1"/>
  <c r="L145" i="6" s="1"/>
  <c r="L146" i="6" s="1"/>
  <c r="L147" i="6" s="1"/>
  <c r="L148" i="6" s="1"/>
  <c r="L149" i="6" s="1"/>
  <c r="L150" i="6" s="1"/>
  <c r="H140" i="6"/>
  <c r="H141" i="6" s="1"/>
  <c r="I142" i="6" s="1"/>
  <c r="E36" i="1" l="1"/>
  <c r="F36" i="1" s="1"/>
  <c r="L151" i="6"/>
  <c r="L152" i="6" s="1"/>
  <c r="L153" i="6" s="1"/>
  <c r="L154" i="6" s="1"/>
  <c r="L155" i="6" s="1"/>
  <c r="L156" i="6" s="1"/>
  <c r="L157" i="6" s="1"/>
  <c r="L158" i="6" s="1"/>
  <c r="L159" i="6" s="1"/>
  <c r="L160" i="6" s="1"/>
  <c r="H150" i="6"/>
  <c r="H151" i="6" s="1"/>
  <c r="I152" i="6" s="1"/>
  <c r="E37" i="1" l="1"/>
  <c r="F37" i="1" s="1"/>
  <c r="H160" i="6"/>
  <c r="H161" i="6" s="1"/>
  <c r="I162" i="6" s="1"/>
  <c r="L161" i="6"/>
  <c r="L162" i="6" s="1"/>
  <c r="L163" i="6" s="1"/>
  <c r="L164" i="6" s="1"/>
  <c r="L165" i="6" s="1"/>
  <c r="L166" i="6" s="1"/>
  <c r="L167" i="6" s="1"/>
  <c r="L168" i="6" s="1"/>
  <c r="L169" i="6" s="1"/>
  <c r="L170" i="6" s="1"/>
  <c r="H170" i="6" l="1"/>
  <c r="H171" i="6" s="1"/>
  <c r="I172" i="6" s="1"/>
  <c r="L171" i="6"/>
  <c r="L172" i="6" s="1"/>
  <c r="L173" i="6" s="1"/>
  <c r="L174" i="6" s="1"/>
  <c r="L175" i="6" s="1"/>
  <c r="L176" i="6" s="1"/>
  <c r="L177" i="6" s="1"/>
  <c r="L178" i="6" s="1"/>
  <c r="L179" i="6" s="1"/>
  <c r="L180" i="6" s="1"/>
  <c r="E39" i="1"/>
  <c r="F39" i="1" s="1"/>
  <c r="L181" i="6" l="1"/>
  <c r="L182" i="6" s="1"/>
  <c r="L183" i="6" s="1"/>
  <c r="L184" i="6" s="1"/>
  <c r="L185" i="6" s="1"/>
  <c r="L186" i="6" s="1"/>
  <c r="L187" i="6" s="1"/>
  <c r="L188" i="6" s="1"/>
  <c r="L189" i="6" s="1"/>
  <c r="L190" i="6" s="1"/>
  <c r="H180" i="6"/>
  <c r="H181" i="6" s="1"/>
  <c r="I182" i="6" s="1"/>
  <c r="E40" i="1"/>
  <c r="F40" i="1" s="1"/>
  <c r="E41" i="1" l="1"/>
  <c r="F41" i="1" s="1"/>
  <c r="H190" i="6"/>
  <c r="H191" i="6" s="1"/>
  <c r="I192" i="6" s="1"/>
  <c r="L191" i="6"/>
  <c r="L192" i="6" s="1"/>
  <c r="L193" i="6" s="1"/>
  <c r="L194" i="6" s="1"/>
  <c r="L195" i="6" s="1"/>
  <c r="L196" i="6" s="1"/>
  <c r="L197" i="6" s="1"/>
  <c r="L198" i="6" s="1"/>
  <c r="L199" i="6" s="1"/>
  <c r="L200" i="6" s="1"/>
  <c r="H200" i="6" l="1"/>
  <c r="H201" i="6" s="1"/>
  <c r="I202" i="6" s="1"/>
  <c r="L201" i="6"/>
  <c r="L202" i="6" s="1"/>
  <c r="L203" i="6" s="1"/>
  <c r="L204" i="6" s="1"/>
  <c r="L205" i="6" s="1"/>
  <c r="L206" i="6" s="1"/>
  <c r="L207" i="6" s="1"/>
  <c r="L208" i="6" s="1"/>
  <c r="L209" i="6" s="1"/>
  <c r="L210" i="6" s="1"/>
  <c r="E42" i="1"/>
  <c r="F42" i="1" s="1"/>
  <c r="L211" i="6" l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H210" i="6"/>
  <c r="H211" i="6" s="1"/>
  <c r="I212" i="6" s="1"/>
  <c r="E43" i="1"/>
  <c r="F43" i="1" s="1"/>
  <c r="E44" i="1" l="1"/>
  <c r="L224" i="6"/>
  <c r="L225" i="6" s="1"/>
  <c r="L226" i="6" s="1"/>
  <c r="L227" i="6" s="1"/>
  <c r="L228" i="6" s="1"/>
  <c r="L229" i="6" s="1"/>
  <c r="L230" i="6" s="1"/>
  <c r="L231" i="6" s="1"/>
  <c r="L232" i="6" s="1"/>
  <c r="L233" i="6" s="1"/>
  <c r="H223" i="6"/>
  <c r="H224" i="6" s="1"/>
  <c r="I225" i="6" s="1"/>
  <c r="N212" i="6" l="1"/>
  <c r="F44" i="1"/>
  <c r="F45" i="1" s="1"/>
  <c r="L234" i="6"/>
  <c r="L235" i="6" s="1"/>
  <c r="H233" i="6"/>
  <c r="H234" i="6" s="1"/>
  <c r="I235" i="6" s="1"/>
  <c r="E48" i="1" l="1"/>
  <c r="F48" i="1" s="1"/>
  <c r="L246" i="6"/>
  <c r="L247" i="6" s="1"/>
  <c r="L248" i="6" s="1"/>
  <c r="L249" i="6" s="1"/>
  <c r="L250" i="6" s="1"/>
  <c r="L251" i="6" s="1"/>
  <c r="L252" i="6" s="1"/>
  <c r="L253" i="6" s="1"/>
  <c r="L236" i="6"/>
  <c r="L237" i="6" s="1"/>
  <c r="L238" i="6" s="1"/>
  <c r="L239" i="6" s="1"/>
  <c r="L240" i="6" s="1"/>
  <c r="L241" i="6" s="1"/>
  <c r="L242" i="6" s="1"/>
  <c r="L243" i="6" s="1"/>
  <c r="L244" i="6" l="1"/>
  <c r="L245" i="6" s="1"/>
  <c r="H243" i="6"/>
  <c r="H244" i="6" s="1"/>
  <c r="I245" i="6" s="1"/>
  <c r="L254" i="6"/>
  <c r="L255" i="6" s="1"/>
  <c r="L256" i="6" s="1"/>
  <c r="L257" i="6" s="1"/>
  <c r="L258" i="6" s="1"/>
  <c r="L259" i="6" s="1"/>
  <c r="L260" i="6" s="1"/>
  <c r="L261" i="6" s="1"/>
  <c r="L262" i="6" s="1"/>
  <c r="L263" i="6" s="1"/>
  <c r="H253" i="6"/>
  <c r="H254" i="6" s="1"/>
  <c r="I255" i="6" s="1"/>
  <c r="E49" i="1" l="1"/>
  <c r="E50" i="1"/>
  <c r="H263" i="6"/>
  <c r="H264" i="6" s="1"/>
  <c r="I265" i="6" s="1"/>
  <c r="L264" i="6"/>
  <c r="L265" i="6" s="1"/>
  <c r="L266" i="6" s="1"/>
  <c r="L267" i="6" s="1"/>
  <c r="L268" i="6" s="1"/>
  <c r="L269" i="6" s="1"/>
  <c r="L270" i="6" s="1"/>
  <c r="L271" i="6" s="1"/>
  <c r="L272" i="6" s="1"/>
  <c r="L273" i="6" s="1"/>
  <c r="N255" i="6" l="1"/>
  <c r="F50" i="1"/>
  <c r="N245" i="6"/>
  <c r="F49" i="1"/>
  <c r="H273" i="6"/>
  <c r="H274" i="6" s="1"/>
  <c r="I275" i="6" s="1"/>
  <c r="L274" i="6"/>
  <c r="L275" i="6" s="1"/>
  <c r="L276" i="6" s="1"/>
  <c r="L277" i="6" s="1"/>
  <c r="L278" i="6" s="1"/>
  <c r="L279" i="6" s="1"/>
  <c r="L280" i="6" s="1"/>
  <c r="L281" i="6" s="1"/>
  <c r="L282" i="6" s="1"/>
  <c r="L284" i="6" s="1"/>
  <c r="L285" i="6" s="1"/>
  <c r="E51" i="1"/>
  <c r="F51" i="1" s="1"/>
  <c r="L286" i="6" l="1"/>
  <c r="L287" i="6" s="1"/>
  <c r="L288" i="6" s="1"/>
  <c r="L289" i="6" s="1"/>
  <c r="L290" i="6" s="1"/>
  <c r="L291" i="6" s="1"/>
  <c r="L292" i="6" s="1"/>
  <c r="L293" i="6" s="1"/>
  <c r="L294" i="6" s="1"/>
  <c r="L295" i="6" s="1"/>
  <c r="H285" i="6"/>
  <c r="H286" i="6" s="1"/>
  <c r="I287" i="6" s="1"/>
  <c r="E52" i="1"/>
  <c r="F52" i="1" s="1"/>
  <c r="L296" i="6" l="1"/>
  <c r="L297" i="6" s="1"/>
  <c r="L298" i="6" s="1"/>
  <c r="L299" i="6" s="1"/>
  <c r="L300" i="6" s="1"/>
  <c r="L301" i="6" s="1"/>
  <c r="L302" i="6" s="1"/>
  <c r="L304" i="6" s="1"/>
  <c r="L305" i="6" s="1"/>
  <c r="H295" i="6"/>
  <c r="H296" i="6" s="1"/>
  <c r="I297" i="6" s="1"/>
  <c r="E55" i="1" l="1"/>
  <c r="F55" i="1" s="1"/>
  <c r="L306" i="6"/>
  <c r="L307" i="6" s="1"/>
  <c r="L308" i="6" s="1"/>
  <c r="L309" i="6" s="1"/>
  <c r="L310" i="6" s="1"/>
  <c r="L311" i="6" s="1"/>
  <c r="L312" i="6" s="1"/>
  <c r="L314" i="6" s="1"/>
  <c r="L315" i="6" s="1"/>
  <c r="H305" i="6"/>
  <c r="H306" i="6" s="1"/>
  <c r="I307" i="6" s="1"/>
  <c r="I19" i="8" l="1"/>
  <c r="E56" i="1"/>
  <c r="F56" i="1" s="1"/>
  <c r="H315" i="6"/>
  <c r="H316" i="6" s="1"/>
  <c r="I317" i="6" s="1"/>
  <c r="L316" i="6"/>
  <c r="L317" i="6" s="1"/>
  <c r="L318" i="6" s="1"/>
  <c r="L319" i="6" s="1"/>
  <c r="L320" i="6" s="1"/>
  <c r="L321" i="6" s="1"/>
  <c r="L322" i="6" s="1"/>
  <c r="L323" i="6" s="1"/>
  <c r="L325" i="6" s="1"/>
  <c r="L326" i="6" s="1"/>
  <c r="E19" i="8" l="1"/>
  <c r="C19" i="8"/>
  <c r="E58" i="1"/>
  <c r="F58" i="1" s="1"/>
  <c r="L327" i="6"/>
  <c r="L328" i="6" s="1"/>
  <c r="L329" i="6" s="1"/>
  <c r="L330" i="6" s="1"/>
  <c r="L331" i="6" s="1"/>
  <c r="L332" i="6" s="1"/>
  <c r="L333" i="6" s="1"/>
  <c r="L334" i="6" s="1"/>
  <c r="L335" i="6" s="1"/>
  <c r="L336" i="6" s="1"/>
  <c r="H326" i="6"/>
  <c r="H327" i="6" s="1"/>
  <c r="I328" i="6" s="1"/>
  <c r="E59" i="1" l="1"/>
  <c r="F59" i="1" s="1"/>
  <c r="L337" i="6"/>
  <c r="L338" i="6" s="1"/>
  <c r="L339" i="6" s="1"/>
  <c r="L340" i="6" s="1"/>
  <c r="L341" i="6" s="1"/>
  <c r="L342" i="6" s="1"/>
  <c r="L343" i="6" s="1"/>
  <c r="L344" i="6" s="1"/>
  <c r="L345" i="6" s="1"/>
  <c r="L346" i="6" s="1"/>
  <c r="H336" i="6"/>
  <c r="H337" i="6" s="1"/>
  <c r="I338" i="6" s="1"/>
  <c r="E60" i="1" l="1"/>
  <c r="F60" i="1" s="1"/>
  <c r="L347" i="6"/>
  <c r="L348" i="6" s="1"/>
  <c r="L349" i="6" s="1"/>
  <c r="L350" i="6" s="1"/>
  <c r="L351" i="6" s="1"/>
  <c r="L352" i="6" s="1"/>
  <c r="L353" i="6" s="1"/>
  <c r="L354" i="6" s="1"/>
  <c r="L356" i="6" s="1"/>
  <c r="L357" i="6" s="1"/>
  <c r="H346" i="6"/>
  <c r="H347" i="6" s="1"/>
  <c r="I348" i="6" s="1"/>
  <c r="E62" i="1" l="1"/>
  <c r="F62" i="1" s="1"/>
  <c r="L358" i="6"/>
  <c r="L359" i="6" s="1"/>
  <c r="L360" i="6" s="1"/>
  <c r="L361" i="6" s="1"/>
  <c r="L362" i="6" s="1"/>
  <c r="L363" i="6" s="1"/>
  <c r="L364" i="6" s="1"/>
  <c r="L365" i="6" s="1"/>
  <c r="L367" i="6" s="1"/>
  <c r="L368" i="6" s="1"/>
  <c r="H357" i="6"/>
  <c r="H358" i="6" s="1"/>
  <c r="I359" i="6" s="1"/>
  <c r="E64" i="1" l="1"/>
  <c r="F64" i="1" s="1"/>
  <c r="L369" i="6"/>
  <c r="L370" i="6" s="1"/>
  <c r="L371" i="6" s="1"/>
  <c r="L372" i="6" s="1"/>
  <c r="L373" i="6" s="1"/>
  <c r="L374" i="6" s="1"/>
  <c r="L375" i="6" s="1"/>
  <c r="L376" i="6" s="1"/>
  <c r="L377" i="6" s="1"/>
  <c r="L378" i="6" s="1"/>
  <c r="H368" i="6"/>
  <c r="H369" i="6" s="1"/>
  <c r="I370" i="6" s="1"/>
  <c r="E65" i="1" l="1"/>
  <c r="F65" i="1" s="1"/>
  <c r="L379" i="6"/>
  <c r="L380" i="6" s="1"/>
  <c r="L381" i="6" s="1"/>
  <c r="L382" i="6" s="1"/>
  <c r="L383" i="6" s="1"/>
  <c r="L384" i="6" s="1"/>
  <c r="L385" i="6" s="1"/>
  <c r="L386" i="6" s="1"/>
  <c r="L387" i="6" s="1"/>
  <c r="L388" i="6" s="1"/>
  <c r="H378" i="6"/>
  <c r="H379" i="6" l="1"/>
  <c r="I380" i="6" s="1"/>
  <c r="L389" i="6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H388" i="6"/>
  <c r="H389" i="6" s="1"/>
  <c r="I390" i="6" s="1"/>
  <c r="E68" i="1" l="1"/>
  <c r="F68" i="1" s="1"/>
  <c r="E67" i="1"/>
  <c r="F67" i="1" s="1"/>
  <c r="L400" i="6"/>
  <c r="L401" i="6" s="1"/>
  <c r="L402" i="6" s="1"/>
  <c r="L403" i="6" s="1"/>
  <c r="L404" i="6" s="1"/>
  <c r="L405" i="6" s="1"/>
  <c r="L406" i="6" s="1"/>
  <c r="L407" i="6" s="1"/>
  <c r="L408" i="6" s="1"/>
  <c r="L409" i="6" s="1"/>
  <c r="H399" i="6"/>
  <c r="L410" i="6" l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H409" i="6"/>
  <c r="H410" i="6" s="1"/>
  <c r="I411" i="6" s="1"/>
  <c r="H400" i="6"/>
  <c r="I401" i="6" s="1"/>
  <c r="E69" i="1" l="1"/>
  <c r="F69" i="1" s="1"/>
  <c r="E71" i="1"/>
  <c r="F71" i="1" s="1"/>
  <c r="L421" i="6"/>
  <c r="L422" i="6" s="1"/>
  <c r="L423" i="6" s="1"/>
  <c r="L424" i="6" s="1"/>
  <c r="L425" i="6" s="1"/>
  <c r="L426" i="6" s="1"/>
  <c r="L427" i="6" s="1"/>
  <c r="L428" i="6" s="1"/>
  <c r="L429" i="6" s="1"/>
  <c r="L430" i="6" s="1"/>
  <c r="H420" i="6"/>
  <c r="H421" i="6" s="1"/>
  <c r="I422" i="6" s="1"/>
  <c r="E72" i="1" l="1"/>
  <c r="F72" i="1" s="1"/>
  <c r="L431" i="6"/>
  <c r="L432" i="6" s="1"/>
  <c r="L433" i="6" s="1"/>
  <c r="L434" i="6" s="1"/>
  <c r="L435" i="6" s="1"/>
  <c r="L436" i="6" s="1"/>
  <c r="L437" i="6" s="1"/>
  <c r="L438" i="6" s="1"/>
  <c r="L439" i="6" s="1"/>
  <c r="L440" i="6" s="1"/>
  <c r="H430" i="6"/>
  <c r="H431" i="6" s="1"/>
  <c r="I432" i="6" s="1"/>
  <c r="E74" i="1" l="1"/>
  <c r="F74" i="1" s="1"/>
  <c r="L441" i="6"/>
  <c r="L442" i="6" s="1"/>
  <c r="L443" i="6" s="1"/>
  <c r="L444" i="6" s="1"/>
  <c r="L445" i="6" s="1"/>
  <c r="L446" i="6" s="1"/>
  <c r="L447" i="6" s="1"/>
  <c r="L448" i="6" s="1"/>
  <c r="L449" i="6" s="1"/>
  <c r="L450" i="6" s="1"/>
  <c r="H440" i="6"/>
  <c r="H441" i="6" s="1"/>
  <c r="I442" i="6" s="1"/>
  <c r="E75" i="1" l="1"/>
  <c r="F75" i="1" s="1"/>
  <c r="L451" i="6"/>
  <c r="L452" i="6" s="1"/>
  <c r="H450" i="6"/>
  <c r="H451" i="6" l="1"/>
  <c r="I452" i="6" s="1"/>
  <c r="L473" i="6"/>
  <c r="L474" i="6" s="1"/>
  <c r="L475" i="6" s="1"/>
  <c r="L476" i="6" s="1"/>
  <c r="L477" i="6" s="1"/>
  <c r="L478" i="6" s="1"/>
  <c r="L479" i="6" s="1"/>
  <c r="L480" i="6" s="1"/>
  <c r="L453" i="6"/>
  <c r="L454" i="6" s="1"/>
  <c r="L455" i="6" s="1"/>
  <c r="L456" i="6" s="1"/>
  <c r="L457" i="6" s="1"/>
  <c r="L458" i="6" s="1"/>
  <c r="L459" i="6" s="1"/>
  <c r="L460" i="6" s="1"/>
  <c r="E76" i="1" l="1"/>
  <c r="F76" i="1" s="1"/>
  <c r="F77" i="1" s="1"/>
  <c r="L461" i="6"/>
  <c r="L462" i="6" s="1"/>
  <c r="L463" i="6" s="1"/>
  <c r="L464" i="6" s="1"/>
  <c r="L465" i="6" s="1"/>
  <c r="L466" i="6" s="1"/>
  <c r="L467" i="6" s="1"/>
  <c r="L468" i="6" s="1"/>
  <c r="L469" i="6" s="1"/>
  <c r="L470" i="6" s="1"/>
  <c r="H460" i="6"/>
  <c r="H461" i="6" s="1"/>
  <c r="I462" i="6" s="1"/>
  <c r="L481" i="6"/>
  <c r="L482" i="6" s="1"/>
  <c r="L483" i="6" s="1"/>
  <c r="L484" i="6" s="1"/>
  <c r="L485" i="6" s="1"/>
  <c r="L486" i="6" s="1"/>
  <c r="L487" i="6" s="1"/>
  <c r="L488" i="6" s="1"/>
  <c r="L489" i="6" s="1"/>
  <c r="L490" i="6" s="1"/>
  <c r="H480" i="6"/>
  <c r="E80" i="1" l="1"/>
  <c r="F80" i="1" s="1"/>
  <c r="H481" i="6"/>
  <c r="I482" i="6" s="1"/>
  <c r="L491" i="6"/>
  <c r="L492" i="6" s="1"/>
  <c r="L493" i="6" s="1"/>
  <c r="L494" i="6" s="1"/>
  <c r="L495" i="6" s="1"/>
  <c r="L496" i="6" s="1"/>
  <c r="L497" i="6" s="1"/>
  <c r="L498" i="6" s="1"/>
  <c r="L499" i="6" s="1"/>
  <c r="L500" i="6" s="1"/>
  <c r="H490" i="6"/>
  <c r="H491" i="6" s="1"/>
  <c r="I492" i="6" s="1"/>
  <c r="H470" i="6"/>
  <c r="H471" i="6" s="1"/>
  <c r="I472" i="6" s="1"/>
  <c r="L471" i="6"/>
  <c r="L472" i="6" s="1"/>
  <c r="E82" i="1" l="1"/>
  <c r="F82" i="1" s="1"/>
  <c r="E81" i="1"/>
  <c r="F81" i="1" s="1"/>
  <c r="E83" i="1"/>
  <c r="F83" i="1" s="1"/>
  <c r="H500" i="6"/>
  <c r="H501" i="6" s="1"/>
  <c r="I502" i="6" s="1"/>
  <c r="L501" i="6"/>
  <c r="L502" i="6" s="1"/>
  <c r="L503" i="6" s="1"/>
  <c r="L504" i="6" s="1"/>
  <c r="L505" i="6" s="1"/>
  <c r="L506" i="6" s="1"/>
  <c r="L507" i="6" s="1"/>
  <c r="L508" i="6" s="1"/>
  <c r="E84" i="1" l="1"/>
  <c r="F84" i="1" s="1"/>
  <c r="L523" i="6"/>
  <c r="L524" i="6" s="1"/>
  <c r="L525" i="6" s="1"/>
  <c r="L526" i="6" s="1"/>
  <c r="L527" i="6" s="1"/>
  <c r="L528" i="6" s="1"/>
  <c r="L529" i="6" s="1"/>
  <c r="L530" i="6" s="1"/>
  <c r="L509" i="6"/>
  <c r="L510" i="6" s="1"/>
  <c r="L511" i="6" l="1"/>
  <c r="L512" i="6" s="1"/>
  <c r="L513" i="6" s="1"/>
  <c r="L514" i="6" s="1"/>
  <c r="L515" i="6" s="1"/>
  <c r="L516" i="6" s="1"/>
  <c r="L517" i="6" s="1"/>
  <c r="L518" i="6" s="1"/>
  <c r="L519" i="6" s="1"/>
  <c r="L520" i="6" s="1"/>
  <c r="H510" i="6"/>
  <c r="H511" i="6" s="1"/>
  <c r="I512" i="6" s="1"/>
  <c r="L531" i="6"/>
  <c r="L532" i="6" s="1"/>
  <c r="L533" i="6" s="1"/>
  <c r="L534" i="6" s="1"/>
  <c r="L535" i="6" s="1"/>
  <c r="L536" i="6" s="1"/>
  <c r="L537" i="6" s="1"/>
  <c r="L538" i="6" s="1"/>
  <c r="L539" i="6" s="1"/>
  <c r="L540" i="6" s="1"/>
  <c r="H530" i="6"/>
  <c r="H531" i="6" s="1"/>
  <c r="I532" i="6" s="1"/>
  <c r="E86" i="1" l="1"/>
  <c r="F86" i="1" s="1"/>
  <c r="E89" i="1"/>
  <c r="F89" i="1" s="1"/>
  <c r="L541" i="6"/>
  <c r="L542" i="6" s="1"/>
  <c r="L543" i="6" s="1"/>
  <c r="L544" i="6" s="1"/>
  <c r="L545" i="6" s="1"/>
  <c r="L546" i="6" s="1"/>
  <c r="L547" i="6" s="1"/>
  <c r="L548" i="6" s="1"/>
  <c r="L549" i="6" s="1"/>
  <c r="L550" i="6" s="1"/>
  <c r="H540" i="6"/>
  <c r="H541" i="6" s="1"/>
  <c r="I542" i="6" s="1"/>
  <c r="H520" i="6"/>
  <c r="H521" i="6" s="1"/>
  <c r="I522" i="6" s="1"/>
  <c r="L521" i="6"/>
  <c r="L522" i="6" s="1"/>
  <c r="E90" i="1" l="1"/>
  <c r="F90" i="1" s="1"/>
  <c r="E88" i="1"/>
  <c r="F88" i="1" s="1"/>
  <c r="L551" i="6"/>
  <c r="L552" i="6" s="1"/>
  <c r="L553" i="6" s="1"/>
  <c r="L554" i="6" s="1"/>
  <c r="L555" i="6" s="1"/>
  <c r="L556" i="6" s="1"/>
  <c r="L557" i="6" s="1"/>
  <c r="L558" i="6" s="1"/>
  <c r="L559" i="6" s="1"/>
  <c r="L560" i="6" s="1"/>
  <c r="H550" i="6"/>
  <c r="H551" i="6" s="1"/>
  <c r="I552" i="6" s="1"/>
  <c r="F91" i="1" l="1"/>
  <c r="E94" i="1"/>
  <c r="F94" i="1" s="1"/>
  <c r="L561" i="6"/>
  <c r="L562" i="6" s="1"/>
  <c r="L563" i="6" s="1"/>
  <c r="L564" i="6" s="1"/>
  <c r="L565" i="6" s="1"/>
  <c r="L566" i="6" s="1"/>
  <c r="L567" i="6" s="1"/>
  <c r="L568" i="6" s="1"/>
  <c r="L569" i="6" s="1"/>
  <c r="L570" i="6" s="1"/>
  <c r="H560" i="6"/>
  <c r="H561" i="6" s="1"/>
  <c r="I562" i="6" s="1"/>
  <c r="E95" i="1" l="1"/>
  <c r="F95" i="1" s="1"/>
  <c r="H570" i="6"/>
  <c r="H571" i="6" s="1"/>
  <c r="I572" i="6" s="1"/>
  <c r="L571" i="6"/>
  <c r="L572" i="6" s="1"/>
  <c r="L573" i="6" s="1"/>
  <c r="L574" i="6" s="1"/>
  <c r="L575" i="6" s="1"/>
  <c r="L576" i="6" s="1"/>
  <c r="L577" i="6" s="1"/>
  <c r="L578" i="6" s="1"/>
  <c r="L579" i="6" s="1"/>
  <c r="L580" i="6" s="1"/>
  <c r="E96" i="1" l="1"/>
  <c r="F96" i="1" s="1"/>
  <c r="F97" i="1" s="1"/>
  <c r="L581" i="6"/>
  <c r="L582" i="6" s="1"/>
  <c r="L583" i="6" s="1"/>
  <c r="L584" i="6" s="1"/>
  <c r="L585" i="6" s="1"/>
  <c r="L586" i="6" s="1"/>
  <c r="L587" i="6" s="1"/>
  <c r="L588" i="6" s="1"/>
  <c r="L589" i="6" s="1"/>
  <c r="L590" i="6" s="1"/>
  <c r="H580" i="6"/>
  <c r="H581" i="6" s="1"/>
  <c r="I582" i="6" s="1"/>
  <c r="E100" i="1" l="1"/>
  <c r="F100" i="1" s="1"/>
  <c r="L591" i="6"/>
  <c r="L592" i="6" s="1"/>
  <c r="L593" i="6" s="1"/>
  <c r="L594" i="6" s="1"/>
  <c r="L595" i="6" s="1"/>
  <c r="L596" i="6" s="1"/>
  <c r="L597" i="6" s="1"/>
  <c r="L598" i="6" s="1"/>
  <c r="L599" i="6" s="1"/>
  <c r="L600" i="6" s="1"/>
  <c r="H590" i="6"/>
  <c r="H591" i="6" s="1"/>
  <c r="I592" i="6" s="1"/>
  <c r="E101" i="1" l="1"/>
  <c r="F101" i="1" s="1"/>
  <c r="L601" i="6"/>
  <c r="L602" i="6" s="1"/>
  <c r="L603" i="6" s="1"/>
  <c r="L604" i="6" s="1"/>
  <c r="L605" i="6" s="1"/>
  <c r="L606" i="6" s="1"/>
  <c r="L607" i="6" s="1"/>
  <c r="L608" i="6" s="1"/>
  <c r="L609" i="6" s="1"/>
  <c r="L610" i="6" s="1"/>
  <c r="H600" i="6"/>
  <c r="H601" i="6" s="1"/>
  <c r="I602" i="6" s="1"/>
  <c r="E102" i="1" l="1"/>
  <c r="F102" i="1" s="1"/>
  <c r="L611" i="6"/>
  <c r="L612" i="6" s="1"/>
  <c r="L613" i="6" s="1"/>
  <c r="L614" i="6" s="1"/>
  <c r="L615" i="6" s="1"/>
  <c r="L616" i="6" s="1"/>
  <c r="L617" i="6" s="1"/>
  <c r="L618" i="6" s="1"/>
  <c r="L619" i="6" s="1"/>
  <c r="L620" i="6" s="1"/>
  <c r="H610" i="6"/>
  <c r="H611" i="6" s="1"/>
  <c r="I612" i="6" s="1"/>
  <c r="I20" i="8" l="1"/>
  <c r="E103" i="1"/>
  <c r="F103" i="1" s="1"/>
  <c r="L621" i="6"/>
  <c r="L622" i="6" s="1"/>
  <c r="L623" i="6" s="1"/>
  <c r="L624" i="6" s="1"/>
  <c r="L625" i="6" s="1"/>
  <c r="L626" i="6" s="1"/>
  <c r="L627" i="6" s="1"/>
  <c r="L628" i="6" s="1"/>
  <c r="L629" i="6" s="1"/>
  <c r="L630" i="6" s="1"/>
  <c r="H620" i="6"/>
  <c r="H621" i="6" s="1"/>
  <c r="I622" i="6" s="1"/>
  <c r="C20" i="8" l="1"/>
  <c r="E104" i="1"/>
  <c r="F104" i="1" s="1"/>
  <c r="E20" i="8"/>
  <c r="L631" i="6"/>
  <c r="L632" i="6" s="1"/>
  <c r="L633" i="6" s="1"/>
  <c r="L634" i="6" s="1"/>
  <c r="L635" i="6" s="1"/>
  <c r="L636" i="6" s="1"/>
  <c r="L637" i="6" s="1"/>
  <c r="L638" i="6" s="1"/>
  <c r="L639" i="6" s="1"/>
  <c r="L640" i="6" s="1"/>
  <c r="H630" i="6"/>
  <c r="H631" i="6" s="1"/>
  <c r="I632" i="6" s="1"/>
  <c r="E106" i="1" l="1"/>
  <c r="F106" i="1" s="1"/>
  <c r="F107" i="1" s="1"/>
  <c r="L641" i="6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H640" i="6"/>
  <c r="H641" i="6" l="1"/>
  <c r="I642" i="6" s="1"/>
  <c r="H651" i="6"/>
  <c r="H652" i="6" s="1"/>
  <c r="I653" i="6" s="1"/>
  <c r="L652" i="6"/>
  <c r="L653" i="6" s="1"/>
  <c r="L654" i="6" s="1"/>
  <c r="L655" i="6" s="1"/>
  <c r="L656" i="6" s="1"/>
  <c r="L657" i="6" s="1"/>
  <c r="L658" i="6" s="1"/>
  <c r="L659" i="6" s="1"/>
  <c r="L660" i="6" s="1"/>
  <c r="L661" i="6" s="1"/>
  <c r="E112" i="1" l="1"/>
  <c r="F112" i="1" s="1"/>
  <c r="E110" i="1"/>
  <c r="F110" i="1" s="1"/>
  <c r="L662" i="6"/>
  <c r="L663" i="6" s="1"/>
  <c r="L664" i="6" s="1"/>
  <c r="L665" i="6" s="1"/>
  <c r="L666" i="6" s="1"/>
  <c r="L667" i="6" s="1"/>
  <c r="L668" i="6" s="1"/>
  <c r="L669" i="6" s="1"/>
  <c r="L670" i="6" s="1"/>
  <c r="L671" i="6" s="1"/>
  <c r="H661" i="6"/>
  <c r="H662" i="6" s="1"/>
  <c r="I663" i="6" s="1"/>
  <c r="E114" i="1" l="1"/>
  <c r="F114" i="1" s="1"/>
  <c r="F115" i="1" s="1"/>
  <c r="L672" i="6"/>
  <c r="L673" i="6" s="1"/>
  <c r="L674" i="6" s="1"/>
  <c r="L675" i="6" s="1"/>
  <c r="L676" i="6" s="1"/>
  <c r="L677" i="6" s="1"/>
  <c r="L678" i="6" s="1"/>
  <c r="L679" i="6" s="1"/>
  <c r="L680" i="6" s="1"/>
  <c r="L681" i="6" s="1"/>
  <c r="H671" i="6"/>
  <c r="H672" i="6" s="1"/>
  <c r="I673" i="6" s="1"/>
  <c r="E118" i="1" l="1"/>
  <c r="F118" i="1" s="1"/>
  <c r="L682" i="6"/>
  <c r="L683" i="6" s="1"/>
  <c r="L684" i="6" s="1"/>
  <c r="L685" i="6" s="1"/>
  <c r="L686" i="6" s="1"/>
  <c r="L687" i="6" s="1"/>
  <c r="L688" i="6" s="1"/>
  <c r="L689" i="6" s="1"/>
  <c r="L690" i="6" s="1"/>
  <c r="L691" i="6" s="1"/>
  <c r="H681" i="6"/>
  <c r="H682" i="6" s="1"/>
  <c r="I683" i="6" s="1"/>
  <c r="E120" i="1" l="1"/>
  <c r="F120" i="1" s="1"/>
  <c r="F121" i="1" s="1"/>
  <c r="L692" i="6"/>
  <c r="L693" i="6" s="1"/>
  <c r="L694" i="6" s="1"/>
  <c r="L695" i="6" s="1"/>
  <c r="L696" i="6" s="1"/>
  <c r="L697" i="6" s="1"/>
  <c r="L698" i="6" s="1"/>
  <c r="L699" i="6" s="1"/>
  <c r="L700" i="6" s="1"/>
  <c r="L701" i="6" s="1"/>
  <c r="H691" i="6"/>
  <c r="H692" i="6" s="1"/>
  <c r="I693" i="6" s="1"/>
  <c r="E124" i="1" l="1"/>
  <c r="F124" i="1" s="1"/>
  <c r="H701" i="6"/>
  <c r="L702" i="6"/>
  <c r="L703" i="6" s="1"/>
  <c r="L704" i="6" s="1"/>
  <c r="L705" i="6" s="1"/>
  <c r="L706" i="6" s="1"/>
  <c r="L707" i="6" s="1"/>
  <c r="L708" i="6" s="1"/>
  <c r="L709" i="6" s="1"/>
  <c r="L710" i="6" s="1"/>
  <c r="L711" i="6" s="1"/>
  <c r="L712" i="6" s="1"/>
  <c r="L713" i="6" l="1"/>
  <c r="L714" i="6" s="1"/>
  <c r="L715" i="6" s="1"/>
  <c r="L716" i="6" s="1"/>
  <c r="L717" i="6" s="1"/>
  <c r="L718" i="6" s="1"/>
  <c r="L719" i="6" s="1"/>
  <c r="L720" i="6" s="1"/>
  <c r="L721" i="6" s="1"/>
  <c r="L722" i="6" s="1"/>
  <c r="H712" i="6"/>
  <c r="H713" i="6" s="1"/>
  <c r="I714" i="6" s="1"/>
  <c r="H702" i="6"/>
  <c r="I703" i="6"/>
  <c r="E127" i="1" l="1"/>
  <c r="F127" i="1" s="1"/>
  <c r="I21" i="8"/>
  <c r="E125" i="1"/>
  <c r="F125" i="1" s="1"/>
  <c r="L723" i="6"/>
  <c r="L724" i="6" s="1"/>
  <c r="L725" i="6" s="1"/>
  <c r="L726" i="6" s="1"/>
  <c r="L727" i="6" s="1"/>
  <c r="L728" i="6" s="1"/>
  <c r="L729" i="6" s="1"/>
  <c r="L730" i="6" s="1"/>
  <c r="L731" i="6" s="1"/>
  <c r="L732" i="6" s="1"/>
  <c r="H722" i="6"/>
  <c r="H723" i="6" s="1"/>
  <c r="I724" i="6" s="1"/>
  <c r="G21" i="8" l="1"/>
  <c r="E21" i="8"/>
  <c r="I22" i="8"/>
  <c r="G22" i="8" s="1"/>
  <c r="E128" i="1"/>
  <c r="F128" i="1" s="1"/>
  <c r="C21" i="8"/>
  <c r="H732" i="6"/>
  <c r="H733" i="6" s="1"/>
  <c r="I734" i="6" s="1"/>
  <c r="L733" i="6"/>
  <c r="L734" i="6" s="1"/>
  <c r="L735" i="6" s="1"/>
  <c r="L736" i="6" s="1"/>
  <c r="L737" i="6" s="1"/>
  <c r="L738" i="6" s="1"/>
  <c r="L739" i="6" s="1"/>
  <c r="L740" i="6" s="1"/>
  <c r="L741" i="6" s="1"/>
  <c r="L742" i="6" s="1"/>
  <c r="E129" i="1" l="1"/>
  <c r="F129" i="1" s="1"/>
  <c r="F130" i="1" s="1"/>
  <c r="E22" i="8"/>
  <c r="C22" i="8"/>
  <c r="L743" i="6"/>
  <c r="L744" i="6" s="1"/>
  <c r="L745" i="6" s="1"/>
  <c r="L746" i="6" s="1"/>
  <c r="L747" i="6" s="1"/>
  <c r="L748" i="6" s="1"/>
  <c r="L749" i="6" s="1"/>
  <c r="L750" i="6" s="1"/>
  <c r="L751" i="6" s="1"/>
  <c r="L752" i="6" s="1"/>
  <c r="H742" i="6"/>
  <c r="H743" i="6" s="1"/>
  <c r="I744" i="6" s="1"/>
  <c r="E133" i="1" l="1"/>
  <c r="F133" i="1" s="1"/>
  <c r="H752" i="6"/>
  <c r="H753" i="6" s="1"/>
  <c r="I754" i="6" s="1"/>
  <c r="L753" i="6"/>
  <c r="L754" i="6" s="1"/>
  <c r="L755" i="6" s="1"/>
  <c r="L756" i="6" s="1"/>
  <c r="L757" i="6" s="1"/>
  <c r="L758" i="6" s="1"/>
  <c r="L759" i="6" s="1"/>
  <c r="L760" i="6" s="1"/>
  <c r="L761" i="6" s="1"/>
  <c r="L762" i="6" s="1"/>
  <c r="E135" i="1" l="1"/>
  <c r="F135" i="1" s="1"/>
  <c r="H762" i="6"/>
  <c r="H763" i="6" s="1"/>
  <c r="I764" i="6" s="1"/>
  <c r="L763" i="6"/>
  <c r="L764" i="6" s="1"/>
  <c r="L765" i="6" s="1"/>
  <c r="L766" i="6" s="1"/>
  <c r="L767" i="6" s="1"/>
  <c r="E136" i="1" l="1"/>
  <c r="F136" i="1" s="1"/>
  <c r="L769" i="6"/>
  <c r="L770" i="6" s="1"/>
  <c r="L771" i="6" s="1"/>
  <c r="L772" i="6" s="1"/>
  <c r="L768" i="6"/>
  <c r="L773" i="6" l="1"/>
  <c r="L774" i="6" s="1"/>
  <c r="L775" i="6" s="1"/>
  <c r="L776" i="6" s="1"/>
  <c r="L777" i="6" s="1"/>
  <c r="L778" i="6" s="1"/>
  <c r="L779" i="6" s="1"/>
  <c r="L780" i="6" s="1"/>
  <c r="L781" i="6" s="1"/>
  <c r="L782" i="6" s="1"/>
  <c r="H772" i="6"/>
  <c r="H773" i="6" l="1"/>
  <c r="I774" i="6" s="1"/>
  <c r="L783" i="6"/>
  <c r="L784" i="6" s="1"/>
  <c r="L785" i="6" s="1"/>
  <c r="L786" i="6" s="1"/>
  <c r="L787" i="6" s="1"/>
  <c r="L788" i="6" s="1"/>
  <c r="L789" i="6" s="1"/>
  <c r="L790" i="6" s="1"/>
  <c r="L791" i="6" s="1"/>
  <c r="L792" i="6" s="1"/>
  <c r="H782" i="6"/>
  <c r="H783" i="6" s="1"/>
  <c r="I784" i="6" s="1"/>
  <c r="E138" i="1" l="1"/>
  <c r="F138" i="1" s="1"/>
  <c r="I23" i="8"/>
  <c r="G23" i="8" s="1"/>
  <c r="E137" i="1"/>
  <c r="F137" i="1" s="1"/>
  <c r="L793" i="6"/>
  <c r="L794" i="6" s="1"/>
  <c r="L795" i="6" s="1"/>
  <c r="L796" i="6" s="1"/>
  <c r="L797" i="6" s="1"/>
  <c r="L798" i="6" s="1"/>
  <c r="L799" i="6" s="1"/>
  <c r="L800" i="6" s="1"/>
  <c r="L801" i="6" s="1"/>
  <c r="L802" i="6" s="1"/>
  <c r="H792" i="6"/>
  <c r="H793" i="6" s="1"/>
  <c r="I794" i="6" s="1"/>
  <c r="E139" i="1" l="1"/>
  <c r="F139" i="1" s="1"/>
  <c r="C23" i="8"/>
  <c r="E23" i="8"/>
  <c r="H802" i="6"/>
  <c r="H803" i="6" s="1"/>
  <c r="I804" i="6" s="1"/>
  <c r="L803" i="6"/>
  <c r="L804" i="6" s="1"/>
  <c r="L805" i="6" s="1"/>
  <c r="L806" i="6" s="1"/>
  <c r="L807" i="6" s="1"/>
  <c r="L808" i="6" s="1"/>
  <c r="L809" i="6" s="1"/>
  <c r="L810" i="6" s="1"/>
  <c r="L811" i="6" s="1"/>
  <c r="L812" i="6" s="1"/>
  <c r="E141" i="1" l="1"/>
  <c r="F141" i="1" s="1"/>
  <c r="L813" i="6"/>
  <c r="L814" i="6" s="1"/>
  <c r="L815" i="6" s="1"/>
  <c r="L816" i="6" s="1"/>
  <c r="L817" i="6" s="1"/>
  <c r="L818" i="6" s="1"/>
  <c r="L819" i="6" s="1"/>
  <c r="L820" i="6" s="1"/>
  <c r="L821" i="6" s="1"/>
  <c r="L822" i="6" s="1"/>
  <c r="H812" i="6"/>
  <c r="H813" i="6" s="1"/>
  <c r="I814" i="6" s="1"/>
  <c r="I24" i="8" l="1"/>
  <c r="E24" i="8" s="1"/>
  <c r="E142" i="1"/>
  <c r="F142" i="1" s="1"/>
  <c r="L823" i="6"/>
  <c r="L824" i="6" s="1"/>
  <c r="L825" i="6" s="1"/>
  <c r="L826" i="6" s="1"/>
  <c r="L827" i="6" s="1"/>
  <c r="L828" i="6" s="1"/>
  <c r="L829" i="6" s="1"/>
  <c r="L830" i="6" s="1"/>
  <c r="L831" i="6" s="1"/>
  <c r="L832" i="6" s="1"/>
  <c r="H822" i="6"/>
  <c r="H823" i="6" s="1"/>
  <c r="I824" i="6" s="1"/>
  <c r="E143" i="1" l="1"/>
  <c r="F143" i="1" s="1"/>
  <c r="C24" i="8"/>
  <c r="G24" i="8"/>
  <c r="L833" i="6"/>
  <c r="L834" i="6" s="1"/>
  <c r="L835" i="6" s="1"/>
  <c r="L836" i="6" s="1"/>
  <c r="L837" i="6" s="1"/>
  <c r="L838" i="6" s="1"/>
  <c r="L839" i="6" s="1"/>
  <c r="L840" i="6" s="1"/>
  <c r="L841" i="6" s="1"/>
  <c r="L842" i="6" s="1"/>
  <c r="L843" i="6" s="1"/>
  <c r="L844" i="6" s="1"/>
  <c r="L845" i="6" s="1"/>
  <c r="L846" i="6" s="1"/>
  <c r="L847" i="6" s="1"/>
  <c r="L848" i="6" s="1"/>
  <c r="H832" i="6"/>
  <c r="H833" i="6" s="1"/>
  <c r="I834" i="6" s="1"/>
  <c r="I25" i="8" l="1"/>
  <c r="E25" i="8" s="1"/>
  <c r="E145" i="1"/>
  <c r="F145" i="1" s="1"/>
  <c r="G25" i="8" l="1"/>
  <c r="C25" i="8"/>
  <c r="I26" i="8" l="1"/>
  <c r="E26" i="8" s="1"/>
  <c r="G26" i="8" l="1"/>
  <c r="C26" i="8"/>
  <c r="H843" i="6" l="1"/>
  <c r="H844" i="6" s="1"/>
  <c r="I845" i="6" s="1"/>
  <c r="L849" i="6"/>
  <c r="L850" i="6" s="1"/>
  <c r="L851" i="6" s="1"/>
  <c r="L852" i="6" s="1"/>
  <c r="L853" i="6" s="1"/>
  <c r="E147" i="1" l="1"/>
  <c r="F147" i="1" s="1"/>
  <c r="L854" i="6"/>
  <c r="L855" i="6" s="1"/>
  <c r="L856" i="6" s="1"/>
  <c r="L857" i="6" s="1"/>
  <c r="L858" i="6" s="1"/>
  <c r="L859" i="6" s="1"/>
  <c r="L860" i="6" s="1"/>
  <c r="L861" i="6" s="1"/>
  <c r="L862" i="6" s="1"/>
  <c r="L863" i="6" s="1"/>
  <c r="H853" i="6"/>
  <c r="H854" i="6" s="1"/>
  <c r="I855" i="6" s="1"/>
  <c r="E148" i="1" l="1"/>
  <c r="F148" i="1" s="1"/>
  <c r="L864" i="6"/>
  <c r="L865" i="6" s="1"/>
  <c r="L866" i="6" s="1"/>
  <c r="L867" i="6" s="1"/>
  <c r="L868" i="6" s="1"/>
  <c r="H863" i="6"/>
  <c r="H864" i="6" s="1"/>
  <c r="I865" i="6" s="1"/>
  <c r="E149" i="1" l="1"/>
  <c r="F149" i="1" s="1"/>
  <c r="L870" i="6"/>
  <c r="L871" i="6" s="1"/>
  <c r="L872" i="6" s="1"/>
  <c r="L873" i="6" s="1"/>
  <c r="L869" i="6"/>
  <c r="L874" i="6" l="1"/>
  <c r="L875" i="6" s="1"/>
  <c r="L876" i="6" s="1"/>
  <c r="L877" i="6" s="1"/>
  <c r="L878" i="6" s="1"/>
  <c r="H873" i="6"/>
  <c r="H874" i="6" s="1"/>
  <c r="I875" i="6" s="1"/>
  <c r="E150" i="1" l="1"/>
  <c r="F150" i="1" s="1"/>
  <c r="L879" i="6"/>
  <c r="L880" i="6"/>
  <c r="L881" i="6" s="1"/>
  <c r="L882" i="6" s="1"/>
  <c r="L883" i="6" s="1"/>
  <c r="L884" i="6" l="1"/>
  <c r="L885" i="6" s="1"/>
  <c r="L886" i="6" s="1"/>
  <c r="L887" i="6" s="1"/>
  <c r="L888" i="6" s="1"/>
  <c r="L889" i="6" s="1"/>
  <c r="L890" i="6" s="1"/>
  <c r="L891" i="6" s="1"/>
  <c r="L892" i="6" s="1"/>
  <c r="L893" i="6" s="1"/>
  <c r="H883" i="6"/>
  <c r="H884" i="6" s="1"/>
  <c r="I885" i="6" s="1"/>
  <c r="E151" i="1" l="1"/>
  <c r="F151" i="1" s="1"/>
  <c r="L894" i="6"/>
  <c r="L895" i="6" s="1"/>
  <c r="L896" i="6" s="1"/>
  <c r="L897" i="6" s="1"/>
  <c r="L898" i="6" s="1"/>
  <c r="L899" i="6" s="1"/>
  <c r="L900" i="6" s="1"/>
  <c r="L901" i="6" s="1"/>
  <c r="L902" i="6" s="1"/>
  <c r="L903" i="6" s="1"/>
  <c r="H893" i="6"/>
  <c r="H894" i="6" s="1"/>
  <c r="I895" i="6" s="1"/>
  <c r="E152" i="1" l="1"/>
  <c r="F152" i="1" s="1"/>
  <c r="L904" i="6"/>
  <c r="L905" i="6" s="1"/>
  <c r="L906" i="6" s="1"/>
  <c r="L907" i="6" s="1"/>
  <c r="L908" i="6" s="1"/>
  <c r="L909" i="6" s="1"/>
  <c r="L910" i="6" s="1"/>
  <c r="L911" i="6" s="1"/>
  <c r="L912" i="6" s="1"/>
  <c r="L913" i="6" s="1"/>
  <c r="H903" i="6"/>
  <c r="H904" i="6" s="1"/>
  <c r="I905" i="6" s="1"/>
  <c r="E154" i="1" l="1"/>
  <c r="F154" i="1" s="1"/>
  <c r="L914" i="6"/>
  <c r="L915" i="6" s="1"/>
  <c r="L916" i="6" s="1"/>
  <c r="L917" i="6" s="1"/>
  <c r="L918" i="6" s="1"/>
  <c r="L919" i="6" s="1"/>
  <c r="L920" i="6" s="1"/>
  <c r="L921" i="6" s="1"/>
  <c r="L922" i="6" s="1"/>
  <c r="L923" i="6" s="1"/>
  <c r="H913" i="6"/>
  <c r="H914" i="6" s="1"/>
  <c r="I915" i="6" s="1"/>
  <c r="E155" i="1" l="1"/>
  <c r="F155" i="1" s="1"/>
  <c r="L924" i="6"/>
  <c r="L925" i="6" s="1"/>
  <c r="L926" i="6" s="1"/>
  <c r="L927" i="6" s="1"/>
  <c r="L928" i="6" s="1"/>
  <c r="L929" i="6" s="1"/>
  <c r="L930" i="6" s="1"/>
  <c r="L931" i="6" s="1"/>
  <c r="L932" i="6" s="1"/>
  <c r="L933" i="6" s="1"/>
  <c r="H923" i="6"/>
  <c r="H924" i="6" s="1"/>
  <c r="I925" i="6" s="1"/>
  <c r="I27" i="8" l="1"/>
  <c r="E27" i="8" s="1"/>
  <c r="E156" i="1"/>
  <c r="F156" i="1" s="1"/>
  <c r="F157" i="1" s="1"/>
  <c r="L934" i="6"/>
  <c r="L935" i="6" s="1"/>
  <c r="L936" i="6" s="1"/>
  <c r="L937" i="6" s="1"/>
  <c r="L938" i="6" s="1"/>
  <c r="L939" i="6" s="1"/>
  <c r="L940" i="6" s="1"/>
  <c r="L941" i="6" s="1"/>
  <c r="L942" i="6" s="1"/>
  <c r="L943" i="6" s="1"/>
  <c r="H933" i="6"/>
  <c r="H934" i="6" s="1"/>
  <c r="I935" i="6" s="1"/>
  <c r="G27" i="8" l="1"/>
  <c r="C27" i="8"/>
  <c r="C32" i="8" s="1"/>
  <c r="C34" i="8" s="1"/>
  <c r="E160" i="1"/>
  <c r="F160" i="1" s="1"/>
  <c r="L944" i="6"/>
  <c r="L945" i="6" s="1"/>
  <c r="L946" i="6" s="1"/>
  <c r="L947" i="6" s="1"/>
  <c r="L948" i="6" s="1"/>
  <c r="L949" i="6" s="1"/>
  <c r="L950" i="6" s="1"/>
  <c r="L951" i="6" s="1"/>
  <c r="L952" i="6" s="1"/>
  <c r="L953" i="6" s="1"/>
  <c r="H943" i="6"/>
  <c r="H944" i="6" s="1"/>
  <c r="I945" i="6" s="1"/>
  <c r="H953" i="6" l="1"/>
  <c r="H954" i="6" s="1"/>
  <c r="I955" i="6" s="1"/>
  <c r="L954" i="6"/>
  <c r="L955" i="6" s="1"/>
  <c r="L956" i="6" s="1"/>
  <c r="E162" i="1" l="1"/>
  <c r="F162" i="1" s="1"/>
  <c r="F166" i="1" s="1"/>
  <c r="F181" i="1" s="1"/>
  <c r="L964" i="6"/>
  <c r="L965" i="6" l="1"/>
  <c r="L966" i="6" s="1"/>
  <c r="L967" i="6" s="1"/>
  <c r="L968" i="6" s="1"/>
  <c r="L969" i="6" s="1"/>
  <c r="L970" i="6" s="1"/>
  <c r="L971" i="6" s="1"/>
  <c r="L972" i="6" s="1"/>
  <c r="L973" i="6" s="1"/>
  <c r="L974" i="6" s="1"/>
  <c r="H964" i="6"/>
  <c r="H965" i="6" s="1"/>
  <c r="H966" i="6" s="1"/>
  <c r="L975" i="6" l="1"/>
  <c r="L976" i="6" s="1"/>
  <c r="L977" i="6" s="1"/>
  <c r="L978" i="6" s="1"/>
  <c r="L979" i="6" s="1"/>
  <c r="L980" i="6" s="1"/>
  <c r="L981" i="6" s="1"/>
  <c r="L982" i="6" s="1"/>
  <c r="L983" i="6" s="1"/>
  <c r="L984" i="6" s="1"/>
  <c r="H974" i="6"/>
  <c r="H975" i="6" s="1"/>
  <c r="H976" i="6" s="1"/>
  <c r="L985" i="6" l="1"/>
  <c r="L986" i="6" s="1"/>
  <c r="L987" i="6" s="1"/>
  <c r="L988" i="6" s="1"/>
  <c r="L989" i="6" s="1"/>
  <c r="L990" i="6" s="1"/>
  <c r="L991" i="6" s="1"/>
  <c r="L992" i="6" s="1"/>
  <c r="L993" i="6" s="1"/>
  <c r="L994" i="6" s="1"/>
  <c r="H984" i="6"/>
  <c r="H985" i="6" s="1"/>
  <c r="I986" i="6" s="1"/>
  <c r="I28" i="8" s="1"/>
  <c r="G28" i="8" s="1"/>
  <c r="E28" i="8" l="1"/>
  <c r="H994" i="6"/>
  <c r="H995" i="6" s="1"/>
  <c r="I996" i="6" s="1"/>
  <c r="L995" i="6"/>
  <c r="L996" i="6" s="1"/>
  <c r="L997" i="6" s="1"/>
  <c r="L998" i="6" s="1"/>
  <c r="L999" i="6" s="1"/>
  <c r="L1000" i="6" s="1"/>
  <c r="L1001" i="6" s="1"/>
  <c r="L1002" i="6" s="1"/>
  <c r="L1003" i="6" s="1"/>
  <c r="L1004" i="6" s="1"/>
  <c r="H1004" i="6" l="1"/>
  <c r="H1005" i="6" s="1"/>
  <c r="I1006" i="6" s="1"/>
  <c r="L1005" i="6"/>
  <c r="L1006" i="6" s="1"/>
  <c r="L1007" i="6" s="1"/>
  <c r="L1008" i="6" s="1"/>
  <c r="L1009" i="6" s="1"/>
  <c r="L1010" i="6" s="1"/>
  <c r="L1011" i="6" s="1"/>
  <c r="L1012" i="6" s="1"/>
  <c r="L1013" i="6" s="1"/>
  <c r="L1014" i="6" s="1"/>
  <c r="L1015" i="6" l="1"/>
  <c r="L1016" i="6" s="1"/>
  <c r="L1017" i="6" s="1"/>
  <c r="L1018" i="6" s="1"/>
  <c r="L1019" i="6" s="1"/>
  <c r="L1020" i="6" s="1"/>
  <c r="L1021" i="6" s="1"/>
  <c r="L1022" i="6" s="1"/>
  <c r="L1023" i="6" s="1"/>
  <c r="L1024" i="6" s="1"/>
  <c r="H1014" i="6"/>
  <c r="H1015" i="6" s="1"/>
  <c r="I1016" i="6" s="1"/>
  <c r="L1025" i="6" l="1"/>
  <c r="L1026" i="6" s="1"/>
  <c r="L1027" i="6" s="1"/>
  <c r="L1028" i="6" s="1"/>
  <c r="L1029" i="6" s="1"/>
  <c r="L1030" i="6" s="1"/>
  <c r="L1031" i="6" s="1"/>
  <c r="L1032" i="6" s="1"/>
  <c r="L1033" i="6" s="1"/>
  <c r="L1034" i="6" s="1"/>
  <c r="H1024" i="6"/>
  <c r="H1025" i="6" s="1"/>
  <c r="I1026" i="6" s="1"/>
  <c r="H1034" i="6" l="1"/>
  <c r="H1035" i="6" s="1"/>
  <c r="I1036" i="6" s="1"/>
  <c r="L1035" i="6"/>
  <c r="L1036" i="6" s="1"/>
  <c r="L1037" i="6" s="1"/>
  <c r="L1038" i="6" s="1"/>
  <c r="L1039" i="6" s="1"/>
  <c r="L1040" i="6" s="1"/>
  <c r="L1041" i="6" s="1"/>
  <c r="L1042" i="6" s="1"/>
  <c r="L1043" i="6" s="1"/>
  <c r="L1044" i="6" s="1"/>
  <c r="L1045" i="6" l="1"/>
  <c r="L1046" i="6" s="1"/>
  <c r="L1047" i="6" s="1"/>
  <c r="L1048" i="6" s="1"/>
  <c r="L1049" i="6" s="1"/>
  <c r="L1050" i="6" s="1"/>
  <c r="L1051" i="6" s="1"/>
  <c r="L1052" i="6" s="1"/>
  <c r="L1053" i="6" s="1"/>
  <c r="H1044" i="6"/>
  <c r="H1045" i="6" s="1"/>
  <c r="I1046" i="6" s="1"/>
  <c r="I29" i="8" s="1"/>
  <c r="H1053" i="6" l="1"/>
  <c r="H1054" i="6" s="1"/>
  <c r="I1055" i="6" s="1"/>
  <c r="L1054" i="6"/>
  <c r="L1055" i="6" s="1"/>
  <c r="L1056" i="6" s="1"/>
  <c r="E29" i="8"/>
  <c r="E32" i="8" s="1"/>
  <c r="G29" i="8"/>
  <c r="I30" i="8" l="1"/>
  <c r="I32" i="8" s="1"/>
  <c r="E34" i="8"/>
  <c r="C20" i="7" l="1"/>
  <c r="C19" i="7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G30" i="8"/>
  <c r="E35" i="8"/>
  <c r="G32" i="8" l="1"/>
  <c r="G34" i="8" s="1"/>
  <c r="G35" i="8" s="1"/>
  <c r="C33" i="8"/>
  <c r="C35" i="8"/>
  <c r="E33" i="8"/>
  <c r="D19" i="7"/>
  <c r="J7" i="7"/>
  <c r="L7" i="7"/>
  <c r="L8" i="7" s="1"/>
  <c r="G33" i="8" l="1"/>
</calcChain>
</file>

<file path=xl/sharedStrings.xml><?xml version="1.0" encoding="utf-8"?>
<sst xmlns="http://schemas.openxmlformats.org/spreadsheetml/2006/main" count="1286" uniqueCount="558">
  <si>
    <t>ITEM</t>
  </si>
  <si>
    <t>DESCRIÇÃO DO ITEM</t>
  </si>
  <si>
    <t>UNID</t>
  </si>
  <si>
    <t>QUANT</t>
  </si>
  <si>
    <t>PR UNT</t>
  </si>
  <si>
    <t>VALOR</t>
  </si>
  <si>
    <t>PLANILHA DE IMPLANTAÇÃO</t>
  </si>
  <si>
    <t>SERVIÇOS PRELIMINARES</t>
  </si>
  <si>
    <t>CERCAMENTO</t>
  </si>
  <si>
    <t>Muro de fechamento h=1,80m</t>
  </si>
  <si>
    <t>1.1</t>
  </si>
  <si>
    <t>1.2</t>
  </si>
  <si>
    <t>ml</t>
  </si>
  <si>
    <t>SUPERESTRUTURA</t>
  </si>
  <si>
    <t>2.1</t>
  </si>
  <si>
    <t>m</t>
  </si>
  <si>
    <t>INSTALAÇÕES HIDRO-SANITÁRIAS</t>
  </si>
  <si>
    <t>3.1</t>
  </si>
  <si>
    <t>DIVERSOS-ESGOTO</t>
  </si>
  <si>
    <t>3.1.1</t>
  </si>
  <si>
    <t>3.1.2</t>
  </si>
  <si>
    <t>3.2</t>
  </si>
  <si>
    <t>3.2.1</t>
  </si>
  <si>
    <t>3.2.2</t>
  </si>
  <si>
    <t>3.2.3</t>
  </si>
  <si>
    <t>3.2.4</t>
  </si>
  <si>
    <t>PLANILHA ORÇAMENTÁRIA</t>
  </si>
  <si>
    <t>Caixa de inspeção em alvenaria (90 x 90 x 120 cm)</t>
  </si>
  <si>
    <t>Caixa de gordura em alvenaria (90 x 90 x 120 cm)</t>
  </si>
  <si>
    <t>Concreto armado fck=25 Mpa fabriacado na obra, adensado e lançado,para viga,com formas planas em compensado resinado 12 mm (05 usos)</t>
  </si>
  <si>
    <t>Bacia sanitaria convencional,inclusive assento,conjunto de fixação,anel de vedação,tubo de ligação com acabamento cromado e engate plástico</t>
  </si>
  <si>
    <t>Bacia sanitaria com caixa de descarga acoplada,inclusive assento,conjunto de fixação,anel de vedação,tubo de ligação e engate plástico conforme especificações</t>
  </si>
  <si>
    <t>Lavatório  com coluna,com sifão plástico,engate plástico torneira de metal,vávula cromada,conjunto de fixação,conforme especificações</t>
  </si>
  <si>
    <t>Lavatório sem coluna,com sifão plático,engate plástico torneira de metal,válvula cromada,conjunto de fixação,conforme especificações para PNE</t>
  </si>
  <si>
    <t>3.2.5</t>
  </si>
  <si>
    <t>3.2.6</t>
  </si>
  <si>
    <t>3.2.8</t>
  </si>
  <si>
    <t>3.2.9</t>
  </si>
  <si>
    <t>3.3</t>
  </si>
  <si>
    <t>3.3.1</t>
  </si>
  <si>
    <t>3.3.2</t>
  </si>
  <si>
    <t>3.3.3</t>
  </si>
  <si>
    <t>3.3.4</t>
  </si>
  <si>
    <t>3.3.5</t>
  </si>
  <si>
    <t>3.3.6</t>
  </si>
  <si>
    <t>Cuba de sobrepor oval,p/instalação em bancadas,c/ sifão cromado,torneira de metal,engate plástico conforme especificações</t>
  </si>
  <si>
    <t>Tanque de louça com coluna,com torneira metálica,c/ válvula de plástico e conjunto de fixação,conforme especificações</t>
  </si>
  <si>
    <t>Papelaria de louça,conforme especificações</t>
  </si>
  <si>
    <t>Cabide de louça,branco,conforme especificações</t>
  </si>
  <si>
    <t>Chuveiro eletrico de plástico</t>
  </si>
  <si>
    <t>METAIS</t>
  </si>
  <si>
    <t>Válvula de descarga cromada</t>
  </si>
  <si>
    <t>Fornecimento e instalação saboneteira de louça,conforme especificações</t>
  </si>
  <si>
    <t>Cuba inox de imbutir,em bancada</t>
  </si>
  <si>
    <t>Barra de apoio para deficiente em ferro galvanizado de 11/2'',1=80 cm (bacia sanitária e mictório),inclusive parafusos de fixação e pintura</t>
  </si>
  <si>
    <t>Barra de apoio  para deficiente em ferro galvanizado de 11/2'',1=140 cm lavatório),inclusive parafuso de fixação e pintura</t>
  </si>
  <si>
    <t>4.1</t>
  </si>
  <si>
    <t>4.1.1</t>
  </si>
  <si>
    <t>4.1.2</t>
  </si>
  <si>
    <t>4.1.3</t>
  </si>
  <si>
    <t>4.1.4</t>
  </si>
  <si>
    <t>4.1.5</t>
  </si>
  <si>
    <t>4.1.6</t>
  </si>
  <si>
    <t>4.2</t>
  </si>
  <si>
    <t>FIOS E CABOS</t>
  </si>
  <si>
    <t>Cabo isolado em pvc seção 16,0mm²- 750v/ 70º C</t>
  </si>
  <si>
    <t>Fio isolado em pvc seção 1,5mm²- 750v / 70º C</t>
  </si>
  <si>
    <t>Fio isolado em pcv seção 2,5mm²- 750v / 70º C</t>
  </si>
  <si>
    <t>Fio isolado em pvc seção 4,0mm²- 750v / 70º C</t>
  </si>
  <si>
    <t>Fio isolado em pvc seção 6,0mm²- 750v / 70º C</t>
  </si>
  <si>
    <t>Cabo isolado em pvc seção 10,0mm²- 750v / 70º C</t>
  </si>
  <si>
    <t>4.2.1</t>
  </si>
  <si>
    <t>4.2.2</t>
  </si>
  <si>
    <t>4.3</t>
  </si>
  <si>
    <t>4.3.1</t>
  </si>
  <si>
    <t>4.3.2</t>
  </si>
  <si>
    <t>4.3.3</t>
  </si>
  <si>
    <t>4.4</t>
  </si>
  <si>
    <t>4.4.1</t>
  </si>
  <si>
    <t>4.5</t>
  </si>
  <si>
    <t>4.5.1</t>
  </si>
  <si>
    <t>4.5.2</t>
  </si>
  <si>
    <t>4.6</t>
  </si>
  <si>
    <t>4.6.1</t>
  </si>
  <si>
    <t>4.6.2</t>
  </si>
  <si>
    <t>4.6.3</t>
  </si>
  <si>
    <t>4.7</t>
  </si>
  <si>
    <t>4.7.1</t>
  </si>
  <si>
    <t>4.7.2</t>
  </si>
  <si>
    <t>4.8</t>
  </si>
  <si>
    <t>4.8.1</t>
  </si>
  <si>
    <t>4.8.2</t>
  </si>
  <si>
    <t>4.8.3</t>
  </si>
  <si>
    <t>CABO TELEFÕNICO</t>
  </si>
  <si>
    <t>Instalação de cabo telefônico CCE-50-02</t>
  </si>
  <si>
    <t>Instalação de cabo telefônico CCI-50-02</t>
  </si>
  <si>
    <t>Interruptor 01 seção simples</t>
  </si>
  <si>
    <t>Interruptor 02 seção simples</t>
  </si>
  <si>
    <t>Interruptor para ventilador</t>
  </si>
  <si>
    <t>TOMADAS DE TELEFONE DE EMBUTIR</t>
  </si>
  <si>
    <t>Tomada para telefone,com caixa pvc,embutir</t>
  </si>
  <si>
    <t>TOMADAS ELÉTRICAS DE EMBUTIR</t>
  </si>
  <si>
    <t>Tomada de embutir para uso geral, 2p+t</t>
  </si>
  <si>
    <t>Tomada de embutir para uso geral, 2p+t,dupla</t>
  </si>
  <si>
    <t>CAIXA DE EMBUTIR DE PVC</t>
  </si>
  <si>
    <t>Fornecimento e assentamento de caixa pvc 4'' x 2'' com tampa</t>
  </si>
  <si>
    <t>Fornecimento e assentamento de caixa pvc 4'' x 4''</t>
  </si>
  <si>
    <t>Fornecimento e assentamento de caixa octogonal de pvc 4'' x 4''</t>
  </si>
  <si>
    <t>LUMINÁRIA</t>
  </si>
  <si>
    <t>Luminária fluorescente de embutir aberta 1 x 32 w,completa conforme especificações</t>
  </si>
  <si>
    <t>Luminária fluorescente de embutir aberta 2 x 32 w,completa conforme especificações</t>
  </si>
  <si>
    <t>SISTEMA DE PROTEÇÃO CONTRA DESCARGA ATMOSFÉRICA</t>
  </si>
  <si>
    <t>Cabo de cobre nú 35 mm²</t>
  </si>
  <si>
    <t>Conjunto terminal aéreo,presilha e fixação</t>
  </si>
  <si>
    <t>Conector e descida para pilares</t>
  </si>
  <si>
    <t>5.1</t>
  </si>
  <si>
    <t>5.1.1</t>
  </si>
  <si>
    <t>5.1.2</t>
  </si>
  <si>
    <t>ESQUADRIAS</t>
  </si>
  <si>
    <t>MADEIRA</t>
  </si>
  <si>
    <t>und</t>
  </si>
  <si>
    <t>5.1.3</t>
  </si>
  <si>
    <t>5.1.4</t>
  </si>
  <si>
    <t>5.1.5</t>
  </si>
  <si>
    <t>5.2</t>
  </si>
  <si>
    <t>5.2.1</t>
  </si>
  <si>
    <t>5.3</t>
  </si>
  <si>
    <t>5.3.1</t>
  </si>
  <si>
    <t>5.3.2</t>
  </si>
  <si>
    <t>5.3.3</t>
  </si>
  <si>
    <t>Porta em madeira de lei,lisa,semi-ôca,0.70 x 2.10 m,exclusive ferragens - PM-1</t>
  </si>
  <si>
    <t>Porta em madeira de lei,lisa,semi-ôca,0.80 x 2.10 m,exclusive ferragens - PM-2</t>
  </si>
  <si>
    <t>Porta em madeira de lei,lisa,semi-ôca, 0.90 x 2.10 m,exclusive ferragens - PM-3</t>
  </si>
  <si>
    <t>Porta em madeira de lei,lisa,semi-ôca, 0.60 x 1.80 m,com batentes e ferragens - PM-4</t>
  </si>
  <si>
    <t>Porta em madeira de lei,lisa,semi-ôca, 0.80 x 1.80 m, com batentes,ferregens e barra para PNE- PM-5</t>
  </si>
  <si>
    <t>METALICAS</t>
  </si>
  <si>
    <t>Basculante de ferro (dimensões,detalhes e nos ambinetes conforme o projeto - vide quadro de esquadrias)</t>
  </si>
  <si>
    <t>FERRAGENS PARA ESQUADRIAS DE MADEIRA</t>
  </si>
  <si>
    <t>Dobradiça de latão ou aço,acabamento cromado brilhante,tipo média, 3 x 2  1/2'' com anéis,com parafusos,conforme especificações</t>
  </si>
  <si>
    <t>Tarjeta em aço inox para banheiro (tipo livre/ocupado)</t>
  </si>
  <si>
    <t>m²</t>
  </si>
  <si>
    <t>6.1</t>
  </si>
  <si>
    <t>6.1.1</t>
  </si>
  <si>
    <t>6.1.2</t>
  </si>
  <si>
    <t>6.1.3</t>
  </si>
  <si>
    <t>COBERTURA</t>
  </si>
  <si>
    <t>Telhado em telha cerâmica tipo PLAN  de primeira qualidade</t>
  </si>
  <si>
    <t>Cumeeira para telha tipo PLAN,inclusive emassamento</t>
  </si>
  <si>
    <t>Estrututa para telha cerâmica tipo PLAN,em madeira de lei aparelhada</t>
  </si>
  <si>
    <t>7.1</t>
  </si>
  <si>
    <t>7.1.1</t>
  </si>
  <si>
    <t>7.1.2</t>
  </si>
  <si>
    <t>7.1.3</t>
  </si>
  <si>
    <t>7.1.4</t>
  </si>
  <si>
    <t>7.1.5</t>
  </si>
  <si>
    <t>7.2</t>
  </si>
  <si>
    <t>REVESTIMENTO</t>
  </si>
  <si>
    <t>MASSA</t>
  </si>
  <si>
    <t>Chapisco em madeira com argamassa traço - 1:3 (cimento/areia)</t>
  </si>
  <si>
    <t>Chapisco em teto com argamassa traço - 1:3 (cimento/areia)</t>
  </si>
  <si>
    <t>Emboço de parede,com argamassa traço - 1:2:8 (cimento/cal/areia), espessura 2,0 cm</t>
  </si>
  <si>
    <t>Emboço de parede,com argamassa traço - 1:2:8 (cimento/cal/areia), espessura 1,5 cm</t>
  </si>
  <si>
    <t>Reboco para teto,com argamassa traço - 1:2:6 (cimento/cal/areia), espessura 1,5 cm - massa única</t>
  </si>
  <si>
    <t>ACABAMENTO</t>
  </si>
  <si>
    <t>7.2.1</t>
  </si>
  <si>
    <t>Revestimento cerâmico para parede,pei - 4,dimensão 10 x 10 cm,aplicado com argamassa industrializada ac-i,rejuntado,exclusive emboço,conforme especificações</t>
  </si>
  <si>
    <t>8.1</t>
  </si>
  <si>
    <t>8.1.1</t>
  </si>
  <si>
    <t>8.2</t>
  </si>
  <si>
    <t>8.2.1</t>
  </si>
  <si>
    <t>8.3</t>
  </si>
  <si>
    <t>8.3.1</t>
  </si>
  <si>
    <t>PAVIMENTAÇÃO</t>
  </si>
  <si>
    <t>CAMADA IMPERMEABILIZADORA</t>
  </si>
  <si>
    <t>Lastro de concreto simples regularizado para piso inclusive impermeabiliação</t>
  </si>
  <si>
    <t>Revestimento cerâmico para piso,dimensão 40 x 40 cm,pei - 4,aplicado com argamassa industrializada ac-i,rejuntado,exclusive regularização de base,conforme especificações</t>
  </si>
  <si>
    <t>Piso em concreto simples desempolado,fck=15 mpa,e=7 cm</t>
  </si>
  <si>
    <t>m³</t>
  </si>
  <si>
    <t>CALÇADA EM CONCRETO</t>
  </si>
  <si>
    <t>9.1</t>
  </si>
  <si>
    <t>9.1.1</t>
  </si>
  <si>
    <t>9.2</t>
  </si>
  <si>
    <t>9.2.1</t>
  </si>
  <si>
    <t>SOLEIRAS E RODAPÉS</t>
  </si>
  <si>
    <t>RODAPÉ</t>
  </si>
  <si>
    <t>Soleiras em granito cinza andorinha largura 15 em espessura 3cm,inclusive impermeabilização</t>
  </si>
  <si>
    <t>Rodapé cerâmico,dimensão 8,5 x 40 cm,aplicado com argamassa industrializada ac-i,rejuntado,conforme especificações</t>
  </si>
  <si>
    <t>10.1</t>
  </si>
  <si>
    <t>10.1.1</t>
  </si>
  <si>
    <t>10.1.2</t>
  </si>
  <si>
    <t>10.2</t>
  </si>
  <si>
    <t>10.2.1</t>
  </si>
  <si>
    <t>10.2.2</t>
  </si>
  <si>
    <t>10.2.3</t>
  </si>
  <si>
    <t>PINTURA</t>
  </si>
  <si>
    <t>ACRILICA</t>
  </si>
  <si>
    <t>Pintura sobre teto,com lixamento,aplicação de 01 demão de selador acrilico,02 demaõs de massa acrilica e 02 demãos de tinta acrilica</t>
  </si>
  <si>
    <t>ESMALTE</t>
  </si>
  <si>
    <t>Pintura de acabamento com aplicação de 02 demãos de esmalte sobre esquadrias de madeira</t>
  </si>
  <si>
    <t>Pintura de acabamento com aplicação de 01 demão de esmalte sintético sobre madeiramento do telhado</t>
  </si>
  <si>
    <t>Pintura sobre esquadrias metálicas,com aplicação de 01 demão de tinta a base de zarcão e 02 demãos de tinta esmalte</t>
  </si>
  <si>
    <t>11.1</t>
  </si>
  <si>
    <t>11.1.1</t>
  </si>
  <si>
    <t>11.2</t>
  </si>
  <si>
    <t>11.2.1</t>
  </si>
  <si>
    <t>11.2.2</t>
  </si>
  <si>
    <t>11.2.3</t>
  </si>
  <si>
    <t>11.2.4</t>
  </si>
  <si>
    <t>11.2.5</t>
  </si>
  <si>
    <t>11.3</t>
  </si>
  <si>
    <t>11.3.1</t>
  </si>
  <si>
    <t>11.3.2</t>
  </si>
  <si>
    <t>11.3.3</t>
  </si>
  <si>
    <t>11.4</t>
  </si>
  <si>
    <t>11.4.1</t>
  </si>
  <si>
    <t>11.5</t>
  </si>
  <si>
    <t>11.5.1</t>
  </si>
  <si>
    <t>11.5.2</t>
  </si>
  <si>
    <t>11.5.3</t>
  </si>
  <si>
    <t>11.5.4</t>
  </si>
  <si>
    <t>11.5.5</t>
  </si>
  <si>
    <t>11.5.6</t>
  </si>
  <si>
    <t>11.6</t>
  </si>
  <si>
    <t>11.6.1</t>
  </si>
  <si>
    <t>11.6.2</t>
  </si>
  <si>
    <t>11.6.3</t>
  </si>
  <si>
    <t>ELEMENTOS DECORATIVOS E OUTROS</t>
  </si>
  <si>
    <t xml:space="preserve">CONCRETO </t>
  </si>
  <si>
    <t>Banco de concreto em alvenaria de tijolo,assento em concreto armado,sem encosto,pintado com tinta acrílica,2 demãos(dimensões,detalhes e nos ambientes conforme projeto)</t>
  </si>
  <si>
    <t>BANCADA</t>
  </si>
  <si>
    <t>Bancada em granito cinza andorinha de 3cm de espessura,dim 2.85 x 0,60m, com testeita 7 cm,com instalação de 3 cubas(ver item 5.10.5) e um corte circular,polido,para lixeira conforme projeto</t>
  </si>
  <si>
    <t>Bancada em granito cinza andorinha de 3 cm espessura ,dim 3.65 x 0.60m, inclusive rodopia 7 cm,assentada</t>
  </si>
  <si>
    <t>Bancada em granito cinza andorinha de 3 cm espessura ,dim 3.65 x 0.60m, com duas cubas de cozinha,inclusive rodopia 7 cm,e pingadeira 2 cm assentada</t>
  </si>
  <si>
    <t>Bancada em alvenarai,com portas em madeira com revestimento melaminico,tampo em granito cinza andorinha,conforme projeto</t>
  </si>
  <si>
    <t>Bancada com tampo de madeira com revestimento melaminico branco(dim 0.80 x 6.00 m) e base em alvenaria revestida em cerâmica,conforme projeto</t>
  </si>
  <si>
    <t>Quadro escolar verde e branco,com moldura de madeira e porta giz e pincel atômico,confome especificações</t>
  </si>
  <si>
    <t>Quadro escolar branco,com moldura,instalado ma sala de informática</t>
  </si>
  <si>
    <t>Prateleira em compensado naval 18mm, com revestimento melaminico,inclusive suporte com mão francesa,conforme projeto</t>
  </si>
  <si>
    <t>INCÊNDIO</t>
  </si>
  <si>
    <t>Extintor de pó quimico ABC,capacidade 6 Kg,alcance médio de jato 5m,tempo de descarga 16s,NBR 9443,9444,10721</t>
  </si>
  <si>
    <t>GÁS</t>
  </si>
  <si>
    <t>VIDROS</t>
  </si>
  <si>
    <t>Vidro liso incolor 4mm</t>
  </si>
  <si>
    <t>Vidro canelado incolor 4mm</t>
  </si>
  <si>
    <t>Espelho de cristal 4mm,com moldura de aluminio,acabamento em laminado</t>
  </si>
  <si>
    <t>12.1</t>
  </si>
  <si>
    <t>12.1.1</t>
  </si>
  <si>
    <t>12.1.2</t>
  </si>
  <si>
    <t>12.1.3</t>
  </si>
  <si>
    <t>12.1.4</t>
  </si>
  <si>
    <t>12.1.5</t>
  </si>
  <si>
    <t>12.1.6</t>
  </si>
  <si>
    <t>INSTALAÇÕES REDE LÓGICA</t>
  </si>
  <si>
    <t>REDE LÓGICA</t>
  </si>
  <si>
    <t>Cabo telefonico CCI-50 2 pares (uso interno) - fornecimento e instalações</t>
  </si>
  <si>
    <t>Cabo UTP 4 pares categoria 6</t>
  </si>
  <si>
    <t>Obturador com haste padrão TELEBRAS</t>
  </si>
  <si>
    <t>Conector RJ45 (fêmea), para lógica</t>
  </si>
  <si>
    <t>Tomada para telefone de 4 pólos padrão Telebras - fornecimento e instalação</t>
  </si>
  <si>
    <t>Espelho plástico RJ 11/ RJ 45 2 X 4'', 2 saidas</t>
  </si>
  <si>
    <t>13.1</t>
  </si>
  <si>
    <t>13.1.1</t>
  </si>
  <si>
    <t>13.1.2</t>
  </si>
  <si>
    <t>13.2</t>
  </si>
  <si>
    <t>13.2.1</t>
  </si>
  <si>
    <t>13.2.2</t>
  </si>
  <si>
    <t>13.2.3</t>
  </si>
  <si>
    <t>PORTAL DE ACESSO</t>
  </si>
  <si>
    <t>MUROS E FECHOS</t>
  </si>
  <si>
    <t>Muro em cobogó h=1,80m -Padrão FNDE</t>
  </si>
  <si>
    <t>Portão deabrie em metalon 40 x 40mm c/10cm 2fts</t>
  </si>
  <si>
    <t>Estrutura para telha cerâmica tipim PLAN,em madeira aparelahada,apoiada em parede</t>
  </si>
  <si>
    <t>Cobertura em telha cerâmica tipo PLAN com argamassa traço 1:3 (cimento e areia) e arame recozido</t>
  </si>
  <si>
    <t>Cumeeira com telha cerâmica tipo PLAN embocada com argamassa traço 1:2:8 (cimento,cal hidratada e areia)</t>
  </si>
  <si>
    <t>13.1.3</t>
  </si>
  <si>
    <t>pç</t>
  </si>
  <si>
    <t>14.1</t>
  </si>
  <si>
    <t>14.1.1</t>
  </si>
  <si>
    <t>LIMPEZA DA OBRA</t>
  </si>
  <si>
    <t>Limpeza geral</t>
  </si>
  <si>
    <t>LIMPEZA</t>
  </si>
  <si>
    <t>Custo TOTAL com BDI incluso</t>
  </si>
  <si>
    <t>LOUÇAS-FORNECIMENTO E INSTALAÇÕES</t>
  </si>
  <si>
    <t>Torneira croamda para pia de cozinha,de mesa,com articulador,ø 1/2''</t>
  </si>
  <si>
    <t>INSTALAÇÕES ELÉTRICAS E TELEFONICAS</t>
  </si>
  <si>
    <t>INTERRUPTOR</t>
  </si>
  <si>
    <t>Fechadura,maçaneta/espelho,acabamento cromado brilhante,conforme especificações</t>
  </si>
  <si>
    <t>TELHAS E ESTRUTURA EM MADEIRA</t>
  </si>
  <si>
    <t>Pintura sobre paredes,com lixamento,aplicação de 01 demão de selador acrilico,02 demãos de massa acrilica e 02 demãos de tinta acrilica</t>
  </si>
  <si>
    <t>Tubo de aço sem constura SCH 40 ø 3/4''</t>
  </si>
  <si>
    <t>Cotovelo em aço forjado classe 10 ø  3/4'' x 90º</t>
  </si>
  <si>
    <t>Te em aço forjado classe 10 ø  3/4''</t>
  </si>
  <si>
    <t>União em aço forjado classe 10 ø 3/4''</t>
  </si>
  <si>
    <t>Registro esfera ø  3/4''</t>
  </si>
  <si>
    <t>Luva em aço forjado classe 10  ø 3/4''</t>
  </si>
  <si>
    <t>Tirante com rosca total,ref. DP-48,  ø 1 1/4'' x 600mm,fabricação REAL PERFIL ou similar</t>
  </si>
  <si>
    <t>2.2</t>
  </si>
  <si>
    <t>2.3</t>
  </si>
  <si>
    <t>2.5</t>
  </si>
  <si>
    <t>2.6</t>
  </si>
  <si>
    <t>3.4</t>
  </si>
  <si>
    <t>Subtotal item 4</t>
  </si>
  <si>
    <t>Subtotal item 5</t>
  </si>
  <si>
    <t>Subtotal item 6</t>
  </si>
  <si>
    <t>Subtotal item 7</t>
  </si>
  <si>
    <t>Subtotal item 8</t>
  </si>
  <si>
    <t>Subtotal item 9</t>
  </si>
  <si>
    <t>Subtotal item 10</t>
  </si>
  <si>
    <t>Subtotal item 13</t>
  </si>
  <si>
    <t>RESUMO DE ORÇAMENTO</t>
  </si>
  <si>
    <t>SERVIÇOS</t>
  </si>
  <si>
    <t>VALOR (R$)</t>
  </si>
  <si>
    <t>%</t>
  </si>
  <si>
    <t>TOTAL GERAL C/ BDI</t>
  </si>
  <si>
    <t xml:space="preserve">   A MIRANDA CAPELA CONSTRUTORA COMERCIO E SERVIÇOS EIRELI-EPP                                                                                                                                                    CNPJ: 15.788.657/0001-32, Incs. Estadual nº 15.376.620-4,                                                                                                                                                                         Rua Antônio Braga, s/n – Bairro Vila do Carmo, neste município de Cametá - PA</t>
  </si>
  <si>
    <t>COMPOSIÇÃO DE CUSTO UNITÁRIO</t>
  </si>
  <si>
    <t>SERVIÇO / DESCRIÇÃO</t>
  </si>
  <si>
    <t>UNID.</t>
  </si>
  <si>
    <t>PREÇO
UNIT. (R$)</t>
  </si>
  <si>
    <t>Qtd. / Coef.</t>
  </si>
  <si>
    <t>PREÇO Total (R$)</t>
  </si>
  <si>
    <t>BDI</t>
  </si>
  <si>
    <t>L. S</t>
  </si>
  <si>
    <t>M. OBRA</t>
  </si>
  <si>
    <t>MAT.</t>
  </si>
  <si>
    <t>M2</t>
  </si>
  <si>
    <t>Areia branca</t>
  </si>
  <si>
    <t>Seixo Lavado</t>
  </si>
  <si>
    <t>Cimento 50Kg</t>
  </si>
  <si>
    <t>SC</t>
  </si>
  <si>
    <t>Ferro CA 50 e CA 60</t>
  </si>
  <si>
    <t>Kg</t>
  </si>
  <si>
    <t>Forma com madeira branca</t>
  </si>
  <si>
    <t>Tijolo</t>
  </si>
  <si>
    <t>ML</t>
  </si>
  <si>
    <t>Armador</t>
  </si>
  <si>
    <t>H</t>
  </si>
  <si>
    <t>Carpinteiro</t>
  </si>
  <si>
    <t>Predeiro</t>
  </si>
  <si>
    <t>Servente</t>
  </si>
  <si>
    <t>Custo Direto</t>
  </si>
  <si>
    <t>LS(%): 148,42</t>
  </si>
  <si>
    <t>BDI (%): 27,08</t>
  </si>
  <si>
    <t>Valor Total c/ Taxas</t>
  </si>
  <si>
    <t>ENCANADOR</t>
  </si>
  <si>
    <t>SERVENTE</t>
  </si>
  <si>
    <t>U N</t>
  </si>
  <si>
    <t/>
  </si>
  <si>
    <t>PEDREIRO</t>
  </si>
  <si>
    <t>M²</t>
  </si>
  <si>
    <t>DESMOLDANTE PROTETOR PARA FORMAS DE MADEIRA</t>
  </si>
  <si>
    <t>L</t>
  </si>
  <si>
    <t>PECA DE MADEIRA NATIVA / REGIONAL 7,5 X 7,5CM (3X3) NAO APARELHADA (P/FORMA)</t>
  </si>
  <si>
    <t xml:space="preserve">M </t>
  </si>
  <si>
    <t>PECA DE MADEIRA NATIVA/REGIONAL 2,5 X 5CM (1X2") NAO APARELHADA (SARRAFO-P/FORMA)</t>
  </si>
  <si>
    <t>M</t>
  </si>
  <si>
    <t>PREGO POLIDO COM CABECA 18 X 27</t>
  </si>
  <si>
    <t>TABUA MADEIRA 2A QUALIDADE 2,5 X 30,0CM (1 X 12") NAO APARELHADA</t>
  </si>
  <si>
    <t>CARPINTEIRO</t>
  </si>
  <si>
    <t>ELETRICISTA</t>
  </si>
  <si>
    <t>SERRALHEIRO</t>
  </si>
  <si>
    <t>PREDEIRO</t>
  </si>
  <si>
    <t>M³</t>
  </si>
  <si>
    <t>Pedreiro</t>
  </si>
  <si>
    <t>PINTOR</t>
  </si>
  <si>
    <t xml:space="preserve">U N </t>
  </si>
  <si>
    <t>VIDRAÇEIRO</t>
  </si>
  <si>
    <t>PÇ</t>
  </si>
  <si>
    <t xml:space="preserve">CARPINTERIO </t>
  </si>
  <si>
    <t xml:space="preserve">PREDEIRO </t>
  </si>
  <si>
    <t>RESUMO</t>
  </si>
  <si>
    <t xml:space="preserve"> PREFEITURA MUNICIPAL DE BAIÃO</t>
  </si>
  <si>
    <t xml:space="preserve">OBRA </t>
  </si>
  <si>
    <t>Total</t>
  </si>
  <si>
    <t>Valor (R$)</t>
  </si>
  <si>
    <t>(%)</t>
  </si>
  <si>
    <t>TOTAL DA OBRA</t>
  </si>
  <si>
    <t xml:space="preserve">   A MIRANDA CAPELA CONSTRUTORA COMERCIO E SERVIÇOS EIRELI-EPP                                                                                                                                                                                   CNPJ: 15.788.657/0001-32, Incs. Estadual nº 15.376.620-4,                                                                                                                                                                                                                               Rua Antônio Braga, s/n – Bairro Vila do Carmo, neste município de Cametá - PA</t>
  </si>
  <si>
    <t>CRONOGRAMA FISICO-FINANCEIRO</t>
  </si>
  <si>
    <t>DESCRIÇÃO DOS SERVIÇOS</t>
  </si>
  <si>
    <t>1º MÊS (30 DIAS)</t>
  </si>
  <si>
    <t>2º MÊS (60 DIAS)</t>
  </si>
  <si>
    <t>3º MÊS (90 DIAS)</t>
  </si>
  <si>
    <t>TOTAL</t>
  </si>
  <si>
    <t>R$</t>
  </si>
  <si>
    <t>Parcial Simples</t>
  </si>
  <si>
    <t>Percentual Simples (%)</t>
  </si>
  <si>
    <t>Toral Acumulado</t>
  </si>
  <si>
    <t>Percentual Acumulado (%)</t>
  </si>
  <si>
    <t>COMPOSIÇÃO ANALÍTICA DA TAXA DE B.D.I.</t>
  </si>
  <si>
    <t>1 - ADMINISTRAÇÃO CENTRAL</t>
  </si>
  <si>
    <t>DESCRIÇÃO</t>
  </si>
  <si>
    <t>TAXA (%)</t>
  </si>
  <si>
    <t>MÃO DE OBRA</t>
  </si>
  <si>
    <t>TRANSPORTES</t>
  </si>
  <si>
    <t>1.3</t>
  </si>
  <si>
    <t>MANUTENÇÃO E OPERAÇÃO DO ESCRITÓRIO CENTRAL</t>
  </si>
  <si>
    <t>1.4</t>
  </si>
  <si>
    <t>DESPESAS DIVERSAS</t>
  </si>
  <si>
    <t>TOTAL DA ADMINISTRAÇÃO CENTRAL</t>
  </si>
  <si>
    <t>2 - DESPESAS FISCAIS</t>
  </si>
  <si>
    <t>PIS</t>
  </si>
  <si>
    <t>ISS/ICMS</t>
  </si>
  <si>
    <t>CONFINS</t>
  </si>
  <si>
    <t>IRPJ</t>
  </si>
  <si>
    <t>CSLL</t>
  </si>
  <si>
    <t>TOTAL DAS DISPESAS FISCAIS</t>
  </si>
  <si>
    <t>3 - DIVERSOS</t>
  </si>
  <si>
    <t>BONIFICAÇÃO DA EMPRESA (LUCRO)</t>
  </si>
  <si>
    <t>DESPESAS FINANCEIRAS</t>
  </si>
  <si>
    <t>SEGURO OBRIGATÓRIO</t>
  </si>
  <si>
    <t>RISCOS E EVENTUAIS</t>
  </si>
  <si>
    <t>TOTAL DIVERSOS</t>
  </si>
  <si>
    <t>BONIFICAÇÃO E DESPESAS INDIRETAS (B.D.I)</t>
  </si>
  <si>
    <t>BDI =</t>
  </si>
  <si>
    <r>
      <t>(1 + X) x (1 + Y) x (1 + Z)</t>
    </r>
    <r>
      <rPr>
        <sz val="10"/>
        <rFont val="Arial"/>
        <family val="2"/>
      </rPr>
      <t xml:space="preserve">  - 1</t>
    </r>
  </si>
  <si>
    <t xml:space="preserve">             (1 - I)</t>
  </si>
  <si>
    <t>CONCEITO DE ANO PRODUTIVO</t>
  </si>
  <si>
    <t>Jornada mensal de trabalho (220 horas/mês)</t>
  </si>
  <si>
    <t>horas/mês</t>
  </si>
  <si>
    <t>Jornada diária de trabalho =&gt; (220 horas/30 dias)</t>
  </si>
  <si>
    <t>horas/dia</t>
  </si>
  <si>
    <t>HORAS NÃO TRABALHADAS</t>
  </si>
  <si>
    <t>TAXAS DE LEIS SOCIAIS E RISCOS DE TRABALHO HORISTAS</t>
  </si>
  <si>
    <t>Domingos ou Repouso Semanal Remunerado</t>
  </si>
  <si>
    <t>horas</t>
  </si>
  <si>
    <t>A: Encargos Sociais Básicos</t>
  </si>
  <si>
    <t>Feriados</t>
  </si>
  <si>
    <t>12,5</t>
  </si>
  <si>
    <t>A.1</t>
  </si>
  <si>
    <t>Previdência Social (INSS)</t>
  </si>
  <si>
    <t>Auxílio Efermidade - Doença (15 dias, ocorrência de 3,40%)</t>
  </si>
  <si>
    <t>A.2</t>
  </si>
  <si>
    <t>Fundo de Garantia por Tempo de Serviço (FGTS)</t>
  </si>
  <si>
    <t>Licença Paternidade (5 dias, incidência (92,36%), proporção (85,64%) e rocorre (5,93%)</t>
  </si>
  <si>
    <t>A.3</t>
  </si>
  <si>
    <t>Salário Educação</t>
  </si>
  <si>
    <t>Licença Maternidade (120 dias, natalidade (4,33%), incidência (7,64%), proporção (82,40%)</t>
  </si>
  <si>
    <t>A.4</t>
  </si>
  <si>
    <t>Serviço Social da Industria (SESI)</t>
  </si>
  <si>
    <t>Faltas Justificadas</t>
  </si>
  <si>
    <t>A.5</t>
  </si>
  <si>
    <t>Serviço Nacional de Aprendizagem Industrial (SENAI)</t>
  </si>
  <si>
    <t>Dias de Chuvas</t>
  </si>
  <si>
    <t>A.6</t>
  </si>
  <si>
    <t>Serviço de Apoio a Pequena e Média Empresa (SEBRAE)</t>
  </si>
  <si>
    <t>Auxílio Acidente de Trabalho (incremento 3,50%)</t>
  </si>
  <si>
    <t>A.7</t>
  </si>
  <si>
    <t>Instituto Nacional de Colonização e Reforma Agraria (INCRA)</t>
  </si>
  <si>
    <t>Férias Gozadas + 1/3 Adicional</t>
  </si>
  <si>
    <t>A.8</t>
  </si>
  <si>
    <t>Seguro Contra os Acidentes de Trabalho (INSS)</t>
  </si>
  <si>
    <r>
      <t xml:space="preserve">ANO PRODUTIVO </t>
    </r>
    <r>
      <rPr>
        <sz val="9"/>
        <rFont val="Arial"/>
        <family val="2"/>
      </rPr>
      <t>(1 ano =&gt; 365 dias + 1/4 dia ano bisexto)</t>
    </r>
  </si>
  <si>
    <t>A.9</t>
  </si>
  <si>
    <t>SECONCI</t>
  </si>
  <si>
    <t>ANO PRODUTIVO MENOS HORAS NÃO TRABALHADAS</t>
  </si>
  <si>
    <t>12</t>
  </si>
  <si>
    <t>Subtotal (A)</t>
  </si>
  <si>
    <t>13º Salário (30 dias)</t>
  </si>
  <si>
    <t>B: Encargos Sociais que recebem as incidências de A</t>
  </si>
  <si>
    <t>Aviso prévio Indenizado (30 dias + 3 dias p/ano, incidência (90,00%)</t>
  </si>
  <si>
    <t>B.1</t>
  </si>
  <si>
    <t>Repouso Semanal e Feriados</t>
  </si>
  <si>
    <t>Aviso prévio trabalhado (7 dias)</t>
  </si>
  <si>
    <t>B.2</t>
  </si>
  <si>
    <t>Auxílio-enfermidade</t>
  </si>
  <si>
    <t>Férias Indenizadas + 1/3 Adicional (6,26 meses)</t>
  </si>
  <si>
    <t>B.3</t>
  </si>
  <si>
    <t>Licença-paternidade</t>
  </si>
  <si>
    <t>Depósito por Despedida Injusta</t>
  </si>
  <si>
    <t>B.4</t>
  </si>
  <si>
    <t>13º Salário</t>
  </si>
  <si>
    <t>Indenização Adicional (1/12 - adotado)</t>
  </si>
  <si>
    <t>B.5</t>
  </si>
  <si>
    <t>Dias de chuva/ falta justificadas/ acidentes de trabalho/ greves/ alta ou atraso na entrega de materiais ou serviços de obra/ outras dificuldades</t>
  </si>
  <si>
    <t>Subtotal (B)</t>
  </si>
  <si>
    <t>Legenda</t>
  </si>
  <si>
    <t>C: Encargos Sociais que não recebem as incidências globais de A</t>
  </si>
  <si>
    <t>C.1</t>
  </si>
  <si>
    <t>Depósito por despedida injusta: 50% sobre [A.2+(A.2xB)] (supondo apenas rescisões por despedida injusta)</t>
  </si>
  <si>
    <t>CUSTOS MÉDIOS ESTIMADOS</t>
  </si>
  <si>
    <t>VALORES</t>
  </si>
  <si>
    <t>C.2</t>
  </si>
  <si>
    <t>Férias (indenizadas)</t>
  </si>
  <si>
    <t>Custo Médio (un.) da Condução - C</t>
  </si>
  <si>
    <t>C.3</t>
  </si>
  <si>
    <t>Aviso Prévio Indenizado</t>
  </si>
  <si>
    <t>Número de Conduções - NC</t>
  </si>
  <si>
    <t>Subtotal (C)</t>
  </si>
  <si>
    <t>Custo Médio (un.) de um Café da Manhã - F</t>
  </si>
  <si>
    <t>D: Taxa de Reincidências</t>
  </si>
  <si>
    <t>Custo Médio (un.) da Refeição - R</t>
  </si>
  <si>
    <t>D.1</t>
  </si>
  <si>
    <t>Reincidência de A sobre B</t>
  </si>
  <si>
    <t>Número de Refeições - NR</t>
  </si>
  <si>
    <t>D.2</t>
  </si>
  <si>
    <t>Reicidência de A2 sobre C3</t>
  </si>
  <si>
    <t>Subtotal (D)</t>
  </si>
  <si>
    <t>Custo Médio (un.) do seguro - C</t>
  </si>
  <si>
    <t>TOTAL DE ENCARGOS SOCIAIS</t>
  </si>
  <si>
    <t>Custo Médio do EPI (mês)/-1/3 de calçado + 1/10 de capacete + 1/10 cinturão - K</t>
  </si>
  <si>
    <t>E: Complementos</t>
  </si>
  <si>
    <t>Salário Médio Nominal (mês)</t>
  </si>
  <si>
    <t>E.1</t>
  </si>
  <si>
    <t>Vale Transporte = (CxNCx0,06)/S%</t>
  </si>
  <si>
    <t>Ferramentas manuais</t>
  </si>
  <si>
    <t>E.2</t>
  </si>
  <si>
    <t>Vale Café da Manhâ = (FxNR-S/30x22x0,01)/S%</t>
  </si>
  <si>
    <t>E.3</t>
  </si>
  <si>
    <t>Refeição = (RxNRx0,95)/S%</t>
  </si>
  <si>
    <t>E.4</t>
  </si>
  <si>
    <t>Seguro de vida e Acidente em Grupo = C/S%</t>
  </si>
  <si>
    <t>E.5</t>
  </si>
  <si>
    <t>Equipamento de Proteção Individual = K/S%</t>
  </si>
  <si>
    <t>E.6</t>
  </si>
  <si>
    <t>Pesquisa de Dados no CAGED</t>
  </si>
  <si>
    <t>TOTAL DE COMPLEMENTOS</t>
  </si>
  <si>
    <t>TOTAL GERAL (Encargos Sociais + Complementos)</t>
  </si>
  <si>
    <t>Desligamentos</t>
  </si>
  <si>
    <t>Dispensados com Justa Causa</t>
  </si>
  <si>
    <t>Dispensados sem Justa Causa</t>
  </si>
  <si>
    <t>Espontâneos</t>
  </si>
  <si>
    <t>Fim de Contrato por Prazo Determinado</t>
  </si>
  <si>
    <t>Término de Contrato</t>
  </si>
  <si>
    <t>Aposentados</t>
  </si>
  <si>
    <t>Mortos</t>
  </si>
  <si>
    <t>Transferência de Saída</t>
  </si>
  <si>
    <t>Estoque</t>
  </si>
  <si>
    <t>Estoque Recuperado Início do Período</t>
  </si>
  <si>
    <t>Estoque Recuperado Final do Período</t>
  </si>
  <si>
    <t>Estoque Médio</t>
  </si>
  <si>
    <t>Dispensados Descontados (não considera os desligamentos espontâneos, aposentados, mortos e transferência de saída)</t>
  </si>
  <si>
    <t>Dispensados (não considera os aposentados, mortos e transferência de saída)</t>
  </si>
  <si>
    <t>Taxa de Rotatividade Descontada (apenas dispensados sem justa causa)</t>
  </si>
  <si>
    <t>Taxa de Rotatividade Não Descontada</t>
  </si>
  <si>
    <t>Desligados Espontâneos</t>
  </si>
  <si>
    <t>Duração Média de Emprego - (meses)</t>
  </si>
  <si>
    <t>Percentual de Dispensados sem Justa Causa</t>
  </si>
  <si>
    <t>COMPOSIÇÃO DE ENCARGOS - (MENSALISTA)</t>
  </si>
  <si>
    <t>CONCORRÊNCIA PÚBLICA Nº 003/2015 - SEMED - PMC</t>
  </si>
  <si>
    <t>TAXAS DE LEIS SOCIAIS E RISCOS DE TRABALHO MENSALISTA</t>
  </si>
  <si>
    <t>Salário</t>
  </si>
  <si>
    <t>Reicindência de A2 sobre C3</t>
  </si>
  <si>
    <t xml:space="preserve">   A MIRANDA CAPELA CONSTRUTORA COMERCIO E SERVIÇOS EIRELI-EPP                                                                                                                                                   CNPJ: 15.788.657/0001-32, Incs. Estadual nº 15.376.620-4,                                                                                                                                                                         Rua Antônio Braga, s/n – Bairro Vila do Carmo, neste município de Cametá - PA</t>
  </si>
  <si>
    <t>Subtotal item 1</t>
  </si>
  <si>
    <t>Subtotal Item 2</t>
  </si>
  <si>
    <t>3.2.7</t>
  </si>
  <si>
    <t>Subtotal item 3</t>
  </si>
  <si>
    <t xml:space="preserve">u n </t>
  </si>
  <si>
    <t>TELHADISTA</t>
  </si>
  <si>
    <t>Bubtotal item 11</t>
  </si>
  <si>
    <t>Subtotal item12</t>
  </si>
  <si>
    <t>Subtotal item 14</t>
  </si>
  <si>
    <t>TOMADA DE PREÇO   N° 013/2015</t>
  </si>
  <si>
    <t>LOCAL:  E.M.E.F PÓLO DE MASSARANDUBA</t>
  </si>
  <si>
    <t>OBRA:  CONTINUAÇÃO DA CONSTRUÇÃO DE 01 (DUAS) ESCOLAS PÓLO NA LOCALIDADE MASSARANDUBA - PROJETO PADRÃO FNDE - 04 (QUATRO) SALAS DE  AULAS - NO MUNICIPIO DE BAIÃO - PARÁ</t>
  </si>
  <si>
    <t>PRAZO DE EXECUÇÃO: 03 MESES</t>
  </si>
  <si>
    <t>CONTINUAÇÃO DA CONSTRUÇÃO DE 01 (DUAS) ESCOLAS PÓLO NA LOCALIDADE MASSARANDUBA - PROJETO PADRÃO FNDE - 04 (QUATRO) SALAS DE  AULAS - NO MUNICIPIO DE BAIÃO - PARÁ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</si>
</sst>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_-[$R$-416]\ * #,##0.00_-;\-[$R$-416]\ * #,##0.00_-;_-[$R$-416]\ * &quot;-&quot;??_-;_-@_-"/>
    <numFmt numFmtId="166" formatCode="&quot;R$ &quot;#,##0.00"/>
    <numFmt numFmtId="167" formatCode="0.0000%"/>
    <numFmt numFmtId="168" formatCode="_(* #,##0.0000_);_(* \(#,##0.0000\);_(* &quot;-&quot;??_);_(@_)"/>
    <numFmt numFmtId="169" formatCode="0.000"/>
    <numFmt numFmtId="170" formatCode="_(* #,##0.00_);_(* \(#,##0.00\);_(* &quot;-&quot;??_);_(@_)"/>
    <numFmt numFmtId="171" formatCode="_(&quot;R$ &quot;* #,##0.00_);_(&quot;R$ &quot;* \(#,##0.00\);_(&quot;R$ &quot;* &quot;-&quot;??_);_(@_)"/>
    <numFmt numFmtId="172" formatCode="_-&quot;R$&quot;\ * #,##0.0000000_-;\-&quot;R$&quot;\ * #,##0.0000000_-;_-&quot;R$&quot;\ * &quot;-&quot;??_-;_-@_-"/>
    <numFmt numFmtId="173" formatCode="_-&quot;R$&quot;\ * #,##0.000_-;\-&quot;R$&quot;\ * #,##0.000_-;_-&quot;R$&quot;\ * &quot;-&quot;??_-;_-@_-"/>
    <numFmt numFmtId="174" formatCode="_(&quot;R$&quot;* #,##0.00_);_(&quot;R$&quot;* \(#,##0.00\);_(&quot;R$&quot;* &quot;-&quot;??_);_(@_)"/>
    <numFmt numFmtId="175" formatCode="0.00000000000000000000000000000000000000%"/>
    <numFmt numFmtId="176" formatCode="#,"/>
    <numFmt numFmtId="177" formatCode="#,#00"/>
    <numFmt numFmtId="178" formatCode="%#,#00"/>
    <numFmt numFmtId="179" formatCode="#.##000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Courier"/>
      <family val="3"/>
    </font>
    <font>
      <b/>
      <sz val="11"/>
      <name val="Arial"/>
      <family val="2"/>
    </font>
    <font>
      <sz val="11"/>
      <name val="Arial"/>
      <family val="2"/>
    </font>
    <font>
      <sz val="9"/>
      <color indexed="8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u/>
      <sz val="14"/>
      <name val="Arial"/>
      <family val="2"/>
    </font>
    <font>
      <b/>
      <sz val="9"/>
      <name val="Times New Roman"/>
      <family val="1"/>
    </font>
    <font>
      <b/>
      <sz val="10"/>
      <color theme="1"/>
      <name val="Calibri"/>
      <family val="2"/>
      <scheme val="minor"/>
    </font>
    <font>
      <u/>
      <sz val="10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12"/>
      <name val="Times New Roman"/>
      <family val="1"/>
    </font>
    <font>
      <sz val="1"/>
      <color indexed="16"/>
      <name val="Courier"/>
      <family val="3"/>
    </font>
    <font>
      <sz val="1"/>
      <color indexed="8"/>
      <name val="Courier"/>
      <family val="3"/>
    </font>
    <font>
      <b/>
      <sz val="1"/>
      <color indexed="16"/>
      <name val="Courier"/>
      <family val="3"/>
    </font>
    <font>
      <sz val="11"/>
      <color indexed="8"/>
      <name val="Calibri"/>
      <family val="2"/>
    </font>
    <font>
      <sz val="1"/>
      <color indexed="18"/>
      <name val="Courier"/>
      <family val="3"/>
    </font>
    <font>
      <vertAlign val="superscript"/>
      <sz val="9"/>
      <name val="Courier New"/>
      <family val="3"/>
    </font>
    <font>
      <b/>
      <sz val="1"/>
      <color indexed="8"/>
      <name val="Courier"/>
      <family val="3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15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9" fontId="9" fillId="0" borderId="0" quotePrefix="1" applyFont="0" applyFill="0" applyBorder="0" applyAlignment="0">
      <protection locked="0"/>
    </xf>
    <xf numFmtId="166" fontId="9" fillId="0" borderId="0" applyFont="0" applyFill="0" applyBorder="0" applyAlignment="0" applyProtection="0"/>
    <xf numFmtId="0" fontId="6" fillId="0" borderId="0"/>
    <xf numFmtId="170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11" fillId="0" borderId="0"/>
    <xf numFmtId="0" fontId="9" fillId="0" borderId="0"/>
    <xf numFmtId="0" fontId="34" fillId="0" borderId="0"/>
    <xf numFmtId="0" fontId="36" fillId="0" borderId="0"/>
    <xf numFmtId="176" fontId="37" fillId="0" borderId="0">
      <protection locked="0"/>
    </xf>
    <xf numFmtId="176" fontId="37" fillId="0" borderId="0">
      <protection locked="0"/>
    </xf>
    <xf numFmtId="176" fontId="37" fillId="0" borderId="0">
      <protection locked="0"/>
    </xf>
    <xf numFmtId="176" fontId="37" fillId="0" borderId="0">
      <protection locked="0"/>
    </xf>
    <xf numFmtId="0" fontId="38" fillId="0" borderId="0">
      <protection locked="0"/>
    </xf>
    <xf numFmtId="176" fontId="37" fillId="0" borderId="0">
      <protection locked="0"/>
    </xf>
    <xf numFmtId="0" fontId="9" fillId="0" borderId="0"/>
    <xf numFmtId="176" fontId="37" fillId="0" borderId="0">
      <protection locked="0"/>
    </xf>
    <xf numFmtId="177" fontId="38" fillId="0" borderId="0">
      <protection locked="0"/>
    </xf>
    <xf numFmtId="176" fontId="39" fillId="0" borderId="0">
      <protection locked="0"/>
    </xf>
    <xf numFmtId="176" fontId="39" fillId="0" borderId="0">
      <protection locked="0"/>
    </xf>
    <xf numFmtId="174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34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176" fontId="37" fillId="0" borderId="0">
      <protection locked="0"/>
    </xf>
    <xf numFmtId="178" fontId="38" fillId="0" borderId="0">
      <protection locked="0"/>
    </xf>
    <xf numFmtId="179" fontId="38" fillId="0" borderId="0">
      <protection locked="0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0" fillId="0" borderId="0" applyFont="0" applyFill="0" applyBorder="0" applyAlignment="0" applyProtection="0"/>
    <xf numFmtId="176" fontId="41" fillId="0" borderId="0">
      <protection locked="0"/>
    </xf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34" fillId="0" borderId="0" applyFont="0" applyFill="0" applyBorder="0" applyAlignment="0" applyProtection="0"/>
    <xf numFmtId="170" fontId="9" fillId="0" borderId="0" applyFont="0" applyFill="0" applyBorder="0" applyAlignment="0" applyProtection="0"/>
    <xf numFmtId="0" fontId="42" fillId="0" borderId="0"/>
    <xf numFmtId="176" fontId="43" fillId="0" borderId="0">
      <protection locked="0"/>
    </xf>
    <xf numFmtId="176" fontId="43" fillId="0" borderId="0">
      <protection locked="0"/>
    </xf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40" fillId="0" borderId="0" applyFont="0" applyFill="0" applyBorder="0" applyAlignment="0" applyProtection="0"/>
    <xf numFmtId="3" fontId="9" fillId="0" borderId="0" applyFont="0" applyFill="0" applyBorder="0" applyAlignment="0" applyProtection="0"/>
  </cellStyleXfs>
  <cellXfs count="4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8" fontId="0" fillId="0" borderId="0" xfId="0" applyNumberFormat="1"/>
    <xf numFmtId="0" fontId="2" fillId="0" borderId="0" xfId="0" applyFont="1"/>
    <xf numFmtId="8" fontId="4" fillId="0" borderId="0" xfId="0" applyNumberFormat="1" applyFont="1" applyAlignment="1">
      <alignment horizontal="center"/>
    </xf>
    <xf numFmtId="0" fontId="0" fillId="0" borderId="0" xfId="0" applyBorder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8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2" borderId="0" xfId="0" applyFill="1"/>
    <xf numFmtId="2" fontId="4" fillId="0" borderId="0" xfId="0" applyNumberFormat="1" applyFont="1" applyAlignment="1">
      <alignment horizontal="center" vertical="center"/>
    </xf>
    <xf numFmtId="8" fontId="1" fillId="0" borderId="0" xfId="0" applyNumberFormat="1" applyFont="1" applyAlignment="1">
      <alignment vertical="center"/>
    </xf>
    <xf numFmtId="8" fontId="2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/>
    </xf>
    <xf numFmtId="0" fontId="12" fillId="0" borderId="0" xfId="5" applyFont="1" applyAlignment="1">
      <alignment vertical="center" wrapText="1"/>
    </xf>
    <xf numFmtId="0" fontId="9" fillId="0" borderId="0" xfId="6" applyFont="1" applyBorder="1"/>
    <xf numFmtId="0" fontId="13" fillId="0" borderId="0" xfId="6" applyFont="1"/>
    <xf numFmtId="9" fontId="13" fillId="0" borderId="0" xfId="3" applyFont="1"/>
    <xf numFmtId="0" fontId="14" fillId="0" borderId="4" xfId="6" applyNumberFormat="1" applyFont="1" applyFill="1" applyBorder="1" applyAlignment="1">
      <alignment horizontal="center" vertical="center"/>
    </xf>
    <xf numFmtId="0" fontId="14" fillId="0" borderId="4" xfId="8" applyNumberFormat="1" applyFont="1" applyFill="1" applyBorder="1" applyAlignment="1" applyProtection="1">
      <alignment horizontal="left" vertical="center" wrapText="1"/>
    </xf>
    <xf numFmtId="4" fontId="14" fillId="0" borderId="4" xfId="8" applyNumberFormat="1" applyFont="1" applyFill="1" applyBorder="1" applyAlignment="1" applyProtection="1">
      <alignment horizontal="left" vertical="center" wrapText="1"/>
    </xf>
    <xf numFmtId="10" fontId="14" fillId="0" borderId="4" xfId="3" applyNumberFormat="1" applyFont="1" applyFill="1" applyBorder="1" applyAlignment="1" applyProtection="1">
      <alignment horizontal="right" vertical="center" wrapText="1"/>
      <protection locked="0"/>
    </xf>
    <xf numFmtId="10" fontId="15" fillId="0" borderId="0" xfId="9" applyNumberFormat="1" applyFont="1" applyBorder="1">
      <protection locked="0"/>
    </xf>
    <xf numFmtId="165" fontId="15" fillId="0" borderId="0" xfId="2" applyNumberFormat="1" applyFont="1" applyBorder="1" applyAlignment="1">
      <alignment horizontal="right"/>
    </xf>
    <xf numFmtId="4" fontId="15" fillId="0" borderId="0" xfId="6" applyNumberFormat="1" applyFont="1" applyBorder="1"/>
    <xf numFmtId="0" fontId="15" fillId="0" borderId="0" xfId="6" applyFont="1" applyBorder="1"/>
    <xf numFmtId="4" fontId="15" fillId="4" borderId="0" xfId="6" applyNumberFormat="1" applyFont="1" applyFill="1" applyBorder="1"/>
    <xf numFmtId="166" fontId="16" fillId="0" borderId="4" xfId="10" applyFont="1" applyBorder="1" applyAlignment="1" applyProtection="1">
      <protection locked="0"/>
    </xf>
    <xf numFmtId="9" fontId="16" fillId="0" borderId="4" xfId="3" applyFont="1" applyBorder="1" applyAlignment="1" applyProtection="1">
      <protection locked="0"/>
    </xf>
    <xf numFmtId="0" fontId="17" fillId="0" borderId="0" xfId="6" applyFont="1" applyBorder="1"/>
    <xf numFmtId="0" fontId="17" fillId="0" borderId="0" xfId="6" applyNumberFormat="1" applyFont="1" applyBorder="1"/>
    <xf numFmtId="9" fontId="17" fillId="0" borderId="0" xfId="3" applyFont="1" applyBorder="1"/>
    <xf numFmtId="4" fontId="9" fillId="0" borderId="0" xfId="6" applyNumberFormat="1" applyFont="1" applyBorder="1"/>
    <xf numFmtId="167" fontId="9" fillId="0" borderId="0" xfId="3" applyNumberFormat="1" applyFont="1" applyBorder="1"/>
    <xf numFmtId="43" fontId="17" fillId="0" borderId="0" xfId="1" applyFont="1" applyBorder="1"/>
    <xf numFmtId="10" fontId="17" fillId="0" borderId="0" xfId="3" applyNumberFormat="1" applyFont="1" applyBorder="1"/>
    <xf numFmtId="10" fontId="17" fillId="0" borderId="0" xfId="6" applyNumberFormat="1" applyFont="1" applyBorder="1"/>
    <xf numFmtId="0" fontId="18" fillId="5" borderId="0" xfId="11" applyFont="1" applyFill="1" applyBorder="1" applyAlignment="1">
      <alignment horizontal="center" vertical="center"/>
    </xf>
    <xf numFmtId="0" fontId="20" fillId="0" borderId="0" xfId="6" applyFont="1" applyAlignment="1">
      <alignment vertical="center"/>
    </xf>
    <xf numFmtId="0" fontId="21" fillId="5" borderId="0" xfId="11" applyFont="1" applyFill="1" applyBorder="1" applyAlignment="1">
      <alignment horizontal="center" vertical="center"/>
    </xf>
    <xf numFmtId="164" fontId="14" fillId="5" borderId="0" xfId="11" applyNumberFormat="1" applyFont="1" applyFill="1" applyBorder="1" applyAlignment="1">
      <alignment vertical="center"/>
    </xf>
    <xf numFmtId="0" fontId="18" fillId="5" borderId="0" xfId="11" applyFont="1" applyFill="1" applyBorder="1" applyAlignment="1">
      <alignment vertical="center"/>
    </xf>
    <xf numFmtId="0" fontId="20" fillId="0" borderId="0" xfId="6" applyFont="1" applyAlignment="1">
      <alignment horizontal="center" vertical="center"/>
    </xf>
    <xf numFmtId="0" fontId="19" fillId="0" borderId="0" xfId="5" applyFont="1" applyAlignment="1">
      <alignment vertical="center" wrapText="1"/>
    </xf>
    <xf numFmtId="43" fontId="20" fillId="4" borderId="0" xfId="1" applyFont="1" applyFill="1" applyAlignment="1">
      <alignment horizontal="center" vertical="center"/>
    </xf>
    <xf numFmtId="43" fontId="20" fillId="4" borderId="0" xfId="1" applyFont="1" applyFill="1" applyAlignment="1">
      <alignment horizontal="right" vertical="center"/>
    </xf>
    <xf numFmtId="43" fontId="20" fillId="4" borderId="0" xfId="1" applyFont="1" applyFill="1" applyAlignment="1">
      <alignment vertical="center"/>
    </xf>
    <xf numFmtId="4" fontId="20" fillId="0" borderId="0" xfId="6" applyNumberFormat="1" applyFont="1" applyAlignment="1">
      <alignment vertical="center"/>
    </xf>
    <xf numFmtId="0" fontId="19" fillId="0" borderId="0" xfId="7" applyFont="1" applyFill="1" applyAlignment="1">
      <alignment vertical="center" wrapText="1"/>
    </xf>
    <xf numFmtId="0" fontId="19" fillId="0" borderId="0" xfId="11" applyFont="1" applyFill="1" applyBorder="1" applyAlignment="1">
      <alignment horizontal="center"/>
    </xf>
    <xf numFmtId="43" fontId="20" fillId="0" borderId="0" xfId="1" applyFont="1" applyFill="1" applyAlignment="1">
      <alignment horizontal="center" vertical="center"/>
    </xf>
    <xf numFmtId="43" fontId="20" fillId="0" borderId="0" xfId="1" applyFont="1" applyFill="1" applyAlignment="1">
      <alignment vertical="center"/>
    </xf>
    <xf numFmtId="169" fontId="8" fillId="6" borderId="0" xfId="11" applyNumberFormat="1" applyFont="1" applyFill="1" applyBorder="1" applyAlignment="1">
      <alignment vertical="center"/>
    </xf>
    <xf numFmtId="0" fontId="6" fillId="5" borderId="0" xfId="11" applyFill="1" applyBorder="1" applyAlignment="1">
      <alignment horizontal="center" vertical="center"/>
    </xf>
    <xf numFmtId="0" fontId="20" fillId="0" borderId="0" xfId="11" applyFont="1" applyFill="1" applyBorder="1" applyAlignment="1">
      <alignment vertical="center" wrapText="1"/>
    </xf>
    <xf numFmtId="0" fontId="20" fillId="0" borderId="0" xfId="11" applyNumberFormat="1" applyFont="1" applyFill="1" applyBorder="1" applyAlignment="1">
      <alignment horizontal="center" vertical="center"/>
    </xf>
    <xf numFmtId="43" fontId="20" fillId="0" borderId="0" xfId="1" applyFont="1" applyFill="1" applyBorder="1" applyAlignment="1">
      <alignment vertical="center"/>
    </xf>
    <xf numFmtId="43" fontId="20" fillId="4" borderId="0" xfId="1" applyFont="1" applyFill="1" applyBorder="1" applyAlignment="1">
      <alignment horizontal="right" vertical="center"/>
    </xf>
    <xf numFmtId="168" fontId="20" fillId="0" borderId="0" xfId="11" applyNumberFormat="1" applyFont="1" applyFill="1" applyBorder="1" applyAlignment="1">
      <alignment vertical="center"/>
    </xf>
    <xf numFmtId="0" fontId="23" fillId="5" borderId="0" xfId="11" applyFont="1" applyFill="1" applyBorder="1" applyAlignment="1">
      <alignment vertical="center"/>
    </xf>
    <xf numFmtId="10" fontId="23" fillId="5" borderId="0" xfId="11" applyNumberFormat="1" applyFont="1" applyFill="1" applyBorder="1" applyAlignment="1">
      <alignment horizontal="center" vertical="center"/>
    </xf>
    <xf numFmtId="2" fontId="24" fillId="5" borderId="0" xfId="11" applyNumberFormat="1" applyFont="1" applyFill="1" applyBorder="1" applyAlignment="1">
      <alignment vertical="center"/>
    </xf>
    <xf numFmtId="0" fontId="6" fillId="5" borderId="0" xfId="11" applyFill="1" applyBorder="1" applyAlignment="1">
      <alignment vertical="center"/>
    </xf>
    <xf numFmtId="43" fontId="19" fillId="4" borderId="0" xfId="1" applyFont="1" applyFill="1" applyAlignment="1">
      <alignment horizontal="right" vertical="center" wrapText="1"/>
    </xf>
    <xf numFmtId="0" fontId="23" fillId="5" borderId="0" xfId="11" applyFont="1" applyFill="1" applyBorder="1" applyAlignment="1">
      <alignment horizontal="center" vertical="center"/>
    </xf>
    <xf numFmtId="164" fontId="24" fillId="5" borderId="0" xfId="11" applyNumberFormat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 wrapText="1"/>
    </xf>
    <xf numFmtId="164" fontId="24" fillId="5" borderId="0" xfId="11" applyNumberFormat="1" applyFont="1" applyFill="1" applyBorder="1" applyAlignment="1">
      <alignment vertical="center"/>
    </xf>
    <xf numFmtId="0" fontId="25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wrapText="1"/>
    </xf>
    <xf numFmtId="0" fontId="19" fillId="0" borderId="0" xfId="0" applyFont="1" applyFill="1" applyAlignment="1">
      <alignment vertical="center" wrapText="1"/>
    </xf>
    <xf numFmtId="0" fontId="19" fillId="0" borderId="0" xfId="0" applyNumberFormat="1" applyFont="1" applyFill="1" applyAlignment="1">
      <alignment horizontal="center" vertical="center"/>
    </xf>
    <xf numFmtId="168" fontId="20" fillId="0" borderId="0" xfId="12" applyNumberFormat="1" applyFont="1" applyFill="1" applyAlignment="1">
      <alignment vertical="center"/>
    </xf>
    <xf numFmtId="164" fontId="23" fillId="5" borderId="0" xfId="11" applyNumberFormat="1" applyFont="1" applyFill="1" applyBorder="1" applyAlignment="1">
      <alignment horizontal="center" vertical="center"/>
    </xf>
    <xf numFmtId="0" fontId="6" fillId="5" borderId="0" xfId="11" applyFill="1" applyBorder="1" applyAlignment="1">
      <alignment horizont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/>
    </xf>
    <xf numFmtId="43" fontId="20" fillId="0" borderId="0" xfId="1" applyFont="1" applyFill="1" applyAlignment="1"/>
    <xf numFmtId="43" fontId="20" fillId="4" borderId="0" xfId="1" applyFont="1" applyFill="1" applyAlignment="1">
      <alignment horizontal="right"/>
    </xf>
    <xf numFmtId="168" fontId="20" fillId="0" borderId="0" xfId="12" applyNumberFormat="1" applyFont="1" applyFill="1" applyAlignment="1"/>
    <xf numFmtId="0" fontId="23" fillId="5" borderId="0" xfId="11" applyFont="1" applyFill="1" applyBorder="1" applyAlignment="1"/>
    <xf numFmtId="0" fontId="24" fillId="5" borderId="0" xfId="11" applyFont="1" applyFill="1" applyBorder="1" applyAlignment="1">
      <alignment horizontal="center"/>
    </xf>
    <xf numFmtId="0" fontId="6" fillId="5" borderId="0" xfId="11" applyFill="1" applyBorder="1" applyAlignment="1"/>
    <xf numFmtId="0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wrapText="1"/>
    </xf>
    <xf numFmtId="43" fontId="20" fillId="0" borderId="0" xfId="1" applyFont="1" applyFill="1" applyBorder="1" applyAlignment="1"/>
    <xf numFmtId="0" fontId="20" fillId="0" borderId="0" xfId="0" applyFont="1" applyFill="1" applyAlignment="1">
      <alignment vertical="center" wrapText="1"/>
    </xf>
    <xf numFmtId="0" fontId="20" fillId="0" borderId="0" xfId="0" applyNumberFormat="1" applyFont="1" applyFill="1" applyAlignment="1">
      <alignment horizontal="center" vertical="center"/>
    </xf>
    <xf numFmtId="43" fontId="19" fillId="0" borderId="0" xfId="1" applyFont="1" applyFill="1" applyAlignment="1">
      <alignment vertical="center"/>
    </xf>
    <xf numFmtId="0" fontId="26" fillId="0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center" wrapText="1"/>
    </xf>
    <xf numFmtId="0" fontId="22" fillId="5" borderId="0" xfId="11" applyFont="1" applyFill="1" applyBorder="1" applyAlignment="1">
      <alignment vertical="center"/>
    </xf>
    <xf numFmtId="0" fontId="7" fillId="5" borderId="0" xfId="11" applyFont="1" applyFill="1" applyBorder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/>
    </xf>
    <xf numFmtId="0" fontId="20" fillId="5" borderId="0" xfId="11" applyFont="1" applyFill="1" applyBorder="1" applyAlignment="1">
      <alignment vertical="center"/>
    </xf>
    <xf numFmtId="0" fontId="27" fillId="5" borderId="0" xfId="11" applyFont="1" applyFill="1" applyBorder="1" applyAlignment="1">
      <alignment vertical="center"/>
    </xf>
    <xf numFmtId="168" fontId="20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6" fillId="5" borderId="0" xfId="11" applyFont="1" applyFill="1" applyBorder="1" applyAlignment="1">
      <alignment vertical="center"/>
    </xf>
    <xf numFmtId="0" fontId="25" fillId="0" borderId="0" xfId="0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center"/>
    </xf>
    <xf numFmtId="0" fontId="19" fillId="0" borderId="0" xfId="11" quotePrefix="1" applyFont="1" applyFill="1" applyBorder="1" applyAlignment="1">
      <alignment horizontal="center"/>
    </xf>
    <xf numFmtId="43" fontId="6" fillId="5" borderId="0" xfId="11" applyNumberFormat="1" applyFill="1" applyBorder="1" applyAlignment="1">
      <alignment vertical="center"/>
    </xf>
    <xf numFmtId="43" fontId="20" fillId="0" borderId="0" xfId="11" applyNumberFormat="1" applyFont="1" applyFill="1" applyBorder="1" applyAlignment="1">
      <alignment vertical="center"/>
    </xf>
    <xf numFmtId="0" fontId="6" fillId="3" borderId="0" xfId="11" applyFill="1" applyBorder="1" applyAlignment="1">
      <alignment horizontal="center" vertical="center"/>
    </xf>
    <xf numFmtId="0" fontId="19" fillId="3" borderId="0" xfId="11" applyFont="1" applyFill="1" applyBorder="1" applyAlignment="1">
      <alignment horizontal="center"/>
    </xf>
    <xf numFmtId="0" fontId="20" fillId="3" borderId="0" xfId="0" applyFont="1" applyFill="1" applyAlignment="1">
      <alignment vertical="center" wrapText="1"/>
    </xf>
    <xf numFmtId="0" fontId="20" fillId="3" borderId="0" xfId="0" applyNumberFormat="1" applyFont="1" applyFill="1" applyAlignment="1">
      <alignment horizontal="center" vertical="center"/>
    </xf>
    <xf numFmtId="43" fontId="20" fillId="3" borderId="0" xfId="1" applyFont="1" applyFill="1" applyAlignment="1">
      <alignment vertical="center"/>
    </xf>
    <xf numFmtId="43" fontId="19" fillId="3" borderId="0" xfId="1" applyFont="1" applyFill="1" applyAlignment="1">
      <alignment vertical="center"/>
    </xf>
    <xf numFmtId="0" fontId="23" fillId="3" borderId="0" xfId="11" applyFont="1" applyFill="1" applyBorder="1" applyAlignment="1">
      <alignment vertical="center"/>
    </xf>
    <xf numFmtId="0" fontId="24" fillId="3" borderId="0" xfId="11" applyFont="1" applyFill="1" applyBorder="1" applyAlignment="1">
      <alignment horizontal="center"/>
    </xf>
    <xf numFmtId="0" fontId="6" fillId="3" borderId="0" xfId="11" applyFill="1" applyBorder="1" applyAlignment="1">
      <alignment vertical="center"/>
    </xf>
    <xf numFmtId="0" fontId="20" fillId="0" borderId="0" xfId="11" applyFont="1" applyFill="1" applyBorder="1" applyAlignment="1">
      <alignment vertical="center"/>
    </xf>
    <xf numFmtId="2" fontId="20" fillId="0" borderId="0" xfId="11" applyNumberFormat="1" applyFont="1" applyFill="1" applyBorder="1" applyAlignment="1">
      <alignment vertical="center"/>
    </xf>
    <xf numFmtId="0" fontId="23" fillId="0" borderId="0" xfId="11" applyFont="1" applyFill="1" applyBorder="1" applyAlignment="1">
      <alignment vertical="center"/>
    </xf>
    <xf numFmtId="0" fontId="6" fillId="0" borderId="0" xfId="11" applyFill="1" applyBorder="1" applyAlignment="1">
      <alignment vertical="center"/>
    </xf>
    <xf numFmtId="2" fontId="19" fillId="0" borderId="0" xfId="1" applyNumberFormat="1" applyFont="1" applyFill="1" applyAlignment="1">
      <alignment vertical="center"/>
    </xf>
    <xf numFmtId="0" fontId="25" fillId="4" borderId="0" xfId="0" applyFont="1" applyFill="1" applyAlignment="1">
      <alignment horizontal="left" vertical="center" wrapText="1"/>
    </xf>
    <xf numFmtId="168" fontId="20" fillId="0" borderId="0" xfId="1" applyNumberFormat="1" applyFont="1" applyFill="1" applyAlignment="1">
      <alignment horizontal="center" vertical="center"/>
    </xf>
    <xf numFmtId="0" fontId="25" fillId="6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19" fillId="0" borderId="0" xfId="11" applyFont="1" applyFill="1" applyBorder="1" applyAlignment="1">
      <alignment horizontal="center" vertical="center"/>
    </xf>
    <xf numFmtId="0" fontId="9" fillId="6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center" vertical="center" wrapText="1"/>
    </xf>
    <xf numFmtId="0" fontId="6" fillId="5" borderId="0" xfId="11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4" fillId="5" borderId="0" xfId="11" applyFont="1" applyFill="1" applyBorder="1" applyAlignment="1">
      <alignment horizontal="center" vertical="center"/>
    </xf>
    <xf numFmtId="0" fontId="19" fillId="0" borderId="0" xfId="0" applyNumberFormat="1" applyFont="1" applyFill="1" applyAlignment="1">
      <alignment vertical="center" wrapText="1"/>
    </xf>
    <xf numFmtId="0" fontId="25" fillId="6" borderId="0" xfId="0" applyFont="1" applyFill="1" applyAlignment="1">
      <alignment vertical="center" wrapText="1"/>
    </xf>
    <xf numFmtId="0" fontId="19" fillId="0" borderId="0" xfId="0" applyFont="1" applyFill="1" applyAlignment="1">
      <alignment horizontal="center" vertical="center"/>
    </xf>
    <xf numFmtId="43" fontId="19" fillId="0" borderId="0" xfId="1" applyNumberFormat="1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43" fontId="20" fillId="0" borderId="0" xfId="1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6" borderId="0" xfId="0" applyNumberFormat="1" applyFont="1" applyFill="1" applyAlignment="1">
      <alignment horizontal="center" vertical="center"/>
    </xf>
    <xf numFmtId="170" fontId="20" fillId="0" borderId="0" xfId="12" applyNumberFormat="1" applyFont="1" applyFill="1" applyAlignment="1">
      <alignment horizontal="center" vertical="center"/>
    </xf>
    <xf numFmtId="2" fontId="19" fillId="0" borderId="0" xfId="0" applyNumberFormat="1" applyFont="1" applyFill="1" applyAlignment="1">
      <alignment horizontal="center" vertical="center"/>
    </xf>
    <xf numFmtId="2" fontId="19" fillId="0" borderId="0" xfId="0" applyNumberFormat="1" applyFont="1" applyFill="1" applyAlignment="1">
      <alignment vertical="center" wrapText="1"/>
    </xf>
    <xf numFmtId="2" fontId="20" fillId="0" borderId="0" xfId="0" applyNumberFormat="1" applyFont="1" applyFill="1" applyAlignment="1">
      <alignment vertical="center" wrapText="1"/>
    </xf>
    <xf numFmtId="2" fontId="20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20" fillId="4" borderId="0" xfId="11" applyFont="1" applyFill="1" applyBorder="1" applyAlignment="1">
      <alignment horizontal="right" vertical="center"/>
    </xf>
    <xf numFmtId="0" fontId="25" fillId="0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29" fillId="6" borderId="0" xfId="0" applyFont="1" applyFill="1" applyAlignment="1">
      <alignment horizontal="left" vertical="center"/>
    </xf>
    <xf numFmtId="2" fontId="20" fillId="4" borderId="0" xfId="13" applyNumberFormat="1" applyFont="1" applyFill="1" applyAlignment="1">
      <alignment horizontal="right" vertical="center"/>
    </xf>
    <xf numFmtId="43" fontId="20" fillId="0" borderId="0" xfId="1" applyFont="1" applyFill="1"/>
    <xf numFmtId="0" fontId="23" fillId="5" borderId="0" xfId="11" applyFont="1" applyFill="1" applyBorder="1"/>
    <xf numFmtId="0" fontId="23" fillId="5" borderId="0" xfId="11" applyFont="1" applyFill="1" applyBorder="1" applyAlignment="1">
      <alignment horizontal="center"/>
    </xf>
    <xf numFmtId="164" fontId="24" fillId="5" borderId="0" xfId="11" applyNumberFormat="1" applyFont="1" applyFill="1" applyBorder="1"/>
    <xf numFmtId="0" fontId="6" fillId="5" borderId="0" xfId="11" applyFill="1" applyBorder="1"/>
    <xf numFmtId="0" fontId="20" fillId="0" borderId="0" xfId="11" applyFont="1" applyFill="1" applyBorder="1" applyAlignment="1">
      <alignment wrapText="1"/>
    </xf>
    <xf numFmtId="0" fontId="20" fillId="0" borderId="0" xfId="11" applyNumberFormat="1" applyFont="1" applyFill="1" applyBorder="1" applyAlignment="1">
      <alignment horizontal="center"/>
    </xf>
    <xf numFmtId="43" fontId="20" fillId="0" borderId="0" xfId="1" applyFont="1" applyFill="1" applyBorder="1"/>
    <xf numFmtId="43" fontId="20" fillId="4" borderId="0" xfId="1" applyFont="1" applyFill="1" applyBorder="1" applyAlignment="1">
      <alignment horizontal="right"/>
    </xf>
    <xf numFmtId="168" fontId="20" fillId="0" borderId="0" xfId="11" applyNumberFormat="1" applyFont="1" applyFill="1" applyBorder="1" applyAlignment="1"/>
    <xf numFmtId="0" fontId="9" fillId="0" borderId="0" xfId="4" applyAlignment="1">
      <alignment horizontal="right"/>
    </xf>
    <xf numFmtId="0" fontId="9" fillId="0" borderId="0" xfId="4" applyAlignment="1">
      <alignment horizontal="center" vertical="center"/>
    </xf>
    <xf numFmtId="0" fontId="9" fillId="0" borderId="0" xfId="4" applyFont="1" applyAlignment="1">
      <alignment horizontal="center" vertical="center"/>
    </xf>
    <xf numFmtId="44" fontId="9" fillId="0" borderId="0" xfId="4" applyNumberFormat="1" applyAlignment="1">
      <alignment horizontal="center" vertical="center"/>
    </xf>
    <xf numFmtId="172" fontId="9" fillId="0" borderId="0" xfId="4" applyNumberFormat="1" applyAlignment="1">
      <alignment horizontal="center" vertical="center"/>
    </xf>
    <xf numFmtId="173" fontId="9" fillId="0" borderId="0" xfId="4" applyNumberFormat="1" applyAlignment="1">
      <alignment horizontal="center" vertical="center"/>
    </xf>
    <xf numFmtId="0" fontId="31" fillId="0" borderId="0" xfId="4" applyFont="1" applyAlignment="1">
      <alignment vertical="center"/>
    </xf>
    <xf numFmtId="0" fontId="9" fillId="0" borderId="0" xfId="4"/>
    <xf numFmtId="0" fontId="31" fillId="0" borderId="0" xfId="4" applyFont="1" applyAlignment="1">
      <alignment vertical="center" wrapText="1"/>
    </xf>
    <xf numFmtId="0" fontId="25" fillId="0" borderId="0" xfId="4" applyFont="1" applyAlignment="1">
      <alignment vertical="center"/>
    </xf>
    <xf numFmtId="0" fontId="9" fillId="0" borderId="0" xfId="4" applyAlignment="1">
      <alignment vertical="center"/>
    </xf>
    <xf numFmtId="0" fontId="17" fillId="0" borderId="11" xfId="4" applyFont="1" applyBorder="1" applyAlignment="1">
      <alignment horizontal="center" vertical="center"/>
    </xf>
    <xf numFmtId="0" fontId="17" fillId="0" borderId="4" xfId="4" applyFont="1" applyBorder="1" applyAlignment="1">
      <alignment horizontal="left" vertical="center" wrapText="1"/>
    </xf>
    <xf numFmtId="165" fontId="17" fillId="0" borderId="4" xfId="4" applyNumberFormat="1" applyFont="1" applyFill="1" applyBorder="1" applyAlignment="1">
      <alignment horizontal="right" vertical="center"/>
    </xf>
    <xf numFmtId="10" fontId="17" fillId="0" borderId="15" xfId="14" applyNumberFormat="1" applyFont="1" applyBorder="1" applyAlignment="1">
      <alignment horizontal="center" vertical="center"/>
    </xf>
    <xf numFmtId="165" fontId="16" fillId="7" borderId="18" xfId="15" applyNumberFormat="1" applyFont="1" applyFill="1" applyBorder="1" applyAlignment="1">
      <alignment vertical="center"/>
    </xf>
    <xf numFmtId="10" fontId="17" fillId="0" borderId="19" xfId="14" applyNumberFormat="1" applyFont="1" applyFill="1" applyBorder="1" applyAlignment="1">
      <alignment horizontal="center" vertical="center"/>
    </xf>
    <xf numFmtId="44" fontId="9" fillId="0" borderId="0" xfId="4" applyNumberFormat="1"/>
    <xf numFmtId="0" fontId="9" fillId="0" borderId="0" xfId="16" applyFont="1" applyFill="1" applyAlignment="1">
      <alignment wrapText="1"/>
    </xf>
    <xf numFmtId="0" fontId="9" fillId="0" borderId="0" xfId="16" applyFont="1" applyFill="1" applyAlignment="1">
      <alignment horizontal="center" wrapText="1"/>
    </xf>
    <xf numFmtId="0" fontId="9" fillId="0" borderId="0" xfId="16" applyFont="1" applyFill="1"/>
    <xf numFmtId="0" fontId="9" fillId="0" borderId="0" xfId="6" applyFont="1" applyAlignment="1">
      <alignment wrapText="1"/>
    </xf>
    <xf numFmtId="0" fontId="25" fillId="0" borderId="0" xfId="5" applyFont="1" applyAlignment="1">
      <alignment vertical="center" wrapText="1"/>
    </xf>
    <xf numFmtId="0" fontId="25" fillId="0" borderId="0" xfId="16" applyFont="1" applyAlignment="1">
      <alignment horizontal="center"/>
    </xf>
    <xf numFmtId="0" fontId="9" fillId="0" borderId="0" xfId="16" applyFont="1" applyFill="1" applyAlignment="1">
      <alignment horizontal="center"/>
    </xf>
    <xf numFmtId="0" fontId="25" fillId="0" borderId="0" xfId="16" applyFont="1"/>
    <xf numFmtId="0" fontId="25" fillId="0" borderId="0" xfId="7" applyFont="1" applyFill="1"/>
    <xf numFmtId="0" fontId="25" fillId="0" borderId="0" xfId="17" applyFont="1" applyAlignment="1">
      <alignment wrapText="1"/>
    </xf>
    <xf numFmtId="0" fontId="25" fillId="0" borderId="1" xfId="16" applyNumberFormat="1" applyFont="1" applyBorder="1" applyAlignment="1"/>
    <xf numFmtId="0" fontId="25" fillId="0" borderId="1" xfId="16" applyNumberFormat="1" applyFont="1" applyBorder="1" applyAlignment="1">
      <alignment wrapText="1"/>
    </xf>
    <xf numFmtId="170" fontId="32" fillId="0" borderId="4" xfId="12" applyFont="1" applyBorder="1" applyAlignment="1">
      <alignment horizontal="center" vertical="center"/>
    </xf>
    <xf numFmtId="10" fontId="32" fillId="0" borderId="4" xfId="14" applyNumberFormat="1" applyFont="1" applyBorder="1" applyAlignment="1">
      <alignment horizontal="center" vertical="center"/>
    </xf>
    <xf numFmtId="170" fontId="32" fillId="0" borderId="4" xfId="12" applyFont="1" applyFill="1" applyBorder="1" applyAlignment="1">
      <alignment horizontal="center" vertical="center"/>
    </xf>
    <xf numFmtId="9" fontId="32" fillId="0" borderId="4" xfId="14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/>
    </xf>
    <xf numFmtId="0" fontId="23" fillId="0" borderId="4" xfId="0" applyFont="1" applyBorder="1" applyAlignment="1">
      <alignment wrapText="1"/>
    </xf>
    <xf numFmtId="170" fontId="9" fillId="8" borderId="4" xfId="12" applyFont="1" applyFill="1" applyBorder="1"/>
    <xf numFmtId="10" fontId="9" fillId="0" borderId="4" xfId="14" applyNumberFormat="1" applyFont="1" applyBorder="1"/>
    <xf numFmtId="170" fontId="9" fillId="0" borderId="4" xfId="12" applyFont="1" applyBorder="1"/>
    <xf numFmtId="10" fontId="9" fillId="0" borderId="4" xfId="0" applyNumberFormat="1" applyFont="1" applyBorder="1"/>
    <xf numFmtId="0" fontId="25" fillId="0" borderId="0" xfId="16" applyFont="1" applyBorder="1" applyAlignment="1"/>
    <xf numFmtId="0" fontId="9" fillId="0" borderId="0" xfId="16" applyFont="1" applyAlignment="1">
      <alignment vertical="top"/>
    </xf>
    <xf numFmtId="10" fontId="9" fillId="0" borderId="4" xfId="14" applyNumberFormat="1" applyFont="1" applyFill="1" applyBorder="1"/>
    <xf numFmtId="170" fontId="9" fillId="0" borderId="4" xfId="12" applyFont="1" applyFill="1" applyBorder="1"/>
    <xf numFmtId="170" fontId="32" fillId="8" borderId="4" xfId="12" applyNumberFormat="1" applyFont="1" applyFill="1" applyBorder="1"/>
    <xf numFmtId="170" fontId="32" fillId="8" borderId="4" xfId="14" applyNumberFormat="1" applyFont="1" applyFill="1" applyBorder="1"/>
    <xf numFmtId="0" fontId="9" fillId="8" borderId="4" xfId="0" applyFont="1" applyFill="1" applyBorder="1"/>
    <xf numFmtId="10" fontId="32" fillId="0" borderId="4" xfId="14" applyNumberFormat="1" applyFont="1" applyBorder="1"/>
    <xf numFmtId="9" fontId="32" fillId="0" borderId="4" xfId="14" applyFont="1" applyBorder="1"/>
    <xf numFmtId="9" fontId="9" fillId="0" borderId="4" xfId="14" applyFont="1" applyBorder="1"/>
    <xf numFmtId="168" fontId="9" fillId="8" borderId="4" xfId="0" applyNumberFormat="1" applyFont="1" applyFill="1" applyBorder="1"/>
    <xf numFmtId="10" fontId="9" fillId="0" borderId="4" xfId="0" applyNumberFormat="1" applyFont="1" applyFill="1" applyBorder="1"/>
    <xf numFmtId="0" fontId="9" fillId="0" borderId="4" xfId="0" applyFont="1" applyFill="1" applyBorder="1"/>
    <xf numFmtId="0" fontId="31" fillId="0" borderId="0" xfId="4" applyFont="1" applyAlignment="1">
      <alignment horizontal="right" vertical="center"/>
    </xf>
    <xf numFmtId="0" fontId="31" fillId="0" borderId="0" xfId="4" applyFont="1" applyAlignment="1">
      <alignment horizontal="right" vertical="center" wrapText="1"/>
    </xf>
    <xf numFmtId="0" fontId="9" fillId="0" borderId="0" xfId="4" applyAlignment="1">
      <alignment wrapText="1"/>
    </xf>
    <xf numFmtId="0" fontId="25" fillId="0" borderId="26" xfId="4" applyFont="1" applyBorder="1" applyAlignment="1">
      <alignment horizontal="center" vertical="center"/>
    </xf>
    <xf numFmtId="0" fontId="25" fillId="0" borderId="3" xfId="4" applyFont="1" applyBorder="1" applyAlignment="1">
      <alignment horizontal="left" vertical="top"/>
    </xf>
    <xf numFmtId="0" fontId="25" fillId="0" borderId="14" xfId="4" applyFont="1" applyBorder="1" applyAlignment="1">
      <alignment horizontal="center" vertical="top"/>
    </xf>
    <xf numFmtId="0" fontId="9" fillId="0" borderId="11" xfId="4" applyFont="1" applyBorder="1" applyAlignment="1">
      <alignment horizontal="center" vertical="top"/>
    </xf>
    <xf numFmtId="0" fontId="9" fillId="0" borderId="4" xfId="4" applyFont="1" applyBorder="1" applyAlignment="1">
      <alignment horizontal="left" vertical="top"/>
    </xf>
    <xf numFmtId="2" fontId="9" fillId="0" borderId="15" xfId="4" applyNumberFormat="1" applyFont="1" applyBorder="1" applyAlignment="1">
      <alignment horizontal="center" vertical="top"/>
    </xf>
    <xf numFmtId="0" fontId="9" fillId="0" borderId="27" xfId="4" applyFont="1" applyBorder="1" applyAlignment="1">
      <alignment horizontal="center" vertical="top"/>
    </xf>
    <xf numFmtId="0" fontId="9" fillId="0" borderId="2" xfId="4" applyFont="1" applyBorder="1" applyAlignment="1">
      <alignment horizontal="left" vertical="top"/>
    </xf>
    <xf numFmtId="2" fontId="9" fillId="0" borderId="13" xfId="4" applyNumberFormat="1" applyFont="1" applyBorder="1" applyAlignment="1">
      <alignment horizontal="center" vertical="top"/>
    </xf>
    <xf numFmtId="2" fontId="25" fillId="0" borderId="29" xfId="4" applyNumberFormat="1" applyFont="1" applyBorder="1" applyAlignment="1">
      <alignment horizontal="center" vertical="top"/>
    </xf>
    <xf numFmtId="10" fontId="25" fillId="0" borderId="19" xfId="14" applyNumberFormat="1" applyFont="1" applyBorder="1" applyAlignment="1">
      <alignment horizontal="center" vertical="top"/>
    </xf>
    <xf numFmtId="10" fontId="9" fillId="0" borderId="0" xfId="4" applyNumberFormat="1" applyAlignment="1">
      <alignment vertical="center"/>
    </xf>
    <xf numFmtId="0" fontId="33" fillId="0" borderId="21" xfId="4" applyFont="1" applyBorder="1" applyAlignment="1">
      <alignment vertical="center"/>
    </xf>
    <xf numFmtId="0" fontId="9" fillId="0" borderId="22" xfId="4" applyBorder="1" applyAlignment="1">
      <alignment vertical="center"/>
    </xf>
    <xf numFmtId="0" fontId="9" fillId="0" borderId="31" xfId="4" applyBorder="1" applyAlignment="1">
      <alignment vertical="center"/>
    </xf>
    <xf numFmtId="0" fontId="9" fillId="0" borderId="32" xfId="4" applyBorder="1" applyAlignment="1">
      <alignment vertical="center"/>
    </xf>
    <xf numFmtId="175" fontId="9" fillId="0" borderId="0" xfId="4" applyNumberFormat="1" applyAlignment="1">
      <alignment vertical="center"/>
    </xf>
    <xf numFmtId="0" fontId="35" fillId="0" borderId="0" xfId="18" applyFont="1" applyAlignment="1">
      <alignment horizontal="center" vertical="center"/>
    </xf>
    <xf numFmtId="0" fontId="25" fillId="0" borderId="0" xfId="18" applyFont="1" applyAlignment="1">
      <alignment vertical="center"/>
    </xf>
    <xf numFmtId="0" fontId="15" fillId="0" borderId="0" xfId="18" applyFont="1" applyAlignment="1">
      <alignment horizontal="center" vertical="center"/>
    </xf>
    <xf numFmtId="0" fontId="9" fillId="0" borderId="0" xfId="18" applyFont="1" applyAlignment="1">
      <alignment vertical="center"/>
    </xf>
    <xf numFmtId="0" fontId="9" fillId="0" borderId="0" xfId="18" applyFont="1" applyAlignment="1">
      <alignment horizontal="right" vertical="center"/>
    </xf>
    <xf numFmtId="2" fontId="9" fillId="0" borderId="0" xfId="18" applyNumberFormat="1" applyFont="1" applyAlignment="1">
      <alignment vertical="center"/>
    </xf>
    <xf numFmtId="0" fontId="16" fillId="0" borderId="0" xfId="18" applyFont="1" applyAlignment="1">
      <alignment horizontal="left" vertical="center"/>
    </xf>
    <xf numFmtId="0" fontId="35" fillId="0" borderId="0" xfId="18" applyFont="1" applyFill="1" applyBorder="1" applyAlignment="1">
      <alignment horizontal="center" vertical="center"/>
    </xf>
    <xf numFmtId="0" fontId="9" fillId="0" borderId="0" xfId="18" applyFont="1" applyAlignment="1">
      <alignment horizontal="left" vertical="center" wrapText="1"/>
    </xf>
    <xf numFmtId="3" fontId="9" fillId="0" borderId="0" xfId="4" applyNumberFormat="1" applyFont="1" applyBorder="1" applyAlignment="1">
      <alignment horizontal="right" vertical="center"/>
    </xf>
    <xf numFmtId="49" fontId="9" fillId="0" borderId="0" xfId="18" applyNumberFormat="1" applyFont="1" applyFill="1" applyBorder="1" applyAlignment="1">
      <alignment horizontal="right" vertical="center"/>
    </xf>
    <xf numFmtId="0" fontId="25" fillId="0" borderId="4" xfId="4" applyFont="1" applyBorder="1" applyAlignment="1">
      <alignment horizontal="center"/>
    </xf>
    <xf numFmtId="0" fontId="25" fillId="0" borderId="0" xfId="4" applyFont="1" applyBorder="1" applyAlignment="1">
      <alignment horizontal="center"/>
    </xf>
    <xf numFmtId="0" fontId="17" fillId="0" borderId="0" xfId="18" applyFont="1" applyAlignment="1">
      <alignment horizontal="left" vertical="center"/>
    </xf>
    <xf numFmtId="49" fontId="17" fillId="0" borderId="0" xfId="18" applyNumberFormat="1" applyFont="1" applyAlignment="1">
      <alignment horizontal="right" vertical="center"/>
    </xf>
    <xf numFmtId="4" fontId="9" fillId="0" borderId="0" xfId="4" applyNumberFormat="1" applyFont="1" applyBorder="1" applyAlignment="1">
      <alignment horizontal="right"/>
    </xf>
    <xf numFmtId="0" fontId="25" fillId="0" borderId="4" xfId="18" applyFont="1" applyBorder="1" applyAlignment="1">
      <alignment horizontal="center" vertical="center"/>
    </xf>
    <xf numFmtId="0" fontId="25" fillId="0" borderId="4" xfId="4" applyFont="1" applyBorder="1" applyAlignment="1">
      <alignment horizontal="left"/>
    </xf>
    <xf numFmtId="4" fontId="25" fillId="0" borderId="4" xfId="4" applyNumberFormat="1" applyFont="1" applyFill="1" applyBorder="1" applyAlignment="1">
      <alignment horizontal="center"/>
    </xf>
    <xf numFmtId="4" fontId="25" fillId="0" borderId="0" xfId="4" applyNumberFormat="1" applyFont="1" applyBorder="1" applyAlignment="1">
      <alignment horizontal="center"/>
    </xf>
    <xf numFmtId="3" fontId="9" fillId="0" borderId="0" xfId="4" applyNumberFormat="1" applyFont="1" applyBorder="1" applyAlignment="1">
      <alignment horizontal="right"/>
    </xf>
    <xf numFmtId="0" fontId="17" fillId="0" borderId="0" xfId="18" applyFont="1" applyAlignment="1">
      <alignment vertical="center"/>
    </xf>
    <xf numFmtId="4" fontId="17" fillId="0" borderId="0" xfId="4" applyNumberFormat="1" applyFont="1" applyBorder="1" applyAlignment="1">
      <alignment horizontal="left" vertical="center"/>
    </xf>
    <xf numFmtId="4" fontId="9" fillId="0" borderId="0" xfId="4" applyNumberFormat="1" applyFont="1" applyBorder="1" applyAlignment="1">
      <alignment horizontal="right" vertical="center"/>
    </xf>
    <xf numFmtId="4" fontId="17" fillId="0" borderId="0" xfId="4" applyNumberFormat="1" applyFont="1" applyBorder="1" applyAlignment="1">
      <alignment horizontal="left"/>
    </xf>
    <xf numFmtId="4" fontId="25" fillId="0" borderId="0" xfId="4" applyNumberFormat="1" applyFont="1" applyFill="1" applyBorder="1" applyAlignment="1">
      <alignment horizontal="center"/>
    </xf>
    <xf numFmtId="3" fontId="17" fillId="0" borderId="0" xfId="4" applyNumberFormat="1" applyFont="1" applyBorder="1" applyAlignment="1">
      <alignment horizontal="right" vertical="center"/>
    </xf>
    <xf numFmtId="4" fontId="17" fillId="0" borderId="0" xfId="4" applyNumberFormat="1" applyFont="1" applyBorder="1" applyAlignment="1">
      <alignment horizontal="right" vertical="center"/>
    </xf>
    <xf numFmtId="0" fontId="17" fillId="0" borderId="0" xfId="18" applyFont="1" applyAlignment="1">
      <alignment horizontal="right" vertical="center"/>
    </xf>
    <xf numFmtId="2" fontId="16" fillId="0" borderId="0" xfId="18" applyNumberFormat="1" applyFont="1" applyAlignment="1">
      <alignment vertical="center"/>
    </xf>
    <xf numFmtId="4" fontId="25" fillId="0" borderId="4" xfId="4" applyNumberFormat="1" applyFont="1" applyBorder="1" applyAlignment="1">
      <alignment horizontal="center"/>
    </xf>
    <xf numFmtId="4" fontId="25" fillId="0" borderId="4" xfId="18" applyNumberFormat="1" applyFont="1" applyBorder="1" applyAlignment="1">
      <alignment horizontal="center" vertical="center"/>
    </xf>
    <xf numFmtId="4" fontId="25" fillId="0" borderId="0" xfId="18" applyNumberFormat="1" applyFont="1" applyBorder="1" applyAlignment="1">
      <alignment horizontal="center" vertical="center"/>
    </xf>
    <xf numFmtId="0" fontId="25" fillId="0" borderId="0" xfId="18" applyFont="1" applyBorder="1" applyAlignment="1">
      <alignment horizontal="center" vertical="center"/>
    </xf>
    <xf numFmtId="4" fontId="17" fillId="0" borderId="0" xfId="18" applyNumberFormat="1" applyFont="1" applyBorder="1" applyAlignment="1">
      <alignment horizontal="left" vertical="center"/>
    </xf>
    <xf numFmtId="3" fontId="17" fillId="0" borderId="0" xfId="18" applyNumberFormat="1" applyFont="1" applyBorder="1" applyAlignment="1">
      <alignment horizontal="right" vertical="center"/>
    </xf>
    <xf numFmtId="4" fontId="17" fillId="0" borderId="0" xfId="18" applyNumberFormat="1" applyFont="1" applyBorder="1" applyAlignment="1">
      <alignment horizontal="right" vertical="center"/>
    </xf>
    <xf numFmtId="0" fontId="25" fillId="0" borderId="4" xfId="18" applyFont="1" applyBorder="1" applyAlignment="1">
      <alignment horizontal="left" vertical="center"/>
    </xf>
    <xf numFmtId="2" fontId="17" fillId="0" borderId="0" xfId="18" applyNumberFormat="1" applyFont="1" applyBorder="1" applyAlignment="1">
      <alignment horizontal="right" vertical="center"/>
    </xf>
    <xf numFmtId="0" fontId="17" fillId="0" borderId="0" xfId="18" applyFont="1" applyBorder="1" applyAlignment="1">
      <alignment horizontal="left" vertical="center"/>
    </xf>
    <xf numFmtId="0" fontId="25" fillId="0" borderId="4" xfId="18" applyFont="1" applyBorder="1" applyAlignment="1">
      <alignment horizontal="left" vertical="center" wrapText="1"/>
    </xf>
    <xf numFmtId="2" fontId="25" fillId="0" borderId="4" xfId="18" applyNumberFormat="1" applyFont="1" applyBorder="1" applyAlignment="1">
      <alignment horizontal="center" vertical="center"/>
    </xf>
    <xf numFmtId="0" fontId="9" fillId="0" borderId="0" xfId="18" applyFont="1" applyBorder="1" applyAlignment="1">
      <alignment horizontal="right" vertical="center"/>
    </xf>
    <xf numFmtId="0" fontId="25" fillId="0" borderId="4" xfId="4" applyFont="1" applyBorder="1" applyAlignment="1">
      <alignment horizontal="left" wrapText="1"/>
    </xf>
    <xf numFmtId="0" fontId="17" fillId="0" borderId="4" xfId="18" applyFont="1" applyBorder="1" applyAlignment="1">
      <alignment vertical="center"/>
    </xf>
    <xf numFmtId="0" fontId="25" fillId="0" borderId="0" xfId="18" applyFont="1" applyBorder="1" applyAlignment="1">
      <alignment horizontal="right" vertical="center"/>
    </xf>
    <xf numFmtId="0" fontId="25" fillId="0" borderId="4" xfId="18" applyFont="1" applyFill="1" applyBorder="1" applyAlignment="1">
      <alignment vertical="center"/>
    </xf>
    <xf numFmtId="165" fontId="17" fillId="0" borderId="4" xfId="18" applyNumberFormat="1" applyFont="1" applyBorder="1" applyAlignment="1">
      <alignment vertical="center"/>
    </xf>
    <xf numFmtId="0" fontId="9" fillId="0" borderId="4" xfId="18" applyFont="1" applyBorder="1" applyAlignment="1">
      <alignment horizontal="right" vertical="center"/>
    </xf>
    <xf numFmtId="0" fontId="9" fillId="0" borderId="4" xfId="18" applyFont="1" applyBorder="1" applyAlignment="1">
      <alignment vertical="center"/>
    </xf>
    <xf numFmtId="0" fontId="25" fillId="0" borderId="4" xfId="4" applyFont="1" applyBorder="1" applyAlignment="1">
      <alignment horizontal="center" vertical="center"/>
    </xf>
    <xf numFmtId="0" fontId="25" fillId="0" borderId="4" xfId="4" applyFont="1" applyBorder="1" applyAlignment="1">
      <alignment horizontal="left" vertical="center"/>
    </xf>
    <xf numFmtId="0" fontId="9" fillId="0" borderId="0" xfId="18" applyFont="1" applyFill="1" applyBorder="1" applyAlignment="1">
      <alignment vertical="center"/>
    </xf>
    <xf numFmtId="4" fontId="25" fillId="0" borderId="0" xfId="4" applyNumberFormat="1" applyFont="1" applyBorder="1" applyAlignment="1">
      <alignment horizontal="center" vertical="center"/>
    </xf>
    <xf numFmtId="0" fontId="9" fillId="0" borderId="0" xfId="18" applyFont="1" applyFill="1" applyBorder="1" applyAlignment="1">
      <alignment horizontal="center" vertical="center"/>
    </xf>
    <xf numFmtId="0" fontId="25" fillId="0" borderId="4" xfId="18" applyFont="1" applyBorder="1" applyAlignment="1">
      <alignment horizontal="right" vertical="center"/>
    </xf>
    <xf numFmtId="0" fontId="9" fillId="0" borderId="33" xfId="4" applyFont="1" applyBorder="1" applyAlignment="1">
      <alignment vertical="center" wrapText="1"/>
    </xf>
    <xf numFmtId="10" fontId="25" fillId="0" borderId="4" xfId="14" applyNumberFormat="1" applyFont="1" applyBorder="1" applyAlignment="1">
      <alignment horizontal="right" vertical="center"/>
    </xf>
    <xf numFmtId="2" fontId="25" fillId="0" borderId="4" xfId="4" applyNumberFormat="1" applyFont="1" applyBorder="1" applyAlignment="1">
      <alignment horizontal="right" vertical="center"/>
    </xf>
    <xf numFmtId="0" fontId="25" fillId="0" borderId="0" xfId="18" applyFont="1" applyBorder="1" applyAlignment="1">
      <alignment horizontal="left" vertical="center"/>
    </xf>
    <xf numFmtId="0" fontId="16" fillId="0" borderId="0" xfId="18" applyFont="1" applyAlignment="1">
      <alignment horizontal="center" vertical="center"/>
    </xf>
    <xf numFmtId="0" fontId="9" fillId="6" borderId="4" xfId="18" applyFont="1" applyFill="1" applyBorder="1" applyAlignment="1">
      <alignment vertical="center"/>
    </xf>
    <xf numFmtId="0" fontId="9" fillId="0" borderId="0" xfId="18" applyFont="1" applyFill="1" applyAlignment="1">
      <alignment vertical="center"/>
    </xf>
    <xf numFmtId="0" fontId="25" fillId="0" borderId="4" xfId="18" applyFont="1" applyFill="1" applyBorder="1" applyAlignment="1">
      <alignment horizontal="left" vertical="center"/>
    </xf>
    <xf numFmtId="0" fontId="25" fillId="0" borderId="4" xfId="18" applyFont="1" applyFill="1" applyBorder="1" applyAlignment="1">
      <alignment horizontal="right" vertical="center"/>
    </xf>
    <xf numFmtId="0" fontId="9" fillId="0" borderId="0" xfId="4" applyFill="1" applyAlignment="1">
      <alignment vertical="center"/>
    </xf>
    <xf numFmtId="8" fontId="6" fillId="5" borderId="0" xfId="11" applyNumberFormat="1" applyFill="1" applyBorder="1" applyAlignment="1">
      <alignment vertical="center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/>
    <xf numFmtId="8" fontId="1" fillId="0" borderId="0" xfId="0" applyNumberFormat="1" applyFont="1" applyAlignment="1"/>
    <xf numFmtId="8" fontId="1" fillId="0" borderId="0" xfId="0" applyNumberFormat="1" applyFont="1" applyBorder="1" applyAlignment="1"/>
    <xf numFmtId="0" fontId="19" fillId="3" borderId="0" xfId="0" applyFont="1" applyFill="1" applyAlignment="1">
      <alignment horizontal="center" vertical="center"/>
    </xf>
    <xf numFmtId="8" fontId="0" fillId="0" borderId="0" xfId="0" applyNumberFormat="1" applyAlignment="1">
      <alignment horizontal="center"/>
    </xf>
    <xf numFmtId="0" fontId="0" fillId="2" borderId="0" xfId="0" applyFill="1" applyAlignment="1"/>
    <xf numFmtId="8" fontId="0" fillId="0" borderId="0" xfId="0" applyNumberFormat="1" applyAlignment="1">
      <alignment vertical="center"/>
    </xf>
    <xf numFmtId="0" fontId="19" fillId="3" borderId="0" xfId="0" applyFont="1" applyFill="1" applyAlignment="1">
      <alignment horizontal="center" vertical="center" wrapText="1"/>
    </xf>
    <xf numFmtId="8" fontId="6" fillId="3" borderId="0" xfId="11" applyNumberFormat="1" applyFill="1" applyBorder="1" applyAlignment="1">
      <alignment vertical="center"/>
    </xf>
    <xf numFmtId="2" fontId="0" fillId="0" borderId="0" xfId="0" applyNumberFormat="1"/>
    <xf numFmtId="8" fontId="2" fillId="0" borderId="0" xfId="0" applyNumberFormat="1" applyFont="1" applyAlignment="1"/>
    <xf numFmtId="2" fontId="4" fillId="0" borderId="0" xfId="0" applyNumberFormat="1" applyFont="1"/>
    <xf numFmtId="0" fontId="2" fillId="2" borderId="0" xfId="0" applyFont="1" applyFill="1" applyAlignment="1">
      <alignment horizontal="center" vertical="center"/>
    </xf>
    <xf numFmtId="8" fontId="2" fillId="2" borderId="0" xfId="0" applyNumberFormat="1" applyFont="1" applyFill="1" applyAlignment="1">
      <alignment horizontal="center" vertical="center"/>
    </xf>
    <xf numFmtId="0" fontId="0" fillId="0" borderId="0" xfId="0"/>
    <xf numFmtId="0" fontId="9" fillId="0" borderId="0" xfId="4" applyAlignment="1">
      <alignment horizontal="center" vertical="center"/>
    </xf>
    <xf numFmtId="0" fontId="12" fillId="0" borderId="0" xfId="16" applyFont="1" applyAlignment="1">
      <alignment horizontal="center" wrapText="1"/>
    </xf>
    <xf numFmtId="0" fontId="35" fillId="0" borderId="0" xfId="18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4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44" fillId="0" borderId="0" xfId="0" applyFont="1" applyAlignment="1">
      <alignment horizontal="center" wrapText="1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3" fontId="20" fillId="0" borderId="0" xfId="1" applyFont="1" applyFill="1" applyAlignment="1">
      <alignment horizontal="center" vertical="center"/>
    </xf>
    <xf numFmtId="170" fontId="20" fillId="0" borderId="0" xfId="12" applyNumberFormat="1" applyFont="1" applyFill="1" applyAlignment="1">
      <alignment horizontal="center" vertical="center"/>
    </xf>
    <xf numFmtId="0" fontId="19" fillId="0" borderId="0" xfId="6" applyFont="1" applyFill="1" applyAlignment="1">
      <alignment horizontal="center" vertical="center" wrapText="1"/>
    </xf>
    <xf numFmtId="0" fontId="20" fillId="0" borderId="0" xfId="5" applyFont="1" applyFill="1" applyAlignment="1">
      <alignment horizontal="center" vertical="center" wrapText="1"/>
    </xf>
    <xf numFmtId="0" fontId="0" fillId="5" borderId="0" xfId="11" applyFont="1" applyFill="1" applyBorder="1" applyAlignment="1">
      <alignment horizontal="center" vertical="center"/>
    </xf>
    <xf numFmtId="0" fontId="19" fillId="0" borderId="0" xfId="11" applyFont="1" applyFill="1" applyBorder="1" applyAlignment="1">
      <alignment horizontal="center"/>
    </xf>
    <xf numFmtId="0" fontId="19" fillId="0" borderId="0" xfId="0" applyFont="1" applyFill="1" applyAlignment="1">
      <alignment vertical="center" wrapText="1"/>
    </xf>
    <xf numFmtId="0" fontId="19" fillId="0" borderId="0" xfId="0" applyNumberFormat="1" applyFont="1" applyFill="1" applyAlignment="1">
      <alignment horizontal="center" vertical="center"/>
    </xf>
    <xf numFmtId="43" fontId="19" fillId="0" borderId="0" xfId="1" applyFont="1" applyFill="1" applyAlignment="1">
      <alignment horizontal="center" vertical="center" wrapText="1"/>
    </xf>
    <xf numFmtId="168" fontId="19" fillId="0" borderId="0" xfId="12" applyNumberFormat="1" applyFont="1" applyFill="1" applyAlignment="1">
      <alignment vertical="center" wrapText="1"/>
    </xf>
    <xf numFmtId="170" fontId="19" fillId="0" borderId="0" xfId="12" applyFont="1" applyFill="1" applyAlignment="1">
      <alignment horizontal="center" vertical="center" wrapText="1"/>
    </xf>
    <xf numFmtId="43" fontId="20" fillId="3" borderId="0" xfId="1" applyFont="1" applyFill="1" applyAlignment="1">
      <alignment horizontal="center" vertical="center"/>
    </xf>
    <xf numFmtId="170" fontId="19" fillId="0" borderId="0" xfId="12" applyNumberFormat="1" applyFont="1" applyFill="1" applyAlignment="1">
      <alignment horizontal="center" vertical="center"/>
    </xf>
    <xf numFmtId="0" fontId="10" fillId="3" borderId="0" xfId="4" applyFont="1" applyFill="1" applyAlignment="1">
      <alignment horizontal="center" vertical="center" wrapText="1"/>
    </xf>
    <xf numFmtId="0" fontId="16" fillId="0" borderId="5" xfId="6" applyFont="1" applyBorder="1" applyAlignment="1">
      <alignment horizontal="center"/>
    </xf>
    <xf numFmtId="0" fontId="16" fillId="0" borderId="6" xfId="6" applyFont="1" applyBorder="1" applyAlignment="1">
      <alignment horizontal="center"/>
    </xf>
    <xf numFmtId="0" fontId="12" fillId="0" borderId="0" xfId="6" applyFont="1" applyBorder="1" applyAlignment="1">
      <alignment horizontal="center"/>
    </xf>
    <xf numFmtId="14" fontId="13" fillId="0" borderId="1" xfId="6" applyNumberFormat="1" applyFont="1" applyBorder="1" applyAlignment="1"/>
    <xf numFmtId="0" fontId="13" fillId="0" borderId="1" xfId="6" applyFont="1" applyBorder="1" applyAlignment="1"/>
    <xf numFmtId="0" fontId="12" fillId="0" borderId="2" xfId="6" applyFont="1" applyFill="1" applyBorder="1" applyAlignment="1">
      <alignment horizontal="center" vertical="center" wrapText="1"/>
    </xf>
    <xf numFmtId="0" fontId="12" fillId="0" borderId="3" xfId="6" applyFont="1" applyFill="1" applyBorder="1" applyAlignment="1">
      <alignment horizontal="center" vertical="center" wrapText="1"/>
    </xf>
    <xf numFmtId="0" fontId="12" fillId="0" borderId="2" xfId="6" applyNumberFormat="1" applyFont="1" applyFill="1" applyBorder="1" applyAlignment="1">
      <alignment horizontal="center" vertical="center" wrapText="1"/>
    </xf>
    <xf numFmtId="0" fontId="12" fillId="0" borderId="3" xfId="6" applyNumberFormat="1" applyFont="1" applyFill="1" applyBorder="1" applyAlignment="1">
      <alignment horizontal="center" vertical="center" wrapText="1"/>
    </xf>
    <xf numFmtId="9" fontId="12" fillId="0" borderId="2" xfId="3" applyFont="1" applyFill="1" applyBorder="1" applyAlignment="1">
      <alignment horizontal="center" vertical="center" wrapText="1"/>
    </xf>
    <xf numFmtId="9" fontId="12" fillId="0" borderId="3" xfId="3" applyFont="1" applyFill="1" applyBorder="1" applyAlignment="1">
      <alignment horizontal="center" vertical="center" wrapText="1"/>
    </xf>
    <xf numFmtId="0" fontId="10" fillId="0" borderId="0" xfId="4" applyFont="1" applyAlignment="1">
      <alignment horizontal="center" vertical="center" wrapText="1"/>
    </xf>
    <xf numFmtId="0" fontId="9" fillId="0" borderId="0" xfId="4" applyFont="1" applyAlignment="1">
      <alignment horizontal="center" vertical="center"/>
    </xf>
    <xf numFmtId="0" fontId="9" fillId="0" borderId="0" xfId="4" applyAlignment="1">
      <alignment horizontal="center" vertical="center"/>
    </xf>
    <xf numFmtId="44" fontId="9" fillId="0" borderId="0" xfId="2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17" fillId="0" borderId="16" xfId="4" quotePrefix="1" applyFont="1" applyBorder="1" applyAlignment="1">
      <alignment horizontal="right" vertical="center"/>
    </xf>
    <xf numFmtId="0" fontId="17" fillId="0" borderId="17" xfId="4" quotePrefix="1" applyFont="1" applyBorder="1" applyAlignment="1">
      <alignment horizontal="right" vertical="center"/>
    </xf>
    <xf numFmtId="0" fontId="25" fillId="0" borderId="7" xfId="4" applyFont="1" applyBorder="1" applyAlignment="1">
      <alignment horizontal="center" vertical="center"/>
    </xf>
    <xf numFmtId="0" fontId="25" fillId="0" borderId="11" xfId="4" applyFont="1" applyBorder="1" applyAlignment="1">
      <alignment horizontal="center" vertical="center"/>
    </xf>
    <xf numFmtId="0" fontId="25" fillId="0" borderId="8" xfId="4" applyFont="1" applyBorder="1" applyAlignment="1">
      <alignment horizontal="center" vertical="center" wrapText="1"/>
    </xf>
    <xf numFmtId="0" fontId="25" fillId="0" borderId="12" xfId="4" applyFont="1" applyBorder="1" applyAlignment="1">
      <alignment horizontal="center" vertical="center" wrapText="1"/>
    </xf>
    <xf numFmtId="0" fontId="25" fillId="0" borderId="3" xfId="4" applyFont="1" applyBorder="1" applyAlignment="1">
      <alignment horizontal="center" vertical="center" wrapText="1"/>
    </xf>
    <xf numFmtId="0" fontId="25" fillId="0" borderId="9" xfId="4" applyFont="1" applyBorder="1" applyAlignment="1">
      <alignment horizontal="center" vertical="center" wrapText="1"/>
    </xf>
    <xf numFmtId="0" fontId="25" fillId="0" borderId="10" xfId="4" applyFont="1" applyBorder="1" applyAlignment="1">
      <alignment horizontal="center" vertical="center" wrapText="1"/>
    </xf>
    <xf numFmtId="0" fontId="25" fillId="0" borderId="2" xfId="4" applyFont="1" applyBorder="1" applyAlignment="1">
      <alignment horizontal="center" vertical="center" wrapText="1"/>
    </xf>
    <xf numFmtId="0" fontId="25" fillId="0" borderId="13" xfId="4" applyFont="1" applyBorder="1" applyAlignment="1">
      <alignment horizontal="center" vertical="center"/>
    </xf>
    <xf numFmtId="0" fontId="25" fillId="0" borderId="14" xfId="4" applyFont="1" applyBorder="1" applyAlignment="1">
      <alignment horizontal="center" vertical="center"/>
    </xf>
    <xf numFmtId="0" fontId="32" fillId="8" borderId="5" xfId="0" applyFont="1" applyFill="1" applyBorder="1" applyAlignment="1">
      <alignment horizontal="center"/>
    </xf>
    <xf numFmtId="0" fontId="32" fillId="8" borderId="6" xfId="0" applyFont="1" applyFill="1" applyBorder="1" applyAlignment="1">
      <alignment horizontal="center"/>
    </xf>
    <xf numFmtId="9" fontId="32" fillId="0" borderId="5" xfId="14" applyFont="1" applyBorder="1" applyAlignment="1">
      <alignment horizontal="center"/>
    </xf>
    <xf numFmtId="9" fontId="32" fillId="0" borderId="6" xfId="14" applyFont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/>
    </xf>
    <xf numFmtId="0" fontId="12" fillId="0" borderId="0" xfId="16" applyFont="1" applyAlignment="1">
      <alignment horizontal="center" wrapText="1"/>
    </xf>
    <xf numFmtId="0" fontId="25" fillId="0" borderId="0" xfId="5" applyFont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170" fontId="32" fillId="0" borderId="4" xfId="12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23" xfId="4" applyFont="1" applyBorder="1" applyAlignment="1">
      <alignment horizontal="left" vertical="top"/>
    </xf>
    <xf numFmtId="0" fontId="25" fillId="0" borderId="24" xfId="4" applyFont="1" applyBorder="1" applyAlignment="1">
      <alignment horizontal="left" vertical="top"/>
    </xf>
    <xf numFmtId="0" fontId="25" fillId="0" borderId="25" xfId="4" applyFont="1" applyBorder="1" applyAlignment="1">
      <alignment horizontal="left" vertical="top"/>
    </xf>
    <xf numFmtId="0" fontId="25" fillId="2" borderId="20" xfId="4" applyFont="1" applyFill="1" applyBorder="1" applyAlignment="1">
      <alignment horizontal="center" vertical="top"/>
    </xf>
    <xf numFmtId="0" fontId="25" fillId="2" borderId="21" xfId="4" applyFont="1" applyFill="1" applyBorder="1" applyAlignment="1">
      <alignment horizontal="center" vertical="top"/>
    </xf>
    <xf numFmtId="0" fontId="25" fillId="2" borderId="22" xfId="4" applyFont="1" applyFill="1" applyBorder="1" applyAlignment="1">
      <alignment horizontal="center" vertical="top"/>
    </xf>
    <xf numFmtId="0" fontId="9" fillId="0" borderId="20" xfId="4" applyBorder="1" applyAlignment="1">
      <alignment horizontal="center" vertical="center"/>
    </xf>
    <xf numFmtId="0" fontId="9" fillId="0" borderId="30" xfId="4" applyBorder="1" applyAlignment="1">
      <alignment horizontal="center" vertical="center"/>
    </xf>
    <xf numFmtId="0" fontId="25" fillId="0" borderId="23" xfId="4" applyFont="1" applyBorder="1" applyAlignment="1">
      <alignment horizontal="right" vertical="top"/>
    </xf>
    <xf numFmtId="0" fontId="25" fillId="0" borderId="28" xfId="4" applyFont="1" applyBorder="1" applyAlignment="1">
      <alignment horizontal="right" vertical="top"/>
    </xf>
    <xf numFmtId="0" fontId="25" fillId="0" borderId="4" xfId="18" applyFont="1" applyBorder="1" applyAlignment="1">
      <alignment horizontal="right" vertical="center"/>
    </xf>
    <xf numFmtId="0" fontId="35" fillId="2" borderId="4" xfId="18" applyFont="1" applyFill="1" applyBorder="1" applyAlignment="1">
      <alignment horizontal="center" vertical="center"/>
    </xf>
    <xf numFmtId="0" fontId="25" fillId="0" borderId="4" xfId="4" applyFont="1" applyBorder="1" applyAlignment="1">
      <alignment horizontal="left" vertical="center"/>
    </xf>
    <xf numFmtId="0" fontId="9" fillId="2" borderId="4" xfId="18" applyFont="1" applyFill="1" applyBorder="1" applyAlignment="1">
      <alignment horizontal="center" vertical="center"/>
    </xf>
    <xf numFmtId="0" fontId="25" fillId="0" borderId="4" xfId="18" applyFont="1" applyBorder="1" applyAlignment="1">
      <alignment horizontal="left" vertical="center"/>
    </xf>
    <xf numFmtId="0" fontId="17" fillId="0" borderId="0" xfId="18" applyFont="1" applyAlignment="1">
      <alignment horizontal="center" vertical="center"/>
    </xf>
    <xf numFmtId="0" fontId="25" fillId="0" borderId="4" xfId="4" applyFont="1" applyFill="1" applyBorder="1" applyAlignment="1">
      <alignment horizontal="left" vertical="center"/>
    </xf>
    <xf numFmtId="0" fontId="35" fillId="0" borderId="0" xfId="18" applyFont="1" applyAlignment="1">
      <alignment horizontal="center" vertical="center"/>
    </xf>
    <xf numFmtId="0" fontId="15" fillId="0" borderId="0" xfId="18" applyFont="1" applyAlignment="1">
      <alignment horizontal="center" vertical="center"/>
    </xf>
    <xf numFmtId="0" fontId="20" fillId="3" borderId="0" xfId="5" applyFont="1" applyFill="1" applyAlignment="1">
      <alignment horizontal="left" vertical="center" wrapText="1"/>
    </xf>
    <xf numFmtId="0" fontId="13" fillId="3" borderId="0" xfId="7" applyFont="1" applyFill="1" applyAlignment="1">
      <alignment horizontal="left" wrapText="1"/>
    </xf>
    <xf numFmtId="0" fontId="13" fillId="3" borderId="0" xfId="7" applyFont="1" applyFill="1" applyAlignment="1">
      <alignment horizontal="center" wrapText="1"/>
    </xf>
    <xf numFmtId="0" fontId="31" fillId="3" borderId="0" xfId="4" applyFont="1" applyFill="1" applyAlignment="1">
      <alignment horizontal="left" vertical="center"/>
    </xf>
    <xf numFmtId="0" fontId="31" fillId="3" borderId="0" xfId="4" applyFont="1" applyFill="1" applyAlignment="1">
      <alignment horizontal="left" vertical="top" wrapText="1"/>
    </xf>
    <xf numFmtId="0" fontId="14" fillId="0" borderId="6" xfId="8" applyNumberFormat="1" applyFont="1" applyFill="1" applyBorder="1" applyAlignment="1" applyProtection="1">
      <alignment horizontal="left" vertical="center" wrapText="1"/>
    </xf>
    <xf numFmtId="0" fontId="26" fillId="4" borderId="0" xfId="16" applyFont="1" applyFill="1" applyAlignment="1">
      <alignment horizontal="center"/>
    </xf>
    <xf numFmtId="0" fontId="9" fillId="4" borderId="0" xfId="16" applyFont="1" applyFill="1" applyAlignment="1">
      <alignment horizontal="left"/>
    </xf>
    <xf numFmtId="0" fontId="9" fillId="4" borderId="0" xfId="16" applyFont="1" applyFill="1" applyAlignment="1">
      <alignment horizontal="left" wrapText="1"/>
    </xf>
    <xf numFmtId="0" fontId="31" fillId="3" borderId="0" xfId="4" applyFont="1" applyFill="1" applyAlignment="1">
      <alignment horizontal="left" vertical="center" wrapText="1"/>
    </xf>
    <xf numFmtId="0" fontId="9" fillId="0" borderId="0" xfId="4" applyAlignment="1">
      <alignment horizontal="left" vertical="center" wrapText="1"/>
    </xf>
    <xf numFmtId="0" fontId="9" fillId="0" borderId="0" xfId="4" applyAlignment="1">
      <alignment horizontal="left" vertical="center"/>
    </xf>
  </cellXfs>
  <cellStyles count="115">
    <cellStyle name="0,0_x000d__x000a_NA_x000d__x000a_" xfId="19"/>
    <cellStyle name="Comma" xfId="20"/>
    <cellStyle name="Comma0" xfId="21"/>
    <cellStyle name="Currency" xfId="22"/>
    <cellStyle name="Currency0" xfId="23"/>
    <cellStyle name="Data" xfId="24"/>
    <cellStyle name="Date" xfId="25"/>
    <cellStyle name="Euro" xfId="26"/>
    <cellStyle name="Fixed" xfId="27"/>
    <cellStyle name="Fixo" xfId="28"/>
    <cellStyle name="Heading 1" xfId="29"/>
    <cellStyle name="Heading 2" xfId="30"/>
    <cellStyle name="Moeda" xfId="2" builtinId="4"/>
    <cellStyle name="Moeda 2" xfId="31"/>
    <cellStyle name="Moeda 2 2" xfId="13"/>
    <cellStyle name="Moeda 2 2 2" xfId="10"/>
    <cellStyle name="Moeda 3" xfId="15"/>
    <cellStyle name="Moeda0" xfId="32"/>
    <cellStyle name="Normal" xfId="0" builtinId="0"/>
    <cellStyle name="Normal 10" xfId="33"/>
    <cellStyle name="Normal 11 2" xfId="4"/>
    <cellStyle name="Normal 11 3" xfId="34"/>
    <cellStyle name="Normal 11 4" xfId="35"/>
    <cellStyle name="Normal 11 5" xfId="36"/>
    <cellStyle name="Normal 11 6" xfId="37"/>
    <cellStyle name="Normal 11 7" xfId="38"/>
    <cellStyle name="Normal 11 8" xfId="39"/>
    <cellStyle name="Normal 13" xfId="40"/>
    <cellStyle name="Normal 2" xfId="41"/>
    <cellStyle name="Normal 2 10" xfId="42"/>
    <cellStyle name="Normal 2 11" xfId="43"/>
    <cellStyle name="Normal 2 12" xfId="44"/>
    <cellStyle name="Normal 2 2" xfId="45"/>
    <cellStyle name="Normal 2 2 10" xfId="46"/>
    <cellStyle name="Normal 2 2 11" xfId="47"/>
    <cellStyle name="Normal 2 2 2" xfId="48"/>
    <cellStyle name="Normal 2 2 2 2" xfId="5"/>
    <cellStyle name="Normal 2 2 2 3" xfId="49"/>
    <cellStyle name="Normal 2 2 2 4" xfId="50"/>
    <cellStyle name="Normal 2 2 2 5" xfId="51"/>
    <cellStyle name="Normal 2 2 2 6" xfId="52"/>
    <cellStyle name="Normal 2 2 2 7" xfId="53"/>
    <cellStyle name="Normal 2 2 2 8" xfId="54"/>
    <cellStyle name="Normal 2 2 3" xfId="16"/>
    <cellStyle name="Normal 2 2 4" xfId="55"/>
    <cellStyle name="Normal 2 2 5" xfId="56"/>
    <cellStyle name="Normal 2 2 6" xfId="57"/>
    <cellStyle name="Normal 2 2 7" xfId="58"/>
    <cellStyle name="Normal 2 2 8" xfId="59"/>
    <cellStyle name="Normal 2 2 9" xfId="60"/>
    <cellStyle name="Normal 2 3" xfId="61"/>
    <cellStyle name="Normal 2 3 2" xfId="62"/>
    <cellStyle name="Normal 2 3 3" xfId="63"/>
    <cellStyle name="Normal 2 3 4" xfId="64"/>
    <cellStyle name="Normal 2 3 5" xfId="65"/>
    <cellStyle name="Normal 2 3 6" xfId="66"/>
    <cellStyle name="Normal 2 3 7" xfId="67"/>
    <cellStyle name="Normal 2 3 8" xfId="68"/>
    <cellStyle name="Normal 2 4" xfId="69"/>
    <cellStyle name="Normal 2 5" xfId="8"/>
    <cellStyle name="Normal 2 6" xfId="70"/>
    <cellStyle name="Normal 2 7" xfId="71"/>
    <cellStyle name="Normal 2 8" xfId="72"/>
    <cellStyle name="Normal 2 9" xfId="73"/>
    <cellStyle name="Normal 2_Orçamento Duque de Caxias" xfId="74"/>
    <cellStyle name="Normal 3" xfId="75"/>
    <cellStyle name="Normal 3 2" xfId="76"/>
    <cellStyle name="Normal 3 2 2" xfId="6"/>
    <cellStyle name="Normal 3 3" xfId="11"/>
    <cellStyle name="Normal 4" xfId="77"/>
    <cellStyle name="Normal 4 2" xfId="17"/>
    <cellStyle name="Normal 49" xfId="78"/>
    <cellStyle name="Normal 5" xfId="79"/>
    <cellStyle name="Normal 5 2" xfId="80"/>
    <cellStyle name="Normal 5 3" xfId="81"/>
    <cellStyle name="Normal 5 4" xfId="82"/>
    <cellStyle name="Normal 5 5" xfId="83"/>
    <cellStyle name="Normal 6" xfId="84"/>
    <cellStyle name="Normal 7" xfId="85"/>
    <cellStyle name="Normal 8" xfId="86"/>
    <cellStyle name="Normal 9" xfId="87"/>
    <cellStyle name="Normal_22 - Memória 22ª medição REDENÇÃO (ADITIVO) 2" xfId="7"/>
    <cellStyle name="Normal_COMPCUST" xfId="18"/>
    <cellStyle name="Percent" xfId="88"/>
    <cellStyle name="Percentual" xfId="89"/>
    <cellStyle name="Ponto" xfId="90"/>
    <cellStyle name="Porcentagem" xfId="3" builtinId="5"/>
    <cellStyle name="Porcentagem 2" xfId="91"/>
    <cellStyle name="Porcentagem 2 2" xfId="14"/>
    <cellStyle name="Porcentagem 2 3" xfId="92"/>
    <cellStyle name="Porcentagem 2 4" xfId="93"/>
    <cellStyle name="Porcentagem 2 5" xfId="94"/>
    <cellStyle name="Porcentagem 2 6" xfId="95"/>
    <cellStyle name="Porcentagem 3" xfId="96"/>
    <cellStyle name="Porcentagem 4" xfId="9"/>
    <cellStyle name="Porcentagem 5" xfId="97"/>
    <cellStyle name="Separador de m" xfId="98"/>
    <cellStyle name="Separador de milhares 2" xfId="99"/>
    <cellStyle name="Separador de milhares 2 2" xfId="100"/>
    <cellStyle name="Separador de milhares 2 3" xfId="101"/>
    <cellStyle name="Separador de milhares 2 4" xfId="102"/>
    <cellStyle name="Separador de milhares 2 5" xfId="103"/>
    <cellStyle name="Separador de milhares 2 6" xfId="104"/>
    <cellStyle name="Separador de milhares 3" xfId="105"/>
    <cellStyle name="Separador de milhares 3 2" xfId="106"/>
    <cellStyle name="SUB" xfId="107"/>
    <cellStyle name="Titulo1" xfId="108"/>
    <cellStyle name="Titulo2" xfId="109"/>
    <cellStyle name="Vírgula" xfId="1" builtinId="3"/>
    <cellStyle name="Vírgula 2" xfId="110"/>
    <cellStyle name="Vírgula 2 2" xfId="12"/>
    <cellStyle name="Vírgula 3" xfId="111"/>
    <cellStyle name="Vírgula 4" xfId="112"/>
    <cellStyle name="Vírgula 5" xfId="113"/>
    <cellStyle name="Vírgula0" xfId="1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333375</xdr:colOff>
      <xdr:row>12</xdr:row>
      <xdr:rowOff>0</xdr:rowOff>
    </xdr:from>
    <xdr:ext cx="184731" cy="264560"/>
    <xdr:sp macro="" textlink="">
      <xdr:nvSpPr>
        <xdr:cNvPr id="2" name="CaixaDeTexto 1"/>
        <xdr:cNvSpPr txBox="1"/>
      </xdr:nvSpPr>
      <xdr:spPr>
        <a:xfrm>
          <a:off x="76962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view="pageBreakPreview" topLeftCell="A7" zoomScale="110" zoomScaleNormal="100" zoomScaleSheetLayoutView="110" workbookViewId="0">
      <selection activeCell="C24" sqref="C24"/>
    </sheetView>
  </sheetViews>
  <sheetFormatPr defaultRowHeight="12.75" x14ac:dyDescent="0.2"/>
  <cols>
    <col min="1" max="1" width="8.7109375" style="198" customWidth="1"/>
    <col min="2" max="2" width="59.140625" style="198" customWidth="1"/>
    <col min="3" max="3" width="15.140625" style="198" bestFit="1" customWidth="1"/>
    <col min="4" max="4" width="8.7109375" style="198" customWidth="1"/>
    <col min="5" max="11" width="9.140625" style="198"/>
    <col min="12" max="12" width="19.42578125" style="198" bestFit="1" customWidth="1"/>
    <col min="13" max="256" width="9.140625" style="198"/>
    <col min="257" max="257" width="8.7109375" style="198" customWidth="1"/>
    <col min="258" max="258" width="59.140625" style="198" customWidth="1"/>
    <col min="259" max="259" width="14.28515625" style="198" bestFit="1" customWidth="1"/>
    <col min="260" max="260" width="8.7109375" style="198" customWidth="1"/>
    <col min="261" max="512" width="9.140625" style="198"/>
    <col min="513" max="513" width="8.7109375" style="198" customWidth="1"/>
    <col min="514" max="514" width="59.140625" style="198" customWidth="1"/>
    <col min="515" max="515" width="14.28515625" style="198" bestFit="1" customWidth="1"/>
    <col min="516" max="516" width="8.7109375" style="198" customWidth="1"/>
    <col min="517" max="768" width="9.140625" style="198"/>
    <col min="769" max="769" width="8.7109375" style="198" customWidth="1"/>
    <col min="770" max="770" width="59.140625" style="198" customWidth="1"/>
    <col min="771" max="771" width="14.28515625" style="198" bestFit="1" customWidth="1"/>
    <col min="772" max="772" width="8.7109375" style="198" customWidth="1"/>
    <col min="773" max="1024" width="9.140625" style="198"/>
    <col min="1025" max="1025" width="8.7109375" style="198" customWidth="1"/>
    <col min="1026" max="1026" width="59.140625" style="198" customWidth="1"/>
    <col min="1027" max="1027" width="14.28515625" style="198" bestFit="1" customWidth="1"/>
    <col min="1028" max="1028" width="8.7109375" style="198" customWidth="1"/>
    <col min="1029" max="1280" width="9.140625" style="198"/>
    <col min="1281" max="1281" width="8.7109375" style="198" customWidth="1"/>
    <col min="1282" max="1282" width="59.140625" style="198" customWidth="1"/>
    <col min="1283" max="1283" width="14.28515625" style="198" bestFit="1" customWidth="1"/>
    <col min="1284" max="1284" width="8.7109375" style="198" customWidth="1"/>
    <col min="1285" max="1536" width="9.140625" style="198"/>
    <col min="1537" max="1537" width="8.7109375" style="198" customWidth="1"/>
    <col min="1538" max="1538" width="59.140625" style="198" customWidth="1"/>
    <col min="1539" max="1539" width="14.28515625" style="198" bestFit="1" customWidth="1"/>
    <col min="1540" max="1540" width="8.7109375" style="198" customWidth="1"/>
    <col min="1541" max="1792" width="9.140625" style="198"/>
    <col min="1793" max="1793" width="8.7109375" style="198" customWidth="1"/>
    <col min="1794" max="1794" width="59.140625" style="198" customWidth="1"/>
    <col min="1795" max="1795" width="14.28515625" style="198" bestFit="1" customWidth="1"/>
    <col min="1796" max="1796" width="8.7109375" style="198" customWidth="1"/>
    <col min="1797" max="2048" width="9.140625" style="198"/>
    <col min="2049" max="2049" width="8.7109375" style="198" customWidth="1"/>
    <col min="2050" max="2050" width="59.140625" style="198" customWidth="1"/>
    <col min="2051" max="2051" width="14.28515625" style="198" bestFit="1" customWidth="1"/>
    <col min="2052" max="2052" width="8.7109375" style="198" customWidth="1"/>
    <col min="2053" max="2304" width="9.140625" style="198"/>
    <col min="2305" max="2305" width="8.7109375" style="198" customWidth="1"/>
    <col min="2306" max="2306" width="59.140625" style="198" customWidth="1"/>
    <col min="2307" max="2307" width="14.28515625" style="198" bestFit="1" customWidth="1"/>
    <col min="2308" max="2308" width="8.7109375" style="198" customWidth="1"/>
    <col min="2309" max="2560" width="9.140625" style="198"/>
    <col min="2561" max="2561" width="8.7109375" style="198" customWidth="1"/>
    <col min="2562" max="2562" width="59.140625" style="198" customWidth="1"/>
    <col min="2563" max="2563" width="14.28515625" style="198" bestFit="1" customWidth="1"/>
    <col min="2564" max="2564" width="8.7109375" style="198" customWidth="1"/>
    <col min="2565" max="2816" width="9.140625" style="198"/>
    <col min="2817" max="2817" width="8.7109375" style="198" customWidth="1"/>
    <col min="2818" max="2818" width="59.140625" style="198" customWidth="1"/>
    <col min="2819" max="2819" width="14.28515625" style="198" bestFit="1" customWidth="1"/>
    <col min="2820" max="2820" width="8.7109375" style="198" customWidth="1"/>
    <col min="2821" max="3072" width="9.140625" style="198"/>
    <col min="3073" max="3073" width="8.7109375" style="198" customWidth="1"/>
    <col min="3074" max="3074" width="59.140625" style="198" customWidth="1"/>
    <col min="3075" max="3075" width="14.28515625" style="198" bestFit="1" customWidth="1"/>
    <col min="3076" max="3076" width="8.7109375" style="198" customWidth="1"/>
    <col min="3077" max="3328" width="9.140625" style="198"/>
    <col min="3329" max="3329" width="8.7109375" style="198" customWidth="1"/>
    <col min="3330" max="3330" width="59.140625" style="198" customWidth="1"/>
    <col min="3331" max="3331" width="14.28515625" style="198" bestFit="1" customWidth="1"/>
    <col min="3332" max="3332" width="8.7109375" style="198" customWidth="1"/>
    <col min="3333" max="3584" width="9.140625" style="198"/>
    <col min="3585" max="3585" width="8.7109375" style="198" customWidth="1"/>
    <col min="3586" max="3586" width="59.140625" style="198" customWidth="1"/>
    <col min="3587" max="3587" width="14.28515625" style="198" bestFit="1" customWidth="1"/>
    <col min="3588" max="3588" width="8.7109375" style="198" customWidth="1"/>
    <col min="3589" max="3840" width="9.140625" style="198"/>
    <col min="3841" max="3841" width="8.7109375" style="198" customWidth="1"/>
    <col min="3842" max="3842" width="59.140625" style="198" customWidth="1"/>
    <col min="3843" max="3843" width="14.28515625" style="198" bestFit="1" customWidth="1"/>
    <col min="3844" max="3844" width="8.7109375" style="198" customWidth="1"/>
    <col min="3845" max="4096" width="9.140625" style="198"/>
    <col min="4097" max="4097" width="8.7109375" style="198" customWidth="1"/>
    <col min="4098" max="4098" width="59.140625" style="198" customWidth="1"/>
    <col min="4099" max="4099" width="14.28515625" style="198" bestFit="1" customWidth="1"/>
    <col min="4100" max="4100" width="8.7109375" style="198" customWidth="1"/>
    <col min="4101" max="4352" width="9.140625" style="198"/>
    <col min="4353" max="4353" width="8.7109375" style="198" customWidth="1"/>
    <col min="4354" max="4354" width="59.140625" style="198" customWidth="1"/>
    <col min="4355" max="4355" width="14.28515625" style="198" bestFit="1" customWidth="1"/>
    <col min="4356" max="4356" width="8.7109375" style="198" customWidth="1"/>
    <col min="4357" max="4608" width="9.140625" style="198"/>
    <col min="4609" max="4609" width="8.7109375" style="198" customWidth="1"/>
    <col min="4610" max="4610" width="59.140625" style="198" customWidth="1"/>
    <col min="4611" max="4611" width="14.28515625" style="198" bestFit="1" customWidth="1"/>
    <col min="4612" max="4612" width="8.7109375" style="198" customWidth="1"/>
    <col min="4613" max="4864" width="9.140625" style="198"/>
    <col min="4865" max="4865" width="8.7109375" style="198" customWidth="1"/>
    <col min="4866" max="4866" width="59.140625" style="198" customWidth="1"/>
    <col min="4867" max="4867" width="14.28515625" style="198" bestFit="1" customWidth="1"/>
    <col min="4868" max="4868" width="8.7109375" style="198" customWidth="1"/>
    <col min="4869" max="5120" width="9.140625" style="198"/>
    <col min="5121" max="5121" width="8.7109375" style="198" customWidth="1"/>
    <col min="5122" max="5122" width="59.140625" style="198" customWidth="1"/>
    <col min="5123" max="5123" width="14.28515625" style="198" bestFit="1" customWidth="1"/>
    <col min="5124" max="5124" width="8.7109375" style="198" customWidth="1"/>
    <col min="5125" max="5376" width="9.140625" style="198"/>
    <col min="5377" max="5377" width="8.7109375" style="198" customWidth="1"/>
    <col min="5378" max="5378" width="59.140625" style="198" customWidth="1"/>
    <col min="5379" max="5379" width="14.28515625" style="198" bestFit="1" customWidth="1"/>
    <col min="5380" max="5380" width="8.7109375" style="198" customWidth="1"/>
    <col min="5381" max="5632" width="9.140625" style="198"/>
    <col min="5633" max="5633" width="8.7109375" style="198" customWidth="1"/>
    <col min="5634" max="5634" width="59.140625" style="198" customWidth="1"/>
    <col min="5635" max="5635" width="14.28515625" style="198" bestFit="1" customWidth="1"/>
    <col min="5636" max="5636" width="8.7109375" style="198" customWidth="1"/>
    <col min="5637" max="5888" width="9.140625" style="198"/>
    <col min="5889" max="5889" width="8.7109375" style="198" customWidth="1"/>
    <col min="5890" max="5890" width="59.140625" style="198" customWidth="1"/>
    <col min="5891" max="5891" width="14.28515625" style="198" bestFit="1" customWidth="1"/>
    <col min="5892" max="5892" width="8.7109375" style="198" customWidth="1"/>
    <col min="5893" max="6144" width="9.140625" style="198"/>
    <col min="6145" max="6145" width="8.7109375" style="198" customWidth="1"/>
    <col min="6146" max="6146" width="59.140625" style="198" customWidth="1"/>
    <col min="6147" max="6147" width="14.28515625" style="198" bestFit="1" customWidth="1"/>
    <col min="6148" max="6148" width="8.7109375" style="198" customWidth="1"/>
    <col min="6149" max="6400" width="9.140625" style="198"/>
    <col min="6401" max="6401" width="8.7109375" style="198" customWidth="1"/>
    <col min="6402" max="6402" width="59.140625" style="198" customWidth="1"/>
    <col min="6403" max="6403" width="14.28515625" style="198" bestFit="1" customWidth="1"/>
    <col min="6404" max="6404" width="8.7109375" style="198" customWidth="1"/>
    <col min="6405" max="6656" width="9.140625" style="198"/>
    <col min="6657" max="6657" width="8.7109375" style="198" customWidth="1"/>
    <col min="6658" max="6658" width="59.140625" style="198" customWidth="1"/>
    <col min="6659" max="6659" width="14.28515625" style="198" bestFit="1" customWidth="1"/>
    <col min="6660" max="6660" width="8.7109375" style="198" customWidth="1"/>
    <col min="6661" max="6912" width="9.140625" style="198"/>
    <col min="6913" max="6913" width="8.7109375" style="198" customWidth="1"/>
    <col min="6914" max="6914" width="59.140625" style="198" customWidth="1"/>
    <col min="6915" max="6915" width="14.28515625" style="198" bestFit="1" customWidth="1"/>
    <col min="6916" max="6916" width="8.7109375" style="198" customWidth="1"/>
    <col min="6917" max="7168" width="9.140625" style="198"/>
    <col min="7169" max="7169" width="8.7109375" style="198" customWidth="1"/>
    <col min="7170" max="7170" width="59.140625" style="198" customWidth="1"/>
    <col min="7171" max="7171" width="14.28515625" style="198" bestFit="1" customWidth="1"/>
    <col min="7172" max="7172" width="8.7109375" style="198" customWidth="1"/>
    <col min="7173" max="7424" width="9.140625" style="198"/>
    <col min="7425" max="7425" width="8.7109375" style="198" customWidth="1"/>
    <col min="7426" max="7426" width="59.140625" style="198" customWidth="1"/>
    <col min="7427" max="7427" width="14.28515625" style="198" bestFit="1" customWidth="1"/>
    <col min="7428" max="7428" width="8.7109375" style="198" customWidth="1"/>
    <col min="7429" max="7680" width="9.140625" style="198"/>
    <col min="7681" max="7681" width="8.7109375" style="198" customWidth="1"/>
    <col min="7682" max="7682" width="59.140625" style="198" customWidth="1"/>
    <col min="7683" max="7683" width="14.28515625" style="198" bestFit="1" customWidth="1"/>
    <col min="7684" max="7684" width="8.7109375" style="198" customWidth="1"/>
    <col min="7685" max="7936" width="9.140625" style="198"/>
    <col min="7937" max="7937" width="8.7109375" style="198" customWidth="1"/>
    <col min="7938" max="7938" width="59.140625" style="198" customWidth="1"/>
    <col min="7939" max="7939" width="14.28515625" style="198" bestFit="1" customWidth="1"/>
    <col min="7940" max="7940" width="8.7109375" style="198" customWidth="1"/>
    <col min="7941" max="8192" width="9.140625" style="198"/>
    <col min="8193" max="8193" width="8.7109375" style="198" customWidth="1"/>
    <col min="8194" max="8194" width="59.140625" style="198" customWidth="1"/>
    <col min="8195" max="8195" width="14.28515625" style="198" bestFit="1" customWidth="1"/>
    <col min="8196" max="8196" width="8.7109375" style="198" customWidth="1"/>
    <col min="8197" max="8448" width="9.140625" style="198"/>
    <col min="8449" max="8449" width="8.7109375" style="198" customWidth="1"/>
    <col min="8450" max="8450" width="59.140625" style="198" customWidth="1"/>
    <col min="8451" max="8451" width="14.28515625" style="198" bestFit="1" customWidth="1"/>
    <col min="8452" max="8452" width="8.7109375" style="198" customWidth="1"/>
    <col min="8453" max="8704" width="9.140625" style="198"/>
    <col min="8705" max="8705" width="8.7109375" style="198" customWidth="1"/>
    <col min="8706" max="8706" width="59.140625" style="198" customWidth="1"/>
    <col min="8707" max="8707" width="14.28515625" style="198" bestFit="1" customWidth="1"/>
    <col min="8708" max="8708" width="8.7109375" style="198" customWidth="1"/>
    <col min="8709" max="8960" width="9.140625" style="198"/>
    <col min="8961" max="8961" width="8.7109375" style="198" customWidth="1"/>
    <col min="8962" max="8962" width="59.140625" style="198" customWidth="1"/>
    <col min="8963" max="8963" width="14.28515625" style="198" bestFit="1" customWidth="1"/>
    <col min="8964" max="8964" width="8.7109375" style="198" customWidth="1"/>
    <col min="8965" max="9216" width="9.140625" style="198"/>
    <col min="9217" max="9217" width="8.7109375" style="198" customWidth="1"/>
    <col min="9218" max="9218" width="59.140625" style="198" customWidth="1"/>
    <col min="9219" max="9219" width="14.28515625" style="198" bestFit="1" customWidth="1"/>
    <col min="9220" max="9220" width="8.7109375" style="198" customWidth="1"/>
    <col min="9221" max="9472" width="9.140625" style="198"/>
    <col min="9473" max="9473" width="8.7109375" style="198" customWidth="1"/>
    <col min="9474" max="9474" width="59.140625" style="198" customWidth="1"/>
    <col min="9475" max="9475" width="14.28515625" style="198" bestFit="1" customWidth="1"/>
    <col min="9476" max="9476" width="8.7109375" style="198" customWidth="1"/>
    <col min="9477" max="9728" width="9.140625" style="198"/>
    <col min="9729" max="9729" width="8.7109375" style="198" customWidth="1"/>
    <col min="9730" max="9730" width="59.140625" style="198" customWidth="1"/>
    <col min="9731" max="9731" width="14.28515625" style="198" bestFit="1" customWidth="1"/>
    <col min="9732" max="9732" width="8.7109375" style="198" customWidth="1"/>
    <col min="9733" max="9984" width="9.140625" style="198"/>
    <col min="9985" max="9985" width="8.7109375" style="198" customWidth="1"/>
    <col min="9986" max="9986" width="59.140625" style="198" customWidth="1"/>
    <col min="9987" max="9987" width="14.28515625" style="198" bestFit="1" customWidth="1"/>
    <col min="9988" max="9988" width="8.7109375" style="198" customWidth="1"/>
    <col min="9989" max="10240" width="9.140625" style="198"/>
    <col min="10241" max="10241" width="8.7109375" style="198" customWidth="1"/>
    <col min="10242" max="10242" width="59.140625" style="198" customWidth="1"/>
    <col min="10243" max="10243" width="14.28515625" style="198" bestFit="1" customWidth="1"/>
    <col min="10244" max="10244" width="8.7109375" style="198" customWidth="1"/>
    <col min="10245" max="10496" width="9.140625" style="198"/>
    <col min="10497" max="10497" width="8.7109375" style="198" customWidth="1"/>
    <col min="10498" max="10498" width="59.140625" style="198" customWidth="1"/>
    <col min="10499" max="10499" width="14.28515625" style="198" bestFit="1" customWidth="1"/>
    <col min="10500" max="10500" width="8.7109375" style="198" customWidth="1"/>
    <col min="10501" max="10752" width="9.140625" style="198"/>
    <col min="10753" max="10753" width="8.7109375" style="198" customWidth="1"/>
    <col min="10754" max="10754" width="59.140625" style="198" customWidth="1"/>
    <col min="10755" max="10755" width="14.28515625" style="198" bestFit="1" customWidth="1"/>
    <col min="10756" max="10756" width="8.7109375" style="198" customWidth="1"/>
    <col min="10757" max="11008" width="9.140625" style="198"/>
    <col min="11009" max="11009" width="8.7109375" style="198" customWidth="1"/>
    <col min="11010" max="11010" width="59.140625" style="198" customWidth="1"/>
    <col min="11011" max="11011" width="14.28515625" style="198" bestFit="1" customWidth="1"/>
    <col min="11012" max="11012" width="8.7109375" style="198" customWidth="1"/>
    <col min="11013" max="11264" width="9.140625" style="198"/>
    <col min="11265" max="11265" width="8.7109375" style="198" customWidth="1"/>
    <col min="11266" max="11266" width="59.140625" style="198" customWidth="1"/>
    <col min="11267" max="11267" width="14.28515625" style="198" bestFit="1" customWidth="1"/>
    <col min="11268" max="11268" width="8.7109375" style="198" customWidth="1"/>
    <col min="11269" max="11520" width="9.140625" style="198"/>
    <col min="11521" max="11521" width="8.7109375" style="198" customWidth="1"/>
    <col min="11522" max="11522" width="59.140625" style="198" customWidth="1"/>
    <col min="11523" max="11523" width="14.28515625" style="198" bestFit="1" customWidth="1"/>
    <col min="11524" max="11524" width="8.7109375" style="198" customWidth="1"/>
    <col min="11525" max="11776" width="9.140625" style="198"/>
    <col min="11777" max="11777" width="8.7109375" style="198" customWidth="1"/>
    <col min="11778" max="11778" width="59.140625" style="198" customWidth="1"/>
    <col min="11779" max="11779" width="14.28515625" style="198" bestFit="1" customWidth="1"/>
    <col min="11780" max="11780" width="8.7109375" style="198" customWidth="1"/>
    <col min="11781" max="12032" width="9.140625" style="198"/>
    <col min="12033" max="12033" width="8.7109375" style="198" customWidth="1"/>
    <col min="12034" max="12034" width="59.140625" style="198" customWidth="1"/>
    <col min="12035" max="12035" width="14.28515625" style="198" bestFit="1" customWidth="1"/>
    <col min="12036" max="12036" width="8.7109375" style="198" customWidth="1"/>
    <col min="12037" max="12288" width="9.140625" style="198"/>
    <col min="12289" max="12289" width="8.7109375" style="198" customWidth="1"/>
    <col min="12290" max="12290" width="59.140625" style="198" customWidth="1"/>
    <col min="12291" max="12291" width="14.28515625" style="198" bestFit="1" customWidth="1"/>
    <col min="12292" max="12292" width="8.7109375" style="198" customWidth="1"/>
    <col min="12293" max="12544" width="9.140625" style="198"/>
    <col min="12545" max="12545" width="8.7109375" style="198" customWidth="1"/>
    <col min="12546" max="12546" width="59.140625" style="198" customWidth="1"/>
    <col min="12547" max="12547" width="14.28515625" style="198" bestFit="1" customWidth="1"/>
    <col min="12548" max="12548" width="8.7109375" style="198" customWidth="1"/>
    <col min="12549" max="12800" width="9.140625" style="198"/>
    <col min="12801" max="12801" width="8.7109375" style="198" customWidth="1"/>
    <col min="12802" max="12802" width="59.140625" style="198" customWidth="1"/>
    <col min="12803" max="12803" width="14.28515625" style="198" bestFit="1" customWidth="1"/>
    <col min="12804" max="12804" width="8.7109375" style="198" customWidth="1"/>
    <col min="12805" max="13056" width="9.140625" style="198"/>
    <col min="13057" max="13057" width="8.7109375" style="198" customWidth="1"/>
    <col min="13058" max="13058" width="59.140625" style="198" customWidth="1"/>
    <col min="13059" max="13059" width="14.28515625" style="198" bestFit="1" customWidth="1"/>
    <col min="13060" max="13060" width="8.7109375" style="198" customWidth="1"/>
    <col min="13061" max="13312" width="9.140625" style="198"/>
    <col min="13313" max="13313" width="8.7109375" style="198" customWidth="1"/>
    <col min="13314" max="13314" width="59.140625" style="198" customWidth="1"/>
    <col min="13315" max="13315" width="14.28515625" style="198" bestFit="1" customWidth="1"/>
    <col min="13316" max="13316" width="8.7109375" style="198" customWidth="1"/>
    <col min="13317" max="13568" width="9.140625" style="198"/>
    <col min="13569" max="13569" width="8.7109375" style="198" customWidth="1"/>
    <col min="13570" max="13570" width="59.140625" style="198" customWidth="1"/>
    <col min="13571" max="13571" width="14.28515625" style="198" bestFit="1" customWidth="1"/>
    <col min="13572" max="13572" width="8.7109375" style="198" customWidth="1"/>
    <col min="13573" max="13824" width="9.140625" style="198"/>
    <col min="13825" max="13825" width="8.7109375" style="198" customWidth="1"/>
    <col min="13826" max="13826" width="59.140625" style="198" customWidth="1"/>
    <col min="13827" max="13827" width="14.28515625" style="198" bestFit="1" customWidth="1"/>
    <col min="13828" max="13828" width="8.7109375" style="198" customWidth="1"/>
    <col min="13829" max="14080" width="9.140625" style="198"/>
    <col min="14081" max="14081" width="8.7109375" style="198" customWidth="1"/>
    <col min="14082" max="14082" width="59.140625" style="198" customWidth="1"/>
    <col min="14083" max="14083" width="14.28515625" style="198" bestFit="1" customWidth="1"/>
    <col min="14084" max="14084" width="8.7109375" style="198" customWidth="1"/>
    <col min="14085" max="14336" width="9.140625" style="198"/>
    <col min="14337" max="14337" width="8.7109375" style="198" customWidth="1"/>
    <col min="14338" max="14338" width="59.140625" style="198" customWidth="1"/>
    <col min="14339" max="14339" width="14.28515625" style="198" bestFit="1" customWidth="1"/>
    <col min="14340" max="14340" width="8.7109375" style="198" customWidth="1"/>
    <col min="14341" max="14592" width="9.140625" style="198"/>
    <col min="14593" max="14593" width="8.7109375" style="198" customWidth="1"/>
    <col min="14594" max="14594" width="59.140625" style="198" customWidth="1"/>
    <col min="14595" max="14595" width="14.28515625" style="198" bestFit="1" customWidth="1"/>
    <col min="14596" max="14596" width="8.7109375" style="198" customWidth="1"/>
    <col min="14597" max="14848" width="9.140625" style="198"/>
    <col min="14849" max="14849" width="8.7109375" style="198" customWidth="1"/>
    <col min="14850" max="14850" width="59.140625" style="198" customWidth="1"/>
    <col min="14851" max="14851" width="14.28515625" style="198" bestFit="1" customWidth="1"/>
    <col min="14852" max="14852" width="8.7109375" style="198" customWidth="1"/>
    <col min="14853" max="15104" width="9.140625" style="198"/>
    <col min="15105" max="15105" width="8.7109375" style="198" customWidth="1"/>
    <col min="15106" max="15106" width="59.140625" style="198" customWidth="1"/>
    <col min="15107" max="15107" width="14.28515625" style="198" bestFit="1" customWidth="1"/>
    <col min="15108" max="15108" width="8.7109375" style="198" customWidth="1"/>
    <col min="15109" max="15360" width="9.140625" style="198"/>
    <col min="15361" max="15361" width="8.7109375" style="198" customWidth="1"/>
    <col min="15362" max="15362" width="59.140625" style="198" customWidth="1"/>
    <col min="15363" max="15363" width="14.28515625" style="198" bestFit="1" customWidth="1"/>
    <col min="15364" max="15364" width="8.7109375" style="198" customWidth="1"/>
    <col min="15365" max="15616" width="9.140625" style="198"/>
    <col min="15617" max="15617" width="8.7109375" style="198" customWidth="1"/>
    <col min="15618" max="15618" width="59.140625" style="198" customWidth="1"/>
    <col min="15619" max="15619" width="14.28515625" style="198" bestFit="1" customWidth="1"/>
    <col min="15620" max="15620" width="8.7109375" style="198" customWidth="1"/>
    <col min="15621" max="15872" width="9.140625" style="198"/>
    <col min="15873" max="15873" width="8.7109375" style="198" customWidth="1"/>
    <col min="15874" max="15874" width="59.140625" style="198" customWidth="1"/>
    <col min="15875" max="15875" width="14.28515625" style="198" bestFit="1" customWidth="1"/>
    <col min="15876" max="15876" width="8.7109375" style="198" customWidth="1"/>
    <col min="15877" max="16128" width="9.140625" style="198"/>
    <col min="16129" max="16129" width="8.7109375" style="198" customWidth="1"/>
    <col min="16130" max="16130" width="59.140625" style="198" customWidth="1"/>
    <col min="16131" max="16131" width="14.28515625" style="198" bestFit="1" customWidth="1"/>
    <col min="16132" max="16132" width="8.7109375" style="198" customWidth="1"/>
    <col min="16133" max="16384" width="9.140625" style="198"/>
  </cols>
  <sheetData>
    <row r="1" spans="1:14" s="192" customFormat="1" ht="12.75" customHeight="1" x14ac:dyDescent="0.2">
      <c r="A1" s="386" t="str">
        <f>'Resumo Geral'!A1:D4</f>
        <v xml:space="preserve">   A MIRANDA CAPELA CONSTRUTORA COMERCIO E SERVIÇOS EIRELI-EPP                                                                                                                                                   CNPJ: 15.788.657/0001-32, Incs. Estadual nº 15.376.620-4,                                                                                                                                                                         Rua Antônio Braga, s/n – Bairro Vila do Carmo, neste município de Cametá - PA</v>
      </c>
      <c r="B1" s="386"/>
      <c r="C1" s="386"/>
      <c r="D1" s="386"/>
      <c r="E1" s="191"/>
      <c r="F1" s="191"/>
    </row>
    <row r="2" spans="1:14" s="192" customFormat="1" ht="12.75" customHeight="1" x14ac:dyDescent="0.2">
      <c r="A2" s="386"/>
      <c r="B2" s="386"/>
      <c r="C2" s="386"/>
      <c r="D2" s="386"/>
      <c r="E2" s="191"/>
      <c r="F2" s="191"/>
    </row>
    <row r="3" spans="1:14" s="192" customFormat="1" ht="12.75" customHeight="1" x14ac:dyDescent="0.2">
      <c r="A3" s="386"/>
      <c r="B3" s="386"/>
      <c r="C3" s="386"/>
      <c r="D3" s="386"/>
      <c r="E3" s="191"/>
      <c r="F3" s="191"/>
    </row>
    <row r="4" spans="1:14" s="192" customFormat="1" ht="12.75" customHeight="1" x14ac:dyDescent="0.25">
      <c r="A4" s="386"/>
      <c r="B4" s="386"/>
      <c r="C4" s="386"/>
      <c r="D4" s="386"/>
    </row>
    <row r="5" spans="1:14" s="192" customFormat="1" ht="12.75" customHeight="1" x14ac:dyDescent="0.25">
      <c r="A5" s="387"/>
      <c r="B5" s="388"/>
      <c r="C5" s="388"/>
      <c r="D5" s="388"/>
      <c r="L5" s="192">
        <v>478.5223849711474</v>
      </c>
    </row>
    <row r="6" spans="1:14" s="192" customFormat="1" ht="12.75" customHeight="1" x14ac:dyDescent="0.25">
      <c r="A6" s="193"/>
      <c r="J6" s="389">
        <v>1885668.95</v>
      </c>
      <c r="K6" s="389"/>
      <c r="L6" s="194"/>
    </row>
    <row r="7" spans="1:14" s="192" customFormat="1" ht="15.75" customHeight="1" x14ac:dyDescent="0.25">
      <c r="A7" s="390" t="s">
        <v>370</v>
      </c>
      <c r="B7" s="390"/>
      <c r="C7" s="390"/>
      <c r="D7" s="390"/>
      <c r="J7" s="192">
        <f>C20/J6</f>
        <v>9.6734814679578118E-2</v>
      </c>
      <c r="L7" s="195">
        <f>J6-C20</f>
        <v>1703259.1135747153</v>
      </c>
    </row>
    <row r="8" spans="1:14" s="192" customFormat="1" ht="12.75" customHeight="1" x14ac:dyDescent="0.25">
      <c r="L8" s="196">
        <f>(L7+L5)/J6</f>
        <v>0.90351895329224496</v>
      </c>
    </row>
    <row r="9" spans="1:14" s="192" customFormat="1" ht="12.75" customHeight="1" x14ac:dyDescent="0.25">
      <c r="A9" s="438" t="s">
        <v>371</v>
      </c>
      <c r="B9" s="438"/>
      <c r="C9" s="438"/>
      <c r="D9" s="438"/>
      <c r="K9" s="192">
        <v>1</v>
      </c>
      <c r="L9" s="192">
        <v>0.155</v>
      </c>
      <c r="M9" s="192">
        <f>K9-L9</f>
        <v>0.84499999999999997</v>
      </c>
    </row>
    <row r="10" spans="1:14" ht="16.5" customHeight="1" x14ac:dyDescent="0.2">
      <c r="A10" s="438" t="str">
        <f>'Resumo Geral'!A6:D6</f>
        <v>TOMADA DE PREÇO   N° 013/2015</v>
      </c>
      <c r="B10" s="438"/>
      <c r="C10" s="438"/>
      <c r="D10" s="438"/>
      <c r="E10" s="197"/>
      <c r="F10" s="197"/>
      <c r="G10" s="197"/>
    </row>
    <row r="11" spans="1:14" ht="16.5" customHeight="1" x14ac:dyDescent="0.2">
      <c r="A11" s="438" t="str">
        <f>'Resumo Geral'!A7:D7</f>
        <v>LOCAL:  E.M.E.F PÓLO DE MASSARANDUBA</v>
      </c>
      <c r="B11" s="438"/>
      <c r="C11" s="438"/>
      <c r="D11" s="438"/>
      <c r="E11" s="197"/>
      <c r="F11" s="197"/>
      <c r="G11" s="197"/>
    </row>
    <row r="12" spans="1:14" ht="24" customHeight="1" x14ac:dyDescent="0.2">
      <c r="A12" s="439" t="str">
        <f>ORÇAMENTO!A8</f>
        <v>OBRA:  CONTINUAÇÃO DA CONSTRUÇÃO DE 01 (DUAS) ESCOLAS PÓLO NA LOCALIDADE MASSARANDUBA - PROJETO PADRÃO FNDE - 04 (QUATRO) SALAS DE  AULAS - NO MUNICIPIO DE BAIÃO - PARÁ</v>
      </c>
      <c r="B12" s="439"/>
      <c r="C12" s="439"/>
      <c r="D12" s="439"/>
      <c r="E12" s="199"/>
      <c r="F12" s="199"/>
      <c r="G12" s="199"/>
    </row>
    <row r="13" spans="1:14" ht="1.5" customHeight="1" x14ac:dyDescent="0.2">
      <c r="A13" s="439"/>
      <c r="B13" s="439"/>
      <c r="C13" s="439"/>
      <c r="D13" s="439"/>
      <c r="E13" s="199"/>
      <c r="F13" s="199"/>
      <c r="G13" s="199"/>
    </row>
    <row r="14" spans="1:14" s="201" customFormat="1" x14ac:dyDescent="0.25">
      <c r="A14" s="438" t="str">
        <f>'Resumo Geral'!A10:D10</f>
        <v>PRAZO DE EXECUÇÃO: 03 MESES</v>
      </c>
      <c r="B14" s="438"/>
      <c r="C14" s="438"/>
      <c r="D14" s="438"/>
      <c r="E14" s="200"/>
      <c r="F14" s="200"/>
      <c r="G14" s="200"/>
      <c r="H14" s="200"/>
      <c r="I14" s="200"/>
      <c r="J14" s="200"/>
      <c r="K14" s="200"/>
      <c r="L14" s="200"/>
      <c r="M14" s="200"/>
      <c r="N14" s="200"/>
    </row>
    <row r="15" spans="1:14" ht="13.5" thickBot="1" x14ac:dyDescent="0.25"/>
    <row r="16" spans="1:14" x14ac:dyDescent="0.2">
      <c r="A16" s="393">
        <v>1</v>
      </c>
      <c r="B16" s="395" t="s">
        <v>372</v>
      </c>
      <c r="C16" s="398" t="s">
        <v>373</v>
      </c>
      <c r="D16" s="399"/>
    </row>
    <row r="17" spans="1:4" x14ac:dyDescent="0.2">
      <c r="A17" s="394"/>
      <c r="B17" s="396"/>
      <c r="C17" s="400" t="s">
        <v>374</v>
      </c>
      <c r="D17" s="401" t="s">
        <v>375</v>
      </c>
    </row>
    <row r="18" spans="1:4" x14ac:dyDescent="0.2">
      <c r="A18" s="394"/>
      <c r="B18" s="397"/>
      <c r="C18" s="397"/>
      <c r="D18" s="402"/>
    </row>
    <row r="19" spans="1:4" ht="39.75" customHeight="1" x14ac:dyDescent="0.2">
      <c r="A19" s="202" t="s">
        <v>10</v>
      </c>
      <c r="B19" s="203" t="s">
        <v>557</v>
      </c>
      <c r="C19" s="204">
        <f>'Resumo Geral'!C30</f>
        <v>182409.83642528465</v>
      </c>
      <c r="D19" s="205">
        <f>C19/$C$20</f>
        <v>1</v>
      </c>
    </row>
    <row r="20" spans="1:4" ht="13.5" thickBot="1" x14ac:dyDescent="0.25">
      <c r="A20" s="391" t="s">
        <v>376</v>
      </c>
      <c r="B20" s="392"/>
      <c r="C20" s="206">
        <f>'Resumo Geral'!C30</f>
        <v>182409.83642528465</v>
      </c>
      <c r="D20" s="207">
        <v>1</v>
      </c>
    </row>
    <row r="22" spans="1:4" x14ac:dyDescent="0.2">
      <c r="B22" s="208"/>
    </row>
    <row r="23" spans="1:4" x14ac:dyDescent="0.2">
      <c r="B23" s="208"/>
    </row>
    <row r="24" spans="1:4" x14ac:dyDescent="0.2">
      <c r="B24" s="208"/>
    </row>
    <row r="25" spans="1:4" x14ac:dyDescent="0.2">
      <c r="B25" s="208"/>
    </row>
  </sheetData>
  <mergeCells count="15">
    <mergeCell ref="A20:B20"/>
    <mergeCell ref="A11:D11"/>
    <mergeCell ref="A14:D14"/>
    <mergeCell ref="A16:A18"/>
    <mergeCell ref="B16:B18"/>
    <mergeCell ref="C16:D16"/>
    <mergeCell ref="C17:C18"/>
    <mergeCell ref="D17:D18"/>
    <mergeCell ref="A12:D13"/>
    <mergeCell ref="A1:D4"/>
    <mergeCell ref="A5:D5"/>
    <mergeCell ref="J6:K6"/>
    <mergeCell ref="A7:D7"/>
    <mergeCell ref="A9:D9"/>
    <mergeCell ref="A10:D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showGridLines="0" view="pageBreakPreview" zoomScale="90" zoomScaleNormal="100" zoomScaleSheetLayoutView="90" workbookViewId="0">
      <selection activeCell="C34" sqref="C34"/>
    </sheetView>
  </sheetViews>
  <sheetFormatPr defaultColWidth="9.85546875" defaultRowHeight="12.75" x14ac:dyDescent="0.2"/>
  <cols>
    <col min="1" max="1" width="8.42578125" style="55" bestFit="1" customWidth="1"/>
    <col min="2" max="2" width="61.85546875" style="56" customWidth="1"/>
    <col min="3" max="3" width="14" style="55" bestFit="1" customWidth="1"/>
    <col min="4" max="4" width="12.42578125" style="57" bestFit="1" customWidth="1"/>
    <col min="5" max="5" width="9.85546875" style="41"/>
    <col min="6" max="6" width="19.85546875" style="41" bestFit="1" customWidth="1"/>
    <col min="7" max="7" width="12.7109375" style="41" bestFit="1" customWidth="1"/>
    <col min="8" max="8" width="12.5703125" style="41" bestFit="1" customWidth="1"/>
    <col min="9" max="9" width="10.42578125" style="41" bestFit="1" customWidth="1"/>
    <col min="10" max="16384" width="9.85546875" style="41"/>
  </cols>
  <sheetData>
    <row r="1" spans="1:7" ht="15" customHeight="1" x14ac:dyDescent="0.2">
      <c r="A1" s="374" t="str">
        <f>ORÇAMENTO!A1</f>
        <v xml:space="preserve">   A MIRANDA CAPELA CONSTRUTORA COMERCIO E SERVIÇOS EIRELI-EPP                                                                                                                                                   CNPJ: 15.788.657/0001-32, Incs. Estadual nº 15.376.620-4,                                                                                                                                                                         Rua Antônio Braga, s/n – Bairro Vila do Carmo, neste município de Cametá - PA</v>
      </c>
      <c r="B1" s="374"/>
      <c r="C1" s="374"/>
      <c r="D1" s="374"/>
      <c r="E1" s="40"/>
    </row>
    <row r="2" spans="1:7" x14ac:dyDescent="0.2">
      <c r="A2" s="374" t="e">
        <f>#REF!</f>
        <v>#REF!</v>
      </c>
      <c r="B2" s="374"/>
      <c r="C2" s="374"/>
      <c r="D2" s="374"/>
    </row>
    <row r="3" spans="1:7" ht="15" customHeight="1" x14ac:dyDescent="0.2">
      <c r="A3" s="374" t="e">
        <f>#REF!</f>
        <v>#REF!</v>
      </c>
      <c r="B3" s="374"/>
      <c r="C3" s="374"/>
      <c r="D3" s="374"/>
      <c r="E3" s="40"/>
    </row>
    <row r="4" spans="1:7" x14ac:dyDescent="0.2">
      <c r="A4" s="374"/>
      <c r="B4" s="374"/>
      <c r="C4" s="374"/>
      <c r="D4" s="374"/>
    </row>
    <row r="5" spans="1:7" ht="18.75" customHeight="1" x14ac:dyDescent="0.2">
      <c r="A5" s="436" t="str">
        <f>Comp!B5</f>
        <v xml:space="preserve"> PREFEITURA MUNICIPAL DE BAIÃO</v>
      </c>
      <c r="B5" s="436"/>
      <c r="C5" s="436"/>
      <c r="D5" s="436"/>
    </row>
    <row r="6" spans="1:7" ht="14.25" customHeight="1" x14ac:dyDescent="0.2">
      <c r="A6" s="436" t="str">
        <f>Comp!B6</f>
        <v>TOMADA DE PREÇO   N° 013/2015</v>
      </c>
      <c r="B6" s="436"/>
      <c r="C6" s="436"/>
      <c r="D6" s="436"/>
    </row>
    <row r="7" spans="1:7" ht="14.25" customHeight="1" x14ac:dyDescent="0.2">
      <c r="A7" s="436" t="str">
        <f>Comp!B7</f>
        <v>LOCAL:  E.M.E.F PÓLO DE MASSARANDUBA</v>
      </c>
      <c r="B7" s="436"/>
      <c r="C7" s="436"/>
      <c r="D7" s="436"/>
    </row>
    <row r="8" spans="1:7" ht="26.25" customHeight="1" x14ac:dyDescent="0.2">
      <c r="A8" s="436" t="str">
        <f>Comp!B8</f>
        <v>OBRA:  CONTINUAÇÃO DA CONSTRUÇÃO DE 01 (DUAS) ESCOLAS PÓLO NA LOCALIDADE MASSARANDUBA - PROJETO PADRÃO FNDE - 04 (QUATRO) SALAS DE  AULAS - NO MUNICIPIO DE BAIÃO - PARÁ</v>
      </c>
      <c r="B8" s="436"/>
      <c r="C8" s="436"/>
      <c r="D8" s="436"/>
    </row>
    <row r="9" spans="1:7" ht="18" customHeight="1" x14ac:dyDescent="0.2">
      <c r="A9" s="436"/>
      <c r="B9" s="436"/>
      <c r="C9" s="436"/>
      <c r="D9" s="436"/>
    </row>
    <row r="10" spans="1:7" ht="18" customHeight="1" x14ac:dyDescent="0.2">
      <c r="A10" s="436" t="str">
        <f>Comp!B10</f>
        <v>PRAZO DE EXECUÇÃO: 03 MESES</v>
      </c>
      <c r="B10" s="436"/>
      <c r="C10" s="436"/>
      <c r="D10" s="436"/>
    </row>
    <row r="11" spans="1:7" ht="16.5" customHeight="1" x14ac:dyDescent="0.2">
      <c r="A11" s="437"/>
      <c r="B11" s="437"/>
      <c r="C11" s="437"/>
      <c r="D11" s="437"/>
    </row>
    <row r="12" spans="1:7" ht="16.5" customHeight="1" x14ac:dyDescent="0.25">
      <c r="A12" s="377" t="s">
        <v>309</v>
      </c>
      <c r="B12" s="377"/>
      <c r="C12" s="377"/>
      <c r="D12" s="377"/>
    </row>
    <row r="13" spans="1:7" ht="14.25" customHeight="1" x14ac:dyDescent="0.2">
      <c r="A13" s="378"/>
      <c r="B13" s="379"/>
      <c r="C13" s="42"/>
      <c r="D13" s="43"/>
    </row>
    <row r="14" spans="1:7" ht="12.75" customHeight="1" x14ac:dyDescent="0.2">
      <c r="A14" s="380" t="s">
        <v>0</v>
      </c>
      <c r="B14" s="382" t="s">
        <v>310</v>
      </c>
      <c r="C14" s="380" t="s">
        <v>311</v>
      </c>
      <c r="D14" s="384" t="s">
        <v>312</v>
      </c>
    </row>
    <row r="15" spans="1:7" ht="12.75" customHeight="1" x14ac:dyDescent="0.2">
      <c r="A15" s="381"/>
      <c r="B15" s="383"/>
      <c r="C15" s="381"/>
      <c r="D15" s="385"/>
    </row>
    <row r="16" spans="1:7" s="51" customFormat="1" ht="15" x14ac:dyDescent="0.2">
      <c r="A16" s="44">
        <v>1</v>
      </c>
      <c r="B16" s="45" t="str">
        <f>ORÇAMENTO!B17</f>
        <v>SERVIÇOS PRELIMINARES</v>
      </c>
      <c r="C16" s="46">
        <f>ORÇAMENTO!F20</f>
        <v>1585.2021418168986</v>
      </c>
      <c r="D16" s="47">
        <f>C16/C30</f>
        <v>8.6903325658438373E-3</v>
      </c>
      <c r="E16" s="48"/>
      <c r="F16" s="49"/>
      <c r="G16" s="50"/>
    </row>
    <row r="17" spans="1:10" s="51" customFormat="1" ht="15" x14ac:dyDescent="0.2">
      <c r="A17" s="44">
        <v>2</v>
      </c>
      <c r="B17" s="45" t="str">
        <f>ORÇAMENTO!B21</f>
        <v>SUPERESTRUTURA</v>
      </c>
      <c r="C17" s="46">
        <f>ORÇAMENTO!F23</f>
        <v>3677.3118867834251</v>
      </c>
      <c r="D17" s="47">
        <f>C17/C30</f>
        <v>2.015961397065151E-2</v>
      </c>
      <c r="F17" s="49"/>
      <c r="G17" s="50"/>
    </row>
    <row r="18" spans="1:10" s="51" customFormat="1" ht="15" x14ac:dyDescent="0.2">
      <c r="A18" s="44">
        <v>3</v>
      </c>
      <c r="B18" s="45" t="str">
        <f>ORÇAMENTO!B24</f>
        <v>INSTALAÇÕES HIDRO-SANITÁRIAS</v>
      </c>
      <c r="C18" s="46">
        <f>ORÇAMENTO!F45</f>
        <v>12838.402208221727</v>
      </c>
      <c r="D18" s="47">
        <f>C18/C30</f>
        <v>7.0382181464651208E-2</v>
      </c>
      <c r="F18" s="49"/>
      <c r="G18" s="50"/>
    </row>
    <row r="19" spans="1:10" s="51" customFormat="1" ht="15" x14ac:dyDescent="0.2">
      <c r="A19" s="44">
        <v>4</v>
      </c>
      <c r="B19" s="45" t="str">
        <f>ORÇAMENTO!B46</f>
        <v>INSTALAÇÕES ELÉTRICAS E TELEFONICAS</v>
      </c>
      <c r="C19" s="46">
        <f>ORÇAMENTO!F77</f>
        <v>36494.7636460262</v>
      </c>
      <c r="D19" s="47">
        <f>C19/C30</f>
        <v>0.20007015170464512</v>
      </c>
      <c r="F19" s="49"/>
      <c r="G19" s="50"/>
    </row>
    <row r="20" spans="1:10" s="51" customFormat="1" ht="15" x14ac:dyDescent="0.2">
      <c r="A20" s="44">
        <v>5</v>
      </c>
      <c r="B20" s="45" t="str">
        <f>ORÇAMENTO!B78</f>
        <v>ESQUADRIAS</v>
      </c>
      <c r="C20" s="46">
        <f>ORÇAMENTO!F91</f>
        <v>24056.395575668466</v>
      </c>
      <c r="D20" s="47">
        <f>C20/C30</f>
        <v>0.13188102158910714</v>
      </c>
      <c r="F20" s="49"/>
      <c r="G20" s="52"/>
    </row>
    <row r="21" spans="1:10" s="51" customFormat="1" ht="15" x14ac:dyDescent="0.2">
      <c r="A21" s="44">
        <v>6</v>
      </c>
      <c r="B21" s="45" t="str">
        <f>ORÇAMENTO!B92</f>
        <v>COBERTURA</v>
      </c>
      <c r="C21" s="46">
        <f>ORÇAMENTO!F97</f>
        <v>9364.6467572457113</v>
      </c>
      <c r="D21" s="47">
        <f>C21/C30</f>
        <v>5.1338496545834493E-2</v>
      </c>
      <c r="F21" s="49"/>
      <c r="G21" s="50"/>
    </row>
    <row r="22" spans="1:10" s="51" customFormat="1" ht="15" x14ac:dyDescent="0.2">
      <c r="A22" s="44">
        <v>7</v>
      </c>
      <c r="B22" s="45" t="str">
        <f>ORÇAMENTO!B98</f>
        <v>REVESTIMENTO</v>
      </c>
      <c r="C22" s="46">
        <f>ORÇAMENTO!F107</f>
        <v>17769.997743141397</v>
      </c>
      <c r="D22" s="47">
        <f>C22/C30</f>
        <v>9.7417979706483734E-2</v>
      </c>
      <c r="F22" s="49"/>
      <c r="G22" s="50"/>
    </row>
    <row r="23" spans="1:10" s="51" customFormat="1" ht="15" x14ac:dyDescent="0.2">
      <c r="A23" s="44">
        <v>8</v>
      </c>
      <c r="B23" s="45" t="str">
        <f>ORÇAMENTO!B108</f>
        <v>PAVIMENTAÇÃO</v>
      </c>
      <c r="C23" s="46">
        <f>ORÇAMENTO!F115</f>
        <v>6937.8605971082607</v>
      </c>
      <c r="D23" s="47">
        <f>C23/C30</f>
        <v>3.803446531760922E-2</v>
      </c>
      <c r="F23" s="49"/>
      <c r="G23" s="50"/>
    </row>
    <row r="24" spans="1:10" s="51" customFormat="1" ht="15" x14ac:dyDescent="0.2">
      <c r="A24" s="44">
        <v>9</v>
      </c>
      <c r="B24" s="45" t="str">
        <f>ORÇAMENTO!B116</f>
        <v>SOLEIRAS E RODAPÉS</v>
      </c>
      <c r="C24" s="46">
        <f>ORÇAMENTO!F121</f>
        <v>365.21612535867973</v>
      </c>
      <c r="D24" s="47">
        <f>C24/C30</f>
        <v>2.002173416279954E-3</v>
      </c>
      <c r="F24" s="49"/>
      <c r="G24" s="50"/>
    </row>
    <row r="25" spans="1:10" s="51" customFormat="1" ht="15" x14ac:dyDescent="0.2">
      <c r="A25" s="44">
        <v>10</v>
      </c>
      <c r="B25" s="45" t="str">
        <f>ORÇAMENTO!B122</f>
        <v>PINTURA</v>
      </c>
      <c r="C25" s="46">
        <f>ORÇAMENTO!F130</f>
        <v>23930.530912958206</v>
      </c>
      <c r="D25" s="47">
        <f>C25/C30</f>
        <v>0.13119101130689401</v>
      </c>
      <c r="F25" s="49"/>
      <c r="G25" s="50"/>
    </row>
    <row r="26" spans="1:10" s="51" customFormat="1" ht="15" x14ac:dyDescent="0.2">
      <c r="A26" s="44">
        <v>11</v>
      </c>
      <c r="B26" s="45" t="str">
        <f>ORÇAMENTO!B131</f>
        <v>ELEMENTOS DECORATIVOS E OUTROS</v>
      </c>
      <c r="C26" s="46">
        <f>ORÇAMENTO!F157</f>
        <v>39045.356908255562</v>
      </c>
      <c r="D26" s="47">
        <f>C26/C30</f>
        <v>0.21405291333753595</v>
      </c>
      <c r="F26" s="49"/>
      <c r="G26" s="50"/>
    </row>
    <row r="27" spans="1:10" s="51" customFormat="1" ht="15" x14ac:dyDescent="0.2">
      <c r="A27" s="44">
        <v>12</v>
      </c>
      <c r="B27" s="45" t="str">
        <f>ORÇAMENTO!B158</f>
        <v>INSTALAÇÕES REDE LÓGICA</v>
      </c>
      <c r="C27" s="46">
        <f>ORÇAMENTO!F166</f>
        <v>1170.94347610816</v>
      </c>
      <c r="D27" s="47">
        <f>C27/C30</f>
        <v>6.4193000720538457E-3</v>
      </c>
      <c r="F27" s="49"/>
      <c r="G27" s="50"/>
    </row>
    <row r="28" spans="1:10" s="51" customFormat="1" ht="15" x14ac:dyDescent="0.2">
      <c r="A28" s="44">
        <v>13</v>
      </c>
      <c r="B28" s="45" t="str">
        <f>ORÇAMENTO!B167</f>
        <v>PORTAL DE ACESSO</v>
      </c>
      <c r="C28" s="46">
        <f>ORÇAMENTO!F176</f>
        <v>4249.558927338594</v>
      </c>
      <c r="D28" s="47">
        <f>C28/C30</f>
        <v>2.3296764092429961E-2</v>
      </c>
      <c r="F28" s="49"/>
      <c r="G28" s="50"/>
    </row>
    <row r="29" spans="1:10" s="51" customFormat="1" ht="15" x14ac:dyDescent="0.2">
      <c r="A29" s="44">
        <v>14</v>
      </c>
      <c r="B29" s="440" t="str">
        <f>ORÇAMENTO!B177</f>
        <v>LIMPEZA DA OBRA</v>
      </c>
      <c r="C29" s="46">
        <f>ORÇAMENTO!F180</f>
        <v>923.64951925338607</v>
      </c>
      <c r="D29" s="47">
        <f>C29/C30</f>
        <v>5.0635949099801661E-3</v>
      </c>
      <c r="F29" s="49"/>
      <c r="G29" s="50"/>
    </row>
    <row r="30" spans="1:10" x14ac:dyDescent="0.2">
      <c r="A30" s="375" t="s">
        <v>313</v>
      </c>
      <c r="B30" s="376"/>
      <c r="C30" s="53">
        <f>SUM(C16:C29)</f>
        <v>182409.83642528465</v>
      </c>
      <c r="D30" s="54">
        <f>SUM(D16:D29)</f>
        <v>1.0000000000000002</v>
      </c>
    </row>
    <row r="31" spans="1:10" x14ac:dyDescent="0.2">
      <c r="H31" s="58"/>
      <c r="I31" s="58"/>
      <c r="J31" s="59"/>
    </row>
    <row r="34" spans="3:3" x14ac:dyDescent="0.2">
      <c r="C34" s="60"/>
    </row>
    <row r="35" spans="3:3" x14ac:dyDescent="0.2">
      <c r="C35" s="61"/>
    </row>
    <row r="36" spans="3:3" x14ac:dyDescent="0.2">
      <c r="C36" s="62"/>
    </row>
  </sheetData>
  <mergeCells count="14">
    <mergeCell ref="A10:D10"/>
    <mergeCell ref="A30:B30"/>
    <mergeCell ref="A11:D11"/>
    <mergeCell ref="A12:D12"/>
    <mergeCell ref="A13:B13"/>
    <mergeCell ref="A14:A15"/>
    <mergeCell ref="B14:B15"/>
    <mergeCell ref="C14:C15"/>
    <mergeCell ref="D14:D15"/>
    <mergeCell ref="A1:D4"/>
    <mergeCell ref="A5:D5"/>
    <mergeCell ref="A6:D6"/>
    <mergeCell ref="A7:D7"/>
    <mergeCell ref="A8:D9"/>
  </mergeCells>
  <pageMargins left="0.78740157480314965" right="0.39370078740157483" top="0.39370078740157483" bottom="0.59055118110236227" header="0.31496062992125984" footer="0.31496062992125984"/>
  <pageSetup paperSize="9" scale="93" fitToHeight="0" orientation="portrait" r:id="rId1"/>
  <ignoredErrors>
    <ignoredError sqref="D16:D30 C30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view="pageBreakPreview" topLeftCell="A160" zoomScale="80" zoomScaleNormal="100" zoomScaleSheetLayoutView="80" workbookViewId="0">
      <selection activeCell="A8" sqref="A8:F9"/>
    </sheetView>
  </sheetViews>
  <sheetFormatPr defaultRowHeight="15" x14ac:dyDescent="0.25"/>
  <cols>
    <col min="1" max="1" width="17.28515625" customWidth="1"/>
    <col min="2" max="2" width="54.85546875" customWidth="1"/>
    <col min="3" max="3" width="14.28515625" customWidth="1"/>
    <col min="4" max="4" width="20.140625" customWidth="1"/>
    <col min="5" max="5" width="18.140625" style="1" customWidth="1"/>
    <col min="6" max="6" width="19" bestFit="1" customWidth="1"/>
  </cols>
  <sheetData>
    <row r="1" spans="1:6" s="33" customFormat="1" x14ac:dyDescent="0.25">
      <c r="A1" s="357" t="s">
        <v>543</v>
      </c>
      <c r="B1" s="357"/>
      <c r="C1" s="357"/>
      <c r="D1" s="357"/>
      <c r="E1" s="357"/>
      <c r="F1" s="357"/>
    </row>
    <row r="2" spans="1:6" s="33" customFormat="1" x14ac:dyDescent="0.25">
      <c r="A2" s="357"/>
      <c r="B2" s="357"/>
      <c r="C2" s="357"/>
      <c r="D2" s="357"/>
      <c r="E2" s="357"/>
      <c r="F2" s="357"/>
    </row>
    <row r="3" spans="1:6" s="33" customFormat="1" x14ac:dyDescent="0.25">
      <c r="A3" s="357"/>
      <c r="B3" s="357"/>
      <c r="C3" s="357"/>
      <c r="D3" s="357"/>
      <c r="E3" s="357"/>
      <c r="F3" s="357"/>
    </row>
    <row r="4" spans="1:6" s="33" customFormat="1" x14ac:dyDescent="0.25">
      <c r="A4" s="357"/>
      <c r="B4" s="357"/>
      <c r="C4" s="357"/>
      <c r="D4" s="357"/>
      <c r="E4" s="357"/>
      <c r="F4" s="357"/>
    </row>
    <row r="5" spans="1:6" s="34" customFormat="1" ht="18.75" customHeight="1" x14ac:dyDescent="0.25">
      <c r="A5" s="353" t="s">
        <v>371</v>
      </c>
      <c r="B5" s="353"/>
      <c r="C5" s="353"/>
      <c r="D5" s="353"/>
      <c r="E5" s="353"/>
      <c r="F5" s="353"/>
    </row>
    <row r="6" spans="1:6" s="34" customFormat="1" ht="15.75" x14ac:dyDescent="0.25">
      <c r="A6" s="353" t="s">
        <v>553</v>
      </c>
      <c r="B6" s="353"/>
      <c r="C6" s="353"/>
      <c r="D6" s="353"/>
      <c r="E6" s="353"/>
      <c r="F6" s="353"/>
    </row>
    <row r="7" spans="1:6" s="33" customFormat="1" ht="14.25" customHeight="1" x14ac:dyDescent="0.25">
      <c r="A7" s="353" t="s">
        <v>554</v>
      </c>
      <c r="B7" s="353"/>
      <c r="C7" s="353"/>
      <c r="D7" s="353"/>
      <c r="E7" s="353"/>
      <c r="F7" s="353"/>
    </row>
    <row r="8" spans="1:6" ht="14.25" customHeight="1" x14ac:dyDescent="0.25">
      <c r="A8" s="353" t="s">
        <v>555</v>
      </c>
      <c r="B8" s="353"/>
      <c r="C8" s="353"/>
      <c r="D8" s="353"/>
      <c r="E8" s="353"/>
      <c r="F8" s="353"/>
    </row>
    <row r="9" spans="1:6" s="34" customFormat="1" ht="14.25" customHeight="1" x14ac:dyDescent="0.25">
      <c r="A9" s="353"/>
      <c r="B9" s="353"/>
      <c r="C9" s="353"/>
      <c r="D9" s="353"/>
      <c r="E9" s="353"/>
      <c r="F9" s="353"/>
    </row>
    <row r="10" spans="1:6" s="348" customFormat="1" ht="14.25" customHeight="1" x14ac:dyDescent="0.25">
      <c r="A10" s="353" t="s">
        <v>556</v>
      </c>
      <c r="B10" s="353"/>
      <c r="C10" s="353"/>
      <c r="D10" s="353"/>
      <c r="E10" s="353"/>
      <c r="F10" s="353"/>
    </row>
    <row r="11" spans="1:6" s="348" customFormat="1" ht="14.25" customHeight="1" x14ac:dyDescent="0.25">
      <c r="A11" s="357"/>
      <c r="B11" s="357"/>
      <c r="C11" s="357"/>
      <c r="D11" s="357"/>
      <c r="E11" s="357"/>
      <c r="F11" s="357"/>
    </row>
    <row r="12" spans="1:6" ht="14.25" customHeight="1" x14ac:dyDescent="0.25">
      <c r="A12" s="354" t="s">
        <v>26</v>
      </c>
      <c r="B12" s="355"/>
      <c r="C12" s="355"/>
      <c r="D12" s="355"/>
      <c r="E12" s="355"/>
      <c r="F12" s="355"/>
    </row>
    <row r="13" spans="1:6" x14ac:dyDescent="0.25">
      <c r="A13" s="356"/>
      <c r="B13" s="356"/>
      <c r="C13" s="356"/>
      <c r="D13" s="356"/>
      <c r="E13" s="356"/>
      <c r="F13" s="356"/>
    </row>
    <row r="14" spans="1:6" ht="15.75" x14ac:dyDescent="0.25">
      <c r="A14" s="3" t="s">
        <v>0</v>
      </c>
      <c r="B14" s="3" t="s">
        <v>1</v>
      </c>
      <c r="C14" s="3" t="s">
        <v>2</v>
      </c>
      <c r="D14" s="3" t="s">
        <v>3</v>
      </c>
      <c r="E14" s="31" t="s">
        <v>4</v>
      </c>
      <c r="F14" s="3" t="s">
        <v>5</v>
      </c>
    </row>
    <row r="15" spans="1:6" ht="15.75" x14ac:dyDescent="0.25">
      <c r="A15" s="35"/>
      <c r="B15" s="331" t="s">
        <v>6</v>
      </c>
      <c r="C15" s="35"/>
      <c r="D15" s="35"/>
      <c r="E15" s="332"/>
      <c r="F15" s="35"/>
    </row>
    <row r="16" spans="1:6" s="33" customFormat="1" ht="15.75" customHeight="1" x14ac:dyDescent="0.25">
      <c r="A16" s="358"/>
      <c r="B16" s="358"/>
      <c r="C16" s="358"/>
      <c r="D16" s="358"/>
      <c r="E16" s="358"/>
      <c r="F16" s="358"/>
    </row>
    <row r="17" spans="1:6" x14ac:dyDescent="0.25">
      <c r="A17" s="333">
        <v>1</v>
      </c>
      <c r="B17" s="334" t="s">
        <v>7</v>
      </c>
      <c r="C17" s="35"/>
      <c r="D17" s="35"/>
      <c r="E17" s="332"/>
      <c r="F17" s="35"/>
    </row>
    <row r="18" spans="1:6" ht="15.75" x14ac:dyDescent="0.25">
      <c r="A18" s="1" t="s">
        <v>10</v>
      </c>
      <c r="B18" s="6" t="s">
        <v>8</v>
      </c>
    </row>
    <row r="19" spans="1:6" ht="15.75" x14ac:dyDescent="0.25">
      <c r="A19" s="1" t="s">
        <v>11</v>
      </c>
      <c r="B19" s="5" t="s">
        <v>9</v>
      </c>
      <c r="C19" s="7" t="s">
        <v>12</v>
      </c>
      <c r="D19" s="39">
        <v>12</v>
      </c>
      <c r="E19" s="18">
        <f>Comp!I30</f>
        <v>132.10101181807488</v>
      </c>
      <c r="F19" s="10">
        <f>E19*D19-0.01</f>
        <v>1585.2021418168986</v>
      </c>
    </row>
    <row r="20" spans="1:6" ht="22.5" customHeight="1" x14ac:dyDescent="0.25">
      <c r="A20" s="359" t="s">
        <v>544</v>
      </c>
      <c r="B20" s="359"/>
      <c r="C20" s="359"/>
      <c r="D20" s="359"/>
      <c r="E20" s="359"/>
      <c r="F20" s="335">
        <f>F19</f>
        <v>1585.2021418168986</v>
      </c>
    </row>
    <row r="21" spans="1:6" s="33" customFormat="1" x14ac:dyDescent="0.25">
      <c r="A21" s="333">
        <v>2</v>
      </c>
      <c r="B21" s="334" t="s">
        <v>13</v>
      </c>
      <c r="C21" s="35"/>
      <c r="D21" s="35"/>
      <c r="E21" s="332"/>
      <c r="F21" s="35"/>
    </row>
    <row r="22" spans="1:6" ht="45.75" customHeight="1" x14ac:dyDescent="0.25">
      <c r="A22" s="14" t="s">
        <v>14</v>
      </c>
      <c r="B22" s="16" t="s">
        <v>29</v>
      </c>
      <c r="C22" s="14" t="s">
        <v>15</v>
      </c>
      <c r="D22" s="21">
        <v>3.08</v>
      </c>
      <c r="E22" s="18">
        <f>Comp!I40</f>
        <v>1193.9713918128002</v>
      </c>
      <c r="F22" s="18">
        <f>E22*D22-0.12</f>
        <v>3677.3118867834251</v>
      </c>
    </row>
    <row r="23" spans="1:6" ht="23.25" customHeight="1" x14ac:dyDescent="0.25">
      <c r="A23" s="360" t="s">
        <v>545</v>
      </c>
      <c r="B23" s="360"/>
      <c r="C23" s="360"/>
      <c r="D23" s="360"/>
      <c r="E23" s="360"/>
      <c r="F23" s="336">
        <f>F22</f>
        <v>3677.3118867834251</v>
      </c>
    </row>
    <row r="24" spans="1:6" s="33" customFormat="1" x14ac:dyDescent="0.25">
      <c r="A24" s="333">
        <v>3</v>
      </c>
      <c r="B24" s="334" t="s">
        <v>16</v>
      </c>
      <c r="C24" s="35"/>
      <c r="D24" s="35"/>
      <c r="E24" s="332"/>
      <c r="F24" s="35"/>
    </row>
    <row r="25" spans="1:6" x14ac:dyDescent="0.25">
      <c r="A25" s="7" t="s">
        <v>17</v>
      </c>
      <c r="B25" s="9" t="s">
        <v>18</v>
      </c>
      <c r="D25" s="11"/>
      <c r="E25" s="338"/>
      <c r="F25" s="8"/>
    </row>
    <row r="26" spans="1:6" ht="21" customHeight="1" x14ac:dyDescent="0.25">
      <c r="A26" s="7" t="s">
        <v>19</v>
      </c>
      <c r="B26" s="4" t="s">
        <v>28</v>
      </c>
      <c r="C26" s="14" t="s">
        <v>548</v>
      </c>
      <c r="D26" s="39">
        <v>1</v>
      </c>
      <c r="E26" s="10">
        <f>Comp!I51</f>
        <v>138.87062981279999</v>
      </c>
      <c r="F26" s="18">
        <f>E26*D26</f>
        <v>138.87062981279999</v>
      </c>
    </row>
    <row r="27" spans="1:6" ht="21.75" customHeight="1" x14ac:dyDescent="0.25">
      <c r="A27" s="7" t="s">
        <v>20</v>
      </c>
      <c r="B27" s="4" t="s">
        <v>27</v>
      </c>
      <c r="C27" s="14" t="s">
        <v>548</v>
      </c>
      <c r="D27" s="39">
        <v>7</v>
      </c>
      <c r="E27" s="10">
        <f>Comp!I61</f>
        <v>297.71547290640001</v>
      </c>
      <c r="F27" s="18">
        <f>E27*D27+0.03</f>
        <v>2084.0383103448003</v>
      </c>
    </row>
    <row r="28" spans="1:6" ht="22.5" customHeight="1" x14ac:dyDescent="0.25">
      <c r="A28" s="2" t="s">
        <v>21</v>
      </c>
      <c r="B28" s="9" t="s">
        <v>282</v>
      </c>
      <c r="C28" s="14"/>
      <c r="D28" s="39"/>
      <c r="E28" s="32"/>
      <c r="F28" s="14"/>
    </row>
    <row r="29" spans="1:6" ht="45" x14ac:dyDescent="0.25">
      <c r="A29" s="14" t="s">
        <v>22</v>
      </c>
      <c r="B29" s="17" t="s">
        <v>30</v>
      </c>
      <c r="C29" s="14" t="s">
        <v>548</v>
      </c>
      <c r="D29" s="36">
        <v>5</v>
      </c>
      <c r="E29" s="18">
        <f>Comp!I72</f>
        <v>211.77985138128</v>
      </c>
      <c r="F29" s="18">
        <f t="shared" ref="F29:F39" si="0">E29*D29</f>
        <v>1058.8992569064001</v>
      </c>
    </row>
    <row r="30" spans="1:6" ht="45.75" customHeight="1" x14ac:dyDescent="0.25">
      <c r="A30" s="14" t="s">
        <v>23</v>
      </c>
      <c r="B30" s="17" t="s">
        <v>31</v>
      </c>
      <c r="C30" s="14" t="s">
        <v>548</v>
      </c>
      <c r="D30" s="36">
        <v>3</v>
      </c>
      <c r="E30" s="18">
        <f>Comp!I82</f>
        <v>287.04830399999997</v>
      </c>
      <c r="F30" s="18">
        <f>E30*D30+0.01</f>
        <v>861.15491199999997</v>
      </c>
    </row>
    <row r="31" spans="1:6" ht="45.75" customHeight="1" x14ac:dyDescent="0.25">
      <c r="A31" s="14" t="s">
        <v>24</v>
      </c>
      <c r="B31" s="17" t="s">
        <v>32</v>
      </c>
      <c r="C31" s="14" t="s">
        <v>548</v>
      </c>
      <c r="D31" s="36">
        <v>3</v>
      </c>
      <c r="E31" s="18">
        <f>Comp!I92</f>
        <v>410.47736930640002</v>
      </c>
      <c r="F31" s="18">
        <f>E31*D31+0.01</f>
        <v>1231.4421079192</v>
      </c>
    </row>
    <row r="32" spans="1:6" s="12" customFormat="1" ht="47.25" customHeight="1" x14ac:dyDescent="0.25">
      <c r="A32" s="14" t="s">
        <v>25</v>
      </c>
      <c r="B32" s="17" t="s">
        <v>33</v>
      </c>
      <c r="C32" s="14" t="s">
        <v>548</v>
      </c>
      <c r="D32" s="36">
        <v>2</v>
      </c>
      <c r="E32" s="18">
        <f>Comp!I102</f>
        <v>138.52235690639998</v>
      </c>
      <c r="F32" s="18">
        <f t="shared" si="0"/>
        <v>277.04471381279996</v>
      </c>
    </row>
    <row r="33" spans="1:7" ht="48" customHeight="1" x14ac:dyDescent="0.25">
      <c r="A33" s="14" t="s">
        <v>34</v>
      </c>
      <c r="B33" s="17" t="s">
        <v>45</v>
      </c>
      <c r="C33" s="14" t="s">
        <v>548</v>
      </c>
      <c r="D33" s="36">
        <v>6</v>
      </c>
      <c r="E33" s="18">
        <f>Comp!I112</f>
        <v>345.06548090640001</v>
      </c>
      <c r="F33" s="18">
        <f>E33*D33+0.03</f>
        <v>2070.4228854384005</v>
      </c>
    </row>
    <row r="34" spans="1:7" ht="51" customHeight="1" x14ac:dyDescent="0.25">
      <c r="A34" s="14" t="s">
        <v>35</v>
      </c>
      <c r="B34" s="17" t="s">
        <v>46</v>
      </c>
      <c r="C34" s="14" t="s">
        <v>548</v>
      </c>
      <c r="D34" s="36">
        <v>1</v>
      </c>
      <c r="E34" s="18">
        <f>Comp!I122</f>
        <v>346.93355690640004</v>
      </c>
      <c r="F34" s="18">
        <f t="shared" si="0"/>
        <v>346.93355690640004</v>
      </c>
    </row>
    <row r="35" spans="1:7" ht="28.5" customHeight="1" x14ac:dyDescent="0.25">
      <c r="A35" s="14" t="s">
        <v>546</v>
      </c>
      <c r="B35" s="20" t="s">
        <v>47</v>
      </c>
      <c r="C35" s="14" t="s">
        <v>548</v>
      </c>
      <c r="D35" s="36">
        <v>8</v>
      </c>
      <c r="E35" s="18">
        <f>Comp!I132</f>
        <v>31.416238762559999</v>
      </c>
      <c r="F35" s="18">
        <f>E35*D35+0.03</f>
        <v>251.35991010047999</v>
      </c>
    </row>
    <row r="36" spans="1:7" ht="26.25" customHeight="1" x14ac:dyDescent="0.25">
      <c r="A36" s="14" t="s">
        <v>36</v>
      </c>
      <c r="B36" s="20" t="s">
        <v>48</v>
      </c>
      <c r="C36" s="14" t="s">
        <v>548</v>
      </c>
      <c r="D36" s="36">
        <v>3</v>
      </c>
      <c r="E36" s="18">
        <f>Comp!I142</f>
        <v>24.909742762559997</v>
      </c>
      <c r="F36" s="18">
        <f t="shared" si="0"/>
        <v>74.729228287679987</v>
      </c>
    </row>
    <row r="37" spans="1:7" ht="27.75" customHeight="1" x14ac:dyDescent="0.25">
      <c r="A37" s="14" t="s">
        <v>37</v>
      </c>
      <c r="B37" s="20" t="s">
        <v>49</v>
      </c>
      <c r="C37" s="14" t="s">
        <v>548</v>
      </c>
      <c r="D37" s="36">
        <v>1</v>
      </c>
      <c r="E37" s="18">
        <f>Comp!I152</f>
        <v>35.533630762559994</v>
      </c>
      <c r="F37" s="18">
        <f t="shared" si="0"/>
        <v>35.533630762559994</v>
      </c>
    </row>
    <row r="38" spans="1:7" ht="28.5" customHeight="1" x14ac:dyDescent="0.25">
      <c r="A38" s="19" t="s">
        <v>38</v>
      </c>
      <c r="B38" s="22" t="s">
        <v>50</v>
      </c>
      <c r="C38" s="13"/>
      <c r="D38" s="343"/>
      <c r="E38" s="14"/>
      <c r="F38" s="14"/>
    </row>
    <row r="39" spans="1:7" ht="31.5" customHeight="1" x14ac:dyDescent="0.25">
      <c r="A39" s="14" t="s">
        <v>39</v>
      </c>
      <c r="B39" s="17" t="s">
        <v>283</v>
      </c>
      <c r="C39" s="14" t="s">
        <v>548</v>
      </c>
      <c r="D39" s="36">
        <v>2</v>
      </c>
      <c r="E39" s="18">
        <f>Comp!I162</f>
        <v>107.19101861438401</v>
      </c>
      <c r="F39" s="18">
        <f t="shared" si="0"/>
        <v>214.38203722876801</v>
      </c>
    </row>
    <row r="40" spans="1:7" ht="22.5" customHeight="1" x14ac:dyDescent="0.25">
      <c r="A40" s="14" t="s">
        <v>40</v>
      </c>
      <c r="B40" s="20" t="s">
        <v>51</v>
      </c>
      <c r="C40" s="14" t="s">
        <v>548</v>
      </c>
      <c r="D40" s="36">
        <v>5</v>
      </c>
      <c r="E40" s="18">
        <f>Comp!I172</f>
        <v>207.28225076256001</v>
      </c>
      <c r="F40" s="18">
        <f>E40*D40-0.01</f>
        <v>1036.4012538128002</v>
      </c>
    </row>
    <row r="41" spans="1:7" ht="33.75" customHeight="1" x14ac:dyDescent="0.25">
      <c r="A41" s="14" t="s">
        <v>41</v>
      </c>
      <c r="B41" s="17" t="s">
        <v>52</v>
      </c>
      <c r="C41" s="14" t="s">
        <v>548</v>
      </c>
      <c r="D41" s="36">
        <v>9</v>
      </c>
      <c r="E41" s="18">
        <f>Comp!I182</f>
        <v>26.828650762559995</v>
      </c>
      <c r="F41" s="18">
        <f>E41*D41+0.01</f>
        <v>241.46785686303994</v>
      </c>
    </row>
    <row r="42" spans="1:7" ht="24.75" customHeight="1" x14ac:dyDescent="0.25">
      <c r="A42" s="14" t="s">
        <v>42</v>
      </c>
      <c r="B42" s="20" t="s">
        <v>53</v>
      </c>
      <c r="C42" s="14" t="s">
        <v>548</v>
      </c>
      <c r="D42" s="36">
        <v>2</v>
      </c>
      <c r="E42" s="18">
        <f>Comp!I192</f>
        <v>213.06439076255998</v>
      </c>
      <c r="F42" s="18">
        <f>E42*D42-0.01</f>
        <v>426.11878152511997</v>
      </c>
    </row>
    <row r="43" spans="1:7" ht="49.5" customHeight="1" x14ac:dyDescent="0.25">
      <c r="A43" s="14" t="s">
        <v>43</v>
      </c>
      <c r="B43" s="17" t="s">
        <v>54</v>
      </c>
      <c r="C43" s="14" t="s">
        <v>548</v>
      </c>
      <c r="D43" s="36">
        <v>6</v>
      </c>
      <c r="E43" s="18">
        <f>Comp!I202</f>
        <v>286.26628316256</v>
      </c>
      <c r="F43" s="18">
        <f>E43*D43+0.02</f>
        <v>1717.6176989753599</v>
      </c>
    </row>
    <row r="44" spans="1:7" ht="47.25" customHeight="1" x14ac:dyDescent="0.25">
      <c r="A44" s="14" t="s">
        <v>44</v>
      </c>
      <c r="B44" s="17" t="s">
        <v>55</v>
      </c>
      <c r="C44" s="14" t="s">
        <v>548</v>
      </c>
      <c r="D44" s="36">
        <v>2</v>
      </c>
      <c r="E44" s="18">
        <f>Comp!I212</f>
        <v>388.00271876256005</v>
      </c>
      <c r="F44" s="18">
        <f>E44*D44-0.01</f>
        <v>775.99543752512011</v>
      </c>
    </row>
    <row r="45" spans="1:7" ht="26.25" customHeight="1" x14ac:dyDescent="0.25">
      <c r="A45" s="359" t="s">
        <v>547</v>
      </c>
      <c r="B45" s="359"/>
      <c r="C45" s="359"/>
      <c r="D45" s="359"/>
      <c r="E45" s="359"/>
      <c r="F45" s="344">
        <f>F44+F43+F42+F41+F40+F39+F37+F36+F35+F34+F33+F32+F31+F30+F29+F27+F26-4.01</f>
        <v>12838.402208221727</v>
      </c>
    </row>
    <row r="46" spans="1:7" s="33" customFormat="1" x14ac:dyDescent="0.25">
      <c r="A46" s="333">
        <v>4</v>
      </c>
      <c r="B46" s="334" t="s">
        <v>284</v>
      </c>
      <c r="C46" s="35"/>
      <c r="D46" s="35"/>
      <c r="E46" s="332"/>
      <c r="F46" s="35"/>
    </row>
    <row r="47" spans="1:7" ht="18.75" customHeight="1" x14ac:dyDescent="0.25">
      <c r="A47" s="19" t="s">
        <v>56</v>
      </c>
      <c r="B47" s="24" t="s">
        <v>64</v>
      </c>
      <c r="D47" s="343"/>
      <c r="E47" s="18"/>
    </row>
    <row r="48" spans="1:7" ht="21.75" customHeight="1" x14ac:dyDescent="0.25">
      <c r="A48" s="14" t="s">
        <v>57</v>
      </c>
      <c r="B48" s="23" t="s">
        <v>66</v>
      </c>
      <c r="C48" s="14" t="s">
        <v>15</v>
      </c>
      <c r="D48" s="36">
        <v>1500</v>
      </c>
      <c r="E48" s="18">
        <f>Comp!I235</f>
        <v>2.4106114614383998</v>
      </c>
      <c r="F48" s="18">
        <f>E48*D48-0.92</f>
        <v>3614.9971921575998</v>
      </c>
      <c r="G48" s="14"/>
    </row>
    <row r="49" spans="1:7" ht="19.5" customHeight="1" x14ac:dyDescent="0.25">
      <c r="A49" s="14" t="s">
        <v>58</v>
      </c>
      <c r="B49" s="23" t="s">
        <v>67</v>
      </c>
      <c r="C49" s="14" t="s">
        <v>15</v>
      </c>
      <c r="D49" s="36">
        <v>2300</v>
      </c>
      <c r="E49" s="18">
        <f>Comp!I245</f>
        <v>2.8299754614384005</v>
      </c>
      <c r="F49" s="18">
        <f>E49*D49+0.06</f>
        <v>6509.0035613083219</v>
      </c>
      <c r="G49" s="14"/>
    </row>
    <row r="50" spans="1:7" ht="19.5" customHeight="1" x14ac:dyDescent="0.25">
      <c r="A50" s="14" t="s">
        <v>59</v>
      </c>
      <c r="B50" s="23" t="s">
        <v>68</v>
      </c>
      <c r="C50" s="14" t="s">
        <v>15</v>
      </c>
      <c r="D50" s="36">
        <v>150</v>
      </c>
      <c r="E50" s="18">
        <f>Comp!I255</f>
        <v>3.4308944866728002</v>
      </c>
      <c r="F50" s="18">
        <f>E50*D50-0.13</f>
        <v>514.50417300091999</v>
      </c>
      <c r="G50" s="14"/>
    </row>
    <row r="51" spans="1:7" ht="23.25" customHeight="1" x14ac:dyDescent="0.25">
      <c r="A51" s="14" t="s">
        <v>60</v>
      </c>
      <c r="B51" s="23" t="s">
        <v>69</v>
      </c>
      <c r="C51" s="14" t="s">
        <v>15</v>
      </c>
      <c r="D51" s="36">
        <v>300</v>
      </c>
      <c r="E51" s="18">
        <f>Comp!I265</f>
        <v>4.1223028134383997</v>
      </c>
      <c r="F51" s="18">
        <f>E51*D51-0.69</f>
        <v>1236.0008440315198</v>
      </c>
      <c r="G51" s="14"/>
    </row>
    <row r="52" spans="1:7" ht="20.25" customHeight="1" x14ac:dyDescent="0.25">
      <c r="A52" s="14" t="s">
        <v>61</v>
      </c>
      <c r="B52" s="23" t="s">
        <v>70</v>
      </c>
      <c r="C52" s="14" t="s">
        <v>15</v>
      </c>
      <c r="D52" s="36">
        <v>150</v>
      </c>
      <c r="E52" s="18">
        <f>Comp!I275</f>
        <v>6.9854914614383992</v>
      </c>
      <c r="F52" s="18">
        <f>E52*D52+0.68</f>
        <v>1048.5037192157599</v>
      </c>
      <c r="G52" s="14"/>
    </row>
    <row r="53" spans="1:7" ht="21.75" customHeight="1" x14ac:dyDescent="0.25">
      <c r="A53" s="14" t="s">
        <v>62</v>
      </c>
      <c r="B53" s="23" t="s">
        <v>65</v>
      </c>
      <c r="C53" s="14" t="s">
        <v>15</v>
      </c>
      <c r="D53" s="36">
        <v>100</v>
      </c>
      <c r="E53" s="18">
        <f>Comp!N287</f>
        <v>100.37</v>
      </c>
      <c r="F53" s="18">
        <f t="shared" ref="F53:F68" si="1">E53*D53</f>
        <v>10037</v>
      </c>
      <c r="G53" s="14"/>
    </row>
    <row r="54" spans="1:7" x14ac:dyDescent="0.25">
      <c r="A54" s="19" t="s">
        <v>63</v>
      </c>
      <c r="B54" s="9" t="s">
        <v>93</v>
      </c>
      <c r="D54" s="343"/>
    </row>
    <row r="55" spans="1:7" x14ac:dyDescent="0.25">
      <c r="A55" s="14" t="s">
        <v>71</v>
      </c>
      <c r="B55" s="23" t="s">
        <v>94</v>
      </c>
      <c r="C55" s="14" t="s">
        <v>15</v>
      </c>
      <c r="D55" s="36">
        <v>70</v>
      </c>
      <c r="E55" s="18">
        <f>Comp!I297</f>
        <v>1.6354234614383998</v>
      </c>
      <c r="F55" s="18">
        <f>E55*D55+0.32</f>
        <v>114.79964230068798</v>
      </c>
    </row>
    <row r="56" spans="1:7" x14ac:dyDescent="0.25">
      <c r="A56" s="14" t="s">
        <v>72</v>
      </c>
      <c r="B56" s="23" t="s">
        <v>95</v>
      </c>
      <c r="C56" s="14" t="s">
        <v>15</v>
      </c>
      <c r="D56" s="36">
        <v>35</v>
      </c>
      <c r="E56" s="18">
        <f>Comp!I307</f>
        <v>1.0889794614383999</v>
      </c>
      <c r="F56" s="18">
        <f>E56*D56+0.04</f>
        <v>38.154281150343991</v>
      </c>
    </row>
    <row r="57" spans="1:7" x14ac:dyDescent="0.25">
      <c r="A57" s="19" t="s">
        <v>73</v>
      </c>
      <c r="B57" s="9" t="s">
        <v>285</v>
      </c>
      <c r="D57" s="343"/>
      <c r="E57" s="15"/>
      <c r="F57" s="15"/>
    </row>
    <row r="58" spans="1:7" x14ac:dyDescent="0.25">
      <c r="A58" s="14" t="s">
        <v>74</v>
      </c>
      <c r="B58" s="23" t="s">
        <v>96</v>
      </c>
      <c r="C58" s="14" t="s">
        <v>548</v>
      </c>
      <c r="D58" s="36">
        <v>24</v>
      </c>
      <c r="E58" s="18">
        <f>Comp!I317</f>
        <v>6.6961546143839996</v>
      </c>
      <c r="F58" s="18">
        <f>E58*D58+0.09</f>
        <v>160.79771074521599</v>
      </c>
    </row>
    <row r="59" spans="1:7" x14ac:dyDescent="0.25">
      <c r="A59" s="14" t="s">
        <v>75</v>
      </c>
      <c r="B59" s="23" t="s">
        <v>97</v>
      </c>
      <c r="C59" s="14" t="s">
        <v>548</v>
      </c>
      <c r="D59" s="36">
        <v>9</v>
      </c>
      <c r="E59" s="18">
        <f>Comp!I328</f>
        <v>8.9171074614384001</v>
      </c>
      <c r="F59" s="18">
        <f>E59*D59+0.03</f>
        <v>80.283967152945607</v>
      </c>
    </row>
    <row r="60" spans="1:7" x14ac:dyDescent="0.25">
      <c r="A60" s="14" t="s">
        <v>76</v>
      </c>
      <c r="B60" s="23" t="s">
        <v>98</v>
      </c>
      <c r="C60" s="14" t="s">
        <v>548</v>
      </c>
      <c r="D60" s="36">
        <v>4</v>
      </c>
      <c r="E60" s="18">
        <f>Comp!I338</f>
        <v>7.1163838614384005</v>
      </c>
      <c r="F60" s="18">
        <f>E60*D60+0.01</f>
        <v>28.475535445753604</v>
      </c>
    </row>
    <row r="61" spans="1:7" x14ac:dyDescent="0.25">
      <c r="A61" s="19" t="s">
        <v>77</v>
      </c>
      <c r="B61" s="24" t="s">
        <v>99</v>
      </c>
      <c r="C61" s="4"/>
      <c r="D61" s="345"/>
      <c r="E61" s="14"/>
      <c r="F61" s="14"/>
    </row>
    <row r="62" spans="1:7" x14ac:dyDescent="0.25">
      <c r="A62" s="14" t="s">
        <v>78</v>
      </c>
      <c r="B62" s="23" t="s">
        <v>100</v>
      </c>
      <c r="C62" s="14" t="s">
        <v>548</v>
      </c>
      <c r="D62" s="36">
        <v>7</v>
      </c>
      <c r="E62" s="18">
        <f>Comp!I348</f>
        <v>11.6747434614384</v>
      </c>
      <c r="F62" s="18">
        <f>E62*D62-0.03</f>
        <v>81.693204230068801</v>
      </c>
    </row>
    <row r="63" spans="1:7" x14ac:dyDescent="0.25">
      <c r="A63" s="19" t="s">
        <v>79</v>
      </c>
      <c r="B63" s="24" t="s">
        <v>101</v>
      </c>
      <c r="C63" s="4"/>
      <c r="D63" s="345"/>
      <c r="E63" s="14"/>
      <c r="F63" s="14"/>
    </row>
    <row r="64" spans="1:7" x14ac:dyDescent="0.25">
      <c r="A64" s="14" t="s">
        <v>80</v>
      </c>
      <c r="B64" s="23" t="s">
        <v>102</v>
      </c>
      <c r="C64" s="14" t="s">
        <v>548</v>
      </c>
      <c r="D64" s="36">
        <v>53</v>
      </c>
      <c r="E64" s="18">
        <f>Comp!I359</f>
        <v>6.6961546143839996</v>
      </c>
      <c r="F64" s="18">
        <f>E64*D64+0.2</f>
        <v>355.09619456235197</v>
      </c>
    </row>
    <row r="65" spans="1:6" x14ac:dyDescent="0.25">
      <c r="A65" s="14" t="s">
        <v>81</v>
      </c>
      <c r="B65" s="23" t="s">
        <v>103</v>
      </c>
      <c r="C65" s="14" t="s">
        <v>548</v>
      </c>
      <c r="D65" s="39">
        <v>5</v>
      </c>
      <c r="E65" s="18">
        <f>Comp!I370</f>
        <v>8.920054614384</v>
      </c>
      <c r="F65" s="18">
        <f t="shared" si="1"/>
        <v>44.60027307192</v>
      </c>
    </row>
    <row r="66" spans="1:6" x14ac:dyDescent="0.25">
      <c r="A66" s="19" t="s">
        <v>82</v>
      </c>
      <c r="B66" s="24" t="s">
        <v>104</v>
      </c>
      <c r="C66" s="7"/>
      <c r="D66" s="39"/>
      <c r="E66" s="18"/>
      <c r="F66" s="14"/>
    </row>
    <row r="67" spans="1:6" ht="21" customHeight="1" x14ac:dyDescent="0.25">
      <c r="A67" s="14" t="s">
        <v>83</v>
      </c>
      <c r="B67" s="23" t="s">
        <v>105</v>
      </c>
      <c r="C67" s="14" t="s">
        <v>548</v>
      </c>
      <c r="D67" s="39">
        <v>97</v>
      </c>
      <c r="E67" s="18">
        <f>Comp!I380</f>
        <v>1.057615014384</v>
      </c>
      <c r="F67" s="18">
        <f>E67*D67+0.23</f>
        <v>102.818656395248</v>
      </c>
    </row>
    <row r="68" spans="1:6" x14ac:dyDescent="0.25">
      <c r="A68" s="14" t="s">
        <v>84</v>
      </c>
      <c r="B68" s="23" t="s">
        <v>106</v>
      </c>
      <c r="C68" s="14" t="s">
        <v>548</v>
      </c>
      <c r="D68" s="39">
        <v>5</v>
      </c>
      <c r="E68" s="18">
        <f>Comp!I390</f>
        <v>1.7908666143839997</v>
      </c>
      <c r="F68" s="18">
        <f t="shared" si="1"/>
        <v>8.9543330719199989</v>
      </c>
    </row>
    <row r="69" spans="1:6" ht="15" customHeight="1" x14ac:dyDescent="0.25">
      <c r="A69" s="14" t="s">
        <v>85</v>
      </c>
      <c r="B69" s="23" t="s">
        <v>107</v>
      </c>
      <c r="C69" s="14" t="s">
        <v>548</v>
      </c>
      <c r="D69" s="39">
        <v>94</v>
      </c>
      <c r="E69" s="18">
        <f>Comp!I401</f>
        <v>2.2267510143839995</v>
      </c>
      <c r="F69" s="18">
        <f>E69*D69+0.31</f>
        <v>209.62459535209595</v>
      </c>
    </row>
    <row r="70" spans="1:6" x14ac:dyDescent="0.25">
      <c r="A70" s="19" t="s">
        <v>86</v>
      </c>
      <c r="B70" s="24" t="s">
        <v>108</v>
      </c>
      <c r="C70" s="7"/>
      <c r="D70" s="39"/>
      <c r="E70" s="18"/>
      <c r="F70" s="14"/>
    </row>
    <row r="71" spans="1:6" ht="30" x14ac:dyDescent="0.25">
      <c r="A71" s="14" t="s">
        <v>87</v>
      </c>
      <c r="B71" s="23" t="s">
        <v>109</v>
      </c>
      <c r="C71" s="14" t="s">
        <v>548</v>
      </c>
      <c r="D71" s="39">
        <v>5</v>
      </c>
      <c r="E71" s="18">
        <f>Comp!I411</f>
        <v>65.343574614383996</v>
      </c>
      <c r="F71" s="18">
        <f>E71*D71-0.02</f>
        <v>326.69787307192001</v>
      </c>
    </row>
    <row r="72" spans="1:6" ht="30" x14ac:dyDescent="0.25">
      <c r="A72" s="14" t="s">
        <v>88</v>
      </c>
      <c r="B72" s="23" t="s">
        <v>110</v>
      </c>
      <c r="C72" s="14" t="s">
        <v>548</v>
      </c>
      <c r="D72" s="39">
        <v>75</v>
      </c>
      <c r="E72" s="18">
        <f>Comp!I422</f>
        <v>87.09967061438401</v>
      </c>
      <c r="F72" s="18">
        <f>E72*D72+0.02</f>
        <v>6532.4952960788014</v>
      </c>
    </row>
    <row r="73" spans="1:6" ht="28.5" x14ac:dyDescent="0.25">
      <c r="A73" s="19" t="s">
        <v>89</v>
      </c>
      <c r="B73" s="24" t="s">
        <v>111</v>
      </c>
      <c r="C73" s="7"/>
      <c r="D73" s="39"/>
      <c r="E73" s="14"/>
      <c r="F73" s="14"/>
    </row>
    <row r="74" spans="1:6" x14ac:dyDescent="0.25">
      <c r="A74" s="14" t="s">
        <v>90</v>
      </c>
      <c r="B74" s="23" t="s">
        <v>112</v>
      </c>
      <c r="C74" s="7" t="s">
        <v>15</v>
      </c>
      <c r="D74" s="39">
        <v>241.7</v>
      </c>
      <c r="E74" s="18">
        <f>Comp!I432</f>
        <v>18.797983014383998</v>
      </c>
      <c r="F74" s="18">
        <f>E74*D74+0.49</f>
        <v>4543.9624945766118</v>
      </c>
    </row>
    <row r="75" spans="1:6" x14ac:dyDescent="0.25">
      <c r="A75" s="14" t="s">
        <v>91</v>
      </c>
      <c r="B75" s="23" t="s">
        <v>113</v>
      </c>
      <c r="C75" s="14" t="s">
        <v>548</v>
      </c>
      <c r="D75" s="39">
        <v>37</v>
      </c>
      <c r="E75" s="18">
        <f>Comp!I442</f>
        <v>17.586910614383999</v>
      </c>
      <c r="F75" s="18">
        <f>E75*D75+0.11</f>
        <v>650.82569273220804</v>
      </c>
    </row>
    <row r="76" spans="1:6" x14ac:dyDescent="0.25">
      <c r="A76" s="14" t="s">
        <v>92</v>
      </c>
      <c r="B76" s="23" t="s">
        <v>114</v>
      </c>
      <c r="C76" s="14" t="s">
        <v>548</v>
      </c>
      <c r="D76" s="39">
        <v>26</v>
      </c>
      <c r="E76" s="18">
        <f>Comp!I452</f>
        <v>9.9786310143839998</v>
      </c>
      <c r="F76" s="18">
        <f>E76*D76+0.04</f>
        <v>259.48440637398403</v>
      </c>
    </row>
    <row r="77" spans="1:6" ht="26.25" customHeight="1" x14ac:dyDescent="0.25">
      <c r="A77" s="352" t="s">
        <v>301</v>
      </c>
      <c r="B77" s="352"/>
      <c r="C77" s="352"/>
      <c r="D77" s="352"/>
      <c r="E77" s="352"/>
      <c r="F77" s="38">
        <f>F76+F75+F74+F72+F71+F69+F68+F67+F65+F64+F62+F60+F59+F58+F56+F55+F53+F52+F51+F50+F49+F48-4.01</f>
        <v>36494.7636460262</v>
      </c>
    </row>
    <row r="78" spans="1:6" s="33" customFormat="1" x14ac:dyDescent="0.25">
      <c r="A78" s="333">
        <v>5</v>
      </c>
      <c r="B78" s="334" t="s">
        <v>118</v>
      </c>
      <c r="C78" s="35"/>
      <c r="D78" s="35"/>
      <c r="E78" s="332"/>
      <c r="F78" s="35"/>
    </row>
    <row r="79" spans="1:6" x14ac:dyDescent="0.25">
      <c r="A79" s="19" t="s">
        <v>115</v>
      </c>
      <c r="B79" s="9" t="s">
        <v>119</v>
      </c>
    </row>
    <row r="80" spans="1:6" ht="30" x14ac:dyDescent="0.25">
      <c r="A80" s="14" t="s">
        <v>116</v>
      </c>
      <c r="B80" s="26" t="s">
        <v>130</v>
      </c>
      <c r="C80" s="14" t="s">
        <v>120</v>
      </c>
      <c r="D80" s="36">
        <v>6</v>
      </c>
      <c r="E80" s="18">
        <f>Comp!I462</f>
        <v>440.37428381280006</v>
      </c>
      <c r="F80" s="18">
        <f>E80*D80-0.03</f>
        <v>2642.2157028768002</v>
      </c>
    </row>
    <row r="81" spans="1:6" ht="30" x14ac:dyDescent="0.25">
      <c r="A81" s="14" t="s">
        <v>117</v>
      </c>
      <c r="B81" s="26" t="s">
        <v>131</v>
      </c>
      <c r="C81" s="14" t="s">
        <v>120</v>
      </c>
      <c r="D81" s="36">
        <v>8</v>
      </c>
      <c r="E81" s="18">
        <f>Comp!I472</f>
        <v>514.56358781280005</v>
      </c>
      <c r="F81" s="18">
        <f>E81*D81-0.03</f>
        <v>4116.4787025024007</v>
      </c>
    </row>
    <row r="82" spans="1:6" ht="30" x14ac:dyDescent="0.25">
      <c r="A82" s="7" t="s">
        <v>121</v>
      </c>
      <c r="B82" s="26" t="s">
        <v>132</v>
      </c>
      <c r="C82" s="14" t="s">
        <v>120</v>
      </c>
      <c r="D82" s="36">
        <v>6</v>
      </c>
      <c r="E82" s="18">
        <f>Comp!I482</f>
        <v>514.56358781280005</v>
      </c>
      <c r="F82" s="18">
        <f>E82*D82-0.02</f>
        <v>3087.3615268768003</v>
      </c>
    </row>
    <row r="83" spans="1:6" ht="30" x14ac:dyDescent="0.25">
      <c r="A83" s="7" t="s">
        <v>122</v>
      </c>
      <c r="B83" s="26" t="s">
        <v>133</v>
      </c>
      <c r="C83" s="14" t="s">
        <v>120</v>
      </c>
      <c r="D83" s="36">
        <v>3</v>
      </c>
      <c r="E83" s="18">
        <f>Comp!I492</f>
        <v>325.11780701279997</v>
      </c>
      <c r="F83" s="18">
        <f>E83*D83+0.01</f>
        <v>975.36342103839991</v>
      </c>
    </row>
    <row r="84" spans="1:6" ht="30" x14ac:dyDescent="0.25">
      <c r="A84" s="7" t="s">
        <v>123</v>
      </c>
      <c r="B84" s="26" t="s">
        <v>134</v>
      </c>
      <c r="C84" s="14" t="s">
        <v>120</v>
      </c>
      <c r="D84" s="36">
        <v>2</v>
      </c>
      <c r="E84" s="18">
        <f>Comp!I502</f>
        <v>325.11780701279997</v>
      </c>
      <c r="F84" s="18">
        <f t="shared" ref="F84" si="2">E84*D84</f>
        <v>650.23561402559994</v>
      </c>
    </row>
    <row r="85" spans="1:6" ht="18.75" customHeight="1" x14ac:dyDescent="0.25">
      <c r="A85" s="2" t="s">
        <v>124</v>
      </c>
      <c r="B85" s="27" t="s">
        <v>135</v>
      </c>
      <c r="C85" s="14"/>
      <c r="D85" s="36"/>
      <c r="E85" s="14"/>
      <c r="F85" s="14"/>
    </row>
    <row r="86" spans="1:6" ht="34.5" customHeight="1" x14ac:dyDescent="0.25">
      <c r="A86" s="7" t="s">
        <v>125</v>
      </c>
      <c r="B86" s="26" t="s">
        <v>136</v>
      </c>
      <c r="C86" s="14" t="s">
        <v>140</v>
      </c>
      <c r="D86" s="36">
        <v>18.18</v>
      </c>
      <c r="E86" s="18">
        <f>Comp!I512</f>
        <v>502.34484581280003</v>
      </c>
      <c r="F86" s="18">
        <f>E86*D86-0.09</f>
        <v>9132.5392968767046</v>
      </c>
    </row>
    <row r="87" spans="1:6" ht="21" customHeight="1" x14ac:dyDescent="0.25">
      <c r="A87" s="2" t="s">
        <v>126</v>
      </c>
      <c r="B87" s="27" t="s">
        <v>137</v>
      </c>
      <c r="C87" s="14"/>
      <c r="D87" s="36"/>
      <c r="E87" s="14"/>
      <c r="F87" s="14"/>
    </row>
    <row r="88" spans="1:6" ht="34.5" customHeight="1" x14ac:dyDescent="0.25">
      <c r="A88" s="7" t="s">
        <v>127</v>
      </c>
      <c r="B88" s="26" t="s">
        <v>286</v>
      </c>
      <c r="C88" s="14" t="s">
        <v>120</v>
      </c>
      <c r="D88" s="36">
        <v>20</v>
      </c>
      <c r="E88" s="18">
        <f>Comp!I522</f>
        <v>127.4906158128</v>
      </c>
      <c r="F88" s="18">
        <f>E88*D88-0.01</f>
        <v>2549.8023162559998</v>
      </c>
    </row>
    <row r="89" spans="1:6" ht="51.75" customHeight="1" x14ac:dyDescent="0.25">
      <c r="A89" s="7" t="s">
        <v>128</v>
      </c>
      <c r="B89" s="26" t="s">
        <v>138</v>
      </c>
      <c r="C89" s="14" t="s">
        <v>120</v>
      </c>
      <c r="D89" s="36">
        <v>60</v>
      </c>
      <c r="E89" s="18">
        <f>Comp!I532</f>
        <v>12.537764369064</v>
      </c>
      <c r="F89" s="18">
        <f>E89*D89+0.13</f>
        <v>752.39586214383996</v>
      </c>
    </row>
    <row r="90" spans="1:6" ht="20.25" customHeight="1" x14ac:dyDescent="0.25">
      <c r="A90" s="7" t="s">
        <v>129</v>
      </c>
      <c r="B90" s="26" t="s">
        <v>139</v>
      </c>
      <c r="C90" s="14" t="s">
        <v>120</v>
      </c>
      <c r="D90" s="36">
        <v>5</v>
      </c>
      <c r="E90" s="18">
        <f>Comp!I542</f>
        <v>30.002626614384006</v>
      </c>
      <c r="F90" s="18">
        <f>E90*D90-0.01</f>
        <v>150.00313307192005</v>
      </c>
    </row>
    <row r="91" spans="1:6" ht="27" customHeight="1" x14ac:dyDescent="0.25">
      <c r="A91" s="352" t="s">
        <v>302</v>
      </c>
      <c r="B91" s="352"/>
      <c r="C91" s="352"/>
      <c r="D91" s="352"/>
      <c r="E91" s="352"/>
      <c r="F91" s="37">
        <f>F90+F89+F88+F86+F84+F83+F82+F81+F80</f>
        <v>24056.395575668466</v>
      </c>
    </row>
    <row r="92" spans="1:6" s="33" customFormat="1" x14ac:dyDescent="0.25">
      <c r="A92" s="333">
        <v>6</v>
      </c>
      <c r="B92" s="334" t="s">
        <v>145</v>
      </c>
      <c r="C92" s="35"/>
      <c r="D92" s="35"/>
      <c r="E92" s="332"/>
      <c r="F92" s="35"/>
    </row>
    <row r="93" spans="1:6" ht="17.25" customHeight="1" x14ac:dyDescent="0.25">
      <c r="A93" s="2" t="s">
        <v>141</v>
      </c>
      <c r="B93" s="27" t="s">
        <v>287</v>
      </c>
    </row>
    <row r="94" spans="1:6" ht="18" customHeight="1" x14ac:dyDescent="0.25">
      <c r="A94" s="7" t="s">
        <v>142</v>
      </c>
      <c r="B94" s="26" t="s">
        <v>146</v>
      </c>
      <c r="C94" s="14" t="s">
        <v>140</v>
      </c>
      <c r="D94" s="36">
        <v>93</v>
      </c>
      <c r="E94" s="18">
        <f>Comp!I552</f>
        <v>48.549716906399993</v>
      </c>
      <c r="F94" s="18">
        <f>E94*D94+0.03</f>
        <v>4515.1536722951987</v>
      </c>
    </row>
    <row r="95" spans="1:6" ht="21.75" customHeight="1" x14ac:dyDescent="0.25">
      <c r="A95" s="7" t="s">
        <v>143</v>
      </c>
      <c r="B95" s="26" t="s">
        <v>147</v>
      </c>
      <c r="C95" s="14" t="s">
        <v>140</v>
      </c>
      <c r="D95" s="36">
        <v>20</v>
      </c>
      <c r="E95" s="18">
        <f>Comp!I562</f>
        <v>12.295505690639999</v>
      </c>
      <c r="F95" s="18">
        <f>E95*D95+0.09</f>
        <v>246.00011381279998</v>
      </c>
    </row>
    <row r="96" spans="1:6" ht="30" x14ac:dyDescent="0.25">
      <c r="A96" s="14" t="s">
        <v>144</v>
      </c>
      <c r="B96" s="26" t="s">
        <v>148</v>
      </c>
      <c r="C96" s="14" t="s">
        <v>140</v>
      </c>
      <c r="D96" s="36">
        <v>93</v>
      </c>
      <c r="E96" s="18">
        <f>Comp!I572</f>
        <v>49.496698614384002</v>
      </c>
      <c r="F96" s="18">
        <f>E96*D96+0.31</f>
        <v>4603.5029711377128</v>
      </c>
    </row>
    <row r="97" spans="1:6" ht="33" customHeight="1" x14ac:dyDescent="0.25">
      <c r="A97" s="352" t="s">
        <v>303</v>
      </c>
      <c r="B97" s="352"/>
      <c r="C97" s="352"/>
      <c r="D97" s="352"/>
      <c r="E97" s="352"/>
      <c r="F97" s="37">
        <f>F96+F95+F94-0.01</f>
        <v>9364.6467572457113</v>
      </c>
    </row>
    <row r="98" spans="1:6" s="33" customFormat="1" x14ac:dyDescent="0.25">
      <c r="A98" s="333">
        <v>7</v>
      </c>
      <c r="B98" s="334" t="s">
        <v>156</v>
      </c>
      <c r="C98" s="35"/>
      <c r="D98" s="35"/>
      <c r="E98" s="332"/>
      <c r="F98" s="35"/>
    </row>
    <row r="99" spans="1:6" ht="19.5" customHeight="1" x14ac:dyDescent="0.25">
      <c r="A99" s="19" t="s">
        <v>149</v>
      </c>
      <c r="B99" s="27" t="s">
        <v>157</v>
      </c>
    </row>
    <row r="100" spans="1:6" ht="30" x14ac:dyDescent="0.25">
      <c r="A100" s="14" t="s">
        <v>150</v>
      </c>
      <c r="B100" s="26" t="s">
        <v>158</v>
      </c>
      <c r="C100" s="14" t="s">
        <v>140</v>
      </c>
      <c r="D100" s="14">
        <v>267.98</v>
      </c>
      <c r="E100" s="18">
        <f>Comp!I582</f>
        <v>4.0761425690640003</v>
      </c>
      <c r="F100" s="18">
        <f>E100*D100+1.03</f>
        <v>1093.3546856577709</v>
      </c>
    </row>
    <row r="101" spans="1:6" ht="22.5" customHeight="1" x14ac:dyDescent="0.25">
      <c r="A101" s="14" t="s">
        <v>151</v>
      </c>
      <c r="B101" s="26" t="s">
        <v>159</v>
      </c>
      <c r="C101" s="14" t="s">
        <v>140</v>
      </c>
      <c r="D101" s="14">
        <v>91.51</v>
      </c>
      <c r="E101" s="18">
        <f>Comp!I592</f>
        <v>4.0761425690640003</v>
      </c>
      <c r="F101" s="18">
        <f>E101*D101+0.34</f>
        <v>373.34780649504665</v>
      </c>
    </row>
    <row r="102" spans="1:6" ht="33" customHeight="1" x14ac:dyDescent="0.25">
      <c r="A102" s="14" t="s">
        <v>152</v>
      </c>
      <c r="B102" s="26" t="s">
        <v>160</v>
      </c>
      <c r="C102" s="14" t="s">
        <v>140</v>
      </c>
      <c r="D102" s="14">
        <v>146.84</v>
      </c>
      <c r="E102" s="18">
        <f>Comp!I602</f>
        <v>19.721854614383997</v>
      </c>
      <c r="F102" s="18">
        <f>E102*D102-0.34</f>
        <v>2895.6171315761458</v>
      </c>
    </row>
    <row r="103" spans="1:6" ht="36.75" customHeight="1" x14ac:dyDescent="0.25">
      <c r="A103" s="14" t="s">
        <v>153</v>
      </c>
      <c r="B103" s="26" t="s">
        <v>161</v>
      </c>
      <c r="C103" s="14" t="s">
        <v>140</v>
      </c>
      <c r="D103" s="14">
        <v>121.14</v>
      </c>
      <c r="E103" s="18">
        <f>Comp!I612</f>
        <v>19.721854614383997</v>
      </c>
      <c r="F103" s="18">
        <f>E103*D103-0.23</f>
        <v>2388.8754679864774</v>
      </c>
    </row>
    <row r="104" spans="1:6" ht="34.5" customHeight="1" x14ac:dyDescent="0.25">
      <c r="A104" s="14" t="s">
        <v>154</v>
      </c>
      <c r="B104" s="26" t="s">
        <v>162</v>
      </c>
      <c r="C104" s="14" t="s">
        <v>140</v>
      </c>
      <c r="D104" s="14">
        <v>91.51</v>
      </c>
      <c r="E104" s="18">
        <f>Comp!I622</f>
        <v>25.802396906399998</v>
      </c>
      <c r="F104" s="18">
        <f>E104*D104-0.26</f>
        <v>2360.9173409046639</v>
      </c>
    </row>
    <row r="105" spans="1:6" ht="20.25" customHeight="1" x14ac:dyDescent="0.25">
      <c r="A105" s="19" t="s">
        <v>155</v>
      </c>
      <c r="B105" s="27" t="s">
        <v>163</v>
      </c>
      <c r="F105" s="18"/>
    </row>
    <row r="106" spans="1:6" ht="49.5" customHeight="1" x14ac:dyDescent="0.25">
      <c r="A106" s="14" t="s">
        <v>164</v>
      </c>
      <c r="B106" s="26" t="s">
        <v>165</v>
      </c>
      <c r="C106" s="14" t="s">
        <v>140</v>
      </c>
      <c r="D106" s="14">
        <v>121.14</v>
      </c>
      <c r="E106" s="18">
        <f>Comp!I632</f>
        <v>71.474948906399987</v>
      </c>
      <c r="F106" s="18">
        <f>E106*D106-0.6</f>
        <v>8657.8753105212945</v>
      </c>
    </row>
    <row r="107" spans="1:6" s="13" customFormat="1" ht="24.75" customHeight="1" x14ac:dyDescent="0.25">
      <c r="A107" s="352" t="s">
        <v>304</v>
      </c>
      <c r="B107" s="352"/>
      <c r="C107" s="352"/>
      <c r="D107" s="352"/>
      <c r="E107" s="352"/>
      <c r="F107" s="37">
        <f>F106+F104+F103+F102+F101+F100+0.01</f>
        <v>17769.997743141397</v>
      </c>
    </row>
    <row r="108" spans="1:6" s="33" customFormat="1" x14ac:dyDescent="0.25">
      <c r="A108" s="333">
        <v>8</v>
      </c>
      <c r="B108" s="334" t="s">
        <v>172</v>
      </c>
      <c r="C108" s="35"/>
      <c r="D108" s="35"/>
      <c r="E108" s="332"/>
      <c r="F108" s="35"/>
    </row>
    <row r="109" spans="1:6" x14ac:dyDescent="0.25">
      <c r="A109" s="14" t="s">
        <v>166</v>
      </c>
      <c r="B109" s="9" t="s">
        <v>173</v>
      </c>
      <c r="C109" s="4"/>
      <c r="D109" s="4"/>
      <c r="E109" s="32"/>
      <c r="F109" s="4"/>
    </row>
    <row r="110" spans="1:6" ht="30" x14ac:dyDescent="0.25">
      <c r="A110" s="14" t="s">
        <v>167</v>
      </c>
      <c r="B110" s="25" t="s">
        <v>174</v>
      </c>
      <c r="C110" s="14" t="s">
        <v>177</v>
      </c>
      <c r="D110" s="14">
        <v>9.59</v>
      </c>
      <c r="E110" s="18">
        <f>Comp!I642</f>
        <v>20.132566143840002</v>
      </c>
      <c r="F110" s="18">
        <f>E110*D110-0.02</f>
        <v>193.0513093194256</v>
      </c>
    </row>
    <row r="111" spans="1:6" x14ac:dyDescent="0.25">
      <c r="A111" s="19" t="s">
        <v>168</v>
      </c>
      <c r="B111" s="9" t="s">
        <v>163</v>
      </c>
      <c r="C111" s="14"/>
      <c r="D111" s="14"/>
      <c r="E111" s="14"/>
      <c r="F111" s="14"/>
    </row>
    <row r="112" spans="1:6" ht="60" x14ac:dyDescent="0.25">
      <c r="A112" s="14" t="s">
        <v>169</v>
      </c>
      <c r="B112" s="25" t="s">
        <v>175</v>
      </c>
      <c r="C112" s="14" t="s">
        <v>177</v>
      </c>
      <c r="D112" s="14">
        <v>119.89</v>
      </c>
      <c r="E112" s="18">
        <f>Comp!I653</f>
        <v>47.877942543839993</v>
      </c>
      <c r="F112" s="18">
        <f>E112*D112+0.37</f>
        <v>5740.4565315809768</v>
      </c>
    </row>
    <row r="113" spans="1:6" x14ac:dyDescent="0.25">
      <c r="A113" s="19" t="s">
        <v>170</v>
      </c>
      <c r="B113" s="9" t="s">
        <v>178</v>
      </c>
      <c r="C113" s="14"/>
      <c r="D113" s="14"/>
      <c r="E113" s="14"/>
      <c r="F113" s="14"/>
    </row>
    <row r="114" spans="1:6" x14ac:dyDescent="0.25">
      <c r="A114" s="14" t="s">
        <v>171</v>
      </c>
      <c r="B114" s="25" t="s">
        <v>176</v>
      </c>
      <c r="C114" s="14" t="s">
        <v>140</v>
      </c>
      <c r="D114" s="14">
        <v>26.89</v>
      </c>
      <c r="E114" s="18">
        <f>Comp!I663</f>
        <v>37.351906143839997</v>
      </c>
      <c r="F114" s="18">
        <f>E114*D114-0.04</f>
        <v>1004.3527562078576</v>
      </c>
    </row>
    <row r="115" spans="1:6" ht="28.5" customHeight="1" x14ac:dyDescent="0.25">
      <c r="A115" s="352" t="s">
        <v>305</v>
      </c>
      <c r="B115" s="352"/>
      <c r="C115" s="352"/>
      <c r="D115" s="352"/>
      <c r="E115" s="352"/>
      <c r="F115" s="37">
        <f>F114+F112+F110</f>
        <v>6937.8605971082607</v>
      </c>
    </row>
    <row r="116" spans="1:6" s="33" customFormat="1" x14ac:dyDescent="0.25">
      <c r="A116" s="333">
        <v>9</v>
      </c>
      <c r="B116" s="334" t="s">
        <v>183</v>
      </c>
      <c r="C116" s="35"/>
      <c r="D116" s="35"/>
      <c r="E116" s="332"/>
      <c r="F116" s="35"/>
    </row>
    <row r="117" spans="1:6" x14ac:dyDescent="0.25">
      <c r="A117" s="7" t="s">
        <v>179</v>
      </c>
      <c r="B117" s="9" t="s">
        <v>183</v>
      </c>
    </row>
    <row r="118" spans="1:6" ht="30" x14ac:dyDescent="0.25">
      <c r="A118" s="7" t="s">
        <v>180</v>
      </c>
      <c r="B118" s="25" t="s">
        <v>185</v>
      </c>
      <c r="C118" s="14" t="s">
        <v>15</v>
      </c>
      <c r="D118" s="36">
        <v>4.9400000000000004</v>
      </c>
      <c r="E118" s="18">
        <f>Comp!I673</f>
        <v>54.660202143840003</v>
      </c>
      <c r="F118" s="18">
        <f>E118*D118</f>
        <v>270.02139859056962</v>
      </c>
    </row>
    <row r="119" spans="1:6" x14ac:dyDescent="0.25">
      <c r="A119" s="2" t="s">
        <v>181</v>
      </c>
      <c r="B119" s="9" t="s">
        <v>184</v>
      </c>
      <c r="C119" s="14"/>
      <c r="D119" s="36"/>
      <c r="E119" s="14"/>
      <c r="F119" s="14"/>
    </row>
    <row r="120" spans="1:6" ht="45" x14ac:dyDescent="0.25">
      <c r="A120" s="14" t="s">
        <v>182</v>
      </c>
      <c r="B120" s="25" t="s">
        <v>186</v>
      </c>
      <c r="C120" s="14" t="s">
        <v>15</v>
      </c>
      <c r="D120" s="36">
        <v>11.2</v>
      </c>
      <c r="E120" s="18">
        <f>Comp!I683</f>
        <v>8.4977434614384002</v>
      </c>
      <c r="F120" s="18">
        <f>E120*D120+0.03</f>
        <v>95.204726768110078</v>
      </c>
    </row>
    <row r="121" spans="1:6" ht="30.75" customHeight="1" x14ac:dyDescent="0.25">
      <c r="A121" s="352" t="s">
        <v>306</v>
      </c>
      <c r="B121" s="352"/>
      <c r="C121" s="352"/>
      <c r="D121" s="352"/>
      <c r="E121" s="352"/>
      <c r="F121" s="37">
        <f>F120+F118-0.01</f>
        <v>365.21612535867973</v>
      </c>
    </row>
    <row r="122" spans="1:6" s="33" customFormat="1" x14ac:dyDescent="0.25">
      <c r="A122" s="333">
        <v>10</v>
      </c>
      <c r="B122" s="334" t="s">
        <v>194</v>
      </c>
      <c r="C122" s="35"/>
      <c r="D122" s="35"/>
      <c r="E122" s="332"/>
      <c r="F122" s="35"/>
    </row>
    <row r="123" spans="1:6" x14ac:dyDescent="0.25">
      <c r="A123" s="19" t="s">
        <v>187</v>
      </c>
      <c r="B123" s="28" t="s">
        <v>195</v>
      </c>
      <c r="C123" s="14"/>
      <c r="D123" s="14"/>
      <c r="E123" s="14"/>
      <c r="F123" s="14"/>
    </row>
    <row r="124" spans="1:6" ht="45" x14ac:dyDescent="0.25">
      <c r="A124" s="14" t="s">
        <v>188</v>
      </c>
      <c r="B124" s="26" t="s">
        <v>288</v>
      </c>
      <c r="C124" s="14" t="s">
        <v>140</v>
      </c>
      <c r="D124" s="36">
        <v>815.76</v>
      </c>
      <c r="E124" s="18">
        <f>Comp!I693</f>
        <v>13.531135843152001</v>
      </c>
      <c r="F124" s="18">
        <f>E124*D124-0.93</f>
        <v>11037.229375409675</v>
      </c>
    </row>
    <row r="125" spans="1:6" ht="45" x14ac:dyDescent="0.25">
      <c r="A125" s="14" t="s">
        <v>189</v>
      </c>
      <c r="B125" s="26" t="s">
        <v>196</v>
      </c>
      <c r="C125" s="14" t="s">
        <v>140</v>
      </c>
      <c r="D125" s="36">
        <v>508.38</v>
      </c>
      <c r="E125" s="18">
        <f>Comp!I703</f>
        <v>13.531135843152001</v>
      </c>
      <c r="F125" s="18">
        <f>E125*D125-0.58</f>
        <v>6878.3788399416144</v>
      </c>
    </row>
    <row r="126" spans="1:6" x14ac:dyDescent="0.25">
      <c r="A126" s="19" t="s">
        <v>190</v>
      </c>
      <c r="B126" s="28" t="s">
        <v>197</v>
      </c>
      <c r="C126" s="14"/>
      <c r="D126" s="36"/>
      <c r="E126" s="14"/>
      <c r="F126" s="14"/>
    </row>
    <row r="127" spans="1:6" ht="30" x14ac:dyDescent="0.25">
      <c r="A127" s="14" t="s">
        <v>191</v>
      </c>
      <c r="B127" s="26" t="s">
        <v>198</v>
      </c>
      <c r="C127" s="14" t="s">
        <v>140</v>
      </c>
      <c r="D127" s="36">
        <v>80</v>
      </c>
      <c r="E127" s="18">
        <f>Comp!I714</f>
        <v>9.960187843152001</v>
      </c>
      <c r="F127" s="18">
        <f>E127*D127-0.02</f>
        <v>796.79502745216007</v>
      </c>
    </row>
    <row r="128" spans="1:6" ht="30" x14ac:dyDescent="0.25">
      <c r="A128" s="14" t="s">
        <v>192</v>
      </c>
      <c r="B128" s="26" t="s">
        <v>199</v>
      </c>
      <c r="C128" s="14" t="s">
        <v>140</v>
      </c>
      <c r="D128" s="36">
        <v>268</v>
      </c>
      <c r="E128" s="18">
        <f>Comp!I724</f>
        <v>9.960187843152001</v>
      </c>
      <c r="F128" s="18">
        <f>E128*D128-0.05</f>
        <v>2669.2803419647362</v>
      </c>
    </row>
    <row r="129" spans="1:6" ht="30" x14ac:dyDescent="0.25">
      <c r="A129" s="14" t="s">
        <v>193</v>
      </c>
      <c r="B129" s="26" t="s">
        <v>200</v>
      </c>
      <c r="C129" s="14" t="s">
        <v>140</v>
      </c>
      <c r="D129" s="36">
        <v>121.2</v>
      </c>
      <c r="E129" s="18">
        <f>Comp!I734</f>
        <v>21.028855843151998</v>
      </c>
      <c r="F129" s="18">
        <f>E129*D129+0.14</f>
        <v>2548.8373281900222</v>
      </c>
    </row>
    <row r="130" spans="1:6" s="13" customFormat="1" ht="24" customHeight="1" x14ac:dyDescent="0.25">
      <c r="A130" s="352" t="s">
        <v>307</v>
      </c>
      <c r="B130" s="352"/>
      <c r="C130" s="352"/>
      <c r="D130" s="352"/>
      <c r="E130" s="352"/>
      <c r="F130" s="37">
        <f>F124+F125+F127+F128+F129+0.01</f>
        <v>23930.530912958206</v>
      </c>
    </row>
    <row r="131" spans="1:6" s="33" customFormat="1" x14ac:dyDescent="0.25">
      <c r="A131" s="333">
        <v>11</v>
      </c>
      <c r="B131" s="334" t="s">
        <v>226</v>
      </c>
      <c r="C131" s="35"/>
      <c r="D131" s="35"/>
      <c r="E131" s="332"/>
      <c r="F131" s="35"/>
    </row>
    <row r="132" spans="1:6" x14ac:dyDescent="0.25">
      <c r="A132" s="14" t="s">
        <v>201</v>
      </c>
      <c r="B132" s="27" t="s">
        <v>227</v>
      </c>
    </row>
    <row r="133" spans="1:6" ht="60" x14ac:dyDescent="0.25">
      <c r="A133" s="14" t="s">
        <v>202</v>
      </c>
      <c r="B133" s="26" t="s">
        <v>228</v>
      </c>
      <c r="C133" s="14" t="s">
        <v>140</v>
      </c>
      <c r="D133" s="36">
        <v>10.8</v>
      </c>
      <c r="E133" s="18">
        <f>Comp!I744</f>
        <v>151.36259381279999</v>
      </c>
      <c r="F133" s="18">
        <f>E133*D133-0.03</f>
        <v>1634.68601317824</v>
      </c>
    </row>
    <row r="134" spans="1:6" x14ac:dyDescent="0.25">
      <c r="A134" s="19" t="s">
        <v>203</v>
      </c>
      <c r="B134" s="27" t="s">
        <v>229</v>
      </c>
      <c r="C134" s="14"/>
      <c r="D134" s="36"/>
      <c r="E134" s="14"/>
      <c r="F134" s="14"/>
    </row>
    <row r="135" spans="1:6" ht="60" x14ac:dyDescent="0.25">
      <c r="A135" s="14" t="s">
        <v>204</v>
      </c>
      <c r="B135" s="26" t="s">
        <v>230</v>
      </c>
      <c r="C135" s="14" t="s">
        <v>120</v>
      </c>
      <c r="D135" s="36">
        <v>2</v>
      </c>
      <c r="E135" s="18">
        <f>Comp!I754</f>
        <v>1140.4681702128</v>
      </c>
      <c r="F135" s="18">
        <f t="shared" ref="F135:F155" si="3">E135*D135</f>
        <v>2280.9363404256001</v>
      </c>
    </row>
    <row r="136" spans="1:6" ht="30" x14ac:dyDescent="0.25">
      <c r="A136" s="14" t="s">
        <v>205</v>
      </c>
      <c r="B136" s="26" t="s">
        <v>231</v>
      </c>
      <c r="C136" s="14" t="s">
        <v>120</v>
      </c>
      <c r="D136" s="36">
        <v>1</v>
      </c>
      <c r="E136" s="18">
        <f>Comp!I764</f>
        <v>1140.4681702128</v>
      </c>
      <c r="F136" s="18">
        <f t="shared" si="3"/>
        <v>1140.4681702128</v>
      </c>
    </row>
    <row r="137" spans="1:6" ht="45" x14ac:dyDescent="0.25">
      <c r="A137" s="14" t="s">
        <v>206</v>
      </c>
      <c r="B137" s="26" t="s">
        <v>232</v>
      </c>
      <c r="C137" s="14" t="s">
        <v>120</v>
      </c>
      <c r="D137" s="36">
        <v>1</v>
      </c>
      <c r="E137" s="18">
        <f>Comp!I774</f>
        <v>1140.4681702128</v>
      </c>
      <c r="F137" s="18">
        <f t="shared" si="3"/>
        <v>1140.4681702128</v>
      </c>
    </row>
    <row r="138" spans="1:6" ht="45" x14ac:dyDescent="0.25">
      <c r="A138" s="14" t="s">
        <v>207</v>
      </c>
      <c r="B138" s="26" t="s">
        <v>233</v>
      </c>
      <c r="C138" s="14" t="s">
        <v>120</v>
      </c>
      <c r="D138" s="36">
        <v>1</v>
      </c>
      <c r="E138" s="18">
        <f>Comp!I784</f>
        <v>410.44694381279999</v>
      </c>
      <c r="F138" s="18">
        <f t="shared" si="3"/>
        <v>410.44694381279999</v>
      </c>
    </row>
    <row r="139" spans="1:6" ht="45" x14ac:dyDescent="0.25">
      <c r="A139" s="14" t="s">
        <v>208</v>
      </c>
      <c r="B139" s="26" t="s">
        <v>234</v>
      </c>
      <c r="C139" s="14" t="s">
        <v>120</v>
      </c>
      <c r="D139" s="36">
        <v>2</v>
      </c>
      <c r="E139" s="18">
        <f>Comp!I794</f>
        <v>276.14625821279998</v>
      </c>
      <c r="F139" s="18">
        <f>E139*D139+0.01</f>
        <v>552.30251642559995</v>
      </c>
    </row>
    <row r="140" spans="1:6" x14ac:dyDescent="0.25">
      <c r="A140" s="19" t="s">
        <v>209</v>
      </c>
      <c r="B140" s="27" t="s">
        <v>119</v>
      </c>
      <c r="C140" s="14"/>
      <c r="D140" s="36"/>
      <c r="E140" s="14"/>
      <c r="F140" s="14"/>
    </row>
    <row r="141" spans="1:6" ht="30" x14ac:dyDescent="0.25">
      <c r="A141" s="14" t="s">
        <v>210</v>
      </c>
      <c r="B141" s="26" t="s">
        <v>235</v>
      </c>
      <c r="C141" s="14" t="s">
        <v>140</v>
      </c>
      <c r="D141" s="36">
        <v>21.28</v>
      </c>
      <c r="E141" s="18">
        <f>Comp!I804</f>
        <v>760.31216261279997</v>
      </c>
      <c r="F141" s="18">
        <f>E141*D141-0.04</f>
        <v>16179.402820400383</v>
      </c>
    </row>
    <row r="142" spans="1:6" ht="30" x14ac:dyDescent="0.25">
      <c r="A142" s="14" t="s">
        <v>211</v>
      </c>
      <c r="B142" s="26" t="s">
        <v>236</v>
      </c>
      <c r="C142" s="14" t="s">
        <v>140</v>
      </c>
      <c r="D142" s="36">
        <v>1.5</v>
      </c>
      <c r="E142" s="18">
        <f>Comp!I814</f>
        <v>760.31216261279997</v>
      </c>
      <c r="F142" s="18">
        <f t="shared" si="3"/>
        <v>1140.4682439191999</v>
      </c>
    </row>
    <row r="143" spans="1:6" ht="45" x14ac:dyDescent="0.25">
      <c r="A143" s="14" t="s">
        <v>212</v>
      </c>
      <c r="B143" s="26" t="s">
        <v>237</v>
      </c>
      <c r="C143" s="14" t="s">
        <v>140</v>
      </c>
      <c r="D143" s="36">
        <v>9.5399999999999991</v>
      </c>
      <c r="E143" s="18">
        <f>Comp!I824</f>
        <v>239.77878186384001</v>
      </c>
      <c r="F143" s="18">
        <f>E143*D143+0.01</f>
        <v>2287.4995789810337</v>
      </c>
    </row>
    <row r="144" spans="1:6" x14ac:dyDescent="0.25">
      <c r="A144" s="19" t="s">
        <v>213</v>
      </c>
      <c r="B144" s="27" t="s">
        <v>238</v>
      </c>
      <c r="C144" s="14"/>
      <c r="D144" s="36"/>
      <c r="E144" s="14"/>
      <c r="F144" s="14"/>
    </row>
    <row r="145" spans="1:6" ht="30" x14ac:dyDescent="0.25">
      <c r="A145" s="14" t="s">
        <v>214</v>
      </c>
      <c r="B145" s="26" t="s">
        <v>239</v>
      </c>
      <c r="C145" s="14" t="s">
        <v>120</v>
      </c>
      <c r="D145" s="36">
        <v>7</v>
      </c>
      <c r="E145" s="18">
        <f>Comp!I834</f>
        <v>523.07921861279999</v>
      </c>
      <c r="F145" s="18">
        <f>E145*D145+0.01</f>
        <v>3661.5645302896</v>
      </c>
    </row>
    <row r="146" spans="1:6" x14ac:dyDescent="0.25">
      <c r="A146" s="19" t="s">
        <v>215</v>
      </c>
      <c r="B146" s="27" t="s">
        <v>240</v>
      </c>
      <c r="C146" s="14"/>
      <c r="D146" s="36"/>
      <c r="E146" s="14"/>
      <c r="F146" s="14"/>
    </row>
    <row r="147" spans="1:6" x14ac:dyDescent="0.25">
      <c r="A147" s="14" t="s">
        <v>216</v>
      </c>
      <c r="B147" s="26" t="s">
        <v>289</v>
      </c>
      <c r="C147" s="14" t="s">
        <v>15</v>
      </c>
      <c r="D147" s="36">
        <v>7</v>
      </c>
      <c r="E147" s="18">
        <f>Comp!I845</f>
        <v>22.908785306399999</v>
      </c>
      <c r="F147" s="18">
        <f>E147*D147+0.01</f>
        <v>160.37149714479997</v>
      </c>
    </row>
    <row r="148" spans="1:6" x14ac:dyDescent="0.25">
      <c r="A148" s="14" t="s">
        <v>217</v>
      </c>
      <c r="B148" s="26" t="s">
        <v>290</v>
      </c>
      <c r="C148" s="14" t="s">
        <v>120</v>
      </c>
      <c r="D148" s="36">
        <v>5</v>
      </c>
      <c r="E148" s="18">
        <f>Comp!I855</f>
        <v>26.848265306400002</v>
      </c>
      <c r="F148" s="18">
        <f>E148*D148+0.01</f>
        <v>134.25132653200001</v>
      </c>
    </row>
    <row r="149" spans="1:6" x14ac:dyDescent="0.25">
      <c r="A149" s="14" t="s">
        <v>218</v>
      </c>
      <c r="B149" s="26" t="s">
        <v>291</v>
      </c>
      <c r="C149" s="14" t="s">
        <v>120</v>
      </c>
      <c r="D149" s="36">
        <v>1</v>
      </c>
      <c r="E149" s="18">
        <f>Comp!I865</f>
        <v>37.544588906400001</v>
      </c>
      <c r="F149" s="18">
        <f t="shared" si="3"/>
        <v>37.544588906400001</v>
      </c>
    </row>
    <row r="150" spans="1:6" x14ac:dyDescent="0.25">
      <c r="A150" s="14" t="s">
        <v>219</v>
      </c>
      <c r="B150" s="26" t="s">
        <v>292</v>
      </c>
      <c r="C150" s="14" t="s">
        <v>120</v>
      </c>
      <c r="D150" s="36">
        <v>2</v>
      </c>
      <c r="E150" s="18">
        <f>Comp!I875</f>
        <v>66.569660906399989</v>
      </c>
      <c r="F150" s="18">
        <f t="shared" si="3"/>
        <v>133.13932181279998</v>
      </c>
    </row>
    <row r="151" spans="1:6" x14ac:dyDescent="0.25">
      <c r="A151" s="14" t="s">
        <v>220</v>
      </c>
      <c r="B151" s="26" t="s">
        <v>293</v>
      </c>
      <c r="C151" s="14" t="s">
        <v>120</v>
      </c>
      <c r="D151" s="36">
        <v>1</v>
      </c>
      <c r="E151" s="18">
        <f>Comp!I885</f>
        <v>119.43494090639999</v>
      </c>
      <c r="F151" s="18">
        <f t="shared" si="3"/>
        <v>119.43494090639999</v>
      </c>
    </row>
    <row r="152" spans="1:6" x14ac:dyDescent="0.25">
      <c r="A152" s="14" t="s">
        <v>221</v>
      </c>
      <c r="B152" s="26" t="s">
        <v>294</v>
      </c>
      <c r="C152" s="14" t="s">
        <v>120</v>
      </c>
      <c r="D152" s="36">
        <v>3</v>
      </c>
      <c r="E152" s="18">
        <f>Comp!I895</f>
        <v>15.021887381279999</v>
      </c>
      <c r="F152" s="18">
        <f>E152*D152-0.01</f>
        <v>45.055662143840003</v>
      </c>
    </row>
    <row r="153" spans="1:6" x14ac:dyDescent="0.25">
      <c r="A153" s="19" t="s">
        <v>222</v>
      </c>
      <c r="B153" s="27" t="s">
        <v>241</v>
      </c>
      <c r="C153" s="14"/>
      <c r="D153" s="36"/>
      <c r="E153" s="18"/>
      <c r="F153" s="14"/>
    </row>
    <row r="154" spans="1:6" x14ac:dyDescent="0.25">
      <c r="A154" s="14" t="s">
        <v>223</v>
      </c>
      <c r="B154" s="26" t="s">
        <v>242</v>
      </c>
      <c r="C154" s="14" t="s">
        <v>140</v>
      </c>
      <c r="D154" s="36">
        <v>50.58</v>
      </c>
      <c r="E154" s="18">
        <f>Comp!I905</f>
        <v>86.920325812800002</v>
      </c>
      <c r="F154" s="18">
        <f>E154*D154-0.02</f>
        <v>4396.4100796114235</v>
      </c>
    </row>
    <row r="155" spans="1:6" x14ac:dyDescent="0.25">
      <c r="A155" s="14" t="s">
        <v>224</v>
      </c>
      <c r="B155" s="26" t="s">
        <v>243</v>
      </c>
      <c r="C155" s="14" t="s">
        <v>140</v>
      </c>
      <c r="D155" s="36">
        <v>2.1</v>
      </c>
      <c r="E155" s="18">
        <f>Comp!I915</f>
        <v>68.392061812800009</v>
      </c>
      <c r="F155" s="18">
        <f t="shared" si="3"/>
        <v>143.62332980688004</v>
      </c>
    </row>
    <row r="156" spans="1:6" ht="30" x14ac:dyDescent="0.25">
      <c r="A156" s="14" t="s">
        <v>225</v>
      </c>
      <c r="B156" s="26" t="s">
        <v>244</v>
      </c>
      <c r="C156" s="14" t="s">
        <v>140</v>
      </c>
      <c r="D156" s="36">
        <v>11.4</v>
      </c>
      <c r="E156" s="18">
        <f>Comp!I925</f>
        <v>302.50638890639999</v>
      </c>
      <c r="F156" s="18">
        <f>E156*D156+0.04</f>
        <v>3448.6128335329599</v>
      </c>
    </row>
    <row r="157" spans="1:6" ht="29.25" customHeight="1" x14ac:dyDescent="0.25">
      <c r="A157" s="352" t="s">
        <v>550</v>
      </c>
      <c r="B157" s="352"/>
      <c r="C157" s="352"/>
      <c r="D157" s="352"/>
      <c r="E157" s="352"/>
      <c r="F157" s="37">
        <f>F156+F155+F154+F152+F151+F150+F149+F148+F142+F147+F145+F143+F141+F139+F138+F137+F136+F135+F133-1.33</f>
        <v>39045.356908255562</v>
      </c>
    </row>
    <row r="158" spans="1:6" s="33" customFormat="1" x14ac:dyDescent="0.25">
      <c r="A158" s="333">
        <v>12</v>
      </c>
      <c r="B158" s="334" t="s">
        <v>252</v>
      </c>
      <c r="C158" s="35"/>
      <c r="D158" s="35"/>
      <c r="E158" s="332"/>
      <c r="F158" s="35"/>
    </row>
    <row r="159" spans="1:6" x14ac:dyDescent="0.25">
      <c r="A159" s="14" t="s">
        <v>245</v>
      </c>
      <c r="B159" s="27" t="s">
        <v>253</v>
      </c>
    </row>
    <row r="160" spans="1:6" ht="30" x14ac:dyDescent="0.25">
      <c r="A160" s="14" t="s">
        <v>246</v>
      </c>
      <c r="B160" s="26" t="s">
        <v>254</v>
      </c>
      <c r="C160" s="14" t="s">
        <v>15</v>
      </c>
      <c r="D160" s="36">
        <v>130</v>
      </c>
      <c r="E160" s="18">
        <f>Comp!I935</f>
        <v>1.0872209690640002</v>
      </c>
      <c r="F160" s="18">
        <f>E160*D160+0.36</f>
        <v>141.69872597832006</v>
      </c>
    </row>
    <row r="161" spans="1:6" x14ac:dyDescent="0.25">
      <c r="A161" s="14" t="s">
        <v>247</v>
      </c>
      <c r="B161" s="26" t="s">
        <v>255</v>
      </c>
      <c r="C161" s="14" t="s">
        <v>15</v>
      </c>
      <c r="D161" s="36">
        <v>205</v>
      </c>
      <c r="E161" s="18">
        <f>Comp!N945</f>
        <v>3.33</v>
      </c>
      <c r="F161" s="18">
        <f t="shared" ref="F161:F165" si="4">E161*D161</f>
        <v>682.65</v>
      </c>
    </row>
    <row r="162" spans="1:6" x14ac:dyDescent="0.25">
      <c r="A162" s="14" t="s">
        <v>248</v>
      </c>
      <c r="B162" s="26" t="s">
        <v>256</v>
      </c>
      <c r="C162" s="14" t="s">
        <v>120</v>
      </c>
      <c r="D162" s="36">
        <v>1</v>
      </c>
      <c r="E162" s="18">
        <f>Comp!I955</f>
        <v>13.065781769063999</v>
      </c>
      <c r="F162" s="18">
        <f t="shared" si="4"/>
        <v>13.065781769063999</v>
      </c>
    </row>
    <row r="163" spans="1:6" x14ac:dyDescent="0.25">
      <c r="A163" s="14" t="s">
        <v>249</v>
      </c>
      <c r="B163" s="26" t="s">
        <v>257</v>
      </c>
      <c r="C163" s="14" t="s">
        <v>120</v>
      </c>
      <c r="D163" s="36">
        <v>19</v>
      </c>
      <c r="E163" s="18">
        <f>Comp!H966</f>
        <v>9.6958684906400006</v>
      </c>
      <c r="F163" s="18">
        <f>E163*D163+0.08</f>
        <v>184.30150132216002</v>
      </c>
    </row>
    <row r="164" spans="1:6" x14ac:dyDescent="0.25">
      <c r="A164" s="14" t="s">
        <v>250</v>
      </c>
      <c r="B164" s="26" t="s">
        <v>259</v>
      </c>
      <c r="C164" s="14" t="s">
        <v>120</v>
      </c>
      <c r="D164" s="36">
        <v>19</v>
      </c>
      <c r="E164" s="18">
        <f>Comp!H976</f>
        <v>4.8295868490640004</v>
      </c>
      <c r="F164" s="18">
        <f>E164*D164+0.01</f>
        <v>91.772150132216012</v>
      </c>
    </row>
    <row r="165" spans="1:6" ht="30" x14ac:dyDescent="0.25">
      <c r="A165" s="14" t="s">
        <v>251</v>
      </c>
      <c r="B165" s="26" t="s">
        <v>258</v>
      </c>
      <c r="C165" s="14" t="s">
        <v>120</v>
      </c>
      <c r="D165" s="36">
        <v>5</v>
      </c>
      <c r="E165" s="18">
        <f>Comp!I986</f>
        <v>11.489063381279999</v>
      </c>
      <c r="F165" s="18">
        <f t="shared" si="4"/>
        <v>57.445316906399995</v>
      </c>
    </row>
    <row r="166" spans="1:6" ht="27" customHeight="1" x14ac:dyDescent="0.25">
      <c r="A166" s="352" t="s">
        <v>551</v>
      </c>
      <c r="B166" s="352"/>
      <c r="C166" s="352"/>
      <c r="D166" s="352"/>
      <c r="E166" s="352"/>
      <c r="F166" s="37">
        <f>F165+F164+F163+F162+F161+F160+0.01</f>
        <v>1170.94347610816</v>
      </c>
    </row>
    <row r="167" spans="1:6" s="33" customFormat="1" x14ac:dyDescent="0.25">
      <c r="A167" s="333">
        <v>13</v>
      </c>
      <c r="B167" s="334" t="s">
        <v>267</v>
      </c>
      <c r="C167" s="35"/>
      <c r="D167" s="35"/>
      <c r="E167" s="332"/>
      <c r="F167" s="35"/>
    </row>
    <row r="168" spans="1:6" x14ac:dyDescent="0.25">
      <c r="A168" s="19" t="s">
        <v>260</v>
      </c>
      <c r="B168" s="30" t="s">
        <v>268</v>
      </c>
    </row>
    <row r="169" spans="1:6" x14ac:dyDescent="0.25">
      <c r="A169" s="14" t="s">
        <v>261</v>
      </c>
      <c r="B169" s="29" t="s">
        <v>269</v>
      </c>
      <c r="C169" s="14" t="s">
        <v>15</v>
      </c>
      <c r="D169" s="36">
        <v>7.25</v>
      </c>
      <c r="E169" s="18">
        <f>Comp!I996</f>
        <v>74.034413812800011</v>
      </c>
      <c r="F169" s="18">
        <f>E169*D169-0.03</f>
        <v>536.71950014280014</v>
      </c>
    </row>
    <row r="170" spans="1:6" x14ac:dyDescent="0.25">
      <c r="A170" s="14" t="s">
        <v>262</v>
      </c>
      <c r="B170" s="29" t="s">
        <v>270</v>
      </c>
      <c r="C170" s="14" t="s">
        <v>140</v>
      </c>
      <c r="D170" s="36">
        <v>4.2</v>
      </c>
      <c r="E170" s="18">
        <f>Comp!I1006</f>
        <v>540.10666781280008</v>
      </c>
      <c r="F170" s="18">
        <f>E170*D170+0.01</f>
        <v>2268.4580048137605</v>
      </c>
    </row>
    <row r="171" spans="1:6" ht="30" x14ac:dyDescent="0.25">
      <c r="A171" s="14" t="s">
        <v>274</v>
      </c>
      <c r="B171" s="29" t="s">
        <v>295</v>
      </c>
      <c r="C171" s="14" t="s">
        <v>275</v>
      </c>
      <c r="D171" s="36">
        <v>2</v>
      </c>
      <c r="E171" s="18">
        <f>Comp!I1016</f>
        <v>16.8249777192</v>
      </c>
      <c r="F171" s="18">
        <f>E171*D171-0.01</f>
        <v>33.639955438400001</v>
      </c>
    </row>
    <row r="172" spans="1:6" x14ac:dyDescent="0.25">
      <c r="A172" s="19" t="s">
        <v>263</v>
      </c>
      <c r="B172" s="29" t="s">
        <v>145</v>
      </c>
      <c r="C172" s="14"/>
      <c r="D172" s="36"/>
      <c r="E172" s="18"/>
      <c r="F172" s="18"/>
    </row>
    <row r="173" spans="1:6" ht="30" x14ac:dyDescent="0.25">
      <c r="A173" s="14" t="s">
        <v>264</v>
      </c>
      <c r="B173" s="29" t="s">
        <v>271</v>
      </c>
      <c r="C173" s="14" t="s">
        <v>140</v>
      </c>
      <c r="D173" s="36">
        <v>15.6</v>
      </c>
      <c r="E173" s="18">
        <f>Comp!I1026</f>
        <v>49.4952658128</v>
      </c>
      <c r="F173" s="18">
        <f>E173*D173+0.07</f>
        <v>772.19614667968006</v>
      </c>
    </row>
    <row r="174" spans="1:6" ht="30" x14ac:dyDescent="0.25">
      <c r="A174" s="14" t="s">
        <v>265</v>
      </c>
      <c r="B174" s="29" t="s">
        <v>272</v>
      </c>
      <c r="C174" s="14" t="s">
        <v>140</v>
      </c>
      <c r="D174" s="36">
        <v>9.1999999999999993</v>
      </c>
      <c r="E174" s="18">
        <f>Comp!I1036</f>
        <v>48.549716906399993</v>
      </c>
      <c r="F174" s="18">
        <f t="shared" ref="F174" si="5">E174*D174</f>
        <v>446.65739553887988</v>
      </c>
    </row>
    <row r="175" spans="1:6" ht="30" x14ac:dyDescent="0.25">
      <c r="A175" s="14" t="s">
        <v>266</v>
      </c>
      <c r="B175" s="29" t="s">
        <v>273</v>
      </c>
      <c r="C175" s="14" t="s">
        <v>15</v>
      </c>
      <c r="D175" s="36">
        <v>15.6</v>
      </c>
      <c r="E175" s="18">
        <f>Comp!I1046</f>
        <v>12.304354149043199</v>
      </c>
      <c r="F175" s="18">
        <f>E175*D175+0.03</f>
        <v>191.9779247250739</v>
      </c>
    </row>
    <row r="176" spans="1:6" ht="24.75" customHeight="1" x14ac:dyDescent="0.25">
      <c r="A176" s="352" t="s">
        <v>308</v>
      </c>
      <c r="B176" s="352"/>
      <c r="C176" s="352"/>
      <c r="D176" s="352"/>
      <c r="E176" s="352"/>
      <c r="F176" s="340">
        <f>F175+F174+F173+F171+F170+F169-0.09</f>
        <v>4249.558927338594</v>
      </c>
    </row>
    <row r="177" spans="1:6" s="33" customFormat="1" x14ac:dyDescent="0.25">
      <c r="A177" s="333">
        <v>14</v>
      </c>
      <c r="B177" s="334" t="s">
        <v>278</v>
      </c>
      <c r="C177" s="35"/>
      <c r="D177" s="35"/>
      <c r="E177" s="332"/>
      <c r="F177" s="35"/>
    </row>
    <row r="178" spans="1:6" x14ac:dyDescent="0.25">
      <c r="A178" s="19" t="s">
        <v>276</v>
      </c>
      <c r="B178" s="30" t="s">
        <v>280</v>
      </c>
    </row>
    <row r="179" spans="1:6" x14ac:dyDescent="0.25">
      <c r="A179" s="14" t="s">
        <v>277</v>
      </c>
      <c r="B179" s="29" t="s">
        <v>279</v>
      </c>
      <c r="C179" s="14" t="s">
        <v>140</v>
      </c>
      <c r="D179" s="14">
        <v>727.28</v>
      </c>
      <c r="E179" s="18">
        <f>Comp!I1055</f>
        <v>1.2658391805816001</v>
      </c>
      <c r="F179" s="18">
        <f>E179*D179+3.03</f>
        <v>923.64951925338607</v>
      </c>
    </row>
    <row r="180" spans="1:6" ht="24" customHeight="1" x14ac:dyDescent="0.25">
      <c r="A180" s="352" t="s">
        <v>552</v>
      </c>
      <c r="B180" s="352"/>
      <c r="C180" s="352"/>
      <c r="D180" s="352"/>
      <c r="E180" s="352"/>
      <c r="F180" s="37">
        <f>F179</f>
        <v>923.64951925338607</v>
      </c>
    </row>
    <row r="181" spans="1:6" x14ac:dyDescent="0.25">
      <c r="A181" s="35"/>
      <c r="B181" s="346" t="s">
        <v>281</v>
      </c>
      <c r="C181" s="339"/>
      <c r="D181" s="35"/>
      <c r="E181" s="332"/>
      <c r="F181" s="347">
        <f>F180+F176+F166+F157+F130+F121+F115+F107+F97+F91+F77+F45+F23+F20</f>
        <v>182409.83642528468</v>
      </c>
    </row>
  </sheetData>
  <mergeCells count="24">
    <mergeCell ref="A166:E166"/>
    <mergeCell ref="A176:E176"/>
    <mergeCell ref="A180:E180"/>
    <mergeCell ref="A107:E107"/>
    <mergeCell ref="A115:E115"/>
    <mergeCell ref="A121:E121"/>
    <mergeCell ref="A130:E130"/>
    <mergeCell ref="A157:E157"/>
    <mergeCell ref="A1:F4"/>
    <mergeCell ref="A16:F16"/>
    <mergeCell ref="A20:E20"/>
    <mergeCell ref="A23:E23"/>
    <mergeCell ref="A45:E45"/>
    <mergeCell ref="A5:F5"/>
    <mergeCell ref="A6:F6"/>
    <mergeCell ref="A8:F9"/>
    <mergeCell ref="A11:F11"/>
    <mergeCell ref="A10:F10"/>
    <mergeCell ref="A77:E77"/>
    <mergeCell ref="A91:E91"/>
    <mergeCell ref="A97:E97"/>
    <mergeCell ref="A7:F7"/>
    <mergeCell ref="A12:F12"/>
    <mergeCell ref="A13:F13"/>
  </mergeCells>
  <pageMargins left="0.511811024" right="0.511811024" top="0.78740157499999996" bottom="0.78740157499999996" header="0.31496062000000002" footer="0.31496062000000002"/>
  <pageSetup paperSize="9" scale="64" orientation="portrait" r:id="rId1"/>
  <rowBreaks count="2" manualBreakCount="2">
    <brk id="45" max="5" man="1"/>
    <brk id="97" max="5" man="1"/>
  </rowBreaks>
  <ignoredErrors>
    <ignoredError sqref="F30 F33:F35 F40:F41 F43 F89 F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9"/>
  <sheetViews>
    <sheetView showGridLines="0" view="pageBreakPreview" topLeftCell="B1" zoomScale="115" zoomScaleNormal="100" zoomScaleSheetLayoutView="115" zoomScalePageLayoutView="90" workbookViewId="0">
      <selection activeCell="B10" sqref="B10:I10"/>
    </sheetView>
  </sheetViews>
  <sheetFormatPr defaultRowHeight="15" x14ac:dyDescent="0.25"/>
  <cols>
    <col min="1" max="1" width="11.5703125" style="100" bestFit="1" customWidth="1"/>
    <col min="2" max="2" width="11.85546875" style="75" bestFit="1" customWidth="1"/>
    <col min="3" max="3" width="52.7109375" style="186" customWidth="1"/>
    <col min="4" max="4" width="6.140625" style="187" bestFit="1" customWidth="1"/>
    <col min="5" max="5" width="9.140625" style="188" customWidth="1"/>
    <col min="6" max="6" width="9" style="189" hidden="1" customWidth="1"/>
    <col min="7" max="7" width="10.5703125" style="190" customWidth="1"/>
    <col min="8" max="8" width="8.42578125" style="188" bestFit="1" customWidth="1"/>
    <col min="9" max="9" width="9.5703125" style="188" bestFit="1" customWidth="1"/>
    <col min="10" max="10" width="6.28515625" style="182" customWidth="1"/>
    <col min="11" max="11" width="7.42578125" style="183" bestFit="1" customWidth="1"/>
    <col min="12" max="12" width="10.42578125" style="184" bestFit="1" customWidth="1"/>
    <col min="13" max="13" width="10.42578125" style="185" bestFit="1" customWidth="1"/>
    <col min="14" max="14" width="12" style="185" bestFit="1" customWidth="1"/>
    <col min="15" max="15" width="12.140625" style="185" bestFit="1" customWidth="1"/>
    <col min="16" max="259" width="9.140625" style="185"/>
    <col min="260" max="260" width="31" style="185" customWidth="1"/>
    <col min="261" max="261" width="14" style="185" customWidth="1"/>
    <col min="262" max="262" width="9.140625" style="185"/>
    <col min="263" max="263" width="12.85546875" style="185" bestFit="1" customWidth="1"/>
    <col min="264" max="264" width="19.140625" style="185" customWidth="1"/>
    <col min="265" max="265" width="9.140625" style="185"/>
    <col min="266" max="266" width="12.42578125" style="185" bestFit="1" customWidth="1"/>
    <col min="267" max="267" width="10.42578125" style="185" bestFit="1" customWidth="1"/>
    <col min="268" max="268" width="5.7109375" style="185" bestFit="1" customWidth="1"/>
    <col min="269" max="269" width="12.140625" style="185" bestFit="1" customWidth="1"/>
    <col min="270" max="270" width="9.85546875" style="185" bestFit="1" customWidth="1"/>
    <col min="271" max="515" width="9.140625" style="185"/>
    <col min="516" max="516" width="31" style="185" customWidth="1"/>
    <col min="517" max="517" width="14" style="185" customWidth="1"/>
    <col min="518" max="518" width="9.140625" style="185"/>
    <col min="519" max="519" width="12.85546875" style="185" bestFit="1" customWidth="1"/>
    <col min="520" max="520" width="19.140625" style="185" customWidth="1"/>
    <col min="521" max="521" width="9.140625" style="185"/>
    <col min="522" max="522" width="12.42578125" style="185" bestFit="1" customWidth="1"/>
    <col min="523" max="523" width="10.42578125" style="185" bestFit="1" customWidth="1"/>
    <col min="524" max="524" width="5.7109375" style="185" bestFit="1" customWidth="1"/>
    <col min="525" max="525" width="12.140625" style="185" bestFit="1" customWidth="1"/>
    <col min="526" max="526" width="9.85546875" style="185" bestFit="1" customWidth="1"/>
    <col min="527" max="771" width="9.140625" style="185"/>
    <col min="772" max="772" width="31" style="185" customWidth="1"/>
    <col min="773" max="773" width="14" style="185" customWidth="1"/>
    <col min="774" max="774" width="9.140625" style="185"/>
    <col min="775" max="775" width="12.85546875" style="185" bestFit="1" customWidth="1"/>
    <col min="776" max="776" width="19.140625" style="185" customWidth="1"/>
    <col min="777" max="777" width="9.140625" style="185"/>
    <col min="778" max="778" width="12.42578125" style="185" bestFit="1" customWidth="1"/>
    <col min="779" max="779" width="10.42578125" style="185" bestFit="1" customWidth="1"/>
    <col min="780" max="780" width="5.7109375" style="185" bestFit="1" customWidth="1"/>
    <col min="781" max="781" width="12.140625" style="185" bestFit="1" customWidth="1"/>
    <col min="782" max="782" width="9.85546875" style="185" bestFit="1" customWidth="1"/>
    <col min="783" max="1027" width="9.140625" style="185"/>
    <col min="1028" max="1028" width="31" style="185" customWidth="1"/>
    <col min="1029" max="1029" width="14" style="185" customWidth="1"/>
    <col min="1030" max="1030" width="9.140625" style="185"/>
    <col min="1031" max="1031" width="12.85546875" style="185" bestFit="1" customWidth="1"/>
    <col min="1032" max="1032" width="19.140625" style="185" customWidth="1"/>
    <col min="1033" max="1033" width="9.140625" style="185"/>
    <col min="1034" max="1034" width="12.42578125" style="185" bestFit="1" customWidth="1"/>
    <col min="1035" max="1035" width="10.42578125" style="185" bestFit="1" customWidth="1"/>
    <col min="1036" max="1036" width="5.7109375" style="185" bestFit="1" customWidth="1"/>
    <col min="1037" max="1037" width="12.140625" style="185" bestFit="1" customWidth="1"/>
    <col min="1038" max="1038" width="9.85546875" style="185" bestFit="1" customWidth="1"/>
    <col min="1039" max="1283" width="9.140625" style="185"/>
    <col min="1284" max="1284" width="31" style="185" customWidth="1"/>
    <col min="1285" max="1285" width="14" style="185" customWidth="1"/>
    <col min="1286" max="1286" width="9.140625" style="185"/>
    <col min="1287" max="1287" width="12.85546875" style="185" bestFit="1" customWidth="1"/>
    <col min="1288" max="1288" width="19.140625" style="185" customWidth="1"/>
    <col min="1289" max="1289" width="9.140625" style="185"/>
    <col min="1290" max="1290" width="12.42578125" style="185" bestFit="1" customWidth="1"/>
    <col min="1291" max="1291" width="10.42578125" style="185" bestFit="1" customWidth="1"/>
    <col min="1292" max="1292" width="5.7109375" style="185" bestFit="1" customWidth="1"/>
    <col min="1293" max="1293" width="12.140625" style="185" bestFit="1" customWidth="1"/>
    <col min="1294" max="1294" width="9.85546875" style="185" bestFit="1" customWidth="1"/>
    <col min="1295" max="1539" width="9.140625" style="185"/>
    <col min="1540" max="1540" width="31" style="185" customWidth="1"/>
    <col min="1541" max="1541" width="14" style="185" customWidth="1"/>
    <col min="1542" max="1542" width="9.140625" style="185"/>
    <col min="1543" max="1543" width="12.85546875" style="185" bestFit="1" customWidth="1"/>
    <col min="1544" max="1544" width="19.140625" style="185" customWidth="1"/>
    <col min="1545" max="1545" width="9.140625" style="185"/>
    <col min="1546" max="1546" width="12.42578125" style="185" bestFit="1" customWidth="1"/>
    <col min="1547" max="1547" width="10.42578125" style="185" bestFit="1" customWidth="1"/>
    <col min="1548" max="1548" width="5.7109375" style="185" bestFit="1" customWidth="1"/>
    <col min="1549" max="1549" width="12.140625" style="185" bestFit="1" customWidth="1"/>
    <col min="1550" max="1550" width="9.85546875" style="185" bestFit="1" customWidth="1"/>
    <col min="1551" max="1795" width="9.140625" style="185"/>
    <col min="1796" max="1796" width="31" style="185" customWidth="1"/>
    <col min="1797" max="1797" width="14" style="185" customWidth="1"/>
    <col min="1798" max="1798" width="9.140625" style="185"/>
    <col min="1799" max="1799" width="12.85546875" style="185" bestFit="1" customWidth="1"/>
    <col min="1800" max="1800" width="19.140625" style="185" customWidth="1"/>
    <col min="1801" max="1801" width="9.140625" style="185"/>
    <col min="1802" max="1802" width="12.42578125" style="185" bestFit="1" customWidth="1"/>
    <col min="1803" max="1803" width="10.42578125" style="185" bestFit="1" customWidth="1"/>
    <col min="1804" max="1804" width="5.7109375" style="185" bestFit="1" customWidth="1"/>
    <col min="1805" max="1805" width="12.140625" style="185" bestFit="1" customWidth="1"/>
    <col min="1806" max="1806" width="9.85546875" style="185" bestFit="1" customWidth="1"/>
    <col min="1807" max="2051" width="9.140625" style="185"/>
    <col min="2052" max="2052" width="31" style="185" customWidth="1"/>
    <col min="2053" max="2053" width="14" style="185" customWidth="1"/>
    <col min="2054" max="2054" width="9.140625" style="185"/>
    <col min="2055" max="2055" width="12.85546875" style="185" bestFit="1" customWidth="1"/>
    <col min="2056" max="2056" width="19.140625" style="185" customWidth="1"/>
    <col min="2057" max="2057" width="9.140625" style="185"/>
    <col min="2058" max="2058" width="12.42578125" style="185" bestFit="1" customWidth="1"/>
    <col min="2059" max="2059" width="10.42578125" style="185" bestFit="1" customWidth="1"/>
    <col min="2060" max="2060" width="5.7109375" style="185" bestFit="1" customWidth="1"/>
    <col min="2061" max="2061" width="12.140625" style="185" bestFit="1" customWidth="1"/>
    <col min="2062" max="2062" width="9.85546875" style="185" bestFit="1" customWidth="1"/>
    <col min="2063" max="2307" width="9.140625" style="185"/>
    <col min="2308" max="2308" width="31" style="185" customWidth="1"/>
    <col min="2309" max="2309" width="14" style="185" customWidth="1"/>
    <col min="2310" max="2310" width="9.140625" style="185"/>
    <col min="2311" max="2311" width="12.85546875" style="185" bestFit="1" customWidth="1"/>
    <col min="2312" max="2312" width="19.140625" style="185" customWidth="1"/>
    <col min="2313" max="2313" width="9.140625" style="185"/>
    <col min="2314" max="2314" width="12.42578125" style="185" bestFit="1" customWidth="1"/>
    <col min="2315" max="2315" width="10.42578125" style="185" bestFit="1" customWidth="1"/>
    <col min="2316" max="2316" width="5.7109375" style="185" bestFit="1" customWidth="1"/>
    <col min="2317" max="2317" width="12.140625" style="185" bestFit="1" customWidth="1"/>
    <col min="2318" max="2318" width="9.85546875" style="185" bestFit="1" customWidth="1"/>
    <col min="2319" max="2563" width="9.140625" style="185"/>
    <col min="2564" max="2564" width="31" style="185" customWidth="1"/>
    <col min="2565" max="2565" width="14" style="185" customWidth="1"/>
    <col min="2566" max="2566" width="9.140625" style="185"/>
    <col min="2567" max="2567" width="12.85546875" style="185" bestFit="1" customWidth="1"/>
    <col min="2568" max="2568" width="19.140625" style="185" customWidth="1"/>
    <col min="2569" max="2569" width="9.140625" style="185"/>
    <col min="2570" max="2570" width="12.42578125" style="185" bestFit="1" customWidth="1"/>
    <col min="2571" max="2571" width="10.42578125" style="185" bestFit="1" customWidth="1"/>
    <col min="2572" max="2572" width="5.7109375" style="185" bestFit="1" customWidth="1"/>
    <col min="2573" max="2573" width="12.140625" style="185" bestFit="1" customWidth="1"/>
    <col min="2574" max="2574" width="9.85546875" style="185" bestFit="1" customWidth="1"/>
    <col min="2575" max="2819" width="9.140625" style="185"/>
    <col min="2820" max="2820" width="31" style="185" customWidth="1"/>
    <col min="2821" max="2821" width="14" style="185" customWidth="1"/>
    <col min="2822" max="2822" width="9.140625" style="185"/>
    <col min="2823" max="2823" width="12.85546875" style="185" bestFit="1" customWidth="1"/>
    <col min="2824" max="2824" width="19.140625" style="185" customWidth="1"/>
    <col min="2825" max="2825" width="9.140625" style="185"/>
    <col min="2826" max="2826" width="12.42578125" style="185" bestFit="1" customWidth="1"/>
    <col min="2827" max="2827" width="10.42578125" style="185" bestFit="1" customWidth="1"/>
    <col min="2828" max="2828" width="5.7109375" style="185" bestFit="1" customWidth="1"/>
    <col min="2829" max="2829" width="12.140625" style="185" bestFit="1" customWidth="1"/>
    <col min="2830" max="2830" width="9.85546875" style="185" bestFit="1" customWidth="1"/>
    <col min="2831" max="3075" width="9.140625" style="185"/>
    <col min="3076" max="3076" width="31" style="185" customWidth="1"/>
    <col min="3077" max="3077" width="14" style="185" customWidth="1"/>
    <col min="3078" max="3078" width="9.140625" style="185"/>
    <col min="3079" max="3079" width="12.85546875" style="185" bestFit="1" customWidth="1"/>
    <col min="3080" max="3080" width="19.140625" style="185" customWidth="1"/>
    <col min="3081" max="3081" width="9.140625" style="185"/>
    <col min="3082" max="3082" width="12.42578125" style="185" bestFit="1" customWidth="1"/>
    <col min="3083" max="3083" width="10.42578125" style="185" bestFit="1" customWidth="1"/>
    <col min="3084" max="3084" width="5.7109375" style="185" bestFit="1" customWidth="1"/>
    <col min="3085" max="3085" width="12.140625" style="185" bestFit="1" customWidth="1"/>
    <col min="3086" max="3086" width="9.85546875" style="185" bestFit="1" customWidth="1"/>
    <col min="3087" max="3331" width="9.140625" style="185"/>
    <col min="3332" max="3332" width="31" style="185" customWidth="1"/>
    <col min="3333" max="3333" width="14" style="185" customWidth="1"/>
    <col min="3334" max="3334" width="9.140625" style="185"/>
    <col min="3335" max="3335" width="12.85546875" style="185" bestFit="1" customWidth="1"/>
    <col min="3336" max="3336" width="19.140625" style="185" customWidth="1"/>
    <col min="3337" max="3337" width="9.140625" style="185"/>
    <col min="3338" max="3338" width="12.42578125" style="185" bestFit="1" customWidth="1"/>
    <col min="3339" max="3339" width="10.42578125" style="185" bestFit="1" customWidth="1"/>
    <col min="3340" max="3340" width="5.7109375" style="185" bestFit="1" customWidth="1"/>
    <col min="3341" max="3341" width="12.140625" style="185" bestFit="1" customWidth="1"/>
    <col min="3342" max="3342" width="9.85546875" style="185" bestFit="1" customWidth="1"/>
    <col min="3343" max="3587" width="9.140625" style="185"/>
    <col min="3588" max="3588" width="31" style="185" customWidth="1"/>
    <col min="3589" max="3589" width="14" style="185" customWidth="1"/>
    <col min="3590" max="3590" width="9.140625" style="185"/>
    <col min="3591" max="3591" width="12.85546875" style="185" bestFit="1" customWidth="1"/>
    <col min="3592" max="3592" width="19.140625" style="185" customWidth="1"/>
    <col min="3593" max="3593" width="9.140625" style="185"/>
    <col min="3594" max="3594" width="12.42578125" style="185" bestFit="1" customWidth="1"/>
    <col min="3595" max="3595" width="10.42578125" style="185" bestFit="1" customWidth="1"/>
    <col min="3596" max="3596" width="5.7109375" style="185" bestFit="1" customWidth="1"/>
    <col min="3597" max="3597" width="12.140625" style="185" bestFit="1" customWidth="1"/>
    <col min="3598" max="3598" width="9.85546875" style="185" bestFit="1" customWidth="1"/>
    <col min="3599" max="3843" width="9.140625" style="185"/>
    <col min="3844" max="3844" width="31" style="185" customWidth="1"/>
    <col min="3845" max="3845" width="14" style="185" customWidth="1"/>
    <col min="3846" max="3846" width="9.140625" style="185"/>
    <col min="3847" max="3847" width="12.85546875" style="185" bestFit="1" customWidth="1"/>
    <col min="3848" max="3848" width="19.140625" style="185" customWidth="1"/>
    <col min="3849" max="3849" width="9.140625" style="185"/>
    <col min="3850" max="3850" width="12.42578125" style="185" bestFit="1" customWidth="1"/>
    <col min="3851" max="3851" width="10.42578125" style="185" bestFit="1" customWidth="1"/>
    <col min="3852" max="3852" width="5.7109375" style="185" bestFit="1" customWidth="1"/>
    <col min="3853" max="3853" width="12.140625" style="185" bestFit="1" customWidth="1"/>
    <col min="3854" max="3854" width="9.85546875" style="185" bestFit="1" customWidth="1"/>
    <col min="3855" max="4099" width="9.140625" style="185"/>
    <col min="4100" max="4100" width="31" style="185" customWidth="1"/>
    <col min="4101" max="4101" width="14" style="185" customWidth="1"/>
    <col min="4102" max="4102" width="9.140625" style="185"/>
    <col min="4103" max="4103" width="12.85546875" style="185" bestFit="1" customWidth="1"/>
    <col min="4104" max="4104" width="19.140625" style="185" customWidth="1"/>
    <col min="4105" max="4105" width="9.140625" style="185"/>
    <col min="4106" max="4106" width="12.42578125" style="185" bestFit="1" customWidth="1"/>
    <col min="4107" max="4107" width="10.42578125" style="185" bestFit="1" customWidth="1"/>
    <col min="4108" max="4108" width="5.7109375" style="185" bestFit="1" customWidth="1"/>
    <col min="4109" max="4109" width="12.140625" style="185" bestFit="1" customWidth="1"/>
    <col min="4110" max="4110" width="9.85546875" style="185" bestFit="1" customWidth="1"/>
    <col min="4111" max="4355" width="9.140625" style="185"/>
    <col min="4356" max="4356" width="31" style="185" customWidth="1"/>
    <col min="4357" max="4357" width="14" style="185" customWidth="1"/>
    <col min="4358" max="4358" width="9.140625" style="185"/>
    <col min="4359" max="4359" width="12.85546875" style="185" bestFit="1" customWidth="1"/>
    <col min="4360" max="4360" width="19.140625" style="185" customWidth="1"/>
    <col min="4361" max="4361" width="9.140625" style="185"/>
    <col min="4362" max="4362" width="12.42578125" style="185" bestFit="1" customWidth="1"/>
    <col min="4363" max="4363" width="10.42578125" style="185" bestFit="1" customWidth="1"/>
    <col min="4364" max="4364" width="5.7109375" style="185" bestFit="1" customWidth="1"/>
    <col min="4365" max="4365" width="12.140625" style="185" bestFit="1" customWidth="1"/>
    <col min="4366" max="4366" width="9.85546875" style="185" bestFit="1" customWidth="1"/>
    <col min="4367" max="4611" width="9.140625" style="185"/>
    <col min="4612" max="4612" width="31" style="185" customWidth="1"/>
    <col min="4613" max="4613" width="14" style="185" customWidth="1"/>
    <col min="4614" max="4614" width="9.140625" style="185"/>
    <col min="4615" max="4615" width="12.85546875" style="185" bestFit="1" customWidth="1"/>
    <col min="4616" max="4616" width="19.140625" style="185" customWidth="1"/>
    <col min="4617" max="4617" width="9.140625" style="185"/>
    <col min="4618" max="4618" width="12.42578125" style="185" bestFit="1" customWidth="1"/>
    <col min="4619" max="4619" width="10.42578125" style="185" bestFit="1" customWidth="1"/>
    <col min="4620" max="4620" width="5.7109375" style="185" bestFit="1" customWidth="1"/>
    <col min="4621" max="4621" width="12.140625" style="185" bestFit="1" customWidth="1"/>
    <col min="4622" max="4622" width="9.85546875" style="185" bestFit="1" customWidth="1"/>
    <col min="4623" max="4867" width="9.140625" style="185"/>
    <col min="4868" max="4868" width="31" style="185" customWidth="1"/>
    <col min="4869" max="4869" width="14" style="185" customWidth="1"/>
    <col min="4870" max="4870" width="9.140625" style="185"/>
    <col min="4871" max="4871" width="12.85546875" style="185" bestFit="1" customWidth="1"/>
    <col min="4872" max="4872" width="19.140625" style="185" customWidth="1"/>
    <col min="4873" max="4873" width="9.140625" style="185"/>
    <col min="4874" max="4874" width="12.42578125" style="185" bestFit="1" customWidth="1"/>
    <col min="4875" max="4875" width="10.42578125" style="185" bestFit="1" customWidth="1"/>
    <col min="4876" max="4876" width="5.7109375" style="185" bestFit="1" customWidth="1"/>
    <col min="4877" max="4877" width="12.140625" style="185" bestFit="1" customWidth="1"/>
    <col min="4878" max="4878" width="9.85546875" style="185" bestFit="1" customWidth="1"/>
    <col min="4879" max="5123" width="9.140625" style="185"/>
    <col min="5124" max="5124" width="31" style="185" customWidth="1"/>
    <col min="5125" max="5125" width="14" style="185" customWidth="1"/>
    <col min="5126" max="5126" width="9.140625" style="185"/>
    <col min="5127" max="5127" width="12.85546875" style="185" bestFit="1" customWidth="1"/>
    <col min="5128" max="5128" width="19.140625" style="185" customWidth="1"/>
    <col min="5129" max="5129" width="9.140625" style="185"/>
    <col min="5130" max="5130" width="12.42578125" style="185" bestFit="1" customWidth="1"/>
    <col min="5131" max="5131" width="10.42578125" style="185" bestFit="1" customWidth="1"/>
    <col min="5132" max="5132" width="5.7109375" style="185" bestFit="1" customWidth="1"/>
    <col min="5133" max="5133" width="12.140625" style="185" bestFit="1" customWidth="1"/>
    <col min="5134" max="5134" width="9.85546875" style="185" bestFit="1" customWidth="1"/>
    <col min="5135" max="5379" width="9.140625" style="185"/>
    <col min="5380" max="5380" width="31" style="185" customWidth="1"/>
    <col min="5381" max="5381" width="14" style="185" customWidth="1"/>
    <col min="5382" max="5382" width="9.140625" style="185"/>
    <col min="5383" max="5383" width="12.85546875" style="185" bestFit="1" customWidth="1"/>
    <col min="5384" max="5384" width="19.140625" style="185" customWidth="1"/>
    <col min="5385" max="5385" width="9.140625" style="185"/>
    <col min="5386" max="5386" width="12.42578125" style="185" bestFit="1" customWidth="1"/>
    <col min="5387" max="5387" width="10.42578125" style="185" bestFit="1" customWidth="1"/>
    <col min="5388" max="5388" width="5.7109375" style="185" bestFit="1" customWidth="1"/>
    <col min="5389" max="5389" width="12.140625" style="185" bestFit="1" customWidth="1"/>
    <col min="5390" max="5390" width="9.85546875" style="185" bestFit="1" customWidth="1"/>
    <col min="5391" max="5635" width="9.140625" style="185"/>
    <col min="5636" max="5636" width="31" style="185" customWidth="1"/>
    <col min="5637" max="5637" width="14" style="185" customWidth="1"/>
    <col min="5638" max="5638" width="9.140625" style="185"/>
    <col min="5639" max="5639" width="12.85546875" style="185" bestFit="1" customWidth="1"/>
    <col min="5640" max="5640" width="19.140625" style="185" customWidth="1"/>
    <col min="5641" max="5641" width="9.140625" style="185"/>
    <col min="5642" max="5642" width="12.42578125" style="185" bestFit="1" customWidth="1"/>
    <col min="5643" max="5643" width="10.42578125" style="185" bestFit="1" customWidth="1"/>
    <col min="5644" max="5644" width="5.7109375" style="185" bestFit="1" customWidth="1"/>
    <col min="5645" max="5645" width="12.140625" style="185" bestFit="1" customWidth="1"/>
    <col min="5646" max="5646" width="9.85546875" style="185" bestFit="1" customWidth="1"/>
    <col min="5647" max="5891" width="9.140625" style="185"/>
    <col min="5892" max="5892" width="31" style="185" customWidth="1"/>
    <col min="5893" max="5893" width="14" style="185" customWidth="1"/>
    <col min="5894" max="5894" width="9.140625" style="185"/>
    <col min="5895" max="5895" width="12.85546875" style="185" bestFit="1" customWidth="1"/>
    <col min="5896" max="5896" width="19.140625" style="185" customWidth="1"/>
    <col min="5897" max="5897" width="9.140625" style="185"/>
    <col min="5898" max="5898" width="12.42578125" style="185" bestFit="1" customWidth="1"/>
    <col min="5899" max="5899" width="10.42578125" style="185" bestFit="1" customWidth="1"/>
    <col min="5900" max="5900" width="5.7109375" style="185" bestFit="1" customWidth="1"/>
    <col min="5901" max="5901" width="12.140625" style="185" bestFit="1" customWidth="1"/>
    <col min="5902" max="5902" width="9.85546875" style="185" bestFit="1" customWidth="1"/>
    <col min="5903" max="6147" width="9.140625" style="185"/>
    <col min="6148" max="6148" width="31" style="185" customWidth="1"/>
    <col min="6149" max="6149" width="14" style="185" customWidth="1"/>
    <col min="6150" max="6150" width="9.140625" style="185"/>
    <col min="6151" max="6151" width="12.85546875" style="185" bestFit="1" customWidth="1"/>
    <col min="6152" max="6152" width="19.140625" style="185" customWidth="1"/>
    <col min="6153" max="6153" width="9.140625" style="185"/>
    <col min="6154" max="6154" width="12.42578125" style="185" bestFit="1" customWidth="1"/>
    <col min="6155" max="6155" width="10.42578125" style="185" bestFit="1" customWidth="1"/>
    <col min="6156" max="6156" width="5.7109375" style="185" bestFit="1" customWidth="1"/>
    <col min="6157" max="6157" width="12.140625" style="185" bestFit="1" customWidth="1"/>
    <col min="6158" max="6158" width="9.85546875" style="185" bestFit="1" customWidth="1"/>
    <col min="6159" max="6403" width="9.140625" style="185"/>
    <col min="6404" max="6404" width="31" style="185" customWidth="1"/>
    <col min="6405" max="6405" width="14" style="185" customWidth="1"/>
    <col min="6406" max="6406" width="9.140625" style="185"/>
    <col min="6407" max="6407" width="12.85546875" style="185" bestFit="1" customWidth="1"/>
    <col min="6408" max="6408" width="19.140625" style="185" customWidth="1"/>
    <col min="6409" max="6409" width="9.140625" style="185"/>
    <col min="6410" max="6410" width="12.42578125" style="185" bestFit="1" customWidth="1"/>
    <col min="6411" max="6411" width="10.42578125" style="185" bestFit="1" customWidth="1"/>
    <col min="6412" max="6412" width="5.7109375" style="185" bestFit="1" customWidth="1"/>
    <col min="6413" max="6413" width="12.140625" style="185" bestFit="1" customWidth="1"/>
    <col min="6414" max="6414" width="9.85546875" style="185" bestFit="1" customWidth="1"/>
    <col min="6415" max="6659" width="9.140625" style="185"/>
    <col min="6660" max="6660" width="31" style="185" customWidth="1"/>
    <col min="6661" max="6661" width="14" style="185" customWidth="1"/>
    <col min="6662" max="6662" width="9.140625" style="185"/>
    <col min="6663" max="6663" width="12.85546875" style="185" bestFit="1" customWidth="1"/>
    <col min="6664" max="6664" width="19.140625" style="185" customWidth="1"/>
    <col min="6665" max="6665" width="9.140625" style="185"/>
    <col min="6666" max="6666" width="12.42578125" style="185" bestFit="1" customWidth="1"/>
    <col min="6667" max="6667" width="10.42578125" style="185" bestFit="1" customWidth="1"/>
    <col min="6668" max="6668" width="5.7109375" style="185" bestFit="1" customWidth="1"/>
    <col min="6669" max="6669" width="12.140625" style="185" bestFit="1" customWidth="1"/>
    <col min="6670" max="6670" width="9.85546875" style="185" bestFit="1" customWidth="1"/>
    <col min="6671" max="6915" width="9.140625" style="185"/>
    <col min="6916" max="6916" width="31" style="185" customWidth="1"/>
    <col min="6917" max="6917" width="14" style="185" customWidth="1"/>
    <col min="6918" max="6918" width="9.140625" style="185"/>
    <col min="6919" max="6919" width="12.85546875" style="185" bestFit="1" customWidth="1"/>
    <col min="6920" max="6920" width="19.140625" style="185" customWidth="1"/>
    <col min="6921" max="6921" width="9.140625" style="185"/>
    <col min="6922" max="6922" width="12.42578125" style="185" bestFit="1" customWidth="1"/>
    <col min="6923" max="6923" width="10.42578125" style="185" bestFit="1" customWidth="1"/>
    <col min="6924" max="6924" width="5.7109375" style="185" bestFit="1" customWidth="1"/>
    <col min="6925" max="6925" width="12.140625" style="185" bestFit="1" customWidth="1"/>
    <col min="6926" max="6926" width="9.85546875" style="185" bestFit="1" customWidth="1"/>
    <col min="6927" max="7171" width="9.140625" style="185"/>
    <col min="7172" max="7172" width="31" style="185" customWidth="1"/>
    <col min="7173" max="7173" width="14" style="185" customWidth="1"/>
    <col min="7174" max="7174" width="9.140625" style="185"/>
    <col min="7175" max="7175" width="12.85546875" style="185" bestFit="1" customWidth="1"/>
    <col min="7176" max="7176" width="19.140625" style="185" customWidth="1"/>
    <col min="7177" max="7177" width="9.140625" style="185"/>
    <col min="7178" max="7178" width="12.42578125" style="185" bestFit="1" customWidth="1"/>
    <col min="7179" max="7179" width="10.42578125" style="185" bestFit="1" customWidth="1"/>
    <col min="7180" max="7180" width="5.7109375" style="185" bestFit="1" customWidth="1"/>
    <col min="7181" max="7181" width="12.140625" style="185" bestFit="1" customWidth="1"/>
    <col min="7182" max="7182" width="9.85546875" style="185" bestFit="1" customWidth="1"/>
    <col min="7183" max="7427" width="9.140625" style="185"/>
    <col min="7428" max="7428" width="31" style="185" customWidth="1"/>
    <col min="7429" max="7429" width="14" style="185" customWidth="1"/>
    <col min="7430" max="7430" width="9.140625" style="185"/>
    <col min="7431" max="7431" width="12.85546875" style="185" bestFit="1" customWidth="1"/>
    <col min="7432" max="7432" width="19.140625" style="185" customWidth="1"/>
    <col min="7433" max="7433" width="9.140625" style="185"/>
    <col min="7434" max="7434" width="12.42578125" style="185" bestFit="1" customWidth="1"/>
    <col min="7435" max="7435" width="10.42578125" style="185" bestFit="1" customWidth="1"/>
    <col min="7436" max="7436" width="5.7109375" style="185" bestFit="1" customWidth="1"/>
    <col min="7437" max="7437" width="12.140625" style="185" bestFit="1" customWidth="1"/>
    <col min="7438" max="7438" width="9.85546875" style="185" bestFit="1" customWidth="1"/>
    <col min="7439" max="7683" width="9.140625" style="185"/>
    <col min="7684" max="7684" width="31" style="185" customWidth="1"/>
    <col min="7685" max="7685" width="14" style="185" customWidth="1"/>
    <col min="7686" max="7686" width="9.140625" style="185"/>
    <col min="7687" max="7687" width="12.85546875" style="185" bestFit="1" customWidth="1"/>
    <col min="7688" max="7688" width="19.140625" style="185" customWidth="1"/>
    <col min="7689" max="7689" width="9.140625" style="185"/>
    <col min="7690" max="7690" width="12.42578125" style="185" bestFit="1" customWidth="1"/>
    <col min="7691" max="7691" width="10.42578125" style="185" bestFit="1" customWidth="1"/>
    <col min="7692" max="7692" width="5.7109375" style="185" bestFit="1" customWidth="1"/>
    <col min="7693" max="7693" width="12.140625" style="185" bestFit="1" customWidth="1"/>
    <col min="7694" max="7694" width="9.85546875" style="185" bestFit="1" customWidth="1"/>
    <col min="7695" max="7939" width="9.140625" style="185"/>
    <col min="7940" max="7940" width="31" style="185" customWidth="1"/>
    <col min="7941" max="7941" width="14" style="185" customWidth="1"/>
    <col min="7942" max="7942" width="9.140625" style="185"/>
    <col min="7943" max="7943" width="12.85546875" style="185" bestFit="1" customWidth="1"/>
    <col min="7944" max="7944" width="19.140625" style="185" customWidth="1"/>
    <col min="7945" max="7945" width="9.140625" style="185"/>
    <col min="7946" max="7946" width="12.42578125" style="185" bestFit="1" customWidth="1"/>
    <col min="7947" max="7947" width="10.42578125" style="185" bestFit="1" customWidth="1"/>
    <col min="7948" max="7948" width="5.7109375" style="185" bestFit="1" customWidth="1"/>
    <col min="7949" max="7949" width="12.140625" style="185" bestFit="1" customWidth="1"/>
    <col min="7950" max="7950" width="9.85546875" style="185" bestFit="1" customWidth="1"/>
    <col min="7951" max="8195" width="9.140625" style="185"/>
    <col min="8196" max="8196" width="31" style="185" customWidth="1"/>
    <col min="8197" max="8197" width="14" style="185" customWidth="1"/>
    <col min="8198" max="8198" width="9.140625" style="185"/>
    <col min="8199" max="8199" width="12.85546875" style="185" bestFit="1" customWidth="1"/>
    <col min="8200" max="8200" width="19.140625" style="185" customWidth="1"/>
    <col min="8201" max="8201" width="9.140625" style="185"/>
    <col min="8202" max="8202" width="12.42578125" style="185" bestFit="1" customWidth="1"/>
    <col min="8203" max="8203" width="10.42578125" style="185" bestFit="1" customWidth="1"/>
    <col min="8204" max="8204" width="5.7109375" style="185" bestFit="1" customWidth="1"/>
    <col min="8205" max="8205" width="12.140625" style="185" bestFit="1" customWidth="1"/>
    <col min="8206" max="8206" width="9.85546875" style="185" bestFit="1" customWidth="1"/>
    <col min="8207" max="8451" width="9.140625" style="185"/>
    <col min="8452" max="8452" width="31" style="185" customWidth="1"/>
    <col min="8453" max="8453" width="14" style="185" customWidth="1"/>
    <col min="8454" max="8454" width="9.140625" style="185"/>
    <col min="8455" max="8455" width="12.85546875" style="185" bestFit="1" customWidth="1"/>
    <col min="8456" max="8456" width="19.140625" style="185" customWidth="1"/>
    <col min="8457" max="8457" width="9.140625" style="185"/>
    <col min="8458" max="8458" width="12.42578125" style="185" bestFit="1" customWidth="1"/>
    <col min="8459" max="8459" width="10.42578125" style="185" bestFit="1" customWidth="1"/>
    <col min="8460" max="8460" width="5.7109375" style="185" bestFit="1" customWidth="1"/>
    <col min="8461" max="8461" width="12.140625" style="185" bestFit="1" customWidth="1"/>
    <col min="8462" max="8462" width="9.85546875" style="185" bestFit="1" customWidth="1"/>
    <col min="8463" max="8707" width="9.140625" style="185"/>
    <col min="8708" max="8708" width="31" style="185" customWidth="1"/>
    <col min="8709" max="8709" width="14" style="185" customWidth="1"/>
    <col min="8710" max="8710" width="9.140625" style="185"/>
    <col min="8711" max="8711" width="12.85546875" style="185" bestFit="1" customWidth="1"/>
    <col min="8712" max="8712" width="19.140625" style="185" customWidth="1"/>
    <col min="8713" max="8713" width="9.140625" style="185"/>
    <col min="8714" max="8714" width="12.42578125" style="185" bestFit="1" customWidth="1"/>
    <col min="8715" max="8715" width="10.42578125" style="185" bestFit="1" customWidth="1"/>
    <col min="8716" max="8716" width="5.7109375" style="185" bestFit="1" customWidth="1"/>
    <col min="8717" max="8717" width="12.140625" style="185" bestFit="1" customWidth="1"/>
    <col min="8718" max="8718" width="9.85546875" style="185" bestFit="1" customWidth="1"/>
    <col min="8719" max="8963" width="9.140625" style="185"/>
    <col min="8964" max="8964" width="31" style="185" customWidth="1"/>
    <col min="8965" max="8965" width="14" style="185" customWidth="1"/>
    <col min="8966" max="8966" width="9.140625" style="185"/>
    <col min="8967" max="8967" width="12.85546875" style="185" bestFit="1" customWidth="1"/>
    <col min="8968" max="8968" width="19.140625" style="185" customWidth="1"/>
    <col min="8969" max="8969" width="9.140625" style="185"/>
    <col min="8970" max="8970" width="12.42578125" style="185" bestFit="1" customWidth="1"/>
    <col min="8971" max="8971" width="10.42578125" style="185" bestFit="1" customWidth="1"/>
    <col min="8972" max="8972" width="5.7109375" style="185" bestFit="1" customWidth="1"/>
    <col min="8973" max="8973" width="12.140625" style="185" bestFit="1" customWidth="1"/>
    <col min="8974" max="8974" width="9.85546875" style="185" bestFit="1" customWidth="1"/>
    <col min="8975" max="9219" width="9.140625" style="185"/>
    <col min="9220" max="9220" width="31" style="185" customWidth="1"/>
    <col min="9221" max="9221" width="14" style="185" customWidth="1"/>
    <col min="9222" max="9222" width="9.140625" style="185"/>
    <col min="9223" max="9223" width="12.85546875" style="185" bestFit="1" customWidth="1"/>
    <col min="9224" max="9224" width="19.140625" style="185" customWidth="1"/>
    <col min="9225" max="9225" width="9.140625" style="185"/>
    <col min="9226" max="9226" width="12.42578125" style="185" bestFit="1" customWidth="1"/>
    <col min="9227" max="9227" width="10.42578125" style="185" bestFit="1" customWidth="1"/>
    <col min="9228" max="9228" width="5.7109375" style="185" bestFit="1" customWidth="1"/>
    <col min="9229" max="9229" width="12.140625" style="185" bestFit="1" customWidth="1"/>
    <col min="9230" max="9230" width="9.85546875" style="185" bestFit="1" customWidth="1"/>
    <col min="9231" max="9475" width="9.140625" style="185"/>
    <col min="9476" max="9476" width="31" style="185" customWidth="1"/>
    <col min="9477" max="9477" width="14" style="185" customWidth="1"/>
    <col min="9478" max="9478" width="9.140625" style="185"/>
    <col min="9479" max="9479" width="12.85546875" style="185" bestFit="1" customWidth="1"/>
    <col min="9480" max="9480" width="19.140625" style="185" customWidth="1"/>
    <col min="9481" max="9481" width="9.140625" style="185"/>
    <col min="9482" max="9482" width="12.42578125" style="185" bestFit="1" customWidth="1"/>
    <col min="9483" max="9483" width="10.42578125" style="185" bestFit="1" customWidth="1"/>
    <col min="9484" max="9484" width="5.7109375" style="185" bestFit="1" customWidth="1"/>
    <col min="9485" max="9485" width="12.140625" style="185" bestFit="1" customWidth="1"/>
    <col min="9486" max="9486" width="9.85546875" style="185" bestFit="1" customWidth="1"/>
    <col min="9487" max="9731" width="9.140625" style="185"/>
    <col min="9732" max="9732" width="31" style="185" customWidth="1"/>
    <col min="9733" max="9733" width="14" style="185" customWidth="1"/>
    <col min="9734" max="9734" width="9.140625" style="185"/>
    <col min="9735" max="9735" width="12.85546875" style="185" bestFit="1" customWidth="1"/>
    <col min="9736" max="9736" width="19.140625" style="185" customWidth="1"/>
    <col min="9737" max="9737" width="9.140625" style="185"/>
    <col min="9738" max="9738" width="12.42578125" style="185" bestFit="1" customWidth="1"/>
    <col min="9739" max="9739" width="10.42578125" style="185" bestFit="1" customWidth="1"/>
    <col min="9740" max="9740" width="5.7109375" style="185" bestFit="1" customWidth="1"/>
    <col min="9741" max="9741" width="12.140625" style="185" bestFit="1" customWidth="1"/>
    <col min="9742" max="9742" width="9.85546875" style="185" bestFit="1" customWidth="1"/>
    <col min="9743" max="9987" width="9.140625" style="185"/>
    <col min="9988" max="9988" width="31" style="185" customWidth="1"/>
    <col min="9989" max="9989" width="14" style="185" customWidth="1"/>
    <col min="9990" max="9990" width="9.140625" style="185"/>
    <col min="9991" max="9991" width="12.85546875" style="185" bestFit="1" customWidth="1"/>
    <col min="9992" max="9992" width="19.140625" style="185" customWidth="1"/>
    <col min="9993" max="9993" width="9.140625" style="185"/>
    <col min="9994" max="9994" width="12.42578125" style="185" bestFit="1" customWidth="1"/>
    <col min="9995" max="9995" width="10.42578125" style="185" bestFit="1" customWidth="1"/>
    <col min="9996" max="9996" width="5.7109375" style="185" bestFit="1" customWidth="1"/>
    <col min="9997" max="9997" width="12.140625" style="185" bestFit="1" customWidth="1"/>
    <col min="9998" max="9998" width="9.85546875" style="185" bestFit="1" customWidth="1"/>
    <col min="9999" max="10243" width="9.140625" style="185"/>
    <col min="10244" max="10244" width="31" style="185" customWidth="1"/>
    <col min="10245" max="10245" width="14" style="185" customWidth="1"/>
    <col min="10246" max="10246" width="9.140625" style="185"/>
    <col min="10247" max="10247" width="12.85546875" style="185" bestFit="1" customWidth="1"/>
    <col min="10248" max="10248" width="19.140625" style="185" customWidth="1"/>
    <col min="10249" max="10249" width="9.140625" style="185"/>
    <col min="10250" max="10250" width="12.42578125" style="185" bestFit="1" customWidth="1"/>
    <col min="10251" max="10251" width="10.42578125" style="185" bestFit="1" customWidth="1"/>
    <col min="10252" max="10252" width="5.7109375" style="185" bestFit="1" customWidth="1"/>
    <col min="10253" max="10253" width="12.140625" style="185" bestFit="1" customWidth="1"/>
    <col min="10254" max="10254" width="9.85546875" style="185" bestFit="1" customWidth="1"/>
    <col min="10255" max="10499" width="9.140625" style="185"/>
    <col min="10500" max="10500" width="31" style="185" customWidth="1"/>
    <col min="10501" max="10501" width="14" style="185" customWidth="1"/>
    <col min="10502" max="10502" width="9.140625" style="185"/>
    <col min="10503" max="10503" width="12.85546875" style="185" bestFit="1" customWidth="1"/>
    <col min="10504" max="10504" width="19.140625" style="185" customWidth="1"/>
    <col min="10505" max="10505" width="9.140625" style="185"/>
    <col min="10506" max="10506" width="12.42578125" style="185" bestFit="1" customWidth="1"/>
    <col min="10507" max="10507" width="10.42578125" style="185" bestFit="1" customWidth="1"/>
    <col min="10508" max="10508" width="5.7109375" style="185" bestFit="1" customWidth="1"/>
    <col min="10509" max="10509" width="12.140625" style="185" bestFit="1" customWidth="1"/>
    <col min="10510" max="10510" width="9.85546875" style="185" bestFit="1" customWidth="1"/>
    <col min="10511" max="10755" width="9.140625" style="185"/>
    <col min="10756" max="10756" width="31" style="185" customWidth="1"/>
    <col min="10757" max="10757" width="14" style="185" customWidth="1"/>
    <col min="10758" max="10758" width="9.140625" style="185"/>
    <col min="10759" max="10759" width="12.85546875" style="185" bestFit="1" customWidth="1"/>
    <col min="10760" max="10760" width="19.140625" style="185" customWidth="1"/>
    <col min="10761" max="10761" width="9.140625" style="185"/>
    <col min="10762" max="10762" width="12.42578125" style="185" bestFit="1" customWidth="1"/>
    <col min="10763" max="10763" width="10.42578125" style="185" bestFit="1" customWidth="1"/>
    <col min="10764" max="10764" width="5.7109375" style="185" bestFit="1" customWidth="1"/>
    <col min="10765" max="10765" width="12.140625" style="185" bestFit="1" customWidth="1"/>
    <col min="10766" max="10766" width="9.85546875" style="185" bestFit="1" customWidth="1"/>
    <col min="10767" max="11011" width="9.140625" style="185"/>
    <col min="11012" max="11012" width="31" style="185" customWidth="1"/>
    <col min="11013" max="11013" width="14" style="185" customWidth="1"/>
    <col min="11014" max="11014" width="9.140625" style="185"/>
    <col min="11015" max="11015" width="12.85546875" style="185" bestFit="1" customWidth="1"/>
    <col min="11016" max="11016" width="19.140625" style="185" customWidth="1"/>
    <col min="11017" max="11017" width="9.140625" style="185"/>
    <col min="11018" max="11018" width="12.42578125" style="185" bestFit="1" customWidth="1"/>
    <col min="11019" max="11019" width="10.42578125" style="185" bestFit="1" customWidth="1"/>
    <col min="11020" max="11020" width="5.7109375" style="185" bestFit="1" customWidth="1"/>
    <col min="11021" max="11021" width="12.140625" style="185" bestFit="1" customWidth="1"/>
    <col min="11022" max="11022" width="9.85546875" style="185" bestFit="1" customWidth="1"/>
    <col min="11023" max="11267" width="9.140625" style="185"/>
    <col min="11268" max="11268" width="31" style="185" customWidth="1"/>
    <col min="11269" max="11269" width="14" style="185" customWidth="1"/>
    <col min="11270" max="11270" width="9.140625" style="185"/>
    <col min="11271" max="11271" width="12.85546875" style="185" bestFit="1" customWidth="1"/>
    <col min="11272" max="11272" width="19.140625" style="185" customWidth="1"/>
    <col min="11273" max="11273" width="9.140625" style="185"/>
    <col min="11274" max="11274" width="12.42578125" style="185" bestFit="1" customWidth="1"/>
    <col min="11275" max="11275" width="10.42578125" style="185" bestFit="1" customWidth="1"/>
    <col min="11276" max="11276" width="5.7109375" style="185" bestFit="1" customWidth="1"/>
    <col min="11277" max="11277" width="12.140625" style="185" bestFit="1" customWidth="1"/>
    <col min="11278" max="11278" width="9.85546875" style="185" bestFit="1" customWidth="1"/>
    <col min="11279" max="11523" width="9.140625" style="185"/>
    <col min="11524" max="11524" width="31" style="185" customWidth="1"/>
    <col min="11525" max="11525" width="14" style="185" customWidth="1"/>
    <col min="11526" max="11526" width="9.140625" style="185"/>
    <col min="11527" max="11527" width="12.85546875" style="185" bestFit="1" customWidth="1"/>
    <col min="11528" max="11528" width="19.140625" style="185" customWidth="1"/>
    <col min="11529" max="11529" width="9.140625" style="185"/>
    <col min="11530" max="11530" width="12.42578125" style="185" bestFit="1" customWidth="1"/>
    <col min="11531" max="11531" width="10.42578125" style="185" bestFit="1" customWidth="1"/>
    <col min="11532" max="11532" width="5.7109375" style="185" bestFit="1" customWidth="1"/>
    <col min="11533" max="11533" width="12.140625" style="185" bestFit="1" customWidth="1"/>
    <col min="11534" max="11534" width="9.85546875" style="185" bestFit="1" customWidth="1"/>
    <col min="11535" max="11779" width="9.140625" style="185"/>
    <col min="11780" max="11780" width="31" style="185" customWidth="1"/>
    <col min="11781" max="11781" width="14" style="185" customWidth="1"/>
    <col min="11782" max="11782" width="9.140625" style="185"/>
    <col min="11783" max="11783" width="12.85546875" style="185" bestFit="1" customWidth="1"/>
    <col min="11784" max="11784" width="19.140625" style="185" customWidth="1"/>
    <col min="11785" max="11785" width="9.140625" style="185"/>
    <col min="11786" max="11786" width="12.42578125" style="185" bestFit="1" customWidth="1"/>
    <col min="11787" max="11787" width="10.42578125" style="185" bestFit="1" customWidth="1"/>
    <col min="11788" max="11788" width="5.7109375" style="185" bestFit="1" customWidth="1"/>
    <col min="11789" max="11789" width="12.140625" style="185" bestFit="1" customWidth="1"/>
    <col min="11790" max="11790" width="9.85546875" style="185" bestFit="1" customWidth="1"/>
    <col min="11791" max="12035" width="9.140625" style="185"/>
    <col min="12036" max="12036" width="31" style="185" customWidth="1"/>
    <col min="12037" max="12037" width="14" style="185" customWidth="1"/>
    <col min="12038" max="12038" width="9.140625" style="185"/>
    <col min="12039" max="12039" width="12.85546875" style="185" bestFit="1" customWidth="1"/>
    <col min="12040" max="12040" width="19.140625" style="185" customWidth="1"/>
    <col min="12041" max="12041" width="9.140625" style="185"/>
    <col min="12042" max="12042" width="12.42578125" style="185" bestFit="1" customWidth="1"/>
    <col min="12043" max="12043" width="10.42578125" style="185" bestFit="1" customWidth="1"/>
    <col min="12044" max="12044" width="5.7109375" style="185" bestFit="1" customWidth="1"/>
    <col min="12045" max="12045" width="12.140625" style="185" bestFit="1" customWidth="1"/>
    <col min="12046" max="12046" width="9.85546875" style="185" bestFit="1" customWidth="1"/>
    <col min="12047" max="12291" width="9.140625" style="185"/>
    <col min="12292" max="12292" width="31" style="185" customWidth="1"/>
    <col min="12293" max="12293" width="14" style="185" customWidth="1"/>
    <col min="12294" max="12294" width="9.140625" style="185"/>
    <col min="12295" max="12295" width="12.85546875" style="185" bestFit="1" customWidth="1"/>
    <col min="12296" max="12296" width="19.140625" style="185" customWidth="1"/>
    <col min="12297" max="12297" width="9.140625" style="185"/>
    <col min="12298" max="12298" width="12.42578125" style="185" bestFit="1" customWidth="1"/>
    <col min="12299" max="12299" width="10.42578125" style="185" bestFit="1" customWidth="1"/>
    <col min="12300" max="12300" width="5.7109375" style="185" bestFit="1" customWidth="1"/>
    <col min="12301" max="12301" width="12.140625" style="185" bestFit="1" customWidth="1"/>
    <col min="12302" max="12302" width="9.85546875" style="185" bestFit="1" customWidth="1"/>
    <col min="12303" max="12547" width="9.140625" style="185"/>
    <col min="12548" max="12548" width="31" style="185" customWidth="1"/>
    <col min="12549" max="12549" width="14" style="185" customWidth="1"/>
    <col min="12550" max="12550" width="9.140625" style="185"/>
    <col min="12551" max="12551" width="12.85546875" style="185" bestFit="1" customWidth="1"/>
    <col min="12552" max="12552" width="19.140625" style="185" customWidth="1"/>
    <col min="12553" max="12553" width="9.140625" style="185"/>
    <col min="12554" max="12554" width="12.42578125" style="185" bestFit="1" customWidth="1"/>
    <col min="12555" max="12555" width="10.42578125" style="185" bestFit="1" customWidth="1"/>
    <col min="12556" max="12556" width="5.7109375" style="185" bestFit="1" customWidth="1"/>
    <col min="12557" max="12557" width="12.140625" style="185" bestFit="1" customWidth="1"/>
    <col min="12558" max="12558" width="9.85546875" style="185" bestFit="1" customWidth="1"/>
    <col min="12559" max="12803" width="9.140625" style="185"/>
    <col min="12804" max="12804" width="31" style="185" customWidth="1"/>
    <col min="12805" max="12805" width="14" style="185" customWidth="1"/>
    <col min="12806" max="12806" width="9.140625" style="185"/>
    <col min="12807" max="12807" width="12.85546875" style="185" bestFit="1" customWidth="1"/>
    <col min="12808" max="12808" width="19.140625" style="185" customWidth="1"/>
    <col min="12809" max="12809" width="9.140625" style="185"/>
    <col min="12810" max="12810" width="12.42578125" style="185" bestFit="1" customWidth="1"/>
    <col min="12811" max="12811" width="10.42578125" style="185" bestFit="1" customWidth="1"/>
    <col min="12812" max="12812" width="5.7109375" style="185" bestFit="1" customWidth="1"/>
    <col min="12813" max="12813" width="12.140625" style="185" bestFit="1" customWidth="1"/>
    <col min="12814" max="12814" width="9.85546875" style="185" bestFit="1" customWidth="1"/>
    <col min="12815" max="13059" width="9.140625" style="185"/>
    <col min="13060" max="13060" width="31" style="185" customWidth="1"/>
    <col min="13061" max="13061" width="14" style="185" customWidth="1"/>
    <col min="13062" max="13062" width="9.140625" style="185"/>
    <col min="13063" max="13063" width="12.85546875" style="185" bestFit="1" customWidth="1"/>
    <col min="13064" max="13064" width="19.140625" style="185" customWidth="1"/>
    <col min="13065" max="13065" width="9.140625" style="185"/>
    <col min="13066" max="13066" width="12.42578125" style="185" bestFit="1" customWidth="1"/>
    <col min="13067" max="13067" width="10.42578125" style="185" bestFit="1" customWidth="1"/>
    <col min="13068" max="13068" width="5.7109375" style="185" bestFit="1" customWidth="1"/>
    <col min="13069" max="13069" width="12.140625" style="185" bestFit="1" customWidth="1"/>
    <col min="13070" max="13070" width="9.85546875" style="185" bestFit="1" customWidth="1"/>
    <col min="13071" max="13315" width="9.140625" style="185"/>
    <col min="13316" max="13316" width="31" style="185" customWidth="1"/>
    <col min="13317" max="13317" width="14" style="185" customWidth="1"/>
    <col min="13318" max="13318" width="9.140625" style="185"/>
    <col min="13319" max="13319" width="12.85546875" style="185" bestFit="1" customWidth="1"/>
    <col min="13320" max="13320" width="19.140625" style="185" customWidth="1"/>
    <col min="13321" max="13321" width="9.140625" style="185"/>
    <col min="13322" max="13322" width="12.42578125" style="185" bestFit="1" customWidth="1"/>
    <col min="13323" max="13323" width="10.42578125" style="185" bestFit="1" customWidth="1"/>
    <col min="13324" max="13324" width="5.7109375" style="185" bestFit="1" customWidth="1"/>
    <col min="13325" max="13325" width="12.140625" style="185" bestFit="1" customWidth="1"/>
    <col min="13326" max="13326" width="9.85546875" style="185" bestFit="1" customWidth="1"/>
    <col min="13327" max="13571" width="9.140625" style="185"/>
    <col min="13572" max="13572" width="31" style="185" customWidth="1"/>
    <col min="13573" max="13573" width="14" style="185" customWidth="1"/>
    <col min="13574" max="13574" width="9.140625" style="185"/>
    <col min="13575" max="13575" width="12.85546875" style="185" bestFit="1" customWidth="1"/>
    <col min="13576" max="13576" width="19.140625" style="185" customWidth="1"/>
    <col min="13577" max="13577" width="9.140625" style="185"/>
    <col min="13578" max="13578" width="12.42578125" style="185" bestFit="1" customWidth="1"/>
    <col min="13579" max="13579" width="10.42578125" style="185" bestFit="1" customWidth="1"/>
    <col min="13580" max="13580" width="5.7109375" style="185" bestFit="1" customWidth="1"/>
    <col min="13581" max="13581" width="12.140625" style="185" bestFit="1" customWidth="1"/>
    <col min="13582" max="13582" width="9.85546875" style="185" bestFit="1" customWidth="1"/>
    <col min="13583" max="13827" width="9.140625" style="185"/>
    <col min="13828" max="13828" width="31" style="185" customWidth="1"/>
    <col min="13829" max="13829" width="14" style="185" customWidth="1"/>
    <col min="13830" max="13830" width="9.140625" style="185"/>
    <col min="13831" max="13831" width="12.85546875" style="185" bestFit="1" customWidth="1"/>
    <col min="13832" max="13832" width="19.140625" style="185" customWidth="1"/>
    <col min="13833" max="13833" width="9.140625" style="185"/>
    <col min="13834" max="13834" width="12.42578125" style="185" bestFit="1" customWidth="1"/>
    <col min="13835" max="13835" width="10.42578125" style="185" bestFit="1" customWidth="1"/>
    <col min="13836" max="13836" width="5.7109375" style="185" bestFit="1" customWidth="1"/>
    <col min="13837" max="13837" width="12.140625" style="185" bestFit="1" customWidth="1"/>
    <col min="13838" max="13838" width="9.85546875" style="185" bestFit="1" customWidth="1"/>
    <col min="13839" max="14083" width="9.140625" style="185"/>
    <col min="14084" max="14084" width="31" style="185" customWidth="1"/>
    <col min="14085" max="14085" width="14" style="185" customWidth="1"/>
    <col min="14086" max="14086" width="9.140625" style="185"/>
    <col min="14087" max="14087" width="12.85546875" style="185" bestFit="1" customWidth="1"/>
    <col min="14088" max="14088" width="19.140625" style="185" customWidth="1"/>
    <col min="14089" max="14089" width="9.140625" style="185"/>
    <col min="14090" max="14090" width="12.42578125" style="185" bestFit="1" customWidth="1"/>
    <col min="14091" max="14091" width="10.42578125" style="185" bestFit="1" customWidth="1"/>
    <col min="14092" max="14092" width="5.7109375" style="185" bestFit="1" customWidth="1"/>
    <col min="14093" max="14093" width="12.140625" style="185" bestFit="1" customWidth="1"/>
    <col min="14094" max="14094" width="9.85546875" style="185" bestFit="1" customWidth="1"/>
    <col min="14095" max="14339" width="9.140625" style="185"/>
    <col min="14340" max="14340" width="31" style="185" customWidth="1"/>
    <col min="14341" max="14341" width="14" style="185" customWidth="1"/>
    <col min="14342" max="14342" width="9.140625" style="185"/>
    <col min="14343" max="14343" width="12.85546875" style="185" bestFit="1" customWidth="1"/>
    <col min="14344" max="14344" width="19.140625" style="185" customWidth="1"/>
    <col min="14345" max="14345" width="9.140625" style="185"/>
    <col min="14346" max="14346" width="12.42578125" style="185" bestFit="1" customWidth="1"/>
    <col min="14347" max="14347" width="10.42578125" style="185" bestFit="1" customWidth="1"/>
    <col min="14348" max="14348" width="5.7109375" style="185" bestFit="1" customWidth="1"/>
    <col min="14349" max="14349" width="12.140625" style="185" bestFit="1" customWidth="1"/>
    <col min="14350" max="14350" width="9.85546875" style="185" bestFit="1" customWidth="1"/>
    <col min="14351" max="14595" width="9.140625" style="185"/>
    <col min="14596" max="14596" width="31" style="185" customWidth="1"/>
    <col min="14597" max="14597" width="14" style="185" customWidth="1"/>
    <col min="14598" max="14598" width="9.140625" style="185"/>
    <col min="14599" max="14599" width="12.85546875" style="185" bestFit="1" customWidth="1"/>
    <col min="14600" max="14600" width="19.140625" style="185" customWidth="1"/>
    <col min="14601" max="14601" width="9.140625" style="185"/>
    <col min="14602" max="14602" width="12.42578125" style="185" bestFit="1" customWidth="1"/>
    <col min="14603" max="14603" width="10.42578125" style="185" bestFit="1" customWidth="1"/>
    <col min="14604" max="14604" width="5.7109375" style="185" bestFit="1" customWidth="1"/>
    <col min="14605" max="14605" width="12.140625" style="185" bestFit="1" customWidth="1"/>
    <col min="14606" max="14606" width="9.85546875" style="185" bestFit="1" customWidth="1"/>
    <col min="14607" max="14851" width="9.140625" style="185"/>
    <col min="14852" max="14852" width="31" style="185" customWidth="1"/>
    <col min="14853" max="14853" width="14" style="185" customWidth="1"/>
    <col min="14854" max="14854" width="9.140625" style="185"/>
    <col min="14855" max="14855" width="12.85546875" style="185" bestFit="1" customWidth="1"/>
    <col min="14856" max="14856" width="19.140625" style="185" customWidth="1"/>
    <col min="14857" max="14857" width="9.140625" style="185"/>
    <col min="14858" max="14858" width="12.42578125" style="185" bestFit="1" customWidth="1"/>
    <col min="14859" max="14859" width="10.42578125" style="185" bestFit="1" customWidth="1"/>
    <col min="14860" max="14860" width="5.7109375" style="185" bestFit="1" customWidth="1"/>
    <col min="14861" max="14861" width="12.140625" style="185" bestFit="1" customWidth="1"/>
    <col min="14862" max="14862" width="9.85546875" style="185" bestFit="1" customWidth="1"/>
    <col min="14863" max="15107" width="9.140625" style="185"/>
    <col min="15108" max="15108" width="31" style="185" customWidth="1"/>
    <col min="15109" max="15109" width="14" style="185" customWidth="1"/>
    <col min="15110" max="15110" width="9.140625" style="185"/>
    <col min="15111" max="15111" width="12.85546875" style="185" bestFit="1" customWidth="1"/>
    <col min="15112" max="15112" width="19.140625" style="185" customWidth="1"/>
    <col min="15113" max="15113" width="9.140625" style="185"/>
    <col min="15114" max="15114" width="12.42578125" style="185" bestFit="1" customWidth="1"/>
    <col min="15115" max="15115" width="10.42578125" style="185" bestFit="1" customWidth="1"/>
    <col min="15116" max="15116" width="5.7109375" style="185" bestFit="1" customWidth="1"/>
    <col min="15117" max="15117" width="12.140625" style="185" bestFit="1" customWidth="1"/>
    <col min="15118" max="15118" width="9.85546875" style="185" bestFit="1" customWidth="1"/>
    <col min="15119" max="15363" width="9.140625" style="185"/>
    <col min="15364" max="15364" width="31" style="185" customWidth="1"/>
    <col min="15365" max="15365" width="14" style="185" customWidth="1"/>
    <col min="15366" max="15366" width="9.140625" style="185"/>
    <col min="15367" max="15367" width="12.85546875" style="185" bestFit="1" customWidth="1"/>
    <col min="15368" max="15368" width="19.140625" style="185" customWidth="1"/>
    <col min="15369" max="15369" width="9.140625" style="185"/>
    <col min="15370" max="15370" width="12.42578125" style="185" bestFit="1" customWidth="1"/>
    <col min="15371" max="15371" width="10.42578125" style="185" bestFit="1" customWidth="1"/>
    <col min="15372" max="15372" width="5.7109375" style="185" bestFit="1" customWidth="1"/>
    <col min="15373" max="15373" width="12.140625" style="185" bestFit="1" customWidth="1"/>
    <col min="15374" max="15374" width="9.85546875" style="185" bestFit="1" customWidth="1"/>
    <col min="15375" max="15619" width="9.140625" style="185"/>
    <col min="15620" max="15620" width="31" style="185" customWidth="1"/>
    <col min="15621" max="15621" width="14" style="185" customWidth="1"/>
    <col min="15622" max="15622" width="9.140625" style="185"/>
    <col min="15623" max="15623" width="12.85546875" style="185" bestFit="1" customWidth="1"/>
    <col min="15624" max="15624" width="19.140625" style="185" customWidth="1"/>
    <col min="15625" max="15625" width="9.140625" style="185"/>
    <col min="15626" max="15626" width="12.42578125" style="185" bestFit="1" customWidth="1"/>
    <col min="15627" max="15627" width="10.42578125" style="185" bestFit="1" customWidth="1"/>
    <col min="15628" max="15628" width="5.7109375" style="185" bestFit="1" customWidth="1"/>
    <col min="15629" max="15629" width="12.140625" style="185" bestFit="1" customWidth="1"/>
    <col min="15630" max="15630" width="9.85546875" style="185" bestFit="1" customWidth="1"/>
    <col min="15631" max="15875" width="9.140625" style="185"/>
    <col min="15876" max="15876" width="31" style="185" customWidth="1"/>
    <col min="15877" max="15877" width="14" style="185" customWidth="1"/>
    <col min="15878" max="15878" width="9.140625" style="185"/>
    <col min="15879" max="15879" width="12.85546875" style="185" bestFit="1" customWidth="1"/>
    <col min="15880" max="15880" width="19.140625" style="185" customWidth="1"/>
    <col min="15881" max="15881" width="9.140625" style="185"/>
    <col min="15882" max="15882" width="12.42578125" style="185" bestFit="1" customWidth="1"/>
    <col min="15883" max="15883" width="10.42578125" style="185" bestFit="1" customWidth="1"/>
    <col min="15884" max="15884" width="5.7109375" style="185" bestFit="1" customWidth="1"/>
    <col min="15885" max="15885" width="12.140625" style="185" bestFit="1" customWidth="1"/>
    <col min="15886" max="15886" width="9.85546875" style="185" bestFit="1" customWidth="1"/>
    <col min="15887" max="16131" width="9.140625" style="185"/>
    <col min="16132" max="16132" width="31" style="185" customWidth="1"/>
    <col min="16133" max="16133" width="14" style="185" customWidth="1"/>
    <col min="16134" max="16134" width="9.140625" style="185"/>
    <col min="16135" max="16135" width="12.85546875" style="185" bestFit="1" customWidth="1"/>
    <col min="16136" max="16136" width="19.140625" style="185" customWidth="1"/>
    <col min="16137" max="16137" width="9.140625" style="185"/>
    <col min="16138" max="16138" width="12.42578125" style="185" bestFit="1" customWidth="1"/>
    <col min="16139" max="16139" width="10.42578125" style="185" bestFit="1" customWidth="1"/>
    <col min="16140" max="16140" width="5.7109375" style="185" bestFit="1" customWidth="1"/>
    <col min="16141" max="16141" width="12.140625" style="185" bestFit="1" customWidth="1"/>
    <col min="16142" max="16142" width="9.85546875" style="185" bestFit="1" customWidth="1"/>
    <col min="16143" max="16384" width="9.140625" style="185"/>
  </cols>
  <sheetData>
    <row r="1" spans="1:15" s="67" customFormat="1" ht="15" customHeight="1" x14ac:dyDescent="0.25">
      <c r="A1" s="63"/>
      <c r="B1" s="363" t="s">
        <v>314</v>
      </c>
      <c r="C1" s="363"/>
      <c r="D1" s="363"/>
      <c r="E1" s="363"/>
      <c r="F1" s="363"/>
      <c r="G1" s="363"/>
      <c r="H1" s="363"/>
      <c r="I1" s="363"/>
      <c r="J1" s="64"/>
      <c r="K1" s="65"/>
      <c r="L1" s="66"/>
    </row>
    <row r="2" spans="1:15" s="67" customFormat="1" ht="15" customHeight="1" x14ac:dyDescent="0.25">
      <c r="A2" s="63"/>
      <c r="B2" s="363"/>
      <c r="C2" s="363"/>
      <c r="D2" s="363"/>
      <c r="E2" s="363"/>
      <c r="F2" s="363"/>
      <c r="G2" s="363"/>
      <c r="H2" s="363"/>
      <c r="I2" s="363"/>
      <c r="J2" s="64"/>
      <c r="K2" s="65"/>
      <c r="L2" s="66"/>
    </row>
    <row r="3" spans="1:15" s="67" customFormat="1" ht="15" customHeight="1" x14ac:dyDescent="0.25">
      <c r="A3" s="63"/>
      <c r="B3" s="363"/>
      <c r="C3" s="363"/>
      <c r="D3" s="363"/>
      <c r="E3" s="363"/>
      <c r="F3" s="363"/>
      <c r="G3" s="363"/>
      <c r="H3" s="363"/>
      <c r="I3" s="363"/>
      <c r="J3" s="64"/>
      <c r="K3" s="65"/>
      <c r="L3" s="66"/>
    </row>
    <row r="4" spans="1:15" s="67" customFormat="1" ht="12.75" x14ac:dyDescent="0.25">
      <c r="A4" s="63"/>
      <c r="B4" s="363"/>
      <c r="C4" s="363"/>
      <c r="D4" s="363"/>
      <c r="E4" s="363"/>
      <c r="F4" s="363"/>
      <c r="G4" s="363"/>
      <c r="H4" s="363"/>
      <c r="I4" s="363"/>
      <c r="J4" s="68"/>
      <c r="K4" s="65"/>
      <c r="L4" s="66"/>
    </row>
    <row r="5" spans="1:15" s="67" customFormat="1" ht="15" customHeight="1" x14ac:dyDescent="0.25">
      <c r="A5" s="63"/>
      <c r="B5" s="435" t="str">
        <f>ORÇAMENTO!A5</f>
        <v xml:space="preserve"> PREFEITURA MUNICIPAL DE BAIÃO</v>
      </c>
      <c r="C5" s="435"/>
      <c r="D5" s="435"/>
      <c r="E5" s="435"/>
      <c r="F5" s="435"/>
      <c r="G5" s="435"/>
      <c r="H5" s="435"/>
      <c r="I5" s="435"/>
      <c r="J5" s="69"/>
      <c r="K5" s="65"/>
      <c r="L5" s="66"/>
    </row>
    <row r="6" spans="1:15" s="67" customFormat="1" ht="12.75" x14ac:dyDescent="0.25">
      <c r="A6" s="63"/>
      <c r="B6" s="435" t="str">
        <f>ORÇAMENTO!A6</f>
        <v>TOMADA DE PREÇO   N° 013/2015</v>
      </c>
      <c r="C6" s="435" t="e">
        <f>#REF!</f>
        <v>#REF!</v>
      </c>
      <c r="D6" s="435"/>
      <c r="E6" s="435"/>
      <c r="F6" s="435"/>
      <c r="G6" s="435"/>
      <c r="H6" s="435"/>
      <c r="I6" s="435"/>
      <c r="J6" s="73"/>
      <c r="K6" s="65"/>
      <c r="L6" s="66"/>
      <c r="N6" s="67">
        <v>1</v>
      </c>
    </row>
    <row r="7" spans="1:15" s="67" customFormat="1" ht="12.75" x14ac:dyDescent="0.25">
      <c r="A7" s="63"/>
      <c r="B7" s="435" t="str">
        <f>ORÇAMENTO!A7</f>
        <v>LOCAL:  E.M.E.F PÓLO DE MASSARANDUBA</v>
      </c>
      <c r="C7" s="435" t="e">
        <f>#REF!</f>
        <v>#REF!</v>
      </c>
      <c r="D7" s="435"/>
      <c r="E7" s="435"/>
      <c r="F7" s="435"/>
      <c r="G7" s="435"/>
      <c r="H7" s="435"/>
      <c r="I7" s="435"/>
      <c r="J7" s="74"/>
      <c r="K7" s="65"/>
      <c r="L7" s="66"/>
      <c r="O7" s="67">
        <f>N6-N8</f>
        <v>0.875</v>
      </c>
    </row>
    <row r="8" spans="1:15" s="67" customFormat="1" ht="12.75" customHeight="1" x14ac:dyDescent="0.25">
      <c r="A8" s="63"/>
      <c r="B8" s="435" t="str">
        <f>ORÇAMENTO!A8</f>
        <v>OBRA:  CONTINUAÇÃO DA CONSTRUÇÃO DE 01 (DUAS) ESCOLAS PÓLO NA LOCALIDADE MASSARANDUBA - PROJETO PADRÃO FNDE - 04 (QUATRO) SALAS DE  AULAS - NO MUNICIPIO DE BAIÃO - PARÁ</v>
      </c>
      <c r="C8" s="435"/>
      <c r="D8" s="435"/>
      <c r="E8" s="435"/>
      <c r="F8" s="435"/>
      <c r="G8" s="435"/>
      <c r="H8" s="435"/>
      <c r="I8" s="435"/>
      <c r="J8" s="73"/>
      <c r="K8" s="65"/>
      <c r="L8" s="66"/>
      <c r="N8" s="67">
        <v>0.125</v>
      </c>
    </row>
    <row r="9" spans="1:15" s="67" customFormat="1" ht="12.75" x14ac:dyDescent="0.25">
      <c r="A9" s="63"/>
      <c r="B9" s="435"/>
      <c r="C9" s="435"/>
      <c r="D9" s="435"/>
      <c r="E9" s="435"/>
      <c r="F9" s="435"/>
      <c r="G9" s="435"/>
      <c r="H9" s="435"/>
      <c r="I9" s="435"/>
      <c r="J9" s="73"/>
      <c r="K9" s="65"/>
      <c r="L9" s="66"/>
    </row>
    <row r="10" spans="1:15" s="67" customFormat="1" ht="12.75" x14ac:dyDescent="0.25">
      <c r="A10" s="63"/>
      <c r="B10" s="435" t="str">
        <f>ORÇAMENTO!A10</f>
        <v>PRAZO DE EXECUÇÃO: 03 MESES</v>
      </c>
      <c r="C10" s="435"/>
      <c r="D10" s="435"/>
      <c r="E10" s="435"/>
      <c r="F10" s="435"/>
      <c r="G10" s="435"/>
      <c r="H10" s="435"/>
      <c r="I10" s="435"/>
      <c r="J10" s="73"/>
      <c r="K10" s="65"/>
      <c r="L10" s="66"/>
    </row>
    <row r="11" spans="1:15" s="67" customFormat="1" ht="15" customHeight="1" x14ac:dyDescent="0.2">
      <c r="A11" s="63"/>
      <c r="B11" s="366"/>
      <c r="C11" s="366"/>
      <c r="D11" s="366"/>
      <c r="E11" s="366"/>
      <c r="F11" s="366"/>
      <c r="G11" s="366"/>
      <c r="H11" s="366"/>
      <c r="I11" s="366"/>
      <c r="J11" s="73"/>
      <c r="K11" s="65"/>
      <c r="L11" s="66"/>
    </row>
    <row r="12" spans="1:15" s="67" customFormat="1" ht="15" customHeight="1" x14ac:dyDescent="0.2">
      <c r="A12" s="63"/>
      <c r="B12" s="75"/>
      <c r="C12" s="364" t="s">
        <v>315</v>
      </c>
      <c r="D12" s="364"/>
      <c r="E12" s="364"/>
      <c r="F12" s="364"/>
      <c r="G12" s="364"/>
      <c r="H12" s="364"/>
      <c r="I12" s="364"/>
      <c r="J12" s="73"/>
      <c r="K12" s="65"/>
      <c r="L12" s="66"/>
      <c r="N12" s="78">
        <v>1</v>
      </c>
    </row>
    <row r="13" spans="1:15" s="88" customFormat="1" ht="9.75" customHeight="1" x14ac:dyDescent="0.2">
      <c r="A13" s="79"/>
      <c r="B13" s="75"/>
      <c r="C13" s="80"/>
      <c r="D13" s="81"/>
      <c r="E13" s="82"/>
      <c r="F13" s="83"/>
      <c r="G13" s="84"/>
      <c r="H13" s="82"/>
      <c r="I13" s="82"/>
      <c r="J13" s="85"/>
      <c r="K13" s="86">
        <v>0.27079999999999999</v>
      </c>
      <c r="L13" s="87">
        <f>'Enc. Soc. (Horista)'!C51</f>
        <v>148.42458427956456</v>
      </c>
    </row>
    <row r="14" spans="1:15" s="79" customFormat="1" ht="25.5" customHeight="1" x14ac:dyDescent="0.25">
      <c r="A14" s="365"/>
      <c r="B14" s="366" t="s">
        <v>0</v>
      </c>
      <c r="C14" s="367" t="s">
        <v>316</v>
      </c>
      <c r="D14" s="368" t="s">
        <v>317</v>
      </c>
      <c r="E14" s="369" t="s">
        <v>318</v>
      </c>
      <c r="F14" s="89"/>
      <c r="G14" s="370" t="s">
        <v>319</v>
      </c>
      <c r="H14" s="371" t="s">
        <v>320</v>
      </c>
      <c r="I14" s="371"/>
      <c r="J14" s="90"/>
      <c r="K14" s="90" t="s">
        <v>321</v>
      </c>
      <c r="L14" s="91" t="s">
        <v>322</v>
      </c>
    </row>
    <row r="15" spans="1:15" s="88" customFormat="1" x14ac:dyDescent="0.25">
      <c r="A15" s="365"/>
      <c r="B15" s="366"/>
      <c r="C15" s="367"/>
      <c r="D15" s="368"/>
      <c r="E15" s="369"/>
      <c r="F15" s="89"/>
      <c r="G15" s="370"/>
      <c r="H15" s="92" t="s">
        <v>323</v>
      </c>
      <c r="I15" s="92" t="s">
        <v>324</v>
      </c>
      <c r="J15" s="85"/>
      <c r="K15" s="90"/>
      <c r="L15" s="93"/>
    </row>
    <row r="16" spans="1:15" s="88" customFormat="1" x14ac:dyDescent="0.2">
      <c r="A16" s="94"/>
      <c r="B16" s="95" t="str">
        <f>ORÇAMENTO!A19</f>
        <v>1.2</v>
      </c>
      <c r="C16" s="96" t="str">
        <f>ORÇAMENTO!B19</f>
        <v>Muro de fechamento h=1,80m</v>
      </c>
      <c r="D16" s="97" t="s">
        <v>325</v>
      </c>
      <c r="E16" s="77"/>
      <c r="F16" s="71"/>
      <c r="G16" s="98"/>
      <c r="H16" s="77"/>
      <c r="I16" s="77"/>
      <c r="J16" s="85"/>
      <c r="K16" s="99">
        <v>0.27079999999999999</v>
      </c>
      <c r="L16" s="93">
        <v>1.4842</v>
      </c>
    </row>
    <row r="17" spans="1:14" s="108" customFormat="1" x14ac:dyDescent="0.25">
      <c r="A17" s="100"/>
      <c r="B17" s="75"/>
      <c r="C17" s="101" t="s">
        <v>326</v>
      </c>
      <c r="D17" s="102" t="s">
        <v>177</v>
      </c>
      <c r="E17" s="103">
        <f>40*N12</f>
        <v>40</v>
      </c>
      <c r="F17" s="104">
        <v>283.99720000000002</v>
      </c>
      <c r="G17" s="105">
        <v>4.0000000000000001E-3</v>
      </c>
      <c r="H17" s="103"/>
      <c r="I17" s="103">
        <f t="shared" ref="I17:I24" si="0">E17*G17</f>
        <v>0.16</v>
      </c>
      <c r="J17" s="106"/>
      <c r="K17" s="99">
        <v>0.27079999999999999</v>
      </c>
      <c r="L17" s="107">
        <f>L16</f>
        <v>1.4842</v>
      </c>
    </row>
    <row r="18" spans="1:14" s="108" customFormat="1" x14ac:dyDescent="0.25">
      <c r="A18" s="100"/>
      <c r="B18" s="75"/>
      <c r="C18" s="101" t="s">
        <v>327</v>
      </c>
      <c r="D18" s="102" t="s">
        <v>177</v>
      </c>
      <c r="E18" s="103">
        <f>70*N12</f>
        <v>70</v>
      </c>
      <c r="F18" s="104">
        <v>4.5228000000000002</v>
      </c>
      <c r="G18" s="105">
        <v>0.05</v>
      </c>
      <c r="H18" s="103"/>
      <c r="I18" s="103">
        <f t="shared" si="0"/>
        <v>3.5</v>
      </c>
      <c r="J18" s="106"/>
      <c r="K18" s="99">
        <v>0.27079999999999999</v>
      </c>
      <c r="L18" s="107">
        <f t="shared" ref="L18:L81" si="1">L17</f>
        <v>1.4842</v>
      </c>
    </row>
    <row r="19" spans="1:14" s="108" customFormat="1" x14ac:dyDescent="0.25">
      <c r="A19" s="100"/>
      <c r="B19" s="75"/>
      <c r="C19" s="101" t="s">
        <v>328</v>
      </c>
      <c r="D19" s="102" t="s">
        <v>329</v>
      </c>
      <c r="E19" s="103">
        <f>33*N12</f>
        <v>33</v>
      </c>
      <c r="F19" s="104">
        <v>3.3201000000000001</v>
      </c>
      <c r="G19" s="105">
        <v>0.06</v>
      </c>
      <c r="H19" s="103"/>
      <c r="I19" s="103">
        <f t="shared" si="0"/>
        <v>1.98</v>
      </c>
      <c r="J19" s="106"/>
      <c r="K19" s="99">
        <v>0.27079999999999999</v>
      </c>
      <c r="L19" s="107">
        <f t="shared" si="1"/>
        <v>1.4842</v>
      </c>
    </row>
    <row r="20" spans="1:14" s="88" customFormat="1" x14ac:dyDescent="0.2">
      <c r="A20" s="79"/>
      <c r="B20" s="75"/>
      <c r="C20" s="101" t="s">
        <v>330</v>
      </c>
      <c r="D20" s="102" t="s">
        <v>331</v>
      </c>
      <c r="E20" s="77">
        <f>90*N12</f>
        <v>90</v>
      </c>
      <c r="F20" s="71">
        <v>203</v>
      </c>
      <c r="G20" s="98">
        <v>7.0000000000000007E-2</v>
      </c>
      <c r="H20" s="77"/>
      <c r="I20" s="77">
        <f t="shared" si="0"/>
        <v>6.3000000000000007</v>
      </c>
      <c r="J20" s="85"/>
      <c r="K20" s="99">
        <v>0.27079999999999999</v>
      </c>
      <c r="L20" s="107">
        <f t="shared" si="1"/>
        <v>1.4842</v>
      </c>
    </row>
    <row r="21" spans="1:14" s="108" customFormat="1" x14ac:dyDescent="0.25">
      <c r="A21" s="100"/>
      <c r="B21" s="75"/>
      <c r="C21" s="101" t="s">
        <v>332</v>
      </c>
      <c r="D21" s="102" t="s">
        <v>140</v>
      </c>
      <c r="E21" s="103">
        <f>28*N12</f>
        <v>28</v>
      </c>
      <c r="F21" s="104">
        <v>7.21</v>
      </c>
      <c r="G21" s="105">
        <v>7.0000000000000007E-2</v>
      </c>
      <c r="H21" s="103"/>
      <c r="I21" s="103">
        <f t="shared" si="0"/>
        <v>1.9600000000000002</v>
      </c>
      <c r="J21" s="106"/>
      <c r="K21" s="99">
        <v>0.27079999999999999</v>
      </c>
      <c r="L21" s="107">
        <f t="shared" si="1"/>
        <v>1.4842</v>
      </c>
    </row>
    <row r="22" spans="1:14" s="108" customFormat="1" x14ac:dyDescent="0.25">
      <c r="A22" s="100"/>
      <c r="B22" s="75"/>
      <c r="C22" s="101" t="s">
        <v>333</v>
      </c>
      <c r="D22" s="109" t="s">
        <v>334</v>
      </c>
      <c r="E22" s="103">
        <f>380*N12</f>
        <v>380</v>
      </c>
      <c r="F22" s="104"/>
      <c r="G22" s="105">
        <v>0.05</v>
      </c>
      <c r="H22" s="103"/>
      <c r="I22" s="103">
        <f t="shared" si="0"/>
        <v>19</v>
      </c>
      <c r="J22" s="106"/>
      <c r="K22" s="99">
        <v>0.27079999999999999</v>
      </c>
      <c r="L22" s="107">
        <f t="shared" si="1"/>
        <v>1.4842</v>
      </c>
    </row>
    <row r="23" spans="1:14" s="108" customFormat="1" x14ac:dyDescent="0.25">
      <c r="A23" s="100"/>
      <c r="B23" s="75"/>
      <c r="C23" s="101" t="s">
        <v>335</v>
      </c>
      <c r="D23" s="109" t="s">
        <v>336</v>
      </c>
      <c r="E23" s="103">
        <f>5.21*N12</f>
        <v>5.21</v>
      </c>
      <c r="F23" s="104"/>
      <c r="G23" s="105">
        <v>1.1886000000000001</v>
      </c>
      <c r="H23" s="103">
        <f>E23*G23</f>
        <v>6.1926060000000005</v>
      </c>
      <c r="I23" s="103">
        <f t="shared" si="0"/>
        <v>6.1926060000000005</v>
      </c>
      <c r="J23" s="106"/>
      <c r="K23" s="99">
        <v>0.27079999999999999</v>
      </c>
      <c r="L23" s="107">
        <f t="shared" si="1"/>
        <v>1.4842</v>
      </c>
    </row>
    <row r="24" spans="1:14" s="108" customFormat="1" x14ac:dyDescent="0.25">
      <c r="A24" s="100"/>
      <c r="B24" s="75"/>
      <c r="C24" s="110" t="s">
        <v>337</v>
      </c>
      <c r="D24" s="109" t="s">
        <v>336</v>
      </c>
      <c r="E24" s="103">
        <f>5.21*N12</f>
        <v>5.21</v>
      </c>
      <c r="F24" s="104"/>
      <c r="G24" s="105">
        <v>1.1000000000000001</v>
      </c>
      <c r="H24" s="103">
        <f>E24*G24</f>
        <v>5.7310000000000008</v>
      </c>
      <c r="I24" s="111">
        <f t="shared" si="0"/>
        <v>5.7310000000000008</v>
      </c>
      <c r="J24" s="106"/>
      <c r="K24" s="99">
        <v>0.27079999999999999</v>
      </c>
      <c r="L24" s="107">
        <f t="shared" si="1"/>
        <v>1.4842</v>
      </c>
    </row>
    <row r="25" spans="1:14" s="108" customFormat="1" x14ac:dyDescent="0.25">
      <c r="A25" s="100"/>
      <c r="B25" s="75"/>
      <c r="C25" s="110" t="s">
        <v>338</v>
      </c>
      <c r="D25" s="109" t="s">
        <v>336</v>
      </c>
      <c r="E25" s="103">
        <f>5.21*N12</f>
        <v>5.21</v>
      </c>
      <c r="F25" s="104"/>
      <c r="G25" s="105">
        <v>1.5562</v>
      </c>
      <c r="H25" s="103">
        <f>E25*G25</f>
        <v>8.1078019999999995</v>
      </c>
      <c r="I25" s="111"/>
      <c r="J25" s="106"/>
      <c r="K25" s="99">
        <v>0.27079999999999999</v>
      </c>
      <c r="L25" s="107">
        <f t="shared" si="1"/>
        <v>1.4842</v>
      </c>
    </row>
    <row r="26" spans="1:14" s="108" customFormat="1" x14ac:dyDescent="0.25">
      <c r="A26" s="100"/>
      <c r="B26" s="75"/>
      <c r="C26" s="110" t="s">
        <v>339</v>
      </c>
      <c r="D26" s="109" t="s">
        <v>336</v>
      </c>
      <c r="E26" s="103">
        <f>3.77*N12</f>
        <v>3.77</v>
      </c>
      <c r="F26" s="104"/>
      <c r="G26" s="105">
        <v>1</v>
      </c>
      <c r="H26" s="103">
        <f>E26*G26</f>
        <v>3.77</v>
      </c>
      <c r="I26" s="111"/>
      <c r="J26" s="106"/>
      <c r="K26" s="99">
        <v>0.27079999999999999</v>
      </c>
      <c r="L26" s="107">
        <f t="shared" si="1"/>
        <v>1.4842</v>
      </c>
    </row>
    <row r="27" spans="1:14" s="88" customFormat="1" x14ac:dyDescent="0.2">
      <c r="A27" s="79"/>
      <c r="B27" s="75"/>
      <c r="C27" s="112"/>
      <c r="D27" s="113"/>
      <c r="E27" s="361" t="s">
        <v>340</v>
      </c>
      <c r="F27" s="361"/>
      <c r="G27" s="361"/>
      <c r="H27" s="114">
        <f>SUM(H17:H26)</f>
        <v>23.801407999999999</v>
      </c>
      <c r="I27" s="114">
        <f>SUM(I17:I26)</f>
        <v>44.823606000000005</v>
      </c>
      <c r="J27" s="85"/>
      <c r="K27" s="99">
        <v>0.27079999999999999</v>
      </c>
      <c r="L27" s="107">
        <f t="shared" si="1"/>
        <v>1.4842</v>
      </c>
    </row>
    <row r="28" spans="1:14" s="88" customFormat="1" x14ac:dyDescent="0.2">
      <c r="A28" s="79"/>
      <c r="B28" s="75"/>
      <c r="C28" s="112"/>
      <c r="D28" s="113"/>
      <c r="E28" s="361" t="s">
        <v>341</v>
      </c>
      <c r="F28" s="361"/>
      <c r="G28" s="361"/>
      <c r="H28" s="77">
        <f>H27*L28</f>
        <v>35.326049753599996</v>
      </c>
      <c r="I28" s="82"/>
      <c r="J28" s="85"/>
      <c r="K28" s="99">
        <v>0.27079999999999999</v>
      </c>
      <c r="L28" s="107">
        <f t="shared" si="1"/>
        <v>1.4842</v>
      </c>
    </row>
    <row r="29" spans="1:14" s="88" customFormat="1" ht="15" customHeight="1" x14ac:dyDescent="0.2">
      <c r="A29" s="79"/>
      <c r="B29" s="75"/>
      <c r="C29" s="112"/>
      <c r="D29" s="113"/>
      <c r="E29" s="361" t="s">
        <v>342</v>
      </c>
      <c r="F29" s="361"/>
      <c r="G29" s="361"/>
      <c r="H29" s="362">
        <f>(H27+I27+H28)*K29</f>
        <v>28.149948064474881</v>
      </c>
      <c r="I29" s="362"/>
      <c r="J29" s="85"/>
      <c r="K29" s="99">
        <v>0.27079999999999999</v>
      </c>
      <c r="L29" s="107">
        <f t="shared" si="1"/>
        <v>1.4842</v>
      </c>
    </row>
    <row r="30" spans="1:14" s="88" customFormat="1" ht="15" customHeight="1" x14ac:dyDescent="0.2">
      <c r="A30" s="79"/>
      <c r="B30" s="75"/>
      <c r="C30" s="112"/>
      <c r="D30" s="113"/>
      <c r="E30" s="361" t="s">
        <v>343</v>
      </c>
      <c r="F30" s="361"/>
      <c r="G30" s="361"/>
      <c r="H30" s="77"/>
      <c r="I30" s="114">
        <f>(H27+I27+H28+H29)</f>
        <v>132.10101181807488</v>
      </c>
      <c r="J30" s="85"/>
      <c r="K30" s="99">
        <v>0.27079999999999999</v>
      </c>
      <c r="L30" s="107">
        <f t="shared" si="1"/>
        <v>1.4842</v>
      </c>
      <c r="N30" s="330">
        <v>132.10101181807488</v>
      </c>
    </row>
    <row r="31" spans="1:14" s="88" customFormat="1" x14ac:dyDescent="0.2">
      <c r="A31" s="79"/>
      <c r="B31" s="75"/>
      <c r="C31" s="112"/>
      <c r="D31" s="113"/>
      <c r="E31" s="77"/>
      <c r="F31" s="71"/>
      <c r="G31" s="98"/>
      <c r="H31" s="77"/>
      <c r="I31" s="77"/>
      <c r="J31" s="85"/>
      <c r="K31" s="99">
        <v>0.27079999999999999</v>
      </c>
      <c r="L31" s="107">
        <f t="shared" si="1"/>
        <v>1.4842</v>
      </c>
    </row>
    <row r="32" spans="1:14" s="118" customFormat="1" ht="38.25" x14ac:dyDescent="0.2">
      <c r="A32" s="115"/>
      <c r="B32" s="116" t="str">
        <f>ORÇAMENTO!A22</f>
        <v>2.1</v>
      </c>
      <c r="C32" s="96" t="str">
        <f>ORÇAMENTO!B22</f>
        <v>Concreto armado fck=25 Mpa fabriacado na obra, adensado e lançado,para viga,com formas planas em compensado resinado 12 mm (05 usos)</v>
      </c>
      <c r="D32" s="97" t="s">
        <v>362</v>
      </c>
      <c r="E32" s="77"/>
      <c r="F32" s="71"/>
      <c r="G32" s="98"/>
      <c r="H32" s="77"/>
      <c r="I32" s="77"/>
      <c r="J32" s="117"/>
      <c r="K32" s="99">
        <v>0.27079999999999999</v>
      </c>
      <c r="L32" s="107">
        <f t="shared" si="1"/>
        <v>1.4842</v>
      </c>
    </row>
    <row r="33" spans="1:14" s="88" customFormat="1" ht="38.25" x14ac:dyDescent="0.2">
      <c r="A33" s="79"/>
      <c r="B33" s="75"/>
      <c r="C33" s="112" t="str">
        <f>C32</f>
        <v>Concreto armado fck=25 Mpa fabriacado na obra, adensado e lançado,para viga,com formas planas em compensado resinado 12 mm (05 usos)</v>
      </c>
      <c r="D33" s="113" t="str">
        <f>D32</f>
        <v>M³</v>
      </c>
      <c r="E33" s="77">
        <f>833.85*N12</f>
        <v>833.85</v>
      </c>
      <c r="F33" s="71">
        <v>200</v>
      </c>
      <c r="G33" s="98">
        <v>1.1000000000000001</v>
      </c>
      <c r="H33" s="77"/>
      <c r="I33" s="77">
        <f>E33*G33</f>
        <v>917.23500000000013</v>
      </c>
      <c r="J33" s="85"/>
      <c r="K33" s="99">
        <v>0.27079999999999999</v>
      </c>
      <c r="L33" s="107">
        <f t="shared" si="1"/>
        <v>1.4842</v>
      </c>
    </row>
    <row r="34" spans="1:14" s="88" customFormat="1" x14ac:dyDescent="0.2">
      <c r="A34" s="79"/>
      <c r="B34" s="75"/>
      <c r="C34" s="112" t="s">
        <v>361</v>
      </c>
      <c r="D34" s="113" t="s">
        <v>336</v>
      </c>
      <c r="E34" s="77">
        <f>5.21*N12</f>
        <v>5.21</v>
      </c>
      <c r="F34" s="71"/>
      <c r="G34" s="98">
        <v>1</v>
      </c>
      <c r="H34" s="77">
        <f>E34*G34</f>
        <v>5.21</v>
      </c>
      <c r="I34" s="82"/>
      <c r="J34" s="85"/>
      <c r="K34" s="99">
        <v>0.27079999999999999</v>
      </c>
      <c r="L34" s="107">
        <f t="shared" si="1"/>
        <v>1.4842</v>
      </c>
    </row>
    <row r="35" spans="1:14" s="88" customFormat="1" x14ac:dyDescent="0.2">
      <c r="A35" s="79"/>
      <c r="B35" s="75"/>
      <c r="C35" s="112" t="s">
        <v>345</v>
      </c>
      <c r="D35" s="113" t="s">
        <v>336</v>
      </c>
      <c r="E35" s="77">
        <f>3.77*N12</f>
        <v>3.77</v>
      </c>
      <c r="F35" s="71"/>
      <c r="G35" s="98">
        <v>1</v>
      </c>
      <c r="H35" s="77">
        <f>E35*G35</f>
        <v>3.77</v>
      </c>
      <c r="I35" s="82"/>
      <c r="J35" s="85"/>
      <c r="K35" s="99">
        <v>0.27079999999999999</v>
      </c>
      <c r="L35" s="107">
        <f t="shared" si="1"/>
        <v>1.4842</v>
      </c>
    </row>
    <row r="36" spans="1:14" s="88" customFormat="1" x14ac:dyDescent="0.2">
      <c r="A36" s="79"/>
      <c r="B36" s="75"/>
      <c r="C36" s="112"/>
      <c r="D36" s="113"/>
      <c r="E36" s="77"/>
      <c r="F36" s="71"/>
      <c r="G36" s="98"/>
      <c r="H36" s="77"/>
      <c r="I36" s="77"/>
      <c r="J36" s="85"/>
      <c r="K36" s="99">
        <v>0.27079999999999999</v>
      </c>
      <c r="L36" s="107">
        <f t="shared" si="1"/>
        <v>1.4842</v>
      </c>
    </row>
    <row r="37" spans="1:14" s="88" customFormat="1" x14ac:dyDescent="0.2">
      <c r="A37" s="79"/>
      <c r="B37" s="75"/>
      <c r="C37" s="112"/>
      <c r="D37" s="113"/>
      <c r="E37" s="361" t="s">
        <v>340</v>
      </c>
      <c r="F37" s="361"/>
      <c r="G37" s="361"/>
      <c r="H37" s="114">
        <f>SUM(H33:H36)</f>
        <v>8.98</v>
      </c>
      <c r="I37" s="114">
        <f>SUM(I33:I36)</f>
        <v>917.23500000000013</v>
      </c>
      <c r="J37" s="85"/>
      <c r="K37" s="99">
        <v>0.27079999999999999</v>
      </c>
      <c r="L37" s="107">
        <f t="shared" si="1"/>
        <v>1.4842</v>
      </c>
    </row>
    <row r="38" spans="1:14" s="88" customFormat="1" x14ac:dyDescent="0.2">
      <c r="A38" s="79"/>
      <c r="B38" s="75"/>
      <c r="C38" s="112"/>
      <c r="D38" s="113"/>
      <c r="E38" s="361" t="str">
        <f>E28</f>
        <v>LS(%): 148,42</v>
      </c>
      <c r="F38" s="361"/>
      <c r="G38" s="361"/>
      <c r="H38" s="77">
        <f>H37*L38</f>
        <v>13.328116</v>
      </c>
      <c r="I38" s="82"/>
      <c r="J38" s="85"/>
      <c r="K38" s="99">
        <v>0.27079999999999999</v>
      </c>
      <c r="L38" s="107">
        <f t="shared" si="1"/>
        <v>1.4842</v>
      </c>
    </row>
    <row r="39" spans="1:14" s="88" customFormat="1" x14ac:dyDescent="0.2">
      <c r="A39" s="79"/>
      <c r="B39" s="75"/>
      <c r="C39" s="112"/>
      <c r="D39" s="113"/>
      <c r="E39" s="361" t="str">
        <f>E29</f>
        <v>BDI (%): 27,08</v>
      </c>
      <c r="F39" s="361"/>
      <c r="G39" s="361"/>
      <c r="H39" s="362">
        <f>(H37+I37+H38)*K39</f>
        <v>254.42827581280002</v>
      </c>
      <c r="I39" s="362"/>
      <c r="J39" s="85"/>
      <c r="K39" s="99">
        <v>0.27079999999999999</v>
      </c>
      <c r="L39" s="107">
        <f t="shared" si="1"/>
        <v>1.4842</v>
      </c>
    </row>
    <row r="40" spans="1:14" s="88" customFormat="1" x14ac:dyDescent="0.2">
      <c r="A40" s="79"/>
      <c r="B40" s="75"/>
      <c r="C40" s="112"/>
      <c r="D40" s="113"/>
      <c r="E40" s="361" t="s">
        <v>343</v>
      </c>
      <c r="F40" s="361"/>
      <c r="G40" s="361"/>
      <c r="H40" s="77"/>
      <c r="I40" s="114">
        <f>(H37+I37+H38+H39)</f>
        <v>1193.9713918128002</v>
      </c>
      <c r="J40" s="85"/>
      <c r="K40" s="99">
        <v>0.27079999999999999</v>
      </c>
      <c r="L40" s="107">
        <f t="shared" si="1"/>
        <v>1.4842</v>
      </c>
      <c r="N40" s="330">
        <v>1193.97</v>
      </c>
    </row>
    <row r="41" spans="1:14" s="88" customFormat="1" ht="15" customHeight="1" x14ac:dyDescent="0.2">
      <c r="A41" s="79"/>
      <c r="B41" s="75"/>
      <c r="C41" s="112"/>
      <c r="D41" s="113"/>
      <c r="E41" s="77"/>
      <c r="F41" s="71"/>
      <c r="G41" s="98"/>
      <c r="H41" s="77"/>
      <c r="I41" s="77"/>
      <c r="J41" s="85"/>
      <c r="K41" s="99">
        <v>0.27079999999999999</v>
      </c>
      <c r="L41" s="107">
        <f t="shared" si="1"/>
        <v>1.4842</v>
      </c>
    </row>
    <row r="42" spans="1:14" s="122" customFormat="1" x14ac:dyDescent="0.2">
      <c r="A42" s="119"/>
      <c r="B42" s="337" t="str">
        <f>ORÇAMENTO!A26</f>
        <v>3.1.1</v>
      </c>
      <c r="C42" s="96" t="str">
        <f>ORÇAMENTO!B26</f>
        <v>Caixa de gordura em alvenaria (90 x 90 x 120 cm)</v>
      </c>
      <c r="D42" s="97" t="s">
        <v>346</v>
      </c>
      <c r="E42" s="77"/>
      <c r="F42" s="71"/>
      <c r="G42" s="98"/>
      <c r="H42" s="77"/>
      <c r="I42" s="77"/>
      <c r="J42" s="121"/>
      <c r="K42" s="99">
        <v>0.27079999999999999</v>
      </c>
      <c r="L42" s="107">
        <f t="shared" si="1"/>
        <v>1.4842</v>
      </c>
    </row>
    <row r="43" spans="1:14" s="88" customFormat="1" ht="13.5" customHeight="1" x14ac:dyDescent="0.2">
      <c r="A43" s="79"/>
      <c r="B43" s="75"/>
      <c r="C43" s="112" t="str">
        <f>C42</f>
        <v>Caixa de gordura em alvenaria (90 x 90 x 120 cm)</v>
      </c>
      <c r="D43" s="113" t="str">
        <f>D42</f>
        <v>U N</v>
      </c>
      <c r="E43" s="77">
        <f>86.97*N12</f>
        <v>86.97</v>
      </c>
      <c r="F43" s="71">
        <v>403</v>
      </c>
      <c r="G43" s="98">
        <v>1</v>
      </c>
      <c r="H43" s="77"/>
      <c r="I43" s="77">
        <f>E43*G43</f>
        <v>86.97</v>
      </c>
      <c r="J43" s="85"/>
      <c r="K43" s="99">
        <v>0.27079999999999999</v>
      </c>
      <c r="L43" s="107">
        <f t="shared" si="1"/>
        <v>1.4842</v>
      </c>
    </row>
    <row r="44" spans="1:14" s="88" customFormat="1" x14ac:dyDescent="0.2">
      <c r="A44" s="79"/>
      <c r="B44" s="75"/>
      <c r="C44" s="112" t="s">
        <v>344</v>
      </c>
      <c r="D44" s="113" t="s">
        <v>336</v>
      </c>
      <c r="E44" s="77">
        <f>5.21*N12</f>
        <v>5.21</v>
      </c>
      <c r="F44" s="71"/>
      <c r="G44" s="98">
        <v>1</v>
      </c>
      <c r="H44" s="77">
        <f>E44*G44</f>
        <v>5.21</v>
      </c>
      <c r="I44" s="82"/>
      <c r="J44" s="85"/>
      <c r="K44" s="99">
        <v>0.27079999999999999</v>
      </c>
      <c r="L44" s="107">
        <f t="shared" si="1"/>
        <v>1.4842</v>
      </c>
    </row>
    <row r="45" spans="1:14" s="88" customFormat="1" hidden="1" x14ac:dyDescent="0.2">
      <c r="A45" s="79"/>
      <c r="B45" s="75"/>
      <c r="C45" s="112" t="s">
        <v>345</v>
      </c>
      <c r="D45" s="113" t="s">
        <v>336</v>
      </c>
      <c r="E45" s="77">
        <f t="shared" ref="E45" si="2">E35</f>
        <v>3.77</v>
      </c>
      <c r="F45" s="71"/>
      <c r="G45" s="98">
        <v>3</v>
      </c>
      <c r="H45" s="77">
        <f>E45*G45</f>
        <v>11.31</v>
      </c>
      <c r="I45" s="82"/>
      <c r="J45" s="85"/>
      <c r="K45" s="99">
        <v>0.27079999999999999</v>
      </c>
      <c r="L45" s="107">
        <f t="shared" si="1"/>
        <v>1.4842</v>
      </c>
    </row>
    <row r="46" spans="1:14" s="88" customFormat="1" x14ac:dyDescent="0.2">
      <c r="A46" s="79"/>
      <c r="B46" s="75"/>
      <c r="C46" s="112" t="s">
        <v>339</v>
      </c>
      <c r="D46" s="113" t="s">
        <v>336</v>
      </c>
      <c r="E46" s="77">
        <f>3.77*N12</f>
        <v>3.77</v>
      </c>
      <c r="F46" s="71"/>
      <c r="G46" s="98">
        <v>1</v>
      </c>
      <c r="H46" s="77">
        <f>E46*G46</f>
        <v>3.77</v>
      </c>
      <c r="I46" s="82"/>
      <c r="J46" s="85"/>
      <c r="K46" s="99">
        <v>0.27079999999999999</v>
      </c>
      <c r="L46" s="107">
        <f t="shared" si="1"/>
        <v>1.4842</v>
      </c>
    </row>
    <row r="47" spans="1:14" s="88" customFormat="1" x14ac:dyDescent="0.2">
      <c r="A47" s="79"/>
      <c r="B47" s="75"/>
      <c r="C47" s="112"/>
      <c r="D47" s="113"/>
      <c r="E47" s="77"/>
      <c r="F47" s="71"/>
      <c r="G47" s="98"/>
      <c r="H47" s="77"/>
      <c r="I47" s="77"/>
      <c r="J47" s="85"/>
      <c r="K47" s="99">
        <v>0.27079999999999999</v>
      </c>
      <c r="L47" s="107">
        <f t="shared" si="1"/>
        <v>1.4842</v>
      </c>
    </row>
    <row r="48" spans="1:14" s="88" customFormat="1" x14ac:dyDescent="0.2">
      <c r="A48" s="79"/>
      <c r="B48" s="75"/>
      <c r="C48" s="112"/>
      <c r="D48" s="113"/>
      <c r="E48" s="361" t="str">
        <f>E37</f>
        <v>Custo Direto</v>
      </c>
      <c r="F48" s="361"/>
      <c r="G48" s="361"/>
      <c r="H48" s="114">
        <f>H44+H46</f>
        <v>8.98</v>
      </c>
      <c r="I48" s="114">
        <f>SUM(I43:I47)</f>
        <v>86.97</v>
      </c>
      <c r="J48" s="85"/>
      <c r="K48" s="99">
        <v>0.27079999999999999</v>
      </c>
      <c r="L48" s="107">
        <f t="shared" si="1"/>
        <v>1.4842</v>
      </c>
    </row>
    <row r="49" spans="1:14" s="88" customFormat="1" x14ac:dyDescent="0.2">
      <c r="A49" s="79"/>
      <c r="B49" s="75"/>
      <c r="C49" s="112"/>
      <c r="D49" s="113"/>
      <c r="E49" s="361" t="str">
        <f>E38</f>
        <v>LS(%): 148,42</v>
      </c>
      <c r="F49" s="361"/>
      <c r="G49" s="361"/>
      <c r="H49" s="77">
        <f>H48*L49</f>
        <v>13.328116</v>
      </c>
      <c r="I49" s="82"/>
      <c r="J49" s="85"/>
      <c r="K49" s="99">
        <v>0.27079999999999999</v>
      </c>
      <c r="L49" s="107">
        <f t="shared" si="1"/>
        <v>1.4842</v>
      </c>
    </row>
    <row r="50" spans="1:14" s="88" customFormat="1" x14ac:dyDescent="0.2">
      <c r="A50" s="79"/>
      <c r="B50" s="75"/>
      <c r="C50" s="112"/>
      <c r="D50" s="113"/>
      <c r="E50" s="361" t="str">
        <f t="shared" ref="E50:E51" si="3">E39</f>
        <v>BDI (%): 27,08</v>
      </c>
      <c r="F50" s="361"/>
      <c r="G50" s="361"/>
      <c r="H50" s="362">
        <f>(H48+I48+H49)*K50</f>
        <v>29.592513812799996</v>
      </c>
      <c r="I50" s="362"/>
      <c r="J50" s="85"/>
      <c r="K50" s="99">
        <v>0.27079999999999999</v>
      </c>
      <c r="L50" s="107">
        <f t="shared" si="1"/>
        <v>1.4842</v>
      </c>
    </row>
    <row r="51" spans="1:14" s="88" customFormat="1" x14ac:dyDescent="0.2">
      <c r="A51" s="79"/>
      <c r="B51" s="75"/>
      <c r="C51" s="112"/>
      <c r="D51" s="113"/>
      <c r="E51" s="361" t="str">
        <f t="shared" si="3"/>
        <v>Valor Total c/ Taxas</v>
      </c>
      <c r="F51" s="361"/>
      <c r="G51" s="361"/>
      <c r="H51" s="77"/>
      <c r="I51" s="77">
        <f>(H48+I48+H49+H50)</f>
        <v>138.87062981279999</v>
      </c>
      <c r="J51" s="85"/>
      <c r="K51" s="99">
        <v>0.27079999999999999</v>
      </c>
      <c r="L51" s="107">
        <f t="shared" si="1"/>
        <v>1.4842</v>
      </c>
      <c r="N51" s="330">
        <v>138.87</v>
      </c>
    </row>
    <row r="52" spans="1:14" s="88" customFormat="1" x14ac:dyDescent="0.2">
      <c r="A52" s="79"/>
      <c r="B52" s="75"/>
      <c r="C52" s="112"/>
      <c r="D52" s="113"/>
      <c r="E52" s="76"/>
      <c r="F52" s="71"/>
      <c r="G52" s="123"/>
      <c r="H52" s="77"/>
      <c r="I52" s="77"/>
      <c r="J52" s="85"/>
      <c r="K52" s="99">
        <v>0.27079999999999999</v>
      </c>
      <c r="L52" s="107">
        <f t="shared" si="1"/>
        <v>1.4842</v>
      </c>
    </row>
    <row r="53" spans="1:14" s="118" customFormat="1" ht="15" customHeight="1" x14ac:dyDescent="0.2">
      <c r="A53" s="124"/>
      <c r="B53" s="120" t="str">
        <f>ORÇAMENTO!A27</f>
        <v>3.1.2</v>
      </c>
      <c r="C53" s="96" t="str">
        <f>ORÇAMENTO!B27</f>
        <v>Caixa de inspeção em alvenaria (90 x 90 x 120 cm)</v>
      </c>
      <c r="D53" s="125" t="str">
        <f>D54</f>
        <v>U N</v>
      </c>
      <c r="E53" s="77"/>
      <c r="F53" s="71"/>
      <c r="G53" s="98"/>
      <c r="H53" s="77"/>
      <c r="I53" s="77"/>
      <c r="J53" s="117"/>
      <c r="K53" s="99">
        <v>0.27079999999999999</v>
      </c>
      <c r="L53" s="107">
        <f t="shared" si="1"/>
        <v>1.4842</v>
      </c>
    </row>
    <row r="54" spans="1:14" s="128" customFormat="1" ht="15" customHeight="1" x14ac:dyDescent="0.2">
      <c r="A54" s="126"/>
      <c r="B54" s="127"/>
      <c r="C54" s="112" t="str">
        <f>C53</f>
        <v>Caixa de inspeção em alvenaria (90 x 90 x 120 cm)</v>
      </c>
      <c r="D54" s="113" t="s">
        <v>346</v>
      </c>
      <c r="E54" s="77">
        <f>223.12*N12</f>
        <v>223.12</v>
      </c>
      <c r="F54" s="71">
        <v>234.387</v>
      </c>
      <c r="G54" s="98">
        <v>1</v>
      </c>
      <c r="H54" s="77"/>
      <c r="I54" s="77">
        <f>E54*G54</f>
        <v>223.12</v>
      </c>
      <c r="J54" s="85"/>
      <c r="K54" s="99">
        <v>0.27079999999999999</v>
      </c>
      <c r="L54" s="107">
        <f t="shared" si="1"/>
        <v>1.4842</v>
      </c>
    </row>
    <row r="55" spans="1:14" s="128" customFormat="1" ht="15" customHeight="1" x14ac:dyDescent="0.2">
      <c r="A55" s="126"/>
      <c r="B55" s="127"/>
      <c r="C55" s="112" t="s">
        <v>344</v>
      </c>
      <c r="D55" s="113" t="s">
        <v>336</v>
      </c>
      <c r="E55" s="77">
        <f>5.21*N12</f>
        <v>5.21</v>
      </c>
      <c r="F55" s="71"/>
      <c r="G55" s="98">
        <v>0.5</v>
      </c>
      <c r="H55" s="77">
        <f>E55*G55</f>
        <v>2.605</v>
      </c>
      <c r="I55" s="77"/>
      <c r="J55" s="85"/>
      <c r="K55" s="99">
        <v>0.27079999999999999</v>
      </c>
      <c r="L55" s="107">
        <f t="shared" si="1"/>
        <v>1.4842</v>
      </c>
    </row>
    <row r="56" spans="1:14" s="88" customFormat="1" x14ac:dyDescent="0.2">
      <c r="A56" s="79"/>
      <c r="B56" s="75"/>
      <c r="C56" s="112" t="s">
        <v>345</v>
      </c>
      <c r="D56" s="113" t="s">
        <v>336</v>
      </c>
      <c r="E56" s="77">
        <f>3.77*N12</f>
        <v>3.77</v>
      </c>
      <c r="F56" s="71"/>
      <c r="G56" s="98">
        <v>0.5</v>
      </c>
      <c r="H56" s="77">
        <f>E56*G56</f>
        <v>1.885</v>
      </c>
      <c r="I56" s="82"/>
      <c r="J56" s="85"/>
      <c r="K56" s="99">
        <v>0.27079999999999999</v>
      </c>
      <c r="L56" s="107">
        <f t="shared" si="1"/>
        <v>1.4842</v>
      </c>
    </row>
    <row r="57" spans="1:14" s="88" customFormat="1" x14ac:dyDescent="0.2">
      <c r="A57" s="79"/>
      <c r="B57" s="75"/>
      <c r="C57" s="112"/>
      <c r="D57" s="113"/>
      <c r="E57" s="77"/>
      <c r="F57" s="71"/>
      <c r="G57" s="98"/>
      <c r="H57" s="77"/>
      <c r="I57" s="77"/>
      <c r="J57" s="85"/>
      <c r="K57" s="99">
        <v>0.27079999999999999</v>
      </c>
      <c r="L57" s="107">
        <f t="shared" si="1"/>
        <v>1.4842</v>
      </c>
    </row>
    <row r="58" spans="1:14" s="88" customFormat="1" x14ac:dyDescent="0.2">
      <c r="A58" s="79"/>
      <c r="B58" s="75"/>
      <c r="C58" s="112"/>
      <c r="D58" s="113"/>
      <c r="E58" s="361" t="str">
        <f>E48</f>
        <v>Custo Direto</v>
      </c>
      <c r="F58" s="361"/>
      <c r="G58" s="361"/>
      <c r="H58" s="114">
        <f>SUM(H54:H57)</f>
        <v>4.49</v>
      </c>
      <c r="I58" s="114">
        <f>SUM(I54:I57)</f>
        <v>223.12</v>
      </c>
      <c r="J58" s="85"/>
      <c r="K58" s="99">
        <v>0.27079999999999999</v>
      </c>
      <c r="L58" s="107">
        <f t="shared" si="1"/>
        <v>1.4842</v>
      </c>
    </row>
    <row r="59" spans="1:14" s="88" customFormat="1" x14ac:dyDescent="0.2">
      <c r="A59" s="79"/>
      <c r="B59" s="75"/>
      <c r="C59" s="112"/>
      <c r="D59" s="113"/>
      <c r="E59" s="361" t="str">
        <f>E49</f>
        <v>LS(%): 148,42</v>
      </c>
      <c r="F59" s="361"/>
      <c r="G59" s="361"/>
      <c r="H59" s="77">
        <f>H58*L59</f>
        <v>6.6640579999999998</v>
      </c>
      <c r="I59" s="82"/>
      <c r="J59" s="85"/>
      <c r="K59" s="99">
        <v>0.27079999999999999</v>
      </c>
      <c r="L59" s="107">
        <f t="shared" si="1"/>
        <v>1.4842</v>
      </c>
    </row>
    <row r="60" spans="1:14" s="88" customFormat="1" x14ac:dyDescent="0.2">
      <c r="A60" s="79"/>
      <c r="B60" s="75"/>
      <c r="C60" s="112"/>
      <c r="D60" s="113"/>
      <c r="E60" s="361" t="str">
        <f>E50</f>
        <v>BDI (%): 27,08</v>
      </c>
      <c r="F60" s="361"/>
      <c r="G60" s="361"/>
      <c r="H60" s="362">
        <f>(H58+I58+H59)*K60</f>
        <v>63.441414906400006</v>
      </c>
      <c r="I60" s="362"/>
      <c r="J60" s="85"/>
      <c r="K60" s="99">
        <v>0.27079999999999999</v>
      </c>
      <c r="L60" s="107">
        <f t="shared" si="1"/>
        <v>1.4842</v>
      </c>
    </row>
    <row r="61" spans="1:14" s="88" customFormat="1" x14ac:dyDescent="0.2">
      <c r="A61" s="79"/>
      <c r="B61" s="75"/>
      <c r="C61" s="112"/>
      <c r="D61" s="113"/>
      <c r="E61" s="361" t="str">
        <f>E51</f>
        <v>Valor Total c/ Taxas</v>
      </c>
      <c r="F61" s="361"/>
      <c r="G61" s="361"/>
      <c r="H61" s="77"/>
      <c r="I61" s="77">
        <f>(H58+I58+H59+H60)</f>
        <v>297.71547290640001</v>
      </c>
      <c r="J61" s="85"/>
      <c r="K61" s="99">
        <v>0.27079999999999999</v>
      </c>
      <c r="L61" s="107">
        <f t="shared" si="1"/>
        <v>1.4842</v>
      </c>
      <c r="N61" s="330">
        <v>297.72000000000003</v>
      </c>
    </row>
    <row r="62" spans="1:14" s="88" customFormat="1" x14ac:dyDescent="0.2">
      <c r="A62" s="79"/>
      <c r="B62" s="75"/>
      <c r="C62" s="112"/>
      <c r="D62" s="113"/>
      <c r="E62" s="77"/>
      <c r="F62" s="71"/>
      <c r="G62" s="98"/>
      <c r="H62" s="77"/>
      <c r="I62" s="77"/>
      <c r="J62" s="85"/>
      <c r="K62" s="99">
        <v>0.27079999999999999</v>
      </c>
      <c r="L62" s="107">
        <f t="shared" si="1"/>
        <v>1.4842</v>
      </c>
    </row>
    <row r="63" spans="1:14" s="88" customFormat="1" hidden="1" x14ac:dyDescent="0.2">
      <c r="A63" s="79"/>
      <c r="B63" s="75"/>
      <c r="C63" s="112"/>
      <c r="D63" s="113"/>
      <c r="E63" s="77"/>
      <c r="F63" s="71"/>
      <c r="G63" s="98"/>
      <c r="H63" s="77"/>
      <c r="I63" s="77"/>
      <c r="J63" s="85"/>
      <c r="K63" s="99">
        <v>0.27079999999999999</v>
      </c>
      <c r="L63" s="107">
        <f t="shared" si="1"/>
        <v>1.4842</v>
      </c>
    </row>
    <row r="64" spans="1:14" s="88" customFormat="1" ht="38.25" x14ac:dyDescent="0.2">
      <c r="A64" s="129"/>
      <c r="B64" s="341" t="str">
        <f>ORÇAMENTO!A29</f>
        <v>3.2.1</v>
      </c>
      <c r="C64" s="96" t="str">
        <f>ORÇAMENTO!B29</f>
        <v>Bacia sanitaria convencional,inclusive assento,conjunto de fixação,anel de vedação,tubo de ligação com acabamento cromado e engate plástico</v>
      </c>
      <c r="D64" s="97" t="str">
        <f>D53</f>
        <v>U N</v>
      </c>
      <c r="E64" s="77"/>
      <c r="F64" s="71"/>
      <c r="G64" s="98"/>
      <c r="H64" s="77"/>
      <c r="I64" s="77"/>
      <c r="J64" s="85"/>
      <c r="K64" s="99">
        <v>0.27079999999999999</v>
      </c>
      <c r="L64" s="107">
        <f t="shared" si="1"/>
        <v>1.4842</v>
      </c>
    </row>
    <row r="65" spans="1:14" s="88" customFormat="1" ht="38.25" x14ac:dyDescent="0.2">
      <c r="A65" s="79"/>
      <c r="B65" s="75"/>
      <c r="C65" s="112" t="str">
        <f>C64</f>
        <v>Bacia sanitaria convencional,inclusive assento,conjunto de fixação,anel de vedação,tubo de ligação com acabamento cromado e engate plástico</v>
      </c>
      <c r="D65" s="113" t="str">
        <f>D64</f>
        <v>U N</v>
      </c>
      <c r="E65" s="77">
        <f>164.42*N12</f>
        <v>164.42</v>
      </c>
      <c r="F65" s="71">
        <v>365.63400000000001</v>
      </c>
      <c r="G65" s="98">
        <v>1</v>
      </c>
      <c r="H65" s="77"/>
      <c r="I65" s="77">
        <f>E65*G65</f>
        <v>164.42</v>
      </c>
      <c r="J65" s="85"/>
      <c r="K65" s="99">
        <v>0.27079999999999999</v>
      </c>
      <c r="L65" s="107">
        <f t="shared" si="1"/>
        <v>1.4842</v>
      </c>
    </row>
    <row r="66" spans="1:14" s="88" customFormat="1" x14ac:dyDescent="0.2">
      <c r="A66" s="79"/>
      <c r="B66" s="75"/>
      <c r="C66" s="112" t="s">
        <v>344</v>
      </c>
      <c r="D66" s="113" t="s">
        <v>336</v>
      </c>
      <c r="E66" s="77">
        <f>5.21*N12</f>
        <v>5.21</v>
      </c>
      <c r="F66" s="71"/>
      <c r="G66" s="98">
        <v>0.5</v>
      </c>
      <c r="H66" s="77">
        <v>0.52100000000000002</v>
      </c>
      <c r="I66" s="82"/>
      <c r="J66" s="85"/>
      <c r="K66" s="99">
        <v>0.27079999999999999</v>
      </c>
      <c r="L66" s="107">
        <f t="shared" si="1"/>
        <v>1.4842</v>
      </c>
    </row>
    <row r="67" spans="1:14" s="88" customFormat="1" x14ac:dyDescent="0.2">
      <c r="A67" s="79"/>
      <c r="B67" s="75"/>
      <c r="C67" s="112" t="s">
        <v>345</v>
      </c>
      <c r="D67" s="113" t="s">
        <v>336</v>
      </c>
      <c r="E67" s="77">
        <f>3.77*N12</f>
        <v>3.77</v>
      </c>
      <c r="F67" s="71"/>
      <c r="G67" s="98">
        <v>0.5</v>
      </c>
      <c r="H67" s="77">
        <v>0.377</v>
      </c>
      <c r="I67" s="82"/>
      <c r="J67" s="85"/>
      <c r="K67" s="99">
        <v>0.27079999999999999</v>
      </c>
      <c r="L67" s="107">
        <f t="shared" si="1"/>
        <v>1.4842</v>
      </c>
    </row>
    <row r="68" spans="1:14" s="88" customFormat="1" x14ac:dyDescent="0.2">
      <c r="A68" s="79"/>
      <c r="B68" s="75"/>
      <c r="C68" s="112"/>
      <c r="D68" s="113"/>
      <c r="E68" s="77"/>
      <c r="F68" s="71"/>
      <c r="G68" s="98"/>
      <c r="H68" s="77"/>
      <c r="I68" s="77"/>
      <c r="J68" s="85"/>
      <c r="K68" s="99">
        <v>0.27079999999999999</v>
      </c>
      <c r="L68" s="107">
        <f t="shared" si="1"/>
        <v>1.4842</v>
      </c>
    </row>
    <row r="69" spans="1:14" s="88" customFormat="1" x14ac:dyDescent="0.2">
      <c r="A69" s="79"/>
      <c r="B69" s="75"/>
      <c r="C69" s="112"/>
      <c r="D69" s="113"/>
      <c r="E69" s="361" t="str">
        <f>E58</f>
        <v>Custo Direto</v>
      </c>
      <c r="F69" s="361"/>
      <c r="G69" s="361"/>
      <c r="H69" s="114">
        <f>SUM(H66:H68)</f>
        <v>0.89800000000000002</v>
      </c>
      <c r="I69" s="114">
        <f>SUM(I65:I68)</f>
        <v>164.42</v>
      </c>
      <c r="J69" s="85"/>
      <c r="K69" s="99">
        <v>0.27079999999999999</v>
      </c>
      <c r="L69" s="107">
        <f t="shared" si="1"/>
        <v>1.4842</v>
      </c>
    </row>
    <row r="70" spans="1:14" s="88" customFormat="1" x14ac:dyDescent="0.2">
      <c r="A70" s="79"/>
      <c r="B70" s="75"/>
      <c r="C70" s="112"/>
      <c r="D70" s="113"/>
      <c r="E70" s="361" t="str">
        <f>E59</f>
        <v>LS(%): 148,42</v>
      </c>
      <c r="F70" s="361"/>
      <c r="G70" s="361"/>
      <c r="H70" s="77">
        <f>H69*L70</f>
        <v>1.3328116000000001</v>
      </c>
      <c r="I70" s="82"/>
      <c r="J70" s="85"/>
      <c r="K70" s="99">
        <v>0.27079999999999999</v>
      </c>
      <c r="L70" s="107">
        <f t="shared" si="1"/>
        <v>1.4842</v>
      </c>
    </row>
    <row r="71" spans="1:14" s="88" customFormat="1" x14ac:dyDescent="0.2">
      <c r="A71" s="79"/>
      <c r="B71" s="75"/>
      <c r="C71" s="112"/>
      <c r="D71" s="113"/>
      <c r="E71" s="361" t="str">
        <f>E60</f>
        <v>BDI (%): 27,08</v>
      </c>
      <c r="F71" s="361"/>
      <c r="G71" s="361"/>
      <c r="H71" s="362">
        <f>(H69+I69+H70)*K71</f>
        <v>45.129039781279999</v>
      </c>
      <c r="I71" s="362"/>
      <c r="J71" s="85"/>
      <c r="K71" s="99">
        <v>0.27079999999999999</v>
      </c>
      <c r="L71" s="107">
        <f t="shared" si="1"/>
        <v>1.4842</v>
      </c>
    </row>
    <row r="72" spans="1:14" s="88" customFormat="1" x14ac:dyDescent="0.2">
      <c r="A72" s="79"/>
      <c r="B72" s="75"/>
      <c r="C72" s="112"/>
      <c r="D72" s="113"/>
      <c r="E72" s="361" t="str">
        <f>E61</f>
        <v>Valor Total c/ Taxas</v>
      </c>
      <c r="F72" s="361"/>
      <c r="G72" s="361"/>
      <c r="H72" s="77"/>
      <c r="I72" s="114">
        <f>(H69+I69+H70+H71)</f>
        <v>211.77985138128</v>
      </c>
      <c r="J72" s="85"/>
      <c r="K72" s="99">
        <v>0.27079999999999999</v>
      </c>
      <c r="L72" s="107">
        <f t="shared" si="1"/>
        <v>1.4842</v>
      </c>
      <c r="N72" s="330">
        <v>211.78</v>
      </c>
    </row>
    <row r="73" spans="1:14" s="88" customFormat="1" x14ac:dyDescent="0.2">
      <c r="A73" s="79"/>
      <c r="B73" s="75"/>
      <c r="C73" s="112"/>
      <c r="D73" s="113"/>
      <c r="E73" s="77"/>
      <c r="F73" s="71"/>
      <c r="G73" s="98"/>
      <c r="H73" s="77"/>
      <c r="I73" s="77"/>
      <c r="J73" s="85"/>
      <c r="K73" s="99">
        <v>0.27079999999999999</v>
      </c>
      <c r="L73" s="107">
        <f t="shared" si="1"/>
        <v>1.4842</v>
      </c>
    </row>
    <row r="74" spans="1:14" s="118" customFormat="1" ht="38.25" x14ac:dyDescent="0.2">
      <c r="A74" s="130"/>
      <c r="B74" s="125" t="str">
        <f>ORÇAMENTO!A30</f>
        <v>3.2.2</v>
      </c>
      <c r="C74" s="96" t="str">
        <f>ORÇAMENTO!B30</f>
        <v>Bacia sanitaria com caixa de descarga acoplada,inclusive assento,conjunto de fixação,anel de vedação,tubo de ligação e engate plástico conforme especificações</v>
      </c>
      <c r="D74" s="97" t="str">
        <f>D64</f>
        <v>U N</v>
      </c>
      <c r="E74" s="77"/>
      <c r="F74" s="71"/>
      <c r="G74" s="98"/>
      <c r="H74" s="77"/>
      <c r="I74" s="77"/>
      <c r="J74" s="117"/>
      <c r="K74" s="99">
        <v>0.27079999999999999</v>
      </c>
      <c r="L74" s="107">
        <f t="shared" si="1"/>
        <v>1.4842</v>
      </c>
    </row>
    <row r="75" spans="1:14" s="88" customFormat="1" ht="38.25" x14ac:dyDescent="0.2">
      <c r="A75" s="79"/>
      <c r="B75" s="75"/>
      <c r="C75" s="112" t="str">
        <f>C74</f>
        <v>Bacia sanitaria com caixa de descarga acoplada,inclusive assento,conjunto de fixação,anel de vedação,tubo de ligação e engate plástico conforme especificações</v>
      </c>
      <c r="D75" s="113" t="str">
        <f>D74</f>
        <v>U N</v>
      </c>
      <c r="E75" s="77">
        <f>225.88*N12</f>
        <v>225.88</v>
      </c>
      <c r="F75" s="71">
        <v>70.45</v>
      </c>
      <c r="G75" s="84">
        <v>1</v>
      </c>
      <c r="H75" s="77"/>
      <c r="I75" s="77">
        <f>E75*G75</f>
        <v>225.88</v>
      </c>
      <c r="J75" s="85"/>
      <c r="K75" s="99">
        <v>0.27079999999999999</v>
      </c>
      <c r="L75" s="107">
        <f t="shared" si="1"/>
        <v>1.4842</v>
      </c>
    </row>
    <row r="76" spans="1:14" s="88" customFormat="1" x14ac:dyDescent="0.2">
      <c r="A76" s="79"/>
      <c r="B76" s="75"/>
      <c r="C76" s="112" t="s">
        <v>344</v>
      </c>
      <c r="D76" s="113" t="s">
        <v>336</v>
      </c>
      <c r="E76" s="77">
        <f>5.21*N12</f>
        <v>5.21</v>
      </c>
      <c r="F76" s="71"/>
      <c r="G76" s="98">
        <v>0.5</v>
      </c>
      <c r="H76" s="77">
        <v>0.52100000000000002</v>
      </c>
      <c r="I76" s="82"/>
      <c r="J76" s="85"/>
      <c r="K76" s="99">
        <v>0.27079999999999999</v>
      </c>
      <c r="L76" s="107">
        <f t="shared" si="1"/>
        <v>1.4842</v>
      </c>
    </row>
    <row r="77" spans="1:14" s="88" customFormat="1" x14ac:dyDescent="0.2">
      <c r="A77" s="79"/>
      <c r="B77" s="75"/>
      <c r="C77" s="112" t="s">
        <v>345</v>
      </c>
      <c r="D77" s="113" t="s">
        <v>336</v>
      </c>
      <c r="E77" s="77">
        <f>3.77*N12</f>
        <v>3.77</v>
      </c>
      <c r="F77" s="71"/>
      <c r="G77" s="98">
        <v>0.5</v>
      </c>
      <c r="H77" s="77">
        <v>0.377</v>
      </c>
      <c r="I77" s="82"/>
      <c r="J77" s="85"/>
      <c r="K77" s="99">
        <v>0.27079999999999999</v>
      </c>
      <c r="L77" s="107">
        <f t="shared" si="1"/>
        <v>1.4842</v>
      </c>
    </row>
    <row r="78" spans="1:14" s="88" customFormat="1" x14ac:dyDescent="0.2">
      <c r="A78" s="79"/>
      <c r="B78" s="75"/>
      <c r="C78" s="112"/>
      <c r="D78" s="113"/>
      <c r="E78" s="77"/>
      <c r="F78" s="71"/>
      <c r="G78" s="84"/>
      <c r="H78" s="77"/>
      <c r="I78" s="77"/>
      <c r="J78" s="85"/>
      <c r="K78" s="99">
        <v>0.27079999999999999</v>
      </c>
      <c r="L78" s="107">
        <f t="shared" si="1"/>
        <v>1.4842</v>
      </c>
    </row>
    <row r="79" spans="1:14" s="88" customFormat="1" x14ac:dyDescent="0.2">
      <c r="A79" s="79"/>
      <c r="B79" s="75"/>
      <c r="C79" s="112"/>
      <c r="D79" s="113"/>
      <c r="E79" s="361" t="str">
        <f>E69</f>
        <v>Custo Direto</v>
      </c>
      <c r="F79" s="361"/>
      <c r="G79" s="361"/>
      <c r="H79" s="114"/>
      <c r="I79" s="114">
        <f>SUM(I75:I78)</f>
        <v>225.88</v>
      </c>
      <c r="J79" s="85"/>
      <c r="K79" s="99">
        <v>0.27079999999999999</v>
      </c>
      <c r="L79" s="107">
        <f t="shared" si="1"/>
        <v>1.4842</v>
      </c>
    </row>
    <row r="80" spans="1:14" s="88" customFormat="1" x14ac:dyDescent="0.2">
      <c r="A80" s="79"/>
      <c r="B80" s="75"/>
      <c r="C80" s="112"/>
      <c r="D80" s="113"/>
      <c r="E80" s="361" t="str">
        <f>E70</f>
        <v>LS(%): 148,42</v>
      </c>
      <c r="F80" s="361"/>
      <c r="G80" s="361"/>
      <c r="H80" s="77"/>
      <c r="I80" s="82"/>
      <c r="J80" s="85"/>
      <c r="K80" s="99">
        <v>0.27079999999999999</v>
      </c>
      <c r="L80" s="107">
        <f t="shared" si="1"/>
        <v>1.4842</v>
      </c>
    </row>
    <row r="81" spans="1:14" s="88" customFormat="1" x14ac:dyDescent="0.2">
      <c r="A81" s="79"/>
      <c r="B81" s="75"/>
      <c r="C81" s="112"/>
      <c r="D81" s="113"/>
      <c r="E81" s="361" t="str">
        <f>E71</f>
        <v>BDI (%): 27,08</v>
      </c>
      <c r="F81" s="361"/>
      <c r="G81" s="361"/>
      <c r="H81" s="362">
        <f>(H79+I79+H80)*K81</f>
        <v>61.168303999999992</v>
      </c>
      <c r="I81" s="362"/>
      <c r="J81" s="85"/>
      <c r="K81" s="99">
        <v>0.27079999999999999</v>
      </c>
      <c r="L81" s="107">
        <f t="shared" si="1"/>
        <v>1.4842</v>
      </c>
    </row>
    <row r="82" spans="1:14" s="88" customFormat="1" x14ac:dyDescent="0.2">
      <c r="A82" s="79"/>
      <c r="B82" s="75"/>
      <c r="C82" s="112"/>
      <c r="D82" s="113"/>
      <c r="E82" s="361" t="str">
        <f>E72</f>
        <v>Valor Total c/ Taxas</v>
      </c>
      <c r="F82" s="361"/>
      <c r="G82" s="361"/>
      <c r="H82" s="77"/>
      <c r="I82" s="114">
        <f>(H79+I79+H80+H81)</f>
        <v>287.04830399999997</v>
      </c>
      <c r="J82" s="85"/>
      <c r="K82" s="99">
        <v>0.27079999999999999</v>
      </c>
      <c r="L82" s="107">
        <f t="shared" ref="L82:L145" si="4">L81</f>
        <v>1.4842</v>
      </c>
      <c r="N82" s="330">
        <v>287.04830399999997</v>
      </c>
    </row>
    <row r="83" spans="1:14" s="88" customFormat="1" x14ac:dyDescent="0.2">
      <c r="A83" s="79"/>
      <c r="B83" s="75"/>
      <c r="C83" s="112"/>
      <c r="D83" s="113"/>
      <c r="E83" s="77"/>
      <c r="F83" s="71"/>
      <c r="G83" s="98"/>
      <c r="H83" s="77"/>
      <c r="I83" s="77"/>
      <c r="J83" s="85"/>
      <c r="K83" s="99">
        <v>0.27079999999999999</v>
      </c>
      <c r="L83" s="107">
        <f t="shared" si="4"/>
        <v>1.4842</v>
      </c>
    </row>
    <row r="84" spans="1:14" s="118" customFormat="1" ht="38.25" x14ac:dyDescent="0.2">
      <c r="A84" s="130"/>
      <c r="B84" s="125" t="str">
        <f>ORÇAMENTO!A31</f>
        <v>3.2.3</v>
      </c>
      <c r="C84" s="96" t="str">
        <f>ORÇAMENTO!B31</f>
        <v>Lavatório  com coluna,com sifão plástico,engate plástico torneira de metal,vávula cromada,conjunto de fixação,conforme especificações</v>
      </c>
      <c r="D84" s="97" t="str">
        <f>D74</f>
        <v>U N</v>
      </c>
      <c r="E84" s="77"/>
      <c r="F84" s="71"/>
      <c r="G84" s="98"/>
      <c r="H84" s="77"/>
      <c r="I84" s="77"/>
      <c r="J84" s="117"/>
      <c r="K84" s="99">
        <v>0.27079999999999999</v>
      </c>
      <c r="L84" s="107">
        <f t="shared" si="4"/>
        <v>1.4842</v>
      </c>
    </row>
    <row r="85" spans="1:14" s="88" customFormat="1" ht="38.25" x14ac:dyDescent="0.2">
      <c r="A85" s="79"/>
      <c r="B85" s="75"/>
      <c r="C85" s="112" t="str">
        <f>C84</f>
        <v>Lavatório  com coluna,com sifão plástico,engate plástico torneira de metal,vávula cromada,conjunto de fixação,conforme especificações</v>
      </c>
      <c r="D85" s="113" t="str">
        <f>D84</f>
        <v>U N</v>
      </c>
      <c r="E85" s="77">
        <f>311.853*N12</f>
        <v>311.85300000000001</v>
      </c>
      <c r="F85" s="71">
        <v>0.85</v>
      </c>
      <c r="G85" s="84">
        <v>1</v>
      </c>
      <c r="H85" s="77"/>
      <c r="I85" s="77">
        <f>E85*G85</f>
        <v>311.85300000000001</v>
      </c>
      <c r="J85" s="85"/>
      <c r="K85" s="99">
        <v>0.27079999999999999</v>
      </c>
      <c r="L85" s="107">
        <f t="shared" si="4"/>
        <v>1.4842</v>
      </c>
    </row>
    <row r="86" spans="1:14" s="88" customFormat="1" x14ac:dyDescent="0.2">
      <c r="A86" s="79"/>
      <c r="B86" s="75"/>
      <c r="C86" s="112" t="s">
        <v>344</v>
      </c>
      <c r="D86" s="113" t="s">
        <v>336</v>
      </c>
      <c r="E86" s="77">
        <f>5.21*N12</f>
        <v>5.21</v>
      </c>
      <c r="F86" s="71"/>
      <c r="G86" s="98">
        <v>0.5</v>
      </c>
      <c r="H86" s="77">
        <f>E86*G86</f>
        <v>2.605</v>
      </c>
      <c r="I86" s="82"/>
      <c r="J86" s="85"/>
      <c r="K86" s="99">
        <v>0.27079999999999999</v>
      </c>
      <c r="L86" s="107">
        <f t="shared" si="4"/>
        <v>1.4842</v>
      </c>
    </row>
    <row r="87" spans="1:14" s="88" customFormat="1" x14ac:dyDescent="0.2">
      <c r="A87" s="79"/>
      <c r="B87" s="75"/>
      <c r="C87" s="112" t="s">
        <v>345</v>
      </c>
      <c r="D87" s="113" t="s">
        <v>336</v>
      </c>
      <c r="E87" s="77">
        <f>3.77*N12</f>
        <v>3.77</v>
      </c>
      <c r="F87" s="71"/>
      <c r="G87" s="98">
        <v>0.5</v>
      </c>
      <c r="H87" s="77">
        <f>E87*G87</f>
        <v>1.885</v>
      </c>
      <c r="I87" s="82"/>
      <c r="J87" s="85"/>
      <c r="K87" s="99">
        <v>0.27079999999999999</v>
      </c>
      <c r="L87" s="107">
        <f t="shared" si="4"/>
        <v>1.4842</v>
      </c>
    </row>
    <row r="88" spans="1:14" s="88" customFormat="1" x14ac:dyDescent="0.2">
      <c r="A88" s="79"/>
      <c r="B88" s="75"/>
      <c r="C88" s="112"/>
      <c r="D88" s="113"/>
      <c r="E88" s="77"/>
      <c r="F88" s="71"/>
      <c r="G88" s="98"/>
      <c r="H88" s="77"/>
      <c r="I88" s="77"/>
      <c r="J88" s="85"/>
      <c r="K88" s="99">
        <v>0.27079999999999999</v>
      </c>
      <c r="L88" s="107">
        <f t="shared" si="4"/>
        <v>1.4842</v>
      </c>
    </row>
    <row r="89" spans="1:14" s="88" customFormat="1" x14ac:dyDescent="0.2">
      <c r="A89" s="79"/>
      <c r="B89" s="75"/>
      <c r="C89" s="112"/>
      <c r="D89" s="113"/>
      <c r="E89" s="361" t="str">
        <f>E79</f>
        <v>Custo Direto</v>
      </c>
      <c r="F89" s="361"/>
      <c r="G89" s="361"/>
      <c r="H89" s="114">
        <f>SUM(H85:H88)</f>
        <v>4.49</v>
      </c>
      <c r="I89" s="114">
        <f>SUM(I85:I88)</f>
        <v>311.85300000000001</v>
      </c>
      <c r="J89" s="85"/>
      <c r="K89" s="99">
        <v>0.27079999999999999</v>
      </c>
      <c r="L89" s="107">
        <f t="shared" si="4"/>
        <v>1.4842</v>
      </c>
    </row>
    <row r="90" spans="1:14" s="88" customFormat="1" x14ac:dyDescent="0.2">
      <c r="A90" s="79"/>
      <c r="B90" s="75"/>
      <c r="C90" s="112"/>
      <c r="D90" s="113"/>
      <c r="E90" s="361" t="str">
        <f>E80</f>
        <v>LS(%): 148,42</v>
      </c>
      <c r="F90" s="361"/>
      <c r="G90" s="361"/>
      <c r="H90" s="77">
        <f>H89*L90</f>
        <v>6.6640579999999998</v>
      </c>
      <c r="I90" s="82"/>
      <c r="J90" s="85"/>
      <c r="K90" s="99">
        <v>0.27079999999999999</v>
      </c>
      <c r="L90" s="107">
        <f t="shared" si="4"/>
        <v>1.4842</v>
      </c>
    </row>
    <row r="91" spans="1:14" s="88" customFormat="1" x14ac:dyDescent="0.2">
      <c r="A91" s="79"/>
      <c r="B91" s="75"/>
      <c r="C91" s="112"/>
      <c r="D91" s="113"/>
      <c r="E91" s="361" t="str">
        <f>E81</f>
        <v>BDI (%): 27,08</v>
      </c>
      <c r="F91" s="361"/>
      <c r="G91" s="361"/>
      <c r="H91" s="362">
        <f>(H89+I89+H90)*K91</f>
        <v>87.470311306400006</v>
      </c>
      <c r="I91" s="362"/>
      <c r="J91" s="85"/>
      <c r="K91" s="99">
        <v>0.27079999999999999</v>
      </c>
      <c r="L91" s="107">
        <f t="shared" si="4"/>
        <v>1.4842</v>
      </c>
    </row>
    <row r="92" spans="1:14" s="88" customFormat="1" x14ac:dyDescent="0.2">
      <c r="A92" s="79"/>
      <c r="B92" s="75"/>
      <c r="C92" s="112"/>
      <c r="D92" s="113"/>
      <c r="E92" s="361" t="str">
        <f>E82</f>
        <v>Valor Total c/ Taxas</v>
      </c>
      <c r="F92" s="361"/>
      <c r="G92" s="361"/>
      <c r="H92" s="77"/>
      <c r="I92" s="114">
        <f>(H89+I89+H90+H91)</f>
        <v>410.47736930640002</v>
      </c>
      <c r="J92" s="85"/>
      <c r="K92" s="99">
        <v>0.27079999999999999</v>
      </c>
      <c r="L92" s="107">
        <f t="shared" si="4"/>
        <v>1.4842</v>
      </c>
      <c r="N92" s="330">
        <v>410.48</v>
      </c>
    </row>
    <row r="93" spans="1:14" s="88" customFormat="1" x14ac:dyDescent="0.2">
      <c r="A93" s="79"/>
      <c r="B93" s="153"/>
      <c r="C93" s="112"/>
      <c r="D93" s="113"/>
      <c r="E93" s="77"/>
      <c r="F93" s="71"/>
      <c r="G93" s="98"/>
      <c r="H93" s="77"/>
      <c r="I93" s="77"/>
      <c r="J93" s="85"/>
      <c r="K93" s="99">
        <v>0.27079999999999999</v>
      </c>
      <c r="L93" s="107">
        <f t="shared" si="4"/>
        <v>1.4842</v>
      </c>
    </row>
    <row r="94" spans="1:14" s="118" customFormat="1" ht="38.25" x14ac:dyDescent="0.2">
      <c r="A94" s="130"/>
      <c r="B94" s="125" t="str">
        <f>ORÇAMENTO!A32</f>
        <v>3.2.4</v>
      </c>
      <c r="C94" s="96" t="str">
        <f>ORÇAMENTO!B32</f>
        <v>Lavatório sem coluna,com sifão plático,engate plástico torneira de metal,válvula cromada,conjunto de fixação,conforme especificações para PNE</v>
      </c>
      <c r="D94" s="97" t="str">
        <f>D84</f>
        <v>U N</v>
      </c>
      <c r="E94" s="77"/>
      <c r="F94" s="71"/>
      <c r="G94" s="98"/>
      <c r="H94" s="77"/>
      <c r="I94" s="77"/>
      <c r="J94" s="117"/>
      <c r="K94" s="99">
        <v>0.27079999999999999</v>
      </c>
      <c r="L94" s="107">
        <f t="shared" si="4"/>
        <v>1.4842</v>
      </c>
    </row>
    <row r="95" spans="1:14" s="88" customFormat="1" ht="38.25" x14ac:dyDescent="0.2">
      <c r="A95" s="79"/>
      <c r="B95" s="75"/>
      <c r="C95" s="112" t="str">
        <f>C94</f>
        <v>Lavatório sem coluna,com sifão plático,engate plástico torneira de metal,válvula cromada,conjunto de fixação,conforme especificações para PNE</v>
      </c>
      <c r="D95" s="113" t="str">
        <f>D94</f>
        <v>U N</v>
      </c>
      <c r="E95" s="77">
        <f>97.85*N12</f>
        <v>97.85</v>
      </c>
      <c r="F95" s="71">
        <v>2.7</v>
      </c>
      <c r="G95" s="84">
        <v>1</v>
      </c>
      <c r="H95" s="77"/>
      <c r="I95" s="77">
        <f>E95*G95</f>
        <v>97.85</v>
      </c>
      <c r="J95" s="85"/>
      <c r="K95" s="99">
        <v>0.27079999999999999</v>
      </c>
      <c r="L95" s="107">
        <f t="shared" si="4"/>
        <v>1.4842</v>
      </c>
    </row>
    <row r="96" spans="1:14" s="88" customFormat="1" x14ac:dyDescent="0.2">
      <c r="A96" s="79"/>
      <c r="B96" s="75"/>
      <c r="C96" s="112" t="s">
        <v>344</v>
      </c>
      <c r="D96" s="113" t="s">
        <v>336</v>
      </c>
      <c r="E96" s="77">
        <f>5.21*N12</f>
        <v>5.21</v>
      </c>
      <c r="F96" s="71"/>
      <c r="G96" s="98">
        <v>0.5</v>
      </c>
      <c r="H96" s="77">
        <f>E96*G96</f>
        <v>2.605</v>
      </c>
      <c r="I96" s="82"/>
      <c r="J96" s="85"/>
      <c r="K96" s="99">
        <v>0.27079999999999999</v>
      </c>
      <c r="L96" s="107">
        <f t="shared" si="4"/>
        <v>1.4842</v>
      </c>
    </row>
    <row r="97" spans="1:14" s="88" customFormat="1" x14ac:dyDescent="0.2">
      <c r="A97" s="79"/>
      <c r="B97" s="75"/>
      <c r="C97" s="112" t="s">
        <v>345</v>
      </c>
      <c r="D97" s="113" t="s">
        <v>336</v>
      </c>
      <c r="E97" s="77">
        <f>3.77*N12</f>
        <v>3.77</v>
      </c>
      <c r="F97" s="71"/>
      <c r="G97" s="98">
        <v>0.5</v>
      </c>
      <c r="H97" s="77">
        <f>E97*G97</f>
        <v>1.885</v>
      </c>
      <c r="I97" s="82"/>
      <c r="J97" s="85"/>
      <c r="K97" s="99">
        <v>0.27079999999999999</v>
      </c>
      <c r="L97" s="107">
        <f t="shared" si="4"/>
        <v>1.4842</v>
      </c>
    </row>
    <row r="98" spans="1:14" s="88" customFormat="1" x14ac:dyDescent="0.2">
      <c r="A98" s="79"/>
      <c r="B98" s="75"/>
      <c r="C98" s="112"/>
      <c r="D98" s="113"/>
      <c r="E98" s="77"/>
      <c r="F98" s="71"/>
      <c r="G98" s="98"/>
      <c r="H98" s="77"/>
      <c r="I98" s="77"/>
      <c r="J98" s="85"/>
      <c r="K98" s="99">
        <v>0.27079999999999999</v>
      </c>
      <c r="L98" s="107">
        <f>L95</f>
        <v>1.4842</v>
      </c>
    </row>
    <row r="99" spans="1:14" s="88" customFormat="1" x14ac:dyDescent="0.2">
      <c r="A99" s="79"/>
      <c r="B99" s="75"/>
      <c r="C99" s="112"/>
      <c r="D99" s="113"/>
      <c r="E99" s="361" t="str">
        <f>E89</f>
        <v>Custo Direto</v>
      </c>
      <c r="F99" s="361"/>
      <c r="G99" s="361"/>
      <c r="H99" s="114">
        <f>SUM(H95:H97)</f>
        <v>4.49</v>
      </c>
      <c r="I99" s="114">
        <f>SUM(I95:I95)</f>
        <v>97.85</v>
      </c>
      <c r="J99" s="85"/>
      <c r="K99" s="99">
        <v>0.27079999999999999</v>
      </c>
      <c r="L99" s="107">
        <f t="shared" si="4"/>
        <v>1.4842</v>
      </c>
    </row>
    <row r="100" spans="1:14" s="88" customFormat="1" x14ac:dyDescent="0.2">
      <c r="A100" s="79"/>
      <c r="B100" s="75"/>
      <c r="C100" s="112"/>
      <c r="D100" s="113"/>
      <c r="E100" s="361" t="str">
        <f>E90</f>
        <v>LS(%): 148,42</v>
      </c>
      <c r="F100" s="361"/>
      <c r="G100" s="361"/>
      <c r="H100" s="77">
        <f>H99*L100</f>
        <v>6.6640579999999998</v>
      </c>
      <c r="I100" s="82"/>
      <c r="J100" s="85"/>
      <c r="K100" s="99">
        <v>0.27079999999999999</v>
      </c>
      <c r="L100" s="107">
        <f t="shared" si="4"/>
        <v>1.4842</v>
      </c>
    </row>
    <row r="101" spans="1:14" s="88" customFormat="1" x14ac:dyDescent="0.2">
      <c r="A101" s="79"/>
      <c r="B101" s="75"/>
      <c r="C101" s="112"/>
      <c r="D101" s="113"/>
      <c r="E101" s="361" t="str">
        <f>E91</f>
        <v>BDI (%): 27,08</v>
      </c>
      <c r="F101" s="361"/>
      <c r="G101" s="361"/>
      <c r="H101" s="362">
        <f>(H99+I99+H100)*K101</f>
        <v>29.518298906399995</v>
      </c>
      <c r="I101" s="362"/>
      <c r="J101" s="85"/>
      <c r="K101" s="99">
        <v>0.27079999999999999</v>
      </c>
      <c r="L101" s="107">
        <f t="shared" si="4"/>
        <v>1.4842</v>
      </c>
    </row>
    <row r="102" spans="1:14" s="88" customFormat="1" x14ac:dyDescent="0.2">
      <c r="A102" s="79"/>
      <c r="B102" s="75"/>
      <c r="C102" s="112"/>
      <c r="D102" s="113"/>
      <c r="E102" s="361" t="str">
        <f>E92</f>
        <v>Valor Total c/ Taxas</v>
      </c>
      <c r="F102" s="361"/>
      <c r="G102" s="361"/>
      <c r="H102" s="77"/>
      <c r="I102" s="114">
        <f>(H99+I99+H100+H101)</f>
        <v>138.52235690639998</v>
      </c>
      <c r="J102" s="85"/>
      <c r="K102" s="99">
        <v>0.27079999999999999</v>
      </c>
      <c r="L102" s="107">
        <f t="shared" si="4"/>
        <v>1.4842</v>
      </c>
      <c r="N102" s="330">
        <v>138.52000000000001</v>
      </c>
    </row>
    <row r="103" spans="1:14" s="88" customFormat="1" x14ac:dyDescent="0.2">
      <c r="A103" s="79"/>
      <c r="B103" s="75"/>
      <c r="C103" s="112"/>
      <c r="D103" s="113"/>
      <c r="E103" s="77"/>
      <c r="F103" s="71"/>
      <c r="G103" s="98"/>
      <c r="H103" s="77"/>
      <c r="I103" s="77"/>
      <c r="J103" s="85"/>
      <c r="K103" s="99">
        <v>0.27079999999999999</v>
      </c>
      <c r="L103" s="107">
        <f t="shared" si="4"/>
        <v>1.4842</v>
      </c>
    </row>
    <row r="104" spans="1:14" s="88" customFormat="1" ht="38.25" x14ac:dyDescent="0.2">
      <c r="A104" s="79"/>
      <c r="B104" s="153" t="str">
        <f>ORÇAMENTO!A33</f>
        <v>3.2.5</v>
      </c>
      <c r="C104" s="112" t="str">
        <f>ORÇAMENTO!B33</f>
        <v>Cuba de sobrepor oval,p/instalação em bancadas,c/ sifão cromado,torneira de metal,engate plástico conforme especificações</v>
      </c>
      <c r="D104" s="97" t="str">
        <f>D94</f>
        <v>U N</v>
      </c>
      <c r="E104" s="77"/>
      <c r="F104" s="71"/>
      <c r="G104" s="98"/>
      <c r="H104" s="77"/>
      <c r="I104" s="77"/>
      <c r="J104" s="85"/>
      <c r="K104" s="99">
        <v>0.27079999999999999</v>
      </c>
      <c r="L104" s="107">
        <f t="shared" si="4"/>
        <v>1.4842</v>
      </c>
    </row>
    <row r="105" spans="1:14" s="88" customFormat="1" ht="38.25" x14ac:dyDescent="0.2">
      <c r="A105" s="79"/>
      <c r="B105" s="75"/>
      <c r="C105" s="112" t="str">
        <f>C104</f>
        <v>Cuba de sobrepor oval,p/instalação em bancadas,c/ sifão cromado,torneira de metal,engate plástico conforme especificações</v>
      </c>
      <c r="D105" s="113" t="str">
        <f>D104</f>
        <v>U N</v>
      </c>
      <c r="E105" s="77">
        <f>260.38*N12</f>
        <v>260.38</v>
      </c>
      <c r="F105" s="71"/>
      <c r="G105" s="98">
        <v>1</v>
      </c>
      <c r="H105" s="77"/>
      <c r="I105" s="77">
        <f>G105*E105</f>
        <v>260.38</v>
      </c>
      <c r="J105" s="85"/>
      <c r="K105" s="99">
        <v>0.27079999999999999</v>
      </c>
      <c r="L105" s="107">
        <f t="shared" si="4"/>
        <v>1.4842</v>
      </c>
    </row>
    <row r="106" spans="1:14" s="88" customFormat="1" x14ac:dyDescent="0.2">
      <c r="A106" s="79"/>
      <c r="B106" s="75"/>
      <c r="C106" s="112" t="s">
        <v>344</v>
      </c>
      <c r="D106" s="113" t="s">
        <v>336</v>
      </c>
      <c r="E106" s="77">
        <f>5.21*N12</f>
        <v>5.21</v>
      </c>
      <c r="F106" s="71"/>
      <c r="G106" s="98">
        <v>0.5</v>
      </c>
      <c r="H106" s="77">
        <f>E106*G106</f>
        <v>2.605</v>
      </c>
      <c r="I106" s="82"/>
      <c r="J106" s="85"/>
      <c r="K106" s="99">
        <v>0.27079999999999999</v>
      </c>
      <c r="L106" s="107">
        <f t="shared" si="4"/>
        <v>1.4842</v>
      </c>
    </row>
    <row r="107" spans="1:14" s="88" customFormat="1" x14ac:dyDescent="0.2">
      <c r="A107" s="79"/>
      <c r="B107" s="75"/>
      <c r="C107" s="112" t="s">
        <v>345</v>
      </c>
      <c r="D107" s="113" t="s">
        <v>336</v>
      </c>
      <c r="E107" s="77">
        <f>3.77*N12</f>
        <v>3.77</v>
      </c>
      <c r="F107" s="71"/>
      <c r="G107" s="98">
        <v>0.5</v>
      </c>
      <c r="H107" s="77">
        <f>E107*G107</f>
        <v>1.885</v>
      </c>
      <c r="I107" s="82"/>
      <c r="J107" s="85"/>
      <c r="K107" s="99">
        <v>0.27079999999999999</v>
      </c>
      <c r="L107" s="107">
        <f t="shared" si="4"/>
        <v>1.4842</v>
      </c>
    </row>
    <row r="108" spans="1:14" s="88" customFormat="1" x14ac:dyDescent="0.2">
      <c r="A108" s="79"/>
      <c r="B108" s="75"/>
      <c r="C108" s="112"/>
      <c r="D108" s="113"/>
      <c r="E108" s="77"/>
      <c r="F108" s="71"/>
      <c r="G108" s="98"/>
      <c r="H108" s="77"/>
      <c r="I108" s="77"/>
      <c r="J108" s="85"/>
      <c r="K108" s="99">
        <v>0.27079999999999999</v>
      </c>
      <c r="L108" s="107">
        <f>L105</f>
        <v>1.4842</v>
      </c>
    </row>
    <row r="109" spans="1:14" s="88" customFormat="1" x14ac:dyDescent="0.2">
      <c r="A109" s="79"/>
      <c r="B109" s="75"/>
      <c r="C109" s="112"/>
      <c r="D109" s="113"/>
      <c r="E109" s="361" t="str">
        <f>E99</f>
        <v>Custo Direto</v>
      </c>
      <c r="F109" s="361"/>
      <c r="G109" s="361"/>
      <c r="H109" s="114">
        <f>SUM(H105:H107)</f>
        <v>4.49</v>
      </c>
      <c r="I109" s="114">
        <f>SUM(I105:I105)</f>
        <v>260.38</v>
      </c>
      <c r="J109" s="85"/>
      <c r="K109" s="99">
        <v>0.27079999999999999</v>
      </c>
      <c r="L109" s="107">
        <f t="shared" si="4"/>
        <v>1.4842</v>
      </c>
    </row>
    <row r="110" spans="1:14" s="88" customFormat="1" x14ac:dyDescent="0.2">
      <c r="A110" s="79"/>
      <c r="B110" s="75"/>
      <c r="C110" s="112"/>
      <c r="D110" s="113"/>
      <c r="E110" s="361" t="str">
        <f>E100</f>
        <v>LS(%): 148,42</v>
      </c>
      <c r="F110" s="361"/>
      <c r="G110" s="361"/>
      <c r="H110" s="77">
        <f>H109*L110</f>
        <v>6.6640579999999998</v>
      </c>
      <c r="I110" s="82"/>
      <c r="J110" s="85"/>
      <c r="K110" s="99">
        <v>0.27079999999999999</v>
      </c>
      <c r="L110" s="107">
        <f t="shared" si="4"/>
        <v>1.4842</v>
      </c>
    </row>
    <row r="111" spans="1:14" s="88" customFormat="1" x14ac:dyDescent="0.2">
      <c r="A111" s="79"/>
      <c r="B111" s="75"/>
      <c r="C111" s="112"/>
      <c r="D111" s="113"/>
      <c r="E111" s="361" t="str">
        <f>E101</f>
        <v>BDI (%): 27,08</v>
      </c>
      <c r="F111" s="361"/>
      <c r="G111" s="361"/>
      <c r="H111" s="362">
        <f>(H109+I109+H110)*K111</f>
        <v>73.531422906399996</v>
      </c>
      <c r="I111" s="362"/>
      <c r="J111" s="85"/>
      <c r="K111" s="99">
        <v>0.27079999999999999</v>
      </c>
      <c r="L111" s="107">
        <f t="shared" si="4"/>
        <v>1.4842</v>
      </c>
    </row>
    <row r="112" spans="1:14" s="88" customFormat="1" x14ac:dyDescent="0.2">
      <c r="A112" s="79"/>
      <c r="B112" s="75"/>
      <c r="C112" s="112"/>
      <c r="D112" s="113"/>
      <c r="E112" s="361" t="str">
        <f>E102</f>
        <v>Valor Total c/ Taxas</v>
      </c>
      <c r="F112" s="361"/>
      <c r="G112" s="361"/>
      <c r="H112" s="77"/>
      <c r="I112" s="114">
        <f>(H109+I109+H110+H111)</f>
        <v>345.06548090640001</v>
      </c>
      <c r="J112" s="85"/>
      <c r="K112" s="99">
        <v>0.27079999999999999</v>
      </c>
      <c r="L112" s="107">
        <f t="shared" si="4"/>
        <v>1.4842</v>
      </c>
      <c r="N112" s="330">
        <v>345.07</v>
      </c>
    </row>
    <row r="113" spans="1:14" s="88" customFormat="1" x14ac:dyDescent="0.2">
      <c r="A113" s="79"/>
      <c r="B113" s="75"/>
      <c r="C113" s="112"/>
      <c r="D113" s="113"/>
      <c r="E113" s="77"/>
      <c r="F113" s="71"/>
      <c r="G113" s="98"/>
      <c r="H113" s="77"/>
      <c r="I113" s="77"/>
      <c r="J113" s="85"/>
      <c r="K113" s="99">
        <v>0.27079999999999999</v>
      </c>
      <c r="L113" s="107">
        <f>L112</f>
        <v>1.4842</v>
      </c>
    </row>
    <row r="114" spans="1:14" s="88" customFormat="1" ht="25.5" x14ac:dyDescent="0.2">
      <c r="A114" s="79"/>
      <c r="B114" s="153" t="str">
        <f>ORÇAMENTO!A34</f>
        <v>3.2.6</v>
      </c>
      <c r="C114" s="112" t="str">
        <f>ORÇAMENTO!B34</f>
        <v>Tanque de louça com coluna,com torneira metálica,c/ válvula de plástico e conjunto de fixação,conforme especificações</v>
      </c>
      <c r="D114" s="97" t="str">
        <f>D104</f>
        <v>U N</v>
      </c>
      <c r="E114" s="77"/>
      <c r="F114" s="71"/>
      <c r="G114" s="98"/>
      <c r="H114" s="77"/>
      <c r="I114" s="77"/>
      <c r="J114" s="85"/>
      <c r="K114" s="99">
        <v>0.27079999999999999</v>
      </c>
      <c r="L114" s="107">
        <f t="shared" si="4"/>
        <v>1.4842</v>
      </c>
    </row>
    <row r="115" spans="1:14" s="88" customFormat="1" ht="25.5" x14ac:dyDescent="0.2">
      <c r="A115" s="79"/>
      <c r="B115" s="75"/>
      <c r="C115" s="112" t="str">
        <f>C114</f>
        <v>Tanque de louça com coluna,com torneira metálica,c/ válvula de plástico e conjunto de fixação,conforme especificações</v>
      </c>
      <c r="D115" s="113" t="str">
        <f>D114</f>
        <v>U N</v>
      </c>
      <c r="E115" s="77">
        <f>261.85*N12</f>
        <v>261.85000000000002</v>
      </c>
      <c r="F115" s="71">
        <v>1.2</v>
      </c>
      <c r="G115" s="98">
        <v>1</v>
      </c>
      <c r="H115" s="77"/>
      <c r="I115" s="77">
        <f>E115*G115</f>
        <v>261.85000000000002</v>
      </c>
      <c r="J115" s="85"/>
      <c r="K115" s="99">
        <v>0.27079999999999999</v>
      </c>
      <c r="L115" s="107">
        <f t="shared" si="4"/>
        <v>1.4842</v>
      </c>
    </row>
    <row r="116" spans="1:14" s="88" customFormat="1" x14ac:dyDescent="0.2">
      <c r="A116" s="79"/>
      <c r="B116" s="75"/>
      <c r="C116" s="112" t="s">
        <v>344</v>
      </c>
      <c r="D116" s="113" t="s">
        <v>336</v>
      </c>
      <c r="E116" s="77">
        <f>5.21*N12</f>
        <v>5.21</v>
      </c>
      <c r="F116" s="71"/>
      <c r="G116" s="98">
        <v>0.5</v>
      </c>
      <c r="H116" s="77">
        <f>E116*G116</f>
        <v>2.605</v>
      </c>
      <c r="I116" s="82"/>
      <c r="J116" s="85"/>
      <c r="K116" s="99">
        <v>0.27079999999999999</v>
      </c>
      <c r="L116" s="107">
        <f t="shared" si="4"/>
        <v>1.4842</v>
      </c>
    </row>
    <row r="117" spans="1:14" s="88" customFormat="1" x14ac:dyDescent="0.2">
      <c r="A117" s="79"/>
      <c r="B117" s="75"/>
      <c r="C117" s="112" t="s">
        <v>339</v>
      </c>
      <c r="D117" s="113" t="s">
        <v>336</v>
      </c>
      <c r="E117" s="77">
        <f>3.77*N12</f>
        <v>3.77</v>
      </c>
      <c r="F117" s="71"/>
      <c r="G117" s="98">
        <v>0.5</v>
      </c>
      <c r="H117" s="77">
        <f>E117*G117</f>
        <v>1.885</v>
      </c>
      <c r="I117" s="77"/>
      <c r="J117" s="85"/>
      <c r="K117" s="99">
        <v>0.27079999999999999</v>
      </c>
      <c r="L117" s="107">
        <f>L115</f>
        <v>1.4842</v>
      </c>
    </row>
    <row r="118" spans="1:14" s="88" customFormat="1" x14ac:dyDescent="0.2">
      <c r="A118" s="79"/>
      <c r="B118" s="75"/>
      <c r="C118" s="112"/>
      <c r="D118" s="113"/>
      <c r="E118" s="77"/>
      <c r="F118" s="71"/>
      <c r="G118" s="98"/>
      <c r="H118" s="77"/>
      <c r="I118" s="77"/>
      <c r="J118" s="85"/>
      <c r="K118" s="99">
        <v>0.27079999999999999</v>
      </c>
      <c r="L118" s="107">
        <f t="shared" si="4"/>
        <v>1.4842</v>
      </c>
    </row>
    <row r="119" spans="1:14" s="88" customFormat="1" x14ac:dyDescent="0.2">
      <c r="A119" s="79"/>
      <c r="B119" s="75"/>
      <c r="C119" s="112"/>
      <c r="D119" s="113"/>
      <c r="E119" s="361" t="str">
        <f>E109</f>
        <v>Custo Direto</v>
      </c>
      <c r="F119" s="361"/>
      <c r="G119" s="361"/>
      <c r="H119" s="114">
        <f>SUM(H115:H117)</f>
        <v>4.49</v>
      </c>
      <c r="I119" s="114">
        <f>SUM(I115:I117)</f>
        <v>261.85000000000002</v>
      </c>
      <c r="J119" s="85"/>
      <c r="K119" s="99">
        <v>0.27079999999999999</v>
      </c>
      <c r="L119" s="107">
        <f t="shared" si="4"/>
        <v>1.4842</v>
      </c>
    </row>
    <row r="120" spans="1:14" s="88" customFormat="1" x14ac:dyDescent="0.2">
      <c r="A120" s="79"/>
      <c r="B120" s="75"/>
      <c r="D120" s="113"/>
      <c r="E120" s="361" t="str">
        <f>E110</f>
        <v>LS(%): 148,42</v>
      </c>
      <c r="F120" s="361"/>
      <c r="G120" s="361"/>
      <c r="H120" s="77">
        <f>H119*L120</f>
        <v>6.6640579999999998</v>
      </c>
      <c r="I120" s="82"/>
      <c r="J120" s="85"/>
      <c r="K120" s="99">
        <v>0.27079999999999999</v>
      </c>
      <c r="L120" s="107">
        <f t="shared" si="4"/>
        <v>1.4842</v>
      </c>
    </row>
    <row r="121" spans="1:14" s="88" customFormat="1" x14ac:dyDescent="0.2">
      <c r="A121" s="79"/>
      <c r="B121" s="75"/>
      <c r="C121" s="112"/>
      <c r="D121" s="113"/>
      <c r="E121" s="361" t="str">
        <f>E111</f>
        <v>BDI (%): 27,08</v>
      </c>
      <c r="F121" s="361"/>
      <c r="G121" s="361"/>
      <c r="H121" s="362">
        <f>(H119+I119+H120)*K121</f>
        <v>73.929498906400013</v>
      </c>
      <c r="I121" s="362"/>
      <c r="J121" s="85"/>
      <c r="K121" s="99">
        <v>0.27079999999999999</v>
      </c>
      <c r="L121" s="107">
        <f t="shared" si="4"/>
        <v>1.4842</v>
      </c>
    </row>
    <row r="122" spans="1:14" s="88" customFormat="1" x14ac:dyDescent="0.2">
      <c r="A122" s="79"/>
      <c r="B122" s="75"/>
      <c r="C122" s="112"/>
      <c r="D122" s="113"/>
      <c r="E122" s="361" t="str">
        <f>E112</f>
        <v>Valor Total c/ Taxas</v>
      </c>
      <c r="F122" s="361"/>
      <c r="G122" s="361"/>
      <c r="H122" s="77"/>
      <c r="I122" s="114">
        <f>(H119+I119+H120+H121)</f>
        <v>346.93355690640004</v>
      </c>
      <c r="J122" s="85"/>
      <c r="K122" s="99">
        <v>0.27079999999999999</v>
      </c>
      <c r="L122" s="107">
        <f t="shared" si="4"/>
        <v>1.4842</v>
      </c>
      <c r="N122" s="330">
        <v>346.93</v>
      </c>
    </row>
    <row r="123" spans="1:14" s="88" customFormat="1" x14ac:dyDescent="0.2">
      <c r="A123" s="79"/>
      <c r="B123" s="75"/>
      <c r="C123" s="112"/>
      <c r="D123" s="113"/>
      <c r="E123" s="77"/>
      <c r="F123" s="71"/>
      <c r="G123" s="98"/>
      <c r="H123" s="77"/>
      <c r="I123" s="77"/>
      <c r="J123" s="85"/>
      <c r="K123" s="99">
        <v>0.27079999999999999</v>
      </c>
      <c r="L123" s="107">
        <f t="shared" si="4"/>
        <v>1.4842</v>
      </c>
    </row>
    <row r="124" spans="1:14" s="88" customFormat="1" x14ac:dyDescent="0.2">
      <c r="A124" s="119"/>
      <c r="B124" s="131" t="str">
        <f>ORÇAMENTO!A35</f>
        <v>3.2.7</v>
      </c>
      <c r="C124" s="96" t="str">
        <f>ORÇAMENTO!B35</f>
        <v>Papelaria de louça,conforme especificações</v>
      </c>
      <c r="D124" s="97" t="str">
        <f>D114</f>
        <v>U N</v>
      </c>
      <c r="E124" s="77"/>
      <c r="F124" s="71"/>
      <c r="G124" s="98"/>
      <c r="H124" s="77"/>
      <c r="I124" s="77"/>
      <c r="J124" s="85"/>
      <c r="K124" s="99">
        <v>0.27079999999999999</v>
      </c>
      <c r="L124" s="107">
        <f t="shared" si="4"/>
        <v>1.4842</v>
      </c>
    </row>
    <row r="125" spans="1:14" s="88" customFormat="1" x14ac:dyDescent="0.2">
      <c r="A125" s="79"/>
      <c r="B125" s="75"/>
      <c r="C125" s="112" t="str">
        <f>C124</f>
        <v>Papelaria de louça,conforme especificações</v>
      </c>
      <c r="D125" s="113" t="str">
        <f>D124</f>
        <v>U N</v>
      </c>
      <c r="E125" s="77">
        <f>20.26*N12</f>
        <v>20.260000000000002</v>
      </c>
      <c r="F125" s="71">
        <f>F115</f>
        <v>1.2</v>
      </c>
      <c r="G125" s="98">
        <v>1</v>
      </c>
      <c r="H125" s="77"/>
      <c r="I125" s="77">
        <f>E125*G125</f>
        <v>20.260000000000002</v>
      </c>
      <c r="J125" s="85"/>
      <c r="K125" s="99">
        <v>0.27079999999999999</v>
      </c>
      <c r="L125" s="107">
        <f t="shared" si="4"/>
        <v>1.4842</v>
      </c>
    </row>
    <row r="126" spans="1:14" s="88" customFormat="1" x14ac:dyDescent="0.2">
      <c r="A126" s="79"/>
      <c r="B126" s="132" t="s">
        <v>347</v>
      </c>
      <c r="C126" s="112" t="s">
        <v>338</v>
      </c>
      <c r="D126" s="113" t="s">
        <v>336</v>
      </c>
      <c r="E126" s="77">
        <f>5.21*N12</f>
        <v>5.21</v>
      </c>
      <c r="F126" s="71"/>
      <c r="G126" s="98">
        <v>0.2</v>
      </c>
      <c r="H126" s="77">
        <f>E126*G126</f>
        <v>1.042</v>
      </c>
      <c r="I126" s="82"/>
      <c r="J126" s="85"/>
      <c r="K126" s="99">
        <v>0.27079999999999999</v>
      </c>
      <c r="L126" s="107">
        <f t="shared" si="4"/>
        <v>1.4842</v>
      </c>
    </row>
    <row r="127" spans="1:14" s="88" customFormat="1" x14ac:dyDescent="0.2">
      <c r="A127" s="79"/>
      <c r="B127" s="75"/>
      <c r="C127" s="112" t="s">
        <v>339</v>
      </c>
      <c r="D127" s="113" t="s">
        <v>336</v>
      </c>
      <c r="E127" s="77">
        <f>3.77*N12</f>
        <v>3.77</v>
      </c>
      <c r="F127" s="71"/>
      <c r="G127" s="98">
        <v>0.2</v>
      </c>
      <c r="H127" s="77">
        <f>E127*G127</f>
        <v>0.754</v>
      </c>
      <c r="I127" s="77"/>
      <c r="J127" s="85"/>
      <c r="K127" s="99">
        <v>0.27079999999999999</v>
      </c>
      <c r="L127" s="107">
        <f>L125</f>
        <v>1.4842</v>
      </c>
    </row>
    <row r="128" spans="1:14" s="88" customFormat="1" x14ac:dyDescent="0.2">
      <c r="A128" s="79"/>
      <c r="B128" s="75"/>
      <c r="C128" s="112"/>
      <c r="D128" s="113"/>
      <c r="E128" s="77"/>
      <c r="F128" s="71"/>
      <c r="G128" s="98"/>
      <c r="H128" s="77"/>
      <c r="I128" s="77"/>
      <c r="J128" s="85"/>
      <c r="K128" s="99">
        <v>0.27079999999999999</v>
      </c>
      <c r="L128" s="107">
        <f t="shared" si="4"/>
        <v>1.4842</v>
      </c>
    </row>
    <row r="129" spans="1:14" s="88" customFormat="1" x14ac:dyDescent="0.2">
      <c r="A129" s="79"/>
      <c r="B129" s="75"/>
      <c r="C129" s="112"/>
      <c r="D129" s="113"/>
      <c r="E129" s="361" t="str">
        <f>E119</f>
        <v>Custo Direto</v>
      </c>
      <c r="F129" s="361"/>
      <c r="G129" s="361"/>
      <c r="H129" s="114">
        <f>SUM(H125:H127)</f>
        <v>1.796</v>
      </c>
      <c r="I129" s="114">
        <f>SUM(I125:I127)</f>
        <v>20.260000000000002</v>
      </c>
      <c r="J129" s="85"/>
      <c r="K129" s="99">
        <v>0.27079999999999999</v>
      </c>
      <c r="L129" s="107">
        <f t="shared" si="4"/>
        <v>1.4842</v>
      </c>
    </row>
    <row r="130" spans="1:14" s="88" customFormat="1" x14ac:dyDescent="0.2">
      <c r="A130" s="79"/>
      <c r="B130" s="75"/>
      <c r="C130" s="112"/>
      <c r="D130" s="113"/>
      <c r="E130" s="361" t="str">
        <f>E120</f>
        <v>LS(%): 148,42</v>
      </c>
      <c r="F130" s="361"/>
      <c r="G130" s="361"/>
      <c r="H130" s="77">
        <f>H129*L130</f>
        <v>2.6656232000000002</v>
      </c>
      <c r="I130" s="82"/>
      <c r="J130" s="85"/>
      <c r="K130" s="99">
        <v>0.27079999999999999</v>
      </c>
      <c r="L130" s="107">
        <f t="shared" si="4"/>
        <v>1.4842</v>
      </c>
    </row>
    <row r="131" spans="1:14" s="88" customFormat="1" x14ac:dyDescent="0.2">
      <c r="A131" s="79"/>
      <c r="B131" s="75"/>
      <c r="C131" s="112"/>
      <c r="D131" s="113"/>
      <c r="E131" s="361" t="str">
        <f>E121</f>
        <v>BDI (%): 27,08</v>
      </c>
      <c r="F131" s="361"/>
      <c r="G131" s="361"/>
      <c r="H131" s="362">
        <f>(H129+I129+H130)*K131</f>
        <v>6.6946155625599992</v>
      </c>
      <c r="I131" s="362"/>
      <c r="J131" s="85"/>
      <c r="K131" s="99">
        <v>0.27079999999999999</v>
      </c>
      <c r="L131" s="107">
        <f t="shared" si="4"/>
        <v>1.4842</v>
      </c>
    </row>
    <row r="132" spans="1:14" s="88" customFormat="1" x14ac:dyDescent="0.2">
      <c r="A132" s="79"/>
      <c r="B132" s="75"/>
      <c r="C132" s="112"/>
      <c r="D132" s="113"/>
      <c r="E132" s="361" t="str">
        <f>E122</f>
        <v>Valor Total c/ Taxas</v>
      </c>
      <c r="F132" s="361"/>
      <c r="G132" s="361"/>
      <c r="H132" s="77"/>
      <c r="I132" s="114">
        <f>(H129+I129+H130+H131)</f>
        <v>31.416238762559999</v>
      </c>
      <c r="J132" s="85"/>
      <c r="K132" s="99">
        <v>0.27079999999999999</v>
      </c>
      <c r="L132" s="107">
        <f t="shared" si="4"/>
        <v>1.4842</v>
      </c>
      <c r="N132" s="330">
        <v>31.42</v>
      </c>
    </row>
    <row r="133" spans="1:14" s="88" customFormat="1" x14ac:dyDescent="0.2">
      <c r="A133" s="79"/>
      <c r="B133" s="75"/>
      <c r="C133" s="112"/>
      <c r="D133" s="113"/>
      <c r="E133" s="77"/>
      <c r="F133" s="71"/>
      <c r="G133" s="98"/>
      <c r="H133" s="77"/>
      <c r="I133" s="77"/>
      <c r="J133" s="85"/>
      <c r="K133" s="99">
        <v>0.27079999999999999</v>
      </c>
      <c r="L133" s="107">
        <f t="shared" si="4"/>
        <v>1.4842</v>
      </c>
    </row>
    <row r="134" spans="1:14" s="88" customFormat="1" x14ac:dyDescent="0.2">
      <c r="A134" s="119"/>
      <c r="B134" s="131" t="str">
        <f>ORÇAMENTO!A36</f>
        <v>3.2.8</v>
      </c>
      <c r="C134" s="96" t="str">
        <f>ORÇAMENTO!B36</f>
        <v>Cabide de louça,branco,conforme especificações</v>
      </c>
      <c r="D134" s="97" t="str">
        <f>D124</f>
        <v>U N</v>
      </c>
      <c r="E134" s="77"/>
      <c r="F134" s="71"/>
      <c r="G134" s="98"/>
      <c r="H134" s="77"/>
      <c r="I134" s="77"/>
      <c r="J134" s="85"/>
      <c r="K134" s="99">
        <v>0.27079999999999999</v>
      </c>
      <c r="L134" s="107">
        <f t="shared" si="4"/>
        <v>1.4842</v>
      </c>
    </row>
    <row r="135" spans="1:14" s="88" customFormat="1" x14ac:dyDescent="0.2">
      <c r="A135" s="79"/>
      <c r="B135" s="75"/>
      <c r="C135" s="112" t="str">
        <f>C134</f>
        <v>Cabide de louça,branco,conforme especificações</v>
      </c>
      <c r="D135" s="113" t="str">
        <f>D134</f>
        <v>U N</v>
      </c>
      <c r="E135" s="77">
        <f>15.14*N12</f>
        <v>15.14</v>
      </c>
      <c r="F135" s="71">
        <v>88</v>
      </c>
      <c r="G135" s="98">
        <v>1</v>
      </c>
      <c r="H135" s="77"/>
      <c r="I135" s="77">
        <f>E135*G135</f>
        <v>15.14</v>
      </c>
      <c r="J135" s="85"/>
      <c r="K135" s="99">
        <v>0.27079999999999999</v>
      </c>
      <c r="L135" s="107">
        <f t="shared" si="4"/>
        <v>1.4842</v>
      </c>
    </row>
    <row r="136" spans="1:14" s="88" customFormat="1" x14ac:dyDescent="0.2">
      <c r="A136" s="79"/>
      <c r="B136" s="75"/>
      <c r="C136" s="112" t="s">
        <v>348</v>
      </c>
      <c r="D136" s="113" t="s">
        <v>336</v>
      </c>
      <c r="E136" s="77">
        <f>5.21*N12</f>
        <v>5.21</v>
      </c>
      <c r="F136" s="71"/>
      <c r="G136" s="98">
        <v>0.2</v>
      </c>
      <c r="H136" s="77">
        <f>E136*G136</f>
        <v>1.042</v>
      </c>
      <c r="I136" s="77"/>
      <c r="J136" s="85"/>
      <c r="K136" s="99">
        <v>0.27079999999999999</v>
      </c>
      <c r="L136" s="107">
        <f t="shared" si="4"/>
        <v>1.4842</v>
      </c>
    </row>
    <row r="137" spans="1:14" s="88" customFormat="1" x14ac:dyDescent="0.2">
      <c r="A137" s="79"/>
      <c r="B137" s="75"/>
      <c r="C137" s="112" t="s">
        <v>345</v>
      </c>
      <c r="D137" s="113" t="s">
        <v>336</v>
      </c>
      <c r="E137" s="77">
        <f>3.77*N12</f>
        <v>3.77</v>
      </c>
      <c r="F137" s="71"/>
      <c r="G137" s="98">
        <v>0.2</v>
      </c>
      <c r="H137" s="77">
        <f>E137*G137</f>
        <v>0.754</v>
      </c>
      <c r="I137" s="77"/>
      <c r="J137" s="85"/>
      <c r="K137" s="99">
        <v>0.27079999999999999</v>
      </c>
      <c r="L137" s="107">
        <f t="shared" si="4"/>
        <v>1.4842</v>
      </c>
    </row>
    <row r="138" spans="1:14" s="88" customFormat="1" x14ac:dyDescent="0.2">
      <c r="A138" s="79"/>
      <c r="B138" s="75"/>
      <c r="C138" s="112"/>
      <c r="D138" s="113"/>
      <c r="E138" s="77"/>
      <c r="F138" s="71"/>
      <c r="G138" s="98"/>
      <c r="H138" s="77"/>
      <c r="I138" s="77"/>
      <c r="J138" s="85"/>
      <c r="K138" s="99">
        <v>0.27079999999999999</v>
      </c>
      <c r="L138" s="107">
        <f t="shared" si="4"/>
        <v>1.4842</v>
      </c>
    </row>
    <row r="139" spans="1:14" s="88" customFormat="1" x14ac:dyDescent="0.2">
      <c r="A139" s="79"/>
      <c r="B139" s="75"/>
      <c r="C139" s="112"/>
      <c r="D139" s="113"/>
      <c r="E139" s="361" t="str">
        <f>E129</f>
        <v>Custo Direto</v>
      </c>
      <c r="F139" s="361"/>
      <c r="G139" s="361"/>
      <c r="H139" s="114">
        <f>SUM(H135:H137)</f>
        <v>1.796</v>
      </c>
      <c r="I139" s="114">
        <f>SUM(I135:I137)</f>
        <v>15.14</v>
      </c>
      <c r="J139" s="85"/>
      <c r="K139" s="99">
        <v>0.27079999999999999</v>
      </c>
      <c r="L139" s="107">
        <f t="shared" si="4"/>
        <v>1.4842</v>
      </c>
    </row>
    <row r="140" spans="1:14" s="88" customFormat="1" x14ac:dyDescent="0.2">
      <c r="A140" s="79"/>
      <c r="B140" s="75"/>
      <c r="C140" s="112"/>
      <c r="D140" s="113"/>
      <c r="E140" s="361" t="str">
        <f t="shared" ref="E140:E142" si="5">E130</f>
        <v>LS(%): 148,42</v>
      </c>
      <c r="F140" s="361"/>
      <c r="G140" s="361"/>
      <c r="H140" s="77">
        <f>H139*L140</f>
        <v>2.6656232000000002</v>
      </c>
      <c r="I140" s="82"/>
      <c r="J140" s="85"/>
      <c r="K140" s="99">
        <v>0.27079999999999999</v>
      </c>
      <c r="L140" s="107">
        <f t="shared" si="4"/>
        <v>1.4842</v>
      </c>
      <c r="N140" s="133"/>
    </row>
    <row r="141" spans="1:14" s="88" customFormat="1" x14ac:dyDescent="0.2">
      <c r="A141" s="79"/>
      <c r="B141" s="75"/>
      <c r="C141" s="112"/>
      <c r="D141" s="113"/>
      <c r="E141" s="361" t="str">
        <f t="shared" si="5"/>
        <v>BDI (%): 27,08</v>
      </c>
      <c r="F141" s="361"/>
      <c r="G141" s="361"/>
      <c r="H141" s="362">
        <f>(H139+I139+H140)*K141</f>
        <v>5.3081195625599991</v>
      </c>
      <c r="I141" s="362"/>
      <c r="J141" s="85"/>
      <c r="K141" s="99">
        <v>0.27079999999999999</v>
      </c>
      <c r="L141" s="107">
        <f t="shared" si="4"/>
        <v>1.4842</v>
      </c>
    </row>
    <row r="142" spans="1:14" s="88" customFormat="1" x14ac:dyDescent="0.2">
      <c r="A142" s="79"/>
      <c r="B142" s="75"/>
      <c r="C142" s="112"/>
      <c r="D142" s="113"/>
      <c r="E142" s="361" t="str">
        <f t="shared" si="5"/>
        <v>Valor Total c/ Taxas</v>
      </c>
      <c r="F142" s="361"/>
      <c r="G142" s="361"/>
      <c r="H142" s="77"/>
      <c r="I142" s="114">
        <f>(H139+I139+H140+H141)</f>
        <v>24.909742762559997</v>
      </c>
      <c r="J142" s="85"/>
      <c r="K142" s="99">
        <v>0.27079999999999999</v>
      </c>
      <c r="L142" s="107">
        <f t="shared" si="4"/>
        <v>1.4842</v>
      </c>
      <c r="N142" s="330">
        <v>24.91</v>
      </c>
    </row>
    <row r="143" spans="1:14" s="88" customFormat="1" x14ac:dyDescent="0.2">
      <c r="A143" s="79"/>
      <c r="B143" s="75"/>
      <c r="C143" s="112"/>
      <c r="D143" s="113"/>
      <c r="E143" s="77"/>
      <c r="F143" s="71"/>
      <c r="G143" s="98"/>
      <c r="H143" s="77"/>
      <c r="I143" s="77"/>
      <c r="J143" s="85"/>
      <c r="K143" s="99">
        <v>0.27079999999999999</v>
      </c>
      <c r="L143" s="107">
        <f t="shared" si="4"/>
        <v>1.4842</v>
      </c>
    </row>
    <row r="144" spans="1:14" s="88" customFormat="1" ht="16.5" customHeight="1" x14ac:dyDescent="0.2">
      <c r="A144" s="129"/>
      <c r="B144" s="125" t="str">
        <f>ORÇAMENTO!A37</f>
        <v>3.2.9</v>
      </c>
      <c r="C144" s="96" t="str">
        <f>ORÇAMENTO!B37</f>
        <v>Chuveiro eletrico de plástico</v>
      </c>
      <c r="D144" s="97" t="str">
        <f>D134</f>
        <v>U N</v>
      </c>
      <c r="E144" s="77"/>
      <c r="F144" s="71"/>
      <c r="G144" s="98"/>
      <c r="H144" s="77"/>
      <c r="I144" s="77"/>
      <c r="J144" s="85"/>
      <c r="K144" s="99">
        <v>0.27079999999999999</v>
      </c>
      <c r="L144" s="107">
        <f t="shared" si="4"/>
        <v>1.4842</v>
      </c>
    </row>
    <row r="145" spans="1:14" s="88" customFormat="1" ht="13.5" customHeight="1" x14ac:dyDescent="0.2">
      <c r="A145" s="79"/>
      <c r="B145" s="75"/>
      <c r="C145" s="112" t="str">
        <f>C144</f>
        <v>Chuveiro eletrico de plástico</v>
      </c>
      <c r="D145" s="113" t="str">
        <f>D144</f>
        <v>U N</v>
      </c>
      <c r="E145" s="77">
        <f>23.5*N12</f>
        <v>23.5</v>
      </c>
      <c r="F145" s="71">
        <v>4.5599999999999996</v>
      </c>
      <c r="G145" s="98">
        <v>1</v>
      </c>
      <c r="H145" s="77"/>
      <c r="I145" s="77">
        <f>E145*G145</f>
        <v>23.5</v>
      </c>
      <c r="J145" s="85"/>
      <c r="K145" s="99">
        <v>0.27079999999999999</v>
      </c>
      <c r="L145" s="107">
        <f t="shared" si="4"/>
        <v>1.4842</v>
      </c>
    </row>
    <row r="146" spans="1:14" s="88" customFormat="1" x14ac:dyDescent="0.2">
      <c r="A146" s="79"/>
      <c r="B146" s="75"/>
      <c r="C146" s="112" t="s">
        <v>344</v>
      </c>
      <c r="D146" s="113" t="s">
        <v>336</v>
      </c>
      <c r="E146" s="77">
        <f>5.21*N12</f>
        <v>5.21</v>
      </c>
      <c r="F146" s="71"/>
      <c r="G146" s="98">
        <v>0.2</v>
      </c>
      <c r="H146" s="77">
        <f>E146*G146</f>
        <v>1.042</v>
      </c>
      <c r="I146" s="77"/>
      <c r="J146" s="85"/>
      <c r="K146" s="99">
        <v>0.27079999999999999</v>
      </c>
      <c r="L146" s="107">
        <f t="shared" ref="L146:L209" si="6">L145</f>
        <v>1.4842</v>
      </c>
    </row>
    <row r="147" spans="1:14" s="88" customFormat="1" x14ac:dyDescent="0.2">
      <c r="A147" s="79"/>
      <c r="B147" s="75"/>
      <c r="C147" s="112" t="s">
        <v>339</v>
      </c>
      <c r="D147" s="113" t="s">
        <v>336</v>
      </c>
      <c r="E147" s="77">
        <f>3.77*N12</f>
        <v>3.77</v>
      </c>
      <c r="F147" s="71"/>
      <c r="G147" s="98">
        <v>0.2</v>
      </c>
      <c r="H147" s="77">
        <f>E147*G147</f>
        <v>0.754</v>
      </c>
      <c r="I147" s="77"/>
      <c r="J147" s="85"/>
      <c r="K147" s="99">
        <v>0.27079999999999999</v>
      </c>
      <c r="L147" s="107">
        <f t="shared" si="6"/>
        <v>1.4842</v>
      </c>
    </row>
    <row r="148" spans="1:14" s="88" customFormat="1" x14ac:dyDescent="0.2">
      <c r="A148" s="79"/>
      <c r="B148" s="75"/>
      <c r="C148" s="112"/>
      <c r="D148" s="113"/>
      <c r="E148" s="77"/>
      <c r="F148" s="71"/>
      <c r="G148" s="98"/>
      <c r="H148" s="77"/>
      <c r="I148" s="77"/>
      <c r="J148" s="85"/>
      <c r="K148" s="99">
        <v>0.27079999999999999</v>
      </c>
      <c r="L148" s="107">
        <f t="shared" si="6"/>
        <v>1.4842</v>
      </c>
    </row>
    <row r="149" spans="1:14" s="88" customFormat="1" x14ac:dyDescent="0.2">
      <c r="A149" s="79"/>
      <c r="B149" s="75"/>
      <c r="C149" s="112"/>
      <c r="D149" s="113"/>
      <c r="E149" s="361" t="str">
        <f>E139</f>
        <v>Custo Direto</v>
      </c>
      <c r="F149" s="361"/>
      <c r="G149" s="361"/>
      <c r="H149" s="114">
        <f>SUM(H145:H147)</f>
        <v>1.796</v>
      </c>
      <c r="I149" s="114">
        <f>SUM(I145:I147)</f>
        <v>23.5</v>
      </c>
      <c r="J149" s="85"/>
      <c r="K149" s="99">
        <v>0.27079999999999999</v>
      </c>
      <c r="L149" s="107">
        <f t="shared" si="6"/>
        <v>1.4842</v>
      </c>
    </row>
    <row r="150" spans="1:14" s="88" customFormat="1" x14ac:dyDescent="0.2">
      <c r="A150" s="79"/>
      <c r="B150" s="75"/>
      <c r="C150" s="112"/>
      <c r="D150" s="113"/>
      <c r="E150" s="361" t="str">
        <f>E140</f>
        <v>LS(%): 148,42</v>
      </c>
      <c r="F150" s="361"/>
      <c r="G150" s="361"/>
      <c r="H150" s="77">
        <f>H149*L150</f>
        <v>2.6656232000000002</v>
      </c>
      <c r="I150" s="82"/>
      <c r="J150" s="85"/>
      <c r="K150" s="99">
        <v>0.27079999999999999</v>
      </c>
      <c r="L150" s="107">
        <f t="shared" si="6"/>
        <v>1.4842</v>
      </c>
    </row>
    <row r="151" spans="1:14" s="88" customFormat="1" x14ac:dyDescent="0.2">
      <c r="A151" s="79"/>
      <c r="B151" s="75"/>
      <c r="C151" s="112"/>
      <c r="D151" s="113"/>
      <c r="E151" s="361" t="str">
        <f>E141</f>
        <v>BDI (%): 27,08</v>
      </c>
      <c r="F151" s="361"/>
      <c r="G151" s="361"/>
      <c r="H151" s="362">
        <f>(H149+I149+H150)*K151</f>
        <v>7.5720075625599987</v>
      </c>
      <c r="I151" s="362"/>
      <c r="J151" s="85"/>
      <c r="K151" s="99">
        <v>0.27079999999999999</v>
      </c>
      <c r="L151" s="107">
        <f t="shared" si="6"/>
        <v>1.4842</v>
      </c>
    </row>
    <row r="152" spans="1:14" s="88" customFormat="1" x14ac:dyDescent="0.2">
      <c r="A152" s="79"/>
      <c r="B152" s="75"/>
      <c r="C152" s="112"/>
      <c r="D152" s="113"/>
      <c r="E152" s="361" t="str">
        <f>E142</f>
        <v>Valor Total c/ Taxas</v>
      </c>
      <c r="F152" s="361"/>
      <c r="G152" s="361"/>
      <c r="H152" s="77"/>
      <c r="I152" s="114">
        <f>(H149+I149+H150+H151)</f>
        <v>35.533630762559994</v>
      </c>
      <c r="J152" s="85"/>
      <c r="K152" s="99">
        <v>0.27079999999999999</v>
      </c>
      <c r="L152" s="107">
        <f t="shared" si="6"/>
        <v>1.4842</v>
      </c>
      <c r="N152" s="330">
        <v>35.53</v>
      </c>
    </row>
    <row r="153" spans="1:14" s="88" customFormat="1" x14ac:dyDescent="0.2">
      <c r="A153" s="79"/>
      <c r="B153" s="75"/>
      <c r="C153" s="112"/>
      <c r="D153" s="113"/>
      <c r="E153" s="76"/>
      <c r="F153" s="71"/>
      <c r="G153" s="123"/>
      <c r="H153" s="77"/>
      <c r="I153" s="114"/>
      <c r="J153" s="85"/>
      <c r="K153" s="99">
        <v>0.27079999999999999</v>
      </c>
      <c r="L153" s="107">
        <f t="shared" si="6"/>
        <v>1.4842</v>
      </c>
    </row>
    <row r="154" spans="1:14" s="88" customFormat="1" ht="25.5" x14ac:dyDescent="0.2">
      <c r="A154" s="129"/>
      <c r="B154" s="125" t="str">
        <f>ORÇAMENTO!A39</f>
        <v>3.3.1</v>
      </c>
      <c r="C154" s="96" t="str">
        <f>ORÇAMENTO!B39</f>
        <v>Torneira croamda para pia de cozinha,de mesa,com articulador,ø 1/2''</v>
      </c>
      <c r="D154" s="97" t="str">
        <f>D145</f>
        <v>U N</v>
      </c>
      <c r="E154" s="77"/>
      <c r="F154" s="71"/>
      <c r="G154" s="98"/>
      <c r="H154" s="77"/>
      <c r="I154" s="77"/>
      <c r="J154" s="85"/>
      <c r="K154" s="99">
        <v>0.27079999999999999</v>
      </c>
      <c r="L154" s="107">
        <f t="shared" si="6"/>
        <v>1.4842</v>
      </c>
    </row>
    <row r="155" spans="1:14" s="88" customFormat="1" ht="25.5" x14ac:dyDescent="0.2">
      <c r="A155" s="79"/>
      <c r="B155" s="75"/>
      <c r="C155" s="112" t="str">
        <f>C154</f>
        <v>Torneira croamda para pia de cozinha,de mesa,com articulador,ø 1/2''</v>
      </c>
      <c r="D155" s="113" t="str">
        <f>D154</f>
        <v>U N</v>
      </c>
      <c r="E155" s="77">
        <f>83.68*N12</f>
        <v>83.68</v>
      </c>
      <c r="F155" s="71">
        <v>3.03</v>
      </c>
      <c r="G155" s="98">
        <v>1</v>
      </c>
      <c r="H155" s="77"/>
      <c r="I155" s="77">
        <f>E155*G155</f>
        <v>83.68</v>
      </c>
      <c r="J155" s="85"/>
      <c r="K155" s="99">
        <v>0.27079999999999999</v>
      </c>
      <c r="L155" s="107">
        <f t="shared" si="6"/>
        <v>1.4842</v>
      </c>
    </row>
    <row r="156" spans="1:14" s="88" customFormat="1" x14ac:dyDescent="0.2">
      <c r="A156" s="79"/>
      <c r="B156" s="75"/>
      <c r="C156" s="112" t="s">
        <v>344</v>
      </c>
      <c r="D156" s="113" t="s">
        <v>336</v>
      </c>
      <c r="E156" s="77">
        <f>5.21*N12</f>
        <v>5.21</v>
      </c>
      <c r="F156" s="71"/>
      <c r="G156" s="98">
        <v>0.03</v>
      </c>
      <c r="H156" s="77">
        <f>E156*G156</f>
        <v>0.15629999999999999</v>
      </c>
      <c r="I156" s="77"/>
      <c r="J156" s="85"/>
      <c r="K156" s="99">
        <v>0.27079999999999999</v>
      </c>
      <c r="L156" s="107">
        <f t="shared" si="6"/>
        <v>1.4842</v>
      </c>
    </row>
    <row r="157" spans="1:14" s="88" customFormat="1" x14ac:dyDescent="0.2">
      <c r="A157" s="79"/>
      <c r="B157" s="75"/>
      <c r="C157" s="112" t="s">
        <v>339</v>
      </c>
      <c r="D157" s="113" t="s">
        <v>336</v>
      </c>
      <c r="E157" s="77">
        <f>3.77*N12</f>
        <v>3.77</v>
      </c>
      <c r="F157" s="71"/>
      <c r="G157" s="98">
        <v>0.03</v>
      </c>
      <c r="H157" s="77">
        <f>E157*G157</f>
        <v>0.11309999999999999</v>
      </c>
      <c r="I157" s="77"/>
      <c r="J157" s="85"/>
      <c r="K157" s="99">
        <v>0.27079999999999999</v>
      </c>
      <c r="L157" s="107">
        <f t="shared" si="6"/>
        <v>1.4842</v>
      </c>
    </row>
    <row r="158" spans="1:14" s="88" customFormat="1" x14ac:dyDescent="0.2">
      <c r="A158" s="79"/>
      <c r="B158" s="75"/>
      <c r="C158" s="112"/>
      <c r="D158" s="113"/>
      <c r="E158" s="77"/>
      <c r="F158" s="71"/>
      <c r="G158" s="98"/>
      <c r="H158" s="77"/>
      <c r="I158" s="77"/>
      <c r="J158" s="85"/>
      <c r="K158" s="99">
        <v>0.27079999999999999</v>
      </c>
      <c r="L158" s="107">
        <f t="shared" si="6"/>
        <v>1.4842</v>
      </c>
    </row>
    <row r="159" spans="1:14" s="88" customFormat="1" x14ac:dyDescent="0.2">
      <c r="A159" s="79"/>
      <c r="B159" s="75"/>
      <c r="C159" s="112"/>
      <c r="D159" s="113"/>
      <c r="E159" s="361" t="str">
        <f>E149</f>
        <v>Custo Direto</v>
      </c>
      <c r="F159" s="361"/>
      <c r="G159" s="361"/>
      <c r="H159" s="114">
        <f>SUM(H155:H157)</f>
        <v>0.26939999999999997</v>
      </c>
      <c r="I159" s="114">
        <f>SUM(I155:I157)</f>
        <v>83.68</v>
      </c>
      <c r="J159" s="85"/>
      <c r="K159" s="99">
        <v>0.27079999999999999</v>
      </c>
      <c r="L159" s="107">
        <f t="shared" si="6"/>
        <v>1.4842</v>
      </c>
    </row>
    <row r="160" spans="1:14" s="88" customFormat="1" x14ac:dyDescent="0.2">
      <c r="A160" s="79"/>
      <c r="B160" s="75"/>
      <c r="C160" s="112"/>
      <c r="D160" s="113"/>
      <c r="E160" s="361" t="str">
        <f>E150</f>
        <v>LS(%): 148,42</v>
      </c>
      <c r="F160" s="361"/>
      <c r="G160" s="361"/>
      <c r="H160" s="77">
        <f>H159*L160</f>
        <v>0.39984347999999997</v>
      </c>
      <c r="I160" s="82"/>
      <c r="J160" s="85"/>
      <c r="K160" s="99">
        <v>0.27079999999999999</v>
      </c>
      <c r="L160" s="107">
        <f t="shared" si="6"/>
        <v>1.4842</v>
      </c>
    </row>
    <row r="161" spans="1:14" s="88" customFormat="1" x14ac:dyDescent="0.2">
      <c r="A161" s="79"/>
      <c r="B161" s="75"/>
      <c r="C161" s="112"/>
      <c r="D161" s="113"/>
      <c r="E161" s="361" t="str">
        <f>E151</f>
        <v>BDI (%): 27,08</v>
      </c>
      <c r="F161" s="361"/>
      <c r="G161" s="361"/>
      <c r="H161" s="362">
        <f>(H159+I159+H160)*K161</f>
        <v>22.841775134384001</v>
      </c>
      <c r="I161" s="362"/>
      <c r="J161" s="85"/>
      <c r="K161" s="99">
        <v>0.27079999999999999</v>
      </c>
      <c r="L161" s="107">
        <f t="shared" si="6"/>
        <v>1.4842</v>
      </c>
    </row>
    <row r="162" spans="1:14" s="88" customFormat="1" x14ac:dyDescent="0.2">
      <c r="A162" s="79"/>
      <c r="B162" s="75"/>
      <c r="C162" s="112"/>
      <c r="D162" s="113"/>
      <c r="E162" s="361" t="str">
        <f>E152</f>
        <v>Valor Total c/ Taxas</v>
      </c>
      <c r="F162" s="361"/>
      <c r="G162" s="361"/>
      <c r="H162" s="77"/>
      <c r="I162" s="114">
        <f>(H159+I159+H160+H161)</f>
        <v>107.19101861438401</v>
      </c>
      <c r="J162" s="85"/>
      <c r="K162" s="99">
        <v>0.27079999999999999</v>
      </c>
      <c r="L162" s="107">
        <f t="shared" si="6"/>
        <v>1.4842</v>
      </c>
      <c r="N162" s="330">
        <v>107.19</v>
      </c>
    </row>
    <row r="163" spans="1:14" s="88" customFormat="1" x14ac:dyDescent="0.2">
      <c r="A163" s="79"/>
      <c r="B163" s="75"/>
      <c r="C163" s="112"/>
      <c r="D163" s="113"/>
      <c r="E163" s="77"/>
      <c r="F163" s="71"/>
      <c r="G163" s="98"/>
      <c r="H163" s="77"/>
      <c r="I163" s="77"/>
      <c r="J163" s="85"/>
      <c r="K163" s="99">
        <v>0.27079999999999999</v>
      </c>
      <c r="L163" s="107">
        <f t="shared" si="6"/>
        <v>1.4842</v>
      </c>
    </row>
    <row r="164" spans="1:14" s="88" customFormat="1" ht="17.25" customHeight="1" x14ac:dyDescent="0.2">
      <c r="A164" s="129"/>
      <c r="B164" s="125" t="str">
        <f>ORÇAMENTO!A40</f>
        <v>3.3.2</v>
      </c>
      <c r="C164" s="96" t="str">
        <f>ORÇAMENTO!B40</f>
        <v>Válvula de descarga cromada</v>
      </c>
      <c r="D164" s="97" t="str">
        <f>D154</f>
        <v>U N</v>
      </c>
      <c r="E164" s="77"/>
      <c r="F164" s="71"/>
      <c r="G164" s="98"/>
      <c r="H164" s="77"/>
      <c r="I164" s="77"/>
      <c r="J164" s="85"/>
      <c r="K164" s="99">
        <v>0.27079999999999999</v>
      </c>
      <c r="L164" s="107">
        <f t="shared" si="6"/>
        <v>1.4842</v>
      </c>
    </row>
    <row r="165" spans="1:14" s="88" customFormat="1" ht="15.75" customHeight="1" x14ac:dyDescent="0.2">
      <c r="A165" s="79"/>
      <c r="B165" s="75"/>
      <c r="C165" s="112" t="str">
        <f>C164</f>
        <v>Válvula de descarga cromada</v>
      </c>
      <c r="D165" s="113" t="str">
        <f>D164</f>
        <v>U N</v>
      </c>
      <c r="E165" s="77">
        <f>158.65*N12</f>
        <v>158.65</v>
      </c>
      <c r="F165" s="71">
        <v>3.41</v>
      </c>
      <c r="G165" s="98">
        <v>1</v>
      </c>
      <c r="H165" s="77"/>
      <c r="I165" s="77">
        <f>E165*G165</f>
        <v>158.65</v>
      </c>
      <c r="J165" s="85"/>
      <c r="K165" s="99">
        <v>0.27079999999999999</v>
      </c>
      <c r="L165" s="107">
        <f t="shared" si="6"/>
        <v>1.4842</v>
      </c>
    </row>
    <row r="166" spans="1:14" s="88" customFormat="1" x14ac:dyDescent="0.2">
      <c r="A166" s="79"/>
      <c r="B166" s="75"/>
      <c r="C166" s="112" t="s">
        <v>344</v>
      </c>
      <c r="D166" s="113" t="s">
        <v>336</v>
      </c>
      <c r="E166" s="77">
        <f>5.21*N12</f>
        <v>5.21</v>
      </c>
      <c r="F166" s="71"/>
      <c r="G166" s="98">
        <v>0.2</v>
      </c>
      <c r="H166" s="77">
        <f>E166*G166</f>
        <v>1.042</v>
      </c>
      <c r="I166" s="77"/>
      <c r="J166" s="85"/>
      <c r="K166" s="99">
        <v>0.27079999999999999</v>
      </c>
      <c r="L166" s="107">
        <f t="shared" si="6"/>
        <v>1.4842</v>
      </c>
    </row>
    <row r="167" spans="1:14" s="88" customFormat="1" x14ac:dyDescent="0.2">
      <c r="A167" s="79"/>
      <c r="B167" s="75"/>
      <c r="C167" s="112" t="s">
        <v>339</v>
      </c>
      <c r="D167" s="113" t="s">
        <v>336</v>
      </c>
      <c r="E167" s="77">
        <f>3.77*N12</f>
        <v>3.77</v>
      </c>
      <c r="F167" s="71"/>
      <c r="G167" s="98">
        <v>0.2</v>
      </c>
      <c r="H167" s="77">
        <f>E167*G167</f>
        <v>0.754</v>
      </c>
      <c r="I167" s="77"/>
      <c r="J167" s="85"/>
      <c r="K167" s="99">
        <v>0.27079999999999999</v>
      </c>
      <c r="L167" s="107">
        <f t="shared" si="6"/>
        <v>1.4842</v>
      </c>
    </row>
    <row r="168" spans="1:14" s="88" customFormat="1" x14ac:dyDescent="0.2">
      <c r="A168" s="79"/>
      <c r="B168" s="75"/>
      <c r="C168" s="112"/>
      <c r="D168" s="113"/>
      <c r="E168" s="77"/>
      <c r="F168" s="71"/>
      <c r="G168" s="98"/>
      <c r="H168" s="77"/>
      <c r="I168" s="77"/>
      <c r="J168" s="85"/>
      <c r="K168" s="99">
        <v>0.27079999999999999</v>
      </c>
      <c r="L168" s="107">
        <f t="shared" si="6"/>
        <v>1.4842</v>
      </c>
    </row>
    <row r="169" spans="1:14" s="88" customFormat="1" x14ac:dyDescent="0.2">
      <c r="A169" s="79"/>
      <c r="B169" s="75"/>
      <c r="C169" s="112"/>
      <c r="D169" s="113"/>
      <c r="E169" s="361" t="str">
        <f>E159</f>
        <v>Custo Direto</v>
      </c>
      <c r="F169" s="361"/>
      <c r="G169" s="361"/>
      <c r="H169" s="114">
        <f>SUM(H165:H167)</f>
        <v>1.796</v>
      </c>
      <c r="I169" s="114">
        <f>SUM(I165:I167)</f>
        <v>158.65</v>
      </c>
      <c r="J169" s="85"/>
      <c r="K169" s="99">
        <v>0.27079999999999999</v>
      </c>
      <c r="L169" s="107">
        <f t="shared" si="6"/>
        <v>1.4842</v>
      </c>
    </row>
    <row r="170" spans="1:14" s="88" customFormat="1" x14ac:dyDescent="0.2">
      <c r="A170" s="79"/>
      <c r="B170" s="75"/>
      <c r="C170" s="112"/>
      <c r="D170" s="113"/>
      <c r="E170" s="361" t="str">
        <f>E160</f>
        <v>LS(%): 148,42</v>
      </c>
      <c r="F170" s="361"/>
      <c r="G170" s="361"/>
      <c r="H170" s="77">
        <f>H169*L170</f>
        <v>2.6656232000000002</v>
      </c>
      <c r="I170" s="82"/>
      <c r="J170" s="85"/>
      <c r="K170" s="99">
        <v>0.27079999999999999</v>
      </c>
      <c r="L170" s="107">
        <f t="shared" si="6"/>
        <v>1.4842</v>
      </c>
    </row>
    <row r="171" spans="1:14" s="88" customFormat="1" x14ac:dyDescent="0.2">
      <c r="A171" s="79"/>
      <c r="B171" s="75"/>
      <c r="C171" s="112"/>
      <c r="D171" s="113"/>
      <c r="E171" s="361" t="str">
        <f>E161</f>
        <v>BDI (%): 27,08</v>
      </c>
      <c r="F171" s="361"/>
      <c r="G171" s="361"/>
      <c r="H171" s="362">
        <f>(H169+I169+H170)*K171</f>
        <v>44.17062756256</v>
      </c>
      <c r="I171" s="362"/>
      <c r="J171" s="85"/>
      <c r="K171" s="99">
        <v>0.27079999999999999</v>
      </c>
      <c r="L171" s="107">
        <f t="shared" si="6"/>
        <v>1.4842</v>
      </c>
    </row>
    <row r="172" spans="1:14" s="88" customFormat="1" x14ac:dyDescent="0.2">
      <c r="A172" s="79"/>
      <c r="B172" s="75"/>
      <c r="C172" s="112"/>
      <c r="D172" s="113"/>
      <c r="E172" s="361" t="str">
        <f>E162</f>
        <v>Valor Total c/ Taxas</v>
      </c>
      <c r="F172" s="361"/>
      <c r="G172" s="361"/>
      <c r="H172" s="77"/>
      <c r="I172" s="114">
        <f>(H169+I169+H170+H171)</f>
        <v>207.28225076256001</v>
      </c>
      <c r="J172" s="85"/>
      <c r="K172" s="99">
        <v>0.27079999999999999</v>
      </c>
      <c r="L172" s="107">
        <f t="shared" si="6"/>
        <v>1.4842</v>
      </c>
      <c r="N172" s="330">
        <v>207.28</v>
      </c>
    </row>
    <row r="173" spans="1:14" s="88" customFormat="1" x14ac:dyDescent="0.2">
      <c r="A173" s="79"/>
      <c r="B173" s="75"/>
      <c r="C173" s="112"/>
      <c r="D173" s="113"/>
      <c r="E173" s="77"/>
      <c r="F173" s="71"/>
      <c r="G173" s="98"/>
      <c r="H173" s="77"/>
      <c r="I173" s="77"/>
      <c r="J173" s="85"/>
      <c r="K173" s="99">
        <v>0.27079999999999999</v>
      </c>
      <c r="L173" s="107">
        <f t="shared" si="6"/>
        <v>1.4842</v>
      </c>
    </row>
    <row r="174" spans="1:14" s="88" customFormat="1" ht="25.5" x14ac:dyDescent="0.2">
      <c r="A174" s="129"/>
      <c r="B174" s="341" t="str">
        <f>ORÇAMENTO!A41</f>
        <v>3.3.3</v>
      </c>
      <c r="C174" s="96" t="str">
        <f>ORÇAMENTO!B41</f>
        <v>Fornecimento e instalação saboneteira de louça,conforme especificações</v>
      </c>
      <c r="D174" s="97" t="str">
        <f>D165</f>
        <v>U N</v>
      </c>
      <c r="E174" s="77"/>
      <c r="F174" s="71"/>
      <c r="G174" s="98"/>
      <c r="H174" s="77"/>
      <c r="I174" s="77"/>
      <c r="J174" s="85"/>
      <c r="K174" s="99">
        <v>0.27079999999999999</v>
      </c>
      <c r="L174" s="107">
        <f t="shared" si="6"/>
        <v>1.4842</v>
      </c>
    </row>
    <row r="175" spans="1:14" s="88" customFormat="1" ht="25.5" x14ac:dyDescent="0.2">
      <c r="A175" s="79"/>
      <c r="B175" s="75"/>
      <c r="C175" s="112" t="str">
        <f>C174</f>
        <v>Fornecimento e instalação saboneteira de louça,conforme especificações</v>
      </c>
      <c r="D175" s="113" t="str">
        <f>D174</f>
        <v>U N</v>
      </c>
      <c r="E175" s="77">
        <f>16.65*N12</f>
        <v>16.649999999999999</v>
      </c>
      <c r="F175" s="71">
        <v>404.8</v>
      </c>
      <c r="G175" s="98">
        <v>1</v>
      </c>
      <c r="H175" s="77"/>
      <c r="I175" s="77">
        <f>E175*G175</f>
        <v>16.649999999999999</v>
      </c>
      <c r="J175" s="85"/>
      <c r="K175" s="99">
        <v>0.27079999999999999</v>
      </c>
      <c r="L175" s="107">
        <f t="shared" si="6"/>
        <v>1.4842</v>
      </c>
    </row>
    <row r="176" spans="1:14" s="88" customFormat="1" x14ac:dyDescent="0.2">
      <c r="A176" s="79"/>
      <c r="B176" s="75"/>
      <c r="C176" s="112" t="s">
        <v>344</v>
      </c>
      <c r="D176" s="113" t="s">
        <v>336</v>
      </c>
      <c r="E176" s="134">
        <f>5.21*N12</f>
        <v>5.21</v>
      </c>
      <c r="F176" s="71"/>
      <c r="G176" s="98">
        <v>0.2</v>
      </c>
      <c r="H176" s="77">
        <f>E176*G176</f>
        <v>1.042</v>
      </c>
      <c r="I176" s="77"/>
      <c r="J176" s="85"/>
      <c r="K176" s="99">
        <v>0.27079999999999999</v>
      </c>
      <c r="L176" s="107">
        <f t="shared" si="6"/>
        <v>1.4842</v>
      </c>
    </row>
    <row r="177" spans="1:14" s="88" customFormat="1" x14ac:dyDescent="0.2">
      <c r="A177" s="79"/>
      <c r="B177" s="75"/>
      <c r="C177" s="112" t="s">
        <v>339</v>
      </c>
      <c r="D177" s="113" t="s">
        <v>336</v>
      </c>
      <c r="E177" s="77">
        <f>3.77*N12</f>
        <v>3.77</v>
      </c>
      <c r="F177" s="71"/>
      <c r="G177" s="98">
        <v>0.2</v>
      </c>
      <c r="H177" s="77">
        <f>E177*G177</f>
        <v>0.754</v>
      </c>
      <c r="I177" s="77"/>
      <c r="J177" s="85"/>
      <c r="K177" s="99">
        <v>0.27079999999999999</v>
      </c>
      <c r="L177" s="107">
        <f t="shared" si="6"/>
        <v>1.4842</v>
      </c>
    </row>
    <row r="178" spans="1:14" s="88" customFormat="1" x14ac:dyDescent="0.2">
      <c r="A178" s="79"/>
      <c r="B178" s="75"/>
      <c r="C178" s="112"/>
      <c r="D178" s="113"/>
      <c r="E178" s="77"/>
      <c r="F178" s="71"/>
      <c r="G178" s="98"/>
      <c r="H178" s="77"/>
      <c r="I178" s="77"/>
      <c r="J178" s="85"/>
      <c r="K178" s="99">
        <v>0.27079999999999999</v>
      </c>
      <c r="L178" s="107">
        <f t="shared" si="6"/>
        <v>1.4842</v>
      </c>
    </row>
    <row r="179" spans="1:14" s="88" customFormat="1" x14ac:dyDescent="0.2">
      <c r="A179" s="79"/>
      <c r="B179" s="75"/>
      <c r="C179" s="112"/>
      <c r="D179" s="113"/>
      <c r="E179" s="361" t="str">
        <f>E169</f>
        <v>Custo Direto</v>
      </c>
      <c r="F179" s="361"/>
      <c r="G179" s="361"/>
      <c r="H179" s="114">
        <f>SUM(H175:H177)</f>
        <v>1.796</v>
      </c>
      <c r="I179" s="114">
        <f>SUM(I175:I177)</f>
        <v>16.649999999999999</v>
      </c>
      <c r="J179" s="85"/>
      <c r="K179" s="99">
        <v>0.27079999999999999</v>
      </c>
      <c r="L179" s="107">
        <f t="shared" si="6"/>
        <v>1.4842</v>
      </c>
    </row>
    <row r="180" spans="1:14" s="88" customFormat="1" x14ac:dyDescent="0.2">
      <c r="A180" s="79"/>
      <c r="B180" s="75"/>
      <c r="C180" s="112"/>
      <c r="D180" s="113"/>
      <c r="E180" s="361" t="str">
        <f>E170</f>
        <v>LS(%): 148,42</v>
      </c>
      <c r="F180" s="361"/>
      <c r="G180" s="361"/>
      <c r="H180" s="77">
        <f>H179*L180</f>
        <v>2.6656232000000002</v>
      </c>
      <c r="I180" s="82"/>
      <c r="J180" s="85"/>
      <c r="K180" s="99">
        <v>0.27079999999999999</v>
      </c>
      <c r="L180" s="107">
        <f t="shared" si="6"/>
        <v>1.4842</v>
      </c>
    </row>
    <row r="181" spans="1:14" s="88" customFormat="1" x14ac:dyDescent="0.2">
      <c r="A181" s="79"/>
      <c r="B181" s="75"/>
      <c r="C181" s="112"/>
      <c r="D181" s="113"/>
      <c r="E181" s="361" t="str">
        <f>E171</f>
        <v>BDI (%): 27,08</v>
      </c>
      <c r="F181" s="361"/>
      <c r="G181" s="361"/>
      <c r="H181" s="362">
        <f>(H179+I179+H180)*K181</f>
        <v>5.7170275625599984</v>
      </c>
      <c r="I181" s="362"/>
      <c r="J181" s="85"/>
      <c r="K181" s="99">
        <v>0.27079999999999999</v>
      </c>
      <c r="L181" s="107">
        <f t="shared" si="6"/>
        <v>1.4842</v>
      </c>
    </row>
    <row r="182" spans="1:14" s="143" customFormat="1" x14ac:dyDescent="0.2">
      <c r="A182" s="135"/>
      <c r="B182" s="136"/>
      <c r="C182" s="137"/>
      <c r="D182" s="138"/>
      <c r="E182" s="372" t="str">
        <f>E172</f>
        <v>Valor Total c/ Taxas</v>
      </c>
      <c r="F182" s="372"/>
      <c r="G182" s="372"/>
      <c r="H182" s="139"/>
      <c r="I182" s="140">
        <f>(H179+I179+H180+H181)</f>
        <v>26.828650762559995</v>
      </c>
      <c r="J182" s="141"/>
      <c r="K182" s="99">
        <v>0.27079999999999999</v>
      </c>
      <c r="L182" s="142">
        <f t="shared" si="6"/>
        <v>1.4842</v>
      </c>
      <c r="N182" s="342">
        <v>26.83</v>
      </c>
    </row>
    <row r="183" spans="1:14" s="88" customFormat="1" x14ac:dyDescent="0.2">
      <c r="A183" s="79"/>
      <c r="B183" s="75"/>
      <c r="C183" s="112"/>
      <c r="D183" s="113"/>
      <c r="E183" s="77"/>
      <c r="F183" s="71"/>
      <c r="G183" s="98"/>
      <c r="H183" s="77"/>
      <c r="I183" s="77"/>
      <c r="J183" s="85"/>
      <c r="K183" s="99">
        <v>0.27079999999999999</v>
      </c>
      <c r="L183" s="107">
        <f t="shared" si="6"/>
        <v>1.4842</v>
      </c>
    </row>
    <row r="184" spans="1:14" s="88" customFormat="1" x14ac:dyDescent="0.2">
      <c r="A184" s="129"/>
      <c r="B184" s="125" t="str">
        <f>ORÇAMENTO!A42</f>
        <v>3.3.4</v>
      </c>
      <c r="C184" s="96" t="str">
        <f>ORÇAMENTO!B42</f>
        <v>Cuba inox de imbutir,em bancada</v>
      </c>
      <c r="D184" s="97" t="str">
        <f>D174</f>
        <v>U N</v>
      </c>
      <c r="E184" s="77"/>
      <c r="F184" s="71"/>
      <c r="G184" s="98"/>
      <c r="H184" s="77"/>
      <c r="I184" s="77"/>
      <c r="J184" s="85"/>
      <c r="K184" s="99">
        <v>0.27079999999999999</v>
      </c>
      <c r="L184" s="107">
        <f t="shared" si="6"/>
        <v>1.4842</v>
      </c>
    </row>
    <row r="185" spans="1:14" s="88" customFormat="1" x14ac:dyDescent="0.2">
      <c r="A185" s="79"/>
      <c r="B185" s="75"/>
      <c r="C185" s="112" t="str">
        <f>C184</f>
        <v>Cuba inox de imbutir,em bancada</v>
      </c>
      <c r="D185" s="113" t="str">
        <f>D184</f>
        <v>U N</v>
      </c>
      <c r="E185" s="77">
        <f>163.2*N12</f>
        <v>163.19999999999999</v>
      </c>
      <c r="F185" s="71">
        <v>150</v>
      </c>
      <c r="G185" s="98">
        <v>1</v>
      </c>
      <c r="H185" s="77"/>
      <c r="I185" s="77">
        <f>E185*G185</f>
        <v>163.19999999999999</v>
      </c>
      <c r="J185" s="85"/>
      <c r="K185" s="99">
        <v>0.27079999999999999</v>
      </c>
      <c r="L185" s="107">
        <f t="shared" si="6"/>
        <v>1.4842</v>
      </c>
    </row>
    <row r="186" spans="1:14" s="88" customFormat="1" x14ac:dyDescent="0.2">
      <c r="A186" s="79"/>
      <c r="B186" s="75"/>
      <c r="C186" s="112" t="s">
        <v>369</v>
      </c>
      <c r="D186" s="113" t="s">
        <v>336</v>
      </c>
      <c r="E186" s="77">
        <f>5.21*N12</f>
        <v>5.21</v>
      </c>
      <c r="F186" s="71"/>
      <c r="G186" s="98">
        <v>0.2</v>
      </c>
      <c r="H186" s="77">
        <f>E186*G186</f>
        <v>1.042</v>
      </c>
      <c r="I186" s="77"/>
      <c r="J186" s="85"/>
      <c r="K186" s="99">
        <v>0.27079999999999999</v>
      </c>
      <c r="L186" s="107">
        <f t="shared" si="6"/>
        <v>1.4842</v>
      </c>
    </row>
    <row r="187" spans="1:14" s="88" customFormat="1" x14ac:dyDescent="0.2">
      <c r="A187" s="79"/>
      <c r="B187" s="75"/>
      <c r="C187" s="112" t="s">
        <v>339</v>
      </c>
      <c r="D187" s="113" t="s">
        <v>336</v>
      </c>
      <c r="E187" s="77">
        <f>3.77*N12</f>
        <v>3.77</v>
      </c>
      <c r="F187" s="71"/>
      <c r="G187" s="98">
        <v>0.2</v>
      </c>
      <c r="H187" s="77">
        <f>E187*G187</f>
        <v>0.754</v>
      </c>
      <c r="I187" s="77"/>
      <c r="J187" s="85"/>
      <c r="K187" s="99">
        <v>0.27079999999999999</v>
      </c>
      <c r="L187" s="107">
        <f t="shared" si="6"/>
        <v>1.4842</v>
      </c>
    </row>
    <row r="188" spans="1:14" s="88" customFormat="1" x14ac:dyDescent="0.2">
      <c r="A188" s="79"/>
      <c r="B188" s="75"/>
      <c r="C188" s="112"/>
      <c r="D188" s="113"/>
      <c r="E188" s="77"/>
      <c r="F188" s="71"/>
      <c r="G188" s="98"/>
      <c r="H188" s="77"/>
      <c r="I188" s="77"/>
      <c r="J188" s="85"/>
      <c r="K188" s="99">
        <v>0.27079999999999999</v>
      </c>
      <c r="L188" s="107">
        <f t="shared" si="6"/>
        <v>1.4842</v>
      </c>
    </row>
    <row r="189" spans="1:14" s="88" customFormat="1" x14ac:dyDescent="0.2">
      <c r="A189" s="79"/>
      <c r="B189" s="75"/>
      <c r="C189" s="112"/>
      <c r="D189" s="113"/>
      <c r="E189" s="361" t="str">
        <f>E179</f>
        <v>Custo Direto</v>
      </c>
      <c r="F189" s="361"/>
      <c r="G189" s="361"/>
      <c r="H189" s="114">
        <f>SUM(H185:H187)</f>
        <v>1.796</v>
      </c>
      <c r="I189" s="114">
        <f>SUM(I185:I187)</f>
        <v>163.19999999999999</v>
      </c>
      <c r="J189" s="85"/>
      <c r="K189" s="99">
        <v>0.27079999999999999</v>
      </c>
      <c r="L189" s="107">
        <f t="shared" si="6"/>
        <v>1.4842</v>
      </c>
    </row>
    <row r="190" spans="1:14" s="88" customFormat="1" x14ac:dyDescent="0.2">
      <c r="A190" s="79"/>
      <c r="B190" s="75"/>
      <c r="C190" s="112"/>
      <c r="D190" s="113"/>
      <c r="E190" s="361" t="str">
        <f t="shared" ref="E190:E192" si="7">E180</f>
        <v>LS(%): 148,42</v>
      </c>
      <c r="F190" s="361"/>
      <c r="G190" s="361"/>
      <c r="H190" s="77">
        <f>H189*L190</f>
        <v>2.6656232000000002</v>
      </c>
      <c r="I190" s="82"/>
      <c r="J190" s="85"/>
      <c r="K190" s="99">
        <v>0.27079999999999999</v>
      </c>
      <c r="L190" s="107">
        <f t="shared" si="6"/>
        <v>1.4842</v>
      </c>
    </row>
    <row r="191" spans="1:14" s="88" customFormat="1" x14ac:dyDescent="0.2">
      <c r="A191" s="79"/>
      <c r="B191" s="75"/>
      <c r="C191" s="112"/>
      <c r="D191" s="113"/>
      <c r="E191" s="361" t="str">
        <f t="shared" si="7"/>
        <v>BDI (%): 27,08</v>
      </c>
      <c r="F191" s="361"/>
      <c r="G191" s="361"/>
      <c r="H191" s="362">
        <f>(H189+I189+H190)*K191</f>
        <v>45.402767562559994</v>
      </c>
      <c r="I191" s="362"/>
      <c r="J191" s="85"/>
      <c r="K191" s="99">
        <v>0.27079999999999999</v>
      </c>
      <c r="L191" s="107">
        <f t="shared" si="6"/>
        <v>1.4842</v>
      </c>
    </row>
    <row r="192" spans="1:14" s="88" customFormat="1" x14ac:dyDescent="0.2">
      <c r="A192" s="79"/>
      <c r="B192" s="75"/>
      <c r="C192" s="112"/>
      <c r="D192" s="113"/>
      <c r="E192" s="361" t="str">
        <f t="shared" si="7"/>
        <v>Valor Total c/ Taxas</v>
      </c>
      <c r="F192" s="361"/>
      <c r="G192" s="361"/>
      <c r="H192" s="77"/>
      <c r="I192" s="114">
        <f>(H189+I189+H190+H191)</f>
        <v>213.06439076255998</v>
      </c>
      <c r="J192" s="85"/>
      <c r="K192" s="99">
        <v>0.27079999999999999</v>
      </c>
      <c r="L192" s="107">
        <f t="shared" si="6"/>
        <v>1.4842</v>
      </c>
      <c r="N192" s="330">
        <v>213.06</v>
      </c>
    </row>
    <row r="193" spans="1:14" s="88" customFormat="1" x14ac:dyDescent="0.2">
      <c r="A193" s="79"/>
      <c r="B193" s="75"/>
      <c r="C193" s="112"/>
      <c r="D193" s="113"/>
      <c r="E193" s="77"/>
      <c r="F193" s="71"/>
      <c r="G193" s="98"/>
      <c r="H193" s="77"/>
      <c r="I193" s="77"/>
      <c r="J193" s="85"/>
      <c r="K193" s="99">
        <v>0.27079999999999999</v>
      </c>
      <c r="L193" s="107">
        <f t="shared" si="6"/>
        <v>1.4842</v>
      </c>
    </row>
    <row r="194" spans="1:14" s="88" customFormat="1" ht="38.25" x14ac:dyDescent="0.2">
      <c r="A194" s="129"/>
      <c r="B194" s="95" t="str">
        <f>ORÇAMENTO!A43</f>
        <v>3.3.5</v>
      </c>
      <c r="C194" s="96" t="str">
        <f>ORÇAMENTO!B43</f>
        <v>Barra de apoio para deficiente em ferro galvanizado de 11/2'',1=80 cm (bacia sanitária e mictório),inclusive parafusos de fixação e pintura</v>
      </c>
      <c r="D194" s="97" t="s">
        <v>346</v>
      </c>
      <c r="E194" s="77"/>
      <c r="F194" s="71"/>
      <c r="G194" s="98"/>
      <c r="H194" s="77"/>
      <c r="I194" s="77"/>
      <c r="J194" s="85"/>
      <c r="K194" s="99">
        <v>0.27079999999999999</v>
      </c>
      <c r="L194" s="107">
        <f t="shared" si="6"/>
        <v>1.4842</v>
      </c>
    </row>
    <row r="195" spans="1:14" s="88" customFormat="1" ht="38.25" x14ac:dyDescent="0.2">
      <c r="A195" s="79"/>
      <c r="B195" s="75"/>
      <c r="C195" s="112" t="str">
        <f>C194</f>
        <v>Barra de apoio para deficiente em ferro galvanizado de 11/2'',1=80 cm (bacia sanitária e mictório),inclusive parafusos de fixação e pintura</v>
      </c>
      <c r="D195" s="113" t="str">
        <f>D194</f>
        <v>U N</v>
      </c>
      <c r="E195" s="77">
        <f>220.803*N12</f>
        <v>220.803</v>
      </c>
      <c r="F195" s="71">
        <v>150</v>
      </c>
      <c r="G195" s="98">
        <v>1</v>
      </c>
      <c r="H195" s="77"/>
      <c r="I195" s="77">
        <f>E195*G195</f>
        <v>220.803</v>
      </c>
      <c r="J195" s="85"/>
      <c r="K195" s="99">
        <v>0.27079999999999999</v>
      </c>
      <c r="L195" s="107">
        <f t="shared" si="6"/>
        <v>1.4842</v>
      </c>
    </row>
    <row r="196" spans="1:14" s="88" customFormat="1" x14ac:dyDescent="0.2">
      <c r="A196" s="79"/>
      <c r="B196" s="75"/>
      <c r="C196" s="112" t="s">
        <v>369</v>
      </c>
      <c r="D196" s="113" t="s">
        <v>336</v>
      </c>
      <c r="E196" s="77">
        <f>5.21*N12</f>
        <v>5.21</v>
      </c>
      <c r="F196" s="71"/>
      <c r="G196" s="98">
        <v>0.2</v>
      </c>
      <c r="H196" s="77">
        <f>E196*G196</f>
        <v>1.042</v>
      </c>
      <c r="I196" s="77"/>
      <c r="J196" s="85"/>
      <c r="K196" s="99">
        <v>0.27079999999999999</v>
      </c>
      <c r="L196" s="107">
        <f t="shared" si="6"/>
        <v>1.4842</v>
      </c>
    </row>
    <row r="197" spans="1:14" s="88" customFormat="1" x14ac:dyDescent="0.2">
      <c r="A197" s="79"/>
      <c r="B197" s="75"/>
      <c r="C197" s="112" t="s">
        <v>339</v>
      </c>
      <c r="D197" s="113" t="s">
        <v>336</v>
      </c>
      <c r="E197" s="77">
        <f>3.77*N12</f>
        <v>3.77</v>
      </c>
      <c r="F197" s="71"/>
      <c r="G197" s="98">
        <v>0.2</v>
      </c>
      <c r="H197" s="77">
        <f>E197*G197</f>
        <v>0.754</v>
      </c>
      <c r="I197" s="77"/>
      <c r="J197" s="85"/>
      <c r="K197" s="99">
        <v>0.27079999999999999</v>
      </c>
      <c r="L197" s="107">
        <f t="shared" si="6"/>
        <v>1.4842</v>
      </c>
    </row>
    <row r="198" spans="1:14" s="88" customFormat="1" x14ac:dyDescent="0.2">
      <c r="A198" s="79"/>
      <c r="B198" s="75"/>
      <c r="C198" s="112"/>
      <c r="D198" s="113"/>
      <c r="E198" s="77"/>
      <c r="F198" s="71"/>
      <c r="G198" s="98"/>
      <c r="H198" s="77"/>
      <c r="I198" s="77"/>
      <c r="J198" s="85"/>
      <c r="K198" s="99">
        <v>0.27079999999999999</v>
      </c>
      <c r="L198" s="107">
        <f t="shared" si="6"/>
        <v>1.4842</v>
      </c>
    </row>
    <row r="199" spans="1:14" s="88" customFormat="1" x14ac:dyDescent="0.2">
      <c r="A199" s="79"/>
      <c r="B199" s="75"/>
      <c r="C199" s="112"/>
      <c r="D199" s="113"/>
      <c r="E199" s="361" t="str">
        <f>E189</f>
        <v>Custo Direto</v>
      </c>
      <c r="F199" s="361"/>
      <c r="G199" s="361"/>
      <c r="H199" s="114">
        <f>SUM(H195:H197)</f>
        <v>1.796</v>
      </c>
      <c r="I199" s="114">
        <f>SUM(I195:I197)</f>
        <v>220.803</v>
      </c>
      <c r="J199" s="85"/>
      <c r="K199" s="99">
        <v>0.27079999999999999</v>
      </c>
      <c r="L199" s="107">
        <f t="shared" si="6"/>
        <v>1.4842</v>
      </c>
    </row>
    <row r="200" spans="1:14" s="88" customFormat="1" x14ac:dyDescent="0.2">
      <c r="A200" s="79"/>
      <c r="B200" s="75"/>
      <c r="C200" s="112"/>
      <c r="D200" s="113"/>
      <c r="E200" s="361" t="str">
        <f>E190</f>
        <v>LS(%): 148,42</v>
      </c>
      <c r="F200" s="361"/>
      <c r="G200" s="361"/>
      <c r="H200" s="77">
        <f>H199*L200</f>
        <v>2.6656232000000002</v>
      </c>
      <c r="I200" s="82"/>
      <c r="J200" s="85"/>
      <c r="K200" s="99">
        <v>0.27079999999999999</v>
      </c>
      <c r="L200" s="107">
        <f t="shared" si="6"/>
        <v>1.4842</v>
      </c>
    </row>
    <row r="201" spans="1:14" s="88" customFormat="1" x14ac:dyDescent="0.2">
      <c r="A201" s="79"/>
      <c r="B201" s="75"/>
      <c r="C201" s="112"/>
      <c r="D201" s="113"/>
      <c r="E201" s="361" t="str">
        <f>E191</f>
        <v>BDI (%): 27,08</v>
      </c>
      <c r="F201" s="361"/>
      <c r="G201" s="361"/>
      <c r="H201" s="362">
        <f>(H199+I199+H200)*K201</f>
        <v>61.001659962559991</v>
      </c>
      <c r="I201" s="362"/>
      <c r="J201" s="85"/>
      <c r="K201" s="99">
        <v>0.27079999999999999</v>
      </c>
      <c r="L201" s="107">
        <f t="shared" si="6"/>
        <v>1.4842</v>
      </c>
    </row>
    <row r="202" spans="1:14" s="88" customFormat="1" ht="15.75" customHeight="1" x14ac:dyDescent="0.2">
      <c r="A202" s="79"/>
      <c r="B202" s="75"/>
      <c r="C202" s="112"/>
      <c r="D202" s="113"/>
      <c r="E202" s="361" t="str">
        <f>E192</f>
        <v>Valor Total c/ Taxas</v>
      </c>
      <c r="F202" s="361"/>
      <c r="G202" s="361"/>
      <c r="H202" s="77"/>
      <c r="I202" s="114">
        <f>(H199+I199+H200+H201)</f>
        <v>286.26628316256</v>
      </c>
      <c r="J202" s="85"/>
      <c r="K202" s="99">
        <v>0.27079999999999999</v>
      </c>
      <c r="L202" s="107">
        <f t="shared" si="6"/>
        <v>1.4842</v>
      </c>
      <c r="N202" s="330">
        <v>286.27</v>
      </c>
    </row>
    <row r="203" spans="1:14" s="88" customFormat="1" ht="15.75" customHeight="1" x14ac:dyDescent="0.2">
      <c r="A203" s="79"/>
      <c r="B203" s="75"/>
      <c r="C203" s="112"/>
      <c r="D203" s="113"/>
      <c r="E203" s="76"/>
      <c r="F203" s="71"/>
      <c r="G203" s="123"/>
      <c r="H203" s="77"/>
      <c r="I203" s="114"/>
      <c r="J203" s="85"/>
      <c r="K203" s="99">
        <v>0.27079999999999999</v>
      </c>
      <c r="L203" s="107">
        <f t="shared" si="6"/>
        <v>1.4842</v>
      </c>
    </row>
    <row r="204" spans="1:14" s="88" customFormat="1" ht="38.25" x14ac:dyDescent="0.2">
      <c r="A204" s="129"/>
      <c r="B204" s="125" t="str">
        <f>ORÇAMENTO!A44</f>
        <v>3.3.6</v>
      </c>
      <c r="C204" s="96" t="str">
        <f>ORÇAMENTO!B44</f>
        <v>Barra de apoio  para deficiente em ferro galvanizado de 11/2'',1=140 cm lavatório),inclusive parafuso de fixação e pintura</v>
      </c>
      <c r="D204" s="97" t="s">
        <v>346</v>
      </c>
      <c r="E204" s="77"/>
      <c r="F204" s="71"/>
      <c r="G204" s="98"/>
      <c r="H204" s="77"/>
      <c r="I204" s="77"/>
      <c r="J204" s="85"/>
      <c r="K204" s="99">
        <v>0.27079999999999999</v>
      </c>
      <c r="L204" s="107">
        <f t="shared" si="6"/>
        <v>1.4842</v>
      </c>
    </row>
    <row r="205" spans="1:14" s="88" customFormat="1" ht="38.25" x14ac:dyDescent="0.2">
      <c r="A205" s="79"/>
      <c r="B205" s="75"/>
      <c r="C205" s="112" t="str">
        <f>C204</f>
        <v>Barra de apoio  para deficiente em ferro galvanizado de 11/2'',1=140 cm lavatório),inclusive parafuso de fixação e pintura</v>
      </c>
      <c r="D205" s="113" t="str">
        <f>D204</f>
        <v>U N</v>
      </c>
      <c r="E205" s="77">
        <f>300.86*N12</f>
        <v>300.86</v>
      </c>
      <c r="F205" s="71">
        <v>3.27</v>
      </c>
      <c r="G205" s="98">
        <v>1</v>
      </c>
      <c r="H205" s="77"/>
      <c r="I205" s="77">
        <f>E205*G205</f>
        <v>300.86</v>
      </c>
      <c r="J205" s="85"/>
      <c r="K205" s="99">
        <v>0.27079999999999999</v>
      </c>
      <c r="L205" s="107">
        <f t="shared" si="6"/>
        <v>1.4842</v>
      </c>
    </row>
    <row r="206" spans="1:14" s="88" customFormat="1" x14ac:dyDescent="0.2">
      <c r="A206" s="79"/>
      <c r="B206" s="75"/>
      <c r="C206" s="112" t="s">
        <v>369</v>
      </c>
      <c r="D206" s="113" t="s">
        <v>336</v>
      </c>
      <c r="E206" s="77">
        <f>5.21*N12</f>
        <v>5.21</v>
      </c>
      <c r="F206" s="71"/>
      <c r="G206" s="98">
        <v>0.2</v>
      </c>
      <c r="H206" s="77">
        <f>E206*G206</f>
        <v>1.042</v>
      </c>
      <c r="I206" s="77"/>
      <c r="J206" s="85"/>
      <c r="K206" s="99">
        <v>0.27079999999999999</v>
      </c>
      <c r="L206" s="107">
        <f t="shared" si="6"/>
        <v>1.4842</v>
      </c>
    </row>
    <row r="207" spans="1:14" s="88" customFormat="1" x14ac:dyDescent="0.2">
      <c r="A207" s="79"/>
      <c r="B207" s="75"/>
      <c r="C207" s="112" t="s">
        <v>339</v>
      </c>
      <c r="D207" s="113" t="s">
        <v>336</v>
      </c>
      <c r="E207" s="77">
        <f>3.77*N12</f>
        <v>3.77</v>
      </c>
      <c r="F207" s="71"/>
      <c r="G207" s="98">
        <v>0.2</v>
      </c>
      <c r="H207" s="77">
        <f>E207*G207</f>
        <v>0.754</v>
      </c>
      <c r="I207" s="77"/>
      <c r="J207" s="85"/>
      <c r="K207" s="99">
        <v>0.27079999999999999</v>
      </c>
      <c r="L207" s="107">
        <f t="shared" si="6"/>
        <v>1.4842</v>
      </c>
    </row>
    <row r="208" spans="1:14" s="88" customFormat="1" x14ac:dyDescent="0.2">
      <c r="A208" s="79"/>
      <c r="B208" s="75"/>
      <c r="C208" s="112"/>
      <c r="D208" s="113"/>
      <c r="E208" s="77"/>
      <c r="F208" s="71"/>
      <c r="G208" s="98"/>
      <c r="H208" s="77"/>
      <c r="I208" s="77"/>
      <c r="J208" s="85"/>
      <c r="K208" s="99">
        <v>0.27079999999999999</v>
      </c>
      <c r="L208" s="107">
        <f t="shared" si="6"/>
        <v>1.4842</v>
      </c>
    </row>
    <row r="209" spans="1:14" s="88" customFormat="1" x14ac:dyDescent="0.2">
      <c r="A209" s="79"/>
      <c r="B209" s="75"/>
      <c r="C209" s="112"/>
      <c r="D209" s="113"/>
      <c r="E209" s="361" t="str">
        <f>E199</f>
        <v>Custo Direto</v>
      </c>
      <c r="F209" s="361"/>
      <c r="G209" s="361"/>
      <c r="H209" s="114">
        <f>SUM(H205:H207)</f>
        <v>1.796</v>
      </c>
      <c r="I209" s="114">
        <f>SUM(I205:I207)</f>
        <v>300.86</v>
      </c>
      <c r="J209" s="85"/>
      <c r="K209" s="99">
        <v>0.27079999999999999</v>
      </c>
      <c r="L209" s="107">
        <f t="shared" si="6"/>
        <v>1.4842</v>
      </c>
    </row>
    <row r="210" spans="1:14" s="88" customFormat="1" x14ac:dyDescent="0.2">
      <c r="A210" s="79"/>
      <c r="B210" s="75"/>
      <c r="C210" s="112"/>
      <c r="D210" s="113"/>
      <c r="E210" s="361" t="str">
        <f>E200</f>
        <v>LS(%): 148,42</v>
      </c>
      <c r="F210" s="361"/>
      <c r="G210" s="361"/>
      <c r="H210" s="77">
        <f>H209*L210</f>
        <v>2.6656232000000002</v>
      </c>
      <c r="I210" s="82"/>
      <c r="J210" s="85"/>
      <c r="K210" s="99">
        <v>0.27079999999999999</v>
      </c>
      <c r="L210" s="107">
        <f t="shared" ref="L210:L273" si="8">L209</f>
        <v>1.4842</v>
      </c>
    </row>
    <row r="211" spans="1:14" s="88" customFormat="1" x14ac:dyDescent="0.2">
      <c r="A211" s="79"/>
      <c r="B211" s="75"/>
      <c r="C211" s="112"/>
      <c r="D211" s="113"/>
      <c r="E211" s="361" t="str">
        <f>E201</f>
        <v>BDI (%): 27,08</v>
      </c>
      <c r="F211" s="361"/>
      <c r="G211" s="361"/>
      <c r="H211" s="362">
        <f>(H209+I209+H210)*K211</f>
        <v>82.681095562560003</v>
      </c>
      <c r="I211" s="362"/>
      <c r="J211" s="85"/>
      <c r="K211" s="99">
        <v>0.27079999999999999</v>
      </c>
      <c r="L211" s="107">
        <f t="shared" si="8"/>
        <v>1.4842</v>
      </c>
    </row>
    <row r="212" spans="1:14" s="88" customFormat="1" x14ac:dyDescent="0.2">
      <c r="A212" s="79"/>
      <c r="B212" s="75"/>
      <c r="C212" s="112"/>
      <c r="D212" s="113"/>
      <c r="E212" s="361" t="str">
        <f>E202</f>
        <v>Valor Total c/ Taxas</v>
      </c>
      <c r="F212" s="361"/>
      <c r="G212" s="361"/>
      <c r="H212" s="77"/>
      <c r="I212" s="114">
        <f>(H209+I209+H210+H211)</f>
        <v>388.00271876256005</v>
      </c>
      <c r="J212" s="85"/>
      <c r="K212" s="99">
        <v>0.27079999999999999</v>
      </c>
      <c r="L212" s="107">
        <f t="shared" si="8"/>
        <v>1.4842</v>
      </c>
      <c r="N212" s="330">
        <f>ORÇAMENTO!E44</f>
        <v>388.00271876256005</v>
      </c>
    </row>
    <row r="213" spans="1:14" s="88" customFormat="1" ht="42" hidden="1" customHeight="1" x14ac:dyDescent="0.2">
      <c r="A213" s="129"/>
      <c r="B213" s="125" t="e">
        <f>#REF!</f>
        <v>#REF!</v>
      </c>
      <c r="C213" s="96" t="e">
        <f>#REF!</f>
        <v>#REF!</v>
      </c>
      <c r="D213" s="113" t="s">
        <v>349</v>
      </c>
      <c r="E213" s="77"/>
      <c r="F213" s="71"/>
      <c r="G213" s="98"/>
      <c r="H213" s="77"/>
      <c r="I213" s="77"/>
      <c r="J213" s="85"/>
      <c r="K213" s="99">
        <v>0.27079999999999999</v>
      </c>
      <c r="L213" s="107">
        <f t="shared" si="8"/>
        <v>1.4842</v>
      </c>
    </row>
    <row r="214" spans="1:14" s="88" customFormat="1" ht="27.75" hidden="1" customHeight="1" x14ac:dyDescent="0.2">
      <c r="A214" s="79"/>
      <c r="B214" s="75"/>
      <c r="C214" s="112" t="s">
        <v>350</v>
      </c>
      <c r="D214" s="113" t="s">
        <v>351</v>
      </c>
      <c r="E214" s="77">
        <f>F214*N12</f>
        <v>4.5599999999999996</v>
      </c>
      <c r="F214" s="71">
        <f>F145</f>
        <v>4.5599999999999996</v>
      </c>
      <c r="G214" s="98">
        <v>0.1</v>
      </c>
      <c r="H214" s="77"/>
      <c r="I214" s="77">
        <f>E214*G214</f>
        <v>0.45599999999999996</v>
      </c>
      <c r="J214" s="85"/>
      <c r="K214" s="99">
        <v>0.27079999999999999</v>
      </c>
      <c r="L214" s="107">
        <f t="shared" si="8"/>
        <v>1.4842</v>
      </c>
    </row>
    <row r="215" spans="1:14" s="88" customFormat="1" ht="27.75" hidden="1" customHeight="1" x14ac:dyDescent="0.2">
      <c r="A215" s="79"/>
      <c r="B215" s="75"/>
      <c r="C215" s="112" t="s">
        <v>352</v>
      </c>
      <c r="D215" s="113" t="s">
        <v>353</v>
      </c>
      <c r="E215" s="77" t="e">
        <f>F215*N12</f>
        <v>#REF!</v>
      </c>
      <c r="F215" s="71" t="e">
        <f>#REF!</f>
        <v>#REF!</v>
      </c>
      <c r="G215" s="98">
        <v>0.27500000000000002</v>
      </c>
      <c r="H215" s="77"/>
      <c r="I215" s="77" t="e">
        <f>E215*G215</f>
        <v>#REF!</v>
      </c>
      <c r="J215" s="85"/>
      <c r="K215" s="99">
        <v>0.27079999999999999</v>
      </c>
      <c r="L215" s="107">
        <f t="shared" si="8"/>
        <v>1.4842</v>
      </c>
    </row>
    <row r="216" spans="1:14" s="88" customFormat="1" ht="27.75" hidden="1" customHeight="1" x14ac:dyDescent="0.2">
      <c r="A216" s="79"/>
      <c r="B216" s="75"/>
      <c r="C216" s="112" t="s">
        <v>354</v>
      </c>
      <c r="D216" s="113" t="s">
        <v>355</v>
      </c>
      <c r="E216" s="77">
        <f>F216*N12</f>
        <v>1.17</v>
      </c>
      <c r="F216" s="71">
        <v>1.17</v>
      </c>
      <c r="G216" s="98">
        <v>0.24</v>
      </c>
      <c r="H216" s="77"/>
      <c r="I216" s="77">
        <f>E216*G216</f>
        <v>0.28079999999999999</v>
      </c>
      <c r="J216" s="85"/>
      <c r="K216" s="99">
        <v>0.27079999999999999</v>
      </c>
      <c r="L216" s="107">
        <f t="shared" si="8"/>
        <v>1.4842</v>
      </c>
    </row>
    <row r="217" spans="1:14" s="88" customFormat="1" ht="27.75" hidden="1" customHeight="1" x14ac:dyDescent="0.2">
      <c r="A217" s="79"/>
      <c r="B217" s="75"/>
      <c r="C217" s="112" t="s">
        <v>356</v>
      </c>
      <c r="D217" s="113" t="s">
        <v>331</v>
      </c>
      <c r="E217" s="77" t="e">
        <f>F217*N12</f>
        <v>#REF!</v>
      </c>
      <c r="F217" s="71" t="e">
        <f>#REF!</f>
        <v>#REF!</v>
      </c>
      <c r="G217" s="98">
        <v>0.15</v>
      </c>
      <c r="H217" s="77"/>
      <c r="I217" s="77" t="e">
        <f>E217*G217</f>
        <v>#REF!</v>
      </c>
      <c r="J217" s="85"/>
      <c r="K217" s="99">
        <v>0.27079999999999999</v>
      </c>
      <c r="L217" s="107">
        <f t="shared" si="8"/>
        <v>1.4842</v>
      </c>
    </row>
    <row r="218" spans="1:14" s="88" customFormat="1" ht="27.75" hidden="1" customHeight="1" x14ac:dyDescent="0.2">
      <c r="A218" s="79"/>
      <c r="B218" s="75"/>
      <c r="C218" s="112" t="s">
        <v>357</v>
      </c>
      <c r="D218" s="113" t="s">
        <v>349</v>
      </c>
      <c r="E218" s="77" t="e">
        <f>F218*N12</f>
        <v>#REF!</v>
      </c>
      <c r="F218" s="71" t="e">
        <f>#REF!</f>
        <v>#REF!</v>
      </c>
      <c r="G218" s="98">
        <v>0.79200000000000004</v>
      </c>
      <c r="H218" s="77"/>
      <c r="I218" s="77" t="e">
        <f>E218*G218</f>
        <v>#REF!</v>
      </c>
      <c r="J218" s="85"/>
      <c r="K218" s="99">
        <v>0.27079999999999999</v>
      </c>
      <c r="L218" s="107">
        <f t="shared" si="8"/>
        <v>1.4842</v>
      </c>
    </row>
    <row r="219" spans="1:14" s="88" customFormat="1" hidden="1" x14ac:dyDescent="0.2">
      <c r="A219" s="79"/>
      <c r="B219" s="75"/>
      <c r="C219" s="112" t="s">
        <v>358</v>
      </c>
      <c r="D219" s="113" t="s">
        <v>336</v>
      </c>
      <c r="E219" s="77">
        <f>5.21*N12</f>
        <v>5.21</v>
      </c>
      <c r="F219" s="71"/>
      <c r="G219" s="98">
        <v>0.9</v>
      </c>
      <c r="H219" s="77">
        <f>E219*G219</f>
        <v>4.6890000000000001</v>
      </c>
      <c r="I219" s="77"/>
      <c r="J219" s="85"/>
      <c r="K219" s="99">
        <v>0.27079999999999999</v>
      </c>
      <c r="L219" s="107">
        <f t="shared" si="8"/>
        <v>1.4842</v>
      </c>
    </row>
    <row r="220" spans="1:14" s="88" customFormat="1" hidden="1" x14ac:dyDescent="0.2">
      <c r="A220" s="79"/>
      <c r="B220" s="75"/>
      <c r="C220" s="112" t="s">
        <v>345</v>
      </c>
      <c r="D220" s="113" t="s">
        <v>336</v>
      </c>
      <c r="E220" s="77">
        <f>3.77*N12</f>
        <v>3.77</v>
      </c>
      <c r="F220" s="71"/>
      <c r="G220" s="98">
        <v>0.22500000000000001</v>
      </c>
      <c r="H220" s="77">
        <f>E220*G220</f>
        <v>0.84825000000000006</v>
      </c>
      <c r="I220" s="77"/>
      <c r="J220" s="85"/>
      <c r="K220" s="99">
        <v>0.27079999999999999</v>
      </c>
      <c r="L220" s="107">
        <f t="shared" si="8"/>
        <v>1.4842</v>
      </c>
    </row>
    <row r="221" spans="1:14" s="88" customFormat="1" hidden="1" x14ac:dyDescent="0.2">
      <c r="A221" s="79"/>
      <c r="B221" s="75"/>
      <c r="C221" s="112"/>
      <c r="D221" s="113"/>
      <c r="E221" s="77"/>
      <c r="F221" s="71"/>
      <c r="G221" s="98"/>
      <c r="H221" s="77"/>
      <c r="I221" s="77"/>
      <c r="J221" s="85"/>
      <c r="K221" s="99">
        <v>0.27079999999999999</v>
      </c>
      <c r="L221" s="107">
        <f t="shared" si="8"/>
        <v>1.4842</v>
      </c>
    </row>
    <row r="222" spans="1:14" s="88" customFormat="1" hidden="1" x14ac:dyDescent="0.2">
      <c r="A222" s="79"/>
      <c r="B222" s="75"/>
      <c r="C222" s="112"/>
      <c r="D222" s="113"/>
      <c r="E222" s="361" t="str">
        <f>E209</f>
        <v>Custo Direto</v>
      </c>
      <c r="F222" s="361"/>
      <c r="G222" s="361"/>
      <c r="H222" s="114">
        <f>SUM(H214:H220)</f>
        <v>5.5372500000000002</v>
      </c>
      <c r="I222" s="114" t="e">
        <f>SUM(I214:I220)</f>
        <v>#REF!</v>
      </c>
      <c r="J222" s="85"/>
      <c r="K222" s="99">
        <v>0.27079999999999999</v>
      </c>
      <c r="L222" s="107">
        <f t="shared" si="8"/>
        <v>1.4842</v>
      </c>
    </row>
    <row r="223" spans="1:14" s="88" customFormat="1" hidden="1" x14ac:dyDescent="0.2">
      <c r="A223" s="79"/>
      <c r="B223" s="75"/>
      <c r="C223" s="112"/>
      <c r="D223" s="113"/>
      <c r="E223" s="361" t="str">
        <f>E210</f>
        <v>LS(%): 148,42</v>
      </c>
      <c r="F223" s="361"/>
      <c r="G223" s="361"/>
      <c r="H223" s="77">
        <f>H222*L223</f>
        <v>8.2183864500000006</v>
      </c>
      <c r="I223" s="82"/>
      <c r="J223" s="85"/>
      <c r="K223" s="99">
        <v>0.27079999999999999</v>
      </c>
      <c r="L223" s="107">
        <f t="shared" si="8"/>
        <v>1.4842</v>
      </c>
    </row>
    <row r="224" spans="1:14" s="88" customFormat="1" hidden="1" x14ac:dyDescent="0.2">
      <c r="A224" s="79"/>
      <c r="B224" s="75"/>
      <c r="C224" s="112"/>
      <c r="D224" s="113"/>
      <c r="E224" s="361" t="str">
        <f>E211</f>
        <v>BDI (%): 27,08</v>
      </c>
      <c r="F224" s="361"/>
      <c r="G224" s="361"/>
      <c r="H224" s="362" t="e">
        <f>(H222+I222+H223)*K224</f>
        <v>#REF!</v>
      </c>
      <c r="I224" s="362"/>
      <c r="J224" s="85"/>
      <c r="K224" s="99">
        <v>0.27079999999999999</v>
      </c>
      <c r="L224" s="107">
        <f t="shared" si="8"/>
        <v>1.4842</v>
      </c>
    </row>
    <row r="225" spans="1:14" s="88" customFormat="1" hidden="1" x14ac:dyDescent="0.2">
      <c r="A225" s="79"/>
      <c r="B225" s="75"/>
      <c r="C225" s="112"/>
      <c r="D225" s="113"/>
      <c r="E225" s="361" t="str">
        <f>E212</f>
        <v>Valor Total c/ Taxas</v>
      </c>
      <c r="F225" s="361"/>
      <c r="G225" s="361"/>
      <c r="H225" s="77"/>
      <c r="I225" s="114" t="e">
        <f>(H222+I222+H223+H224)</f>
        <v>#REF!</v>
      </c>
      <c r="J225" s="85"/>
      <c r="K225" s="99">
        <v>0.27079999999999999</v>
      </c>
      <c r="L225" s="107">
        <f t="shared" si="8"/>
        <v>1.4842</v>
      </c>
    </row>
    <row r="226" spans="1:14" s="88" customFormat="1" x14ac:dyDescent="0.2">
      <c r="A226" s="79"/>
      <c r="B226" s="75"/>
      <c r="C226" s="112"/>
      <c r="D226" s="113"/>
      <c r="E226" s="77"/>
      <c r="F226" s="71"/>
      <c r="G226" s="98"/>
      <c r="H226" s="77"/>
      <c r="I226" s="77"/>
      <c r="J226" s="85"/>
      <c r="K226" s="99">
        <v>0.27079999999999999</v>
      </c>
      <c r="L226" s="107">
        <f t="shared" si="8"/>
        <v>1.4842</v>
      </c>
    </row>
    <row r="227" spans="1:14" s="88" customFormat="1" x14ac:dyDescent="0.2">
      <c r="A227" s="129"/>
      <c r="B227" s="95" t="str">
        <f>ORÇAMENTO!A48</f>
        <v>4.1.1</v>
      </c>
      <c r="C227" s="96" t="str">
        <f>ORÇAMENTO!B48</f>
        <v>Fio isolado em pvc seção 1,5mm²- 750v / 70º C</v>
      </c>
      <c r="D227" s="97" t="s">
        <v>355</v>
      </c>
      <c r="E227" s="77"/>
      <c r="F227" s="71"/>
      <c r="G227" s="98"/>
      <c r="H227" s="77"/>
      <c r="I227" s="77"/>
      <c r="J227" s="85"/>
      <c r="K227" s="99">
        <v>0.27079999999999999</v>
      </c>
      <c r="L227" s="107">
        <f t="shared" si="8"/>
        <v>1.4842</v>
      </c>
    </row>
    <row r="228" spans="1:14" s="88" customFormat="1" x14ac:dyDescent="0.2">
      <c r="A228" s="79"/>
      <c r="B228" s="75"/>
      <c r="C228" s="112" t="str">
        <f>C227</f>
        <v>Fio isolado em pvc seção 1,5mm²- 750v / 70º C</v>
      </c>
      <c r="D228" s="113" t="str">
        <f>D227</f>
        <v>M</v>
      </c>
      <c r="E228" s="77">
        <f>1.83*N12</f>
        <v>1.83</v>
      </c>
      <c r="F228" s="71">
        <f>F155</f>
        <v>3.03</v>
      </c>
      <c r="G228" s="98">
        <v>1</v>
      </c>
      <c r="H228" s="77"/>
      <c r="I228" s="77">
        <f t="shared" ref="I228" si="9">E228*G228</f>
        <v>1.83</v>
      </c>
      <c r="J228" s="85"/>
      <c r="K228" s="99">
        <v>0.27079999999999999</v>
      </c>
      <c r="L228" s="107">
        <f t="shared" si="8"/>
        <v>1.4842</v>
      </c>
    </row>
    <row r="229" spans="1:14" s="88" customFormat="1" x14ac:dyDescent="0.2">
      <c r="A229" s="79"/>
      <c r="B229" s="75"/>
      <c r="C229" s="112" t="s">
        <v>359</v>
      </c>
      <c r="D229" s="113" t="s">
        <v>336</v>
      </c>
      <c r="E229" s="77">
        <f>5.21*N12</f>
        <v>5.21</v>
      </c>
      <c r="F229" s="71"/>
      <c r="G229" s="98">
        <v>3.0000000000000001E-3</v>
      </c>
      <c r="H229" s="77">
        <f>E229*G229</f>
        <v>1.5630000000000002E-2</v>
      </c>
      <c r="I229" s="77"/>
      <c r="J229" s="85"/>
      <c r="K229" s="99">
        <v>0.27079999999999999</v>
      </c>
      <c r="L229" s="107">
        <f t="shared" si="8"/>
        <v>1.4842</v>
      </c>
    </row>
    <row r="230" spans="1:14" s="88" customFormat="1" x14ac:dyDescent="0.2">
      <c r="A230" s="79"/>
      <c r="B230" s="75"/>
      <c r="C230" s="112" t="s">
        <v>339</v>
      </c>
      <c r="D230" s="113" t="s">
        <v>336</v>
      </c>
      <c r="E230" s="77">
        <f>3.77*N12</f>
        <v>3.77</v>
      </c>
      <c r="F230" s="71"/>
      <c r="G230" s="98">
        <v>3.0000000000000001E-3</v>
      </c>
      <c r="H230" s="77">
        <f>E230*G230</f>
        <v>1.1310000000000001E-2</v>
      </c>
      <c r="I230" s="77"/>
      <c r="J230" s="85"/>
      <c r="K230" s="99">
        <v>0.27079999999999999</v>
      </c>
      <c r="L230" s="107">
        <f t="shared" si="8"/>
        <v>1.4842</v>
      </c>
    </row>
    <row r="231" spans="1:14" s="88" customFormat="1" x14ac:dyDescent="0.2">
      <c r="A231" s="79"/>
      <c r="B231" s="75"/>
      <c r="C231" s="112"/>
      <c r="D231" s="113"/>
      <c r="E231" s="77"/>
      <c r="F231" s="71"/>
      <c r="G231" s="98"/>
      <c r="H231" s="77"/>
      <c r="I231" s="77"/>
      <c r="J231" s="85"/>
      <c r="K231" s="99">
        <v>0.27079999999999999</v>
      </c>
      <c r="L231" s="107">
        <f t="shared" si="8"/>
        <v>1.4842</v>
      </c>
    </row>
    <row r="232" spans="1:14" s="88" customFormat="1" x14ac:dyDescent="0.2">
      <c r="A232" s="79"/>
      <c r="B232" s="75"/>
      <c r="C232" s="112"/>
      <c r="D232" s="113"/>
      <c r="E232" s="361" t="str">
        <f>E222</f>
        <v>Custo Direto</v>
      </c>
      <c r="F232" s="361"/>
      <c r="G232" s="361"/>
      <c r="H232" s="114">
        <f>SUM(H228:H230)</f>
        <v>2.6940000000000002E-2</v>
      </c>
      <c r="I232" s="114">
        <f>SUM(I228:I230)</f>
        <v>1.83</v>
      </c>
      <c r="J232" s="85"/>
      <c r="K232" s="99">
        <v>0.27079999999999999</v>
      </c>
      <c r="L232" s="107">
        <f t="shared" si="8"/>
        <v>1.4842</v>
      </c>
    </row>
    <row r="233" spans="1:14" s="88" customFormat="1" x14ac:dyDescent="0.2">
      <c r="A233" s="79"/>
      <c r="B233" s="75"/>
      <c r="C233" s="112"/>
      <c r="D233" s="113"/>
      <c r="E233" s="361" t="str">
        <f>E223</f>
        <v>LS(%): 148,42</v>
      </c>
      <c r="F233" s="361"/>
      <c r="G233" s="361"/>
      <c r="H233" s="77">
        <f>H232*L233</f>
        <v>3.9984348000000003E-2</v>
      </c>
      <c r="I233" s="82"/>
      <c r="J233" s="85"/>
      <c r="K233" s="99">
        <v>0.27079999999999999</v>
      </c>
      <c r="L233" s="107">
        <f t="shared" si="8"/>
        <v>1.4842</v>
      </c>
    </row>
    <row r="234" spans="1:14" s="88" customFormat="1" x14ac:dyDescent="0.2">
      <c r="A234" s="79"/>
      <c r="B234" s="75"/>
      <c r="C234" s="112"/>
      <c r="D234" s="113"/>
      <c r="E234" s="361" t="str">
        <f>E224</f>
        <v>BDI (%): 27,08</v>
      </c>
      <c r="F234" s="361"/>
      <c r="G234" s="361"/>
      <c r="H234" s="362">
        <f>(H232+I232+H233)*K234</f>
        <v>0.51368711343840001</v>
      </c>
      <c r="I234" s="362"/>
      <c r="J234" s="85"/>
      <c r="K234" s="99">
        <v>0.27079999999999999</v>
      </c>
      <c r="L234" s="107">
        <f t="shared" si="8"/>
        <v>1.4842</v>
      </c>
    </row>
    <row r="235" spans="1:14" s="88" customFormat="1" x14ac:dyDescent="0.2">
      <c r="A235" s="79"/>
      <c r="B235" s="75"/>
      <c r="C235" s="112"/>
      <c r="D235" s="113"/>
      <c r="E235" s="361" t="str">
        <f>E225</f>
        <v>Valor Total c/ Taxas</v>
      </c>
      <c r="F235" s="361"/>
      <c r="G235" s="361"/>
      <c r="H235" s="77"/>
      <c r="I235" s="114">
        <f>(H232+I232+H233+H234)</f>
        <v>2.4106114614383998</v>
      </c>
      <c r="J235" s="85"/>
      <c r="K235" s="99">
        <v>0.27079999999999999</v>
      </c>
      <c r="L235" s="107">
        <f t="shared" si="8"/>
        <v>1.4842</v>
      </c>
      <c r="N235" s="330">
        <v>2.41</v>
      </c>
    </row>
    <row r="236" spans="1:14" s="88" customFormat="1" x14ac:dyDescent="0.2">
      <c r="A236" s="79"/>
      <c r="B236" s="75"/>
      <c r="C236" s="112"/>
      <c r="D236" s="113"/>
      <c r="E236" s="77"/>
      <c r="F236" s="71"/>
      <c r="G236" s="98"/>
      <c r="H236" s="77"/>
      <c r="I236" s="77"/>
      <c r="J236" s="85"/>
      <c r="K236" s="99">
        <v>0.27079999999999999</v>
      </c>
      <c r="L236" s="107">
        <f t="shared" si="8"/>
        <v>1.4842</v>
      </c>
    </row>
    <row r="237" spans="1:14" s="88" customFormat="1" x14ac:dyDescent="0.2">
      <c r="A237" s="129"/>
      <c r="B237" s="95" t="str">
        <f>ORÇAMENTO!A49</f>
        <v>4.1.2</v>
      </c>
      <c r="C237" s="96" t="str">
        <f>ORÇAMENTO!B49</f>
        <v>Fio isolado em pcv seção 2,5mm²- 750v / 70º C</v>
      </c>
      <c r="D237" s="97" t="str">
        <f>D227</f>
        <v>M</v>
      </c>
      <c r="E237" s="77"/>
      <c r="F237" s="71"/>
      <c r="G237" s="98"/>
      <c r="H237" s="77"/>
      <c r="I237" s="77"/>
      <c r="J237" s="85"/>
      <c r="K237" s="99">
        <v>0.27079999999999999</v>
      </c>
      <c r="L237" s="107">
        <f t="shared" si="8"/>
        <v>1.4842</v>
      </c>
    </row>
    <row r="238" spans="1:14" s="88" customFormat="1" x14ac:dyDescent="0.2">
      <c r="A238" s="79"/>
      <c r="B238" s="75"/>
      <c r="C238" s="112" t="str">
        <f>C237</f>
        <v>Fio isolado em pcv seção 2,5mm²- 750v / 70º C</v>
      </c>
      <c r="D238" s="113" t="str">
        <f>D237</f>
        <v>M</v>
      </c>
      <c r="E238" s="77">
        <f>2.16*N12</f>
        <v>2.16</v>
      </c>
      <c r="F238" s="71">
        <v>314.93</v>
      </c>
      <c r="G238" s="98">
        <v>1</v>
      </c>
      <c r="H238" s="77"/>
      <c r="I238" s="77">
        <f>E238*G238</f>
        <v>2.16</v>
      </c>
      <c r="J238" s="85"/>
      <c r="K238" s="99">
        <v>0.27079999999999999</v>
      </c>
      <c r="L238" s="107">
        <f t="shared" si="8"/>
        <v>1.4842</v>
      </c>
    </row>
    <row r="239" spans="1:14" s="88" customFormat="1" x14ac:dyDescent="0.2">
      <c r="A239" s="79"/>
      <c r="B239" s="75"/>
      <c r="C239" s="112" t="s">
        <v>359</v>
      </c>
      <c r="D239" s="113" t="s">
        <v>336</v>
      </c>
      <c r="E239" s="134">
        <f>5.21*N12</f>
        <v>5.21</v>
      </c>
      <c r="F239" s="71"/>
      <c r="G239" s="98">
        <v>3.0000000000000001E-3</v>
      </c>
      <c r="H239" s="77">
        <f>E239*G239</f>
        <v>1.5630000000000002E-2</v>
      </c>
      <c r="I239" s="77"/>
      <c r="J239" s="85"/>
      <c r="K239" s="99">
        <v>0.27079999999999999</v>
      </c>
      <c r="L239" s="107">
        <f t="shared" si="8"/>
        <v>1.4842</v>
      </c>
    </row>
    <row r="240" spans="1:14" s="88" customFormat="1" x14ac:dyDescent="0.2">
      <c r="A240" s="79"/>
      <c r="B240" s="75"/>
      <c r="C240" s="112" t="s">
        <v>345</v>
      </c>
      <c r="D240" s="113" t="s">
        <v>336</v>
      </c>
      <c r="E240" s="77">
        <f>3.77*N12</f>
        <v>3.77</v>
      </c>
      <c r="F240" s="71"/>
      <c r="G240" s="98">
        <v>3.0000000000000001E-3</v>
      </c>
      <c r="H240" s="77">
        <f>E240*G240</f>
        <v>1.1310000000000001E-2</v>
      </c>
      <c r="I240" s="77"/>
      <c r="J240" s="85"/>
      <c r="K240" s="99">
        <v>0.27079999999999999</v>
      </c>
      <c r="L240" s="107">
        <f t="shared" si="8"/>
        <v>1.4842</v>
      </c>
    </row>
    <row r="241" spans="1:14" s="88" customFormat="1" x14ac:dyDescent="0.2">
      <c r="A241" s="79"/>
      <c r="B241" s="75"/>
      <c r="C241" s="112"/>
      <c r="D241" s="113"/>
      <c r="E241" s="77"/>
      <c r="F241" s="71"/>
      <c r="G241" s="98"/>
      <c r="H241" s="77"/>
      <c r="I241" s="77"/>
      <c r="J241" s="85"/>
      <c r="K241" s="99">
        <v>0.27079999999999999</v>
      </c>
      <c r="L241" s="107">
        <f t="shared" si="8"/>
        <v>1.4842</v>
      </c>
    </row>
    <row r="242" spans="1:14" s="88" customFormat="1" x14ac:dyDescent="0.2">
      <c r="A242" s="79"/>
      <c r="B242" s="75"/>
      <c r="C242" s="112"/>
      <c r="D242" s="113"/>
      <c r="E242" s="361" t="str">
        <f>E232</f>
        <v>Custo Direto</v>
      </c>
      <c r="F242" s="361"/>
      <c r="G242" s="361"/>
      <c r="H242" s="114">
        <f>SUM(H238:H240)</f>
        <v>2.6940000000000002E-2</v>
      </c>
      <c r="I242" s="114">
        <f>SUM(I238:I240)</f>
        <v>2.16</v>
      </c>
      <c r="J242" s="85"/>
      <c r="K242" s="99">
        <v>0.27079999999999999</v>
      </c>
      <c r="L242" s="107">
        <f t="shared" si="8"/>
        <v>1.4842</v>
      </c>
    </row>
    <row r="243" spans="1:14" s="88" customFormat="1" x14ac:dyDescent="0.2">
      <c r="A243" s="79"/>
      <c r="B243" s="75"/>
      <c r="C243" s="112"/>
      <c r="D243" s="113"/>
      <c r="E243" s="361" t="str">
        <f>E233</f>
        <v>LS(%): 148,42</v>
      </c>
      <c r="F243" s="361"/>
      <c r="G243" s="361"/>
      <c r="H243" s="77">
        <f>H242*L243</f>
        <v>3.9984348000000003E-2</v>
      </c>
      <c r="I243" s="82"/>
      <c r="J243" s="85"/>
      <c r="K243" s="99">
        <v>0.27079999999999999</v>
      </c>
      <c r="L243" s="107">
        <f t="shared" si="8"/>
        <v>1.4842</v>
      </c>
    </row>
    <row r="244" spans="1:14" s="88" customFormat="1" x14ac:dyDescent="0.2">
      <c r="A244" s="79"/>
      <c r="B244" s="75"/>
      <c r="C244" s="112"/>
      <c r="D244" s="113"/>
      <c r="E244" s="361" t="str">
        <f>E234</f>
        <v>BDI (%): 27,08</v>
      </c>
      <c r="F244" s="361"/>
      <c r="G244" s="361"/>
      <c r="H244" s="362">
        <f>(H242+I242+H243)*K244</f>
        <v>0.60305111343840001</v>
      </c>
      <c r="I244" s="362"/>
      <c r="J244" s="85"/>
      <c r="K244" s="99">
        <v>0.27079999999999999</v>
      </c>
      <c r="L244" s="107">
        <f t="shared" si="8"/>
        <v>1.4842</v>
      </c>
    </row>
    <row r="245" spans="1:14" s="143" customFormat="1" x14ac:dyDescent="0.2">
      <c r="A245" s="135"/>
      <c r="B245" s="136"/>
      <c r="C245" s="137"/>
      <c r="D245" s="138"/>
      <c r="E245" s="372" t="str">
        <f>E235</f>
        <v>Valor Total c/ Taxas</v>
      </c>
      <c r="F245" s="372"/>
      <c r="G245" s="372"/>
      <c r="H245" s="139"/>
      <c r="I245" s="140">
        <f>(H242+I242+H243+H244)</f>
        <v>2.8299754614384005</v>
      </c>
      <c r="J245" s="141"/>
      <c r="K245" s="99">
        <v>0.27079999999999999</v>
      </c>
      <c r="L245" s="142">
        <f t="shared" si="8"/>
        <v>1.4842</v>
      </c>
      <c r="N245" s="342">
        <f>ORÇAMENTO!E49</f>
        <v>2.8299754614384005</v>
      </c>
    </row>
    <row r="246" spans="1:14" s="88" customFormat="1" x14ac:dyDescent="0.2">
      <c r="A246" s="79"/>
      <c r="B246" s="75"/>
      <c r="C246" s="112"/>
      <c r="D246" s="113"/>
      <c r="E246" s="76"/>
      <c r="F246" s="76"/>
      <c r="G246" s="76"/>
      <c r="H246" s="77"/>
      <c r="I246" s="114"/>
      <c r="J246" s="85"/>
      <c r="K246" s="99">
        <v>0.27079999999999999</v>
      </c>
      <c r="L246" s="107">
        <f>L235</f>
        <v>1.4842</v>
      </c>
    </row>
    <row r="247" spans="1:14" s="88" customFormat="1" x14ac:dyDescent="0.2">
      <c r="A247" s="129"/>
      <c r="B247" s="95" t="str">
        <f>ORÇAMENTO!A50</f>
        <v>4.1.3</v>
      </c>
      <c r="C247" s="96" t="str">
        <f>ORÇAMENTO!B50</f>
        <v>Fio isolado em pvc seção 4,0mm²- 750v / 70º C</v>
      </c>
      <c r="D247" s="97" t="str">
        <f>D238</f>
        <v>M</v>
      </c>
      <c r="E247" s="77"/>
      <c r="F247" s="71"/>
      <c r="G247" s="98"/>
      <c r="H247" s="77"/>
      <c r="I247" s="77"/>
      <c r="J247" s="85"/>
      <c r="K247" s="99">
        <v>0.27079999999999999</v>
      </c>
      <c r="L247" s="107">
        <f t="shared" si="8"/>
        <v>1.4842</v>
      </c>
    </row>
    <row r="248" spans="1:14" s="88" customFormat="1" x14ac:dyDescent="0.2">
      <c r="A248" s="79"/>
      <c r="B248" s="75"/>
      <c r="C248" s="112" t="str">
        <f>C247</f>
        <v>Fio isolado em pvc seção 4,0mm²- 750v / 70º C</v>
      </c>
      <c r="D248" s="113" t="str">
        <f>D247</f>
        <v>M</v>
      </c>
      <c r="E248" s="77">
        <f>2.38*N12</f>
        <v>2.38</v>
      </c>
      <c r="F248" s="71">
        <f>F228</f>
        <v>3.03</v>
      </c>
      <c r="G248" s="98">
        <v>1</v>
      </c>
      <c r="H248" s="77"/>
      <c r="I248" s="77">
        <f t="shared" ref="I248" si="10">E248*G248</f>
        <v>2.38</v>
      </c>
      <c r="J248" s="85"/>
      <c r="K248" s="99">
        <v>0.27079999999999999</v>
      </c>
      <c r="L248" s="107">
        <f t="shared" si="8"/>
        <v>1.4842</v>
      </c>
    </row>
    <row r="249" spans="1:14" s="88" customFormat="1" x14ac:dyDescent="0.2">
      <c r="A249" s="79"/>
      <c r="B249" s="75"/>
      <c r="C249" s="112" t="s">
        <v>359</v>
      </c>
      <c r="D249" s="113" t="s">
        <v>336</v>
      </c>
      <c r="E249" s="77">
        <f>5.21*N12</f>
        <v>5.21</v>
      </c>
      <c r="F249" s="71"/>
      <c r="G249" s="98">
        <v>3.0000000000000001E-3</v>
      </c>
      <c r="H249" s="77">
        <f>E249*G249</f>
        <v>1.5630000000000002E-2</v>
      </c>
      <c r="I249" s="77"/>
      <c r="J249" s="85"/>
      <c r="K249" s="99">
        <v>0.27079999999999999</v>
      </c>
      <c r="L249" s="107">
        <f t="shared" si="8"/>
        <v>1.4842</v>
      </c>
    </row>
    <row r="250" spans="1:14" s="88" customFormat="1" x14ac:dyDescent="0.2">
      <c r="A250" s="79"/>
      <c r="B250" s="75"/>
      <c r="C250" s="112" t="s">
        <v>345</v>
      </c>
      <c r="D250" s="113" t="s">
        <v>336</v>
      </c>
      <c r="E250" s="77">
        <f>3.77*N12</f>
        <v>3.77</v>
      </c>
      <c r="F250" s="71"/>
      <c r="G250" s="98">
        <v>0.03</v>
      </c>
      <c r="H250" s="77">
        <f>E250*G250</f>
        <v>0.11309999999999999</v>
      </c>
      <c r="I250" s="77"/>
      <c r="J250" s="85"/>
      <c r="K250" s="99">
        <v>0.27079999999999999</v>
      </c>
      <c r="L250" s="107">
        <f t="shared" si="8"/>
        <v>1.4842</v>
      </c>
    </row>
    <row r="251" spans="1:14" s="88" customFormat="1" x14ac:dyDescent="0.2">
      <c r="A251" s="79"/>
      <c r="B251" s="75"/>
      <c r="C251" s="112"/>
      <c r="D251" s="113"/>
      <c r="E251" s="77"/>
      <c r="F251" s="71"/>
      <c r="G251" s="98"/>
      <c r="H251" s="77"/>
      <c r="I251" s="77"/>
      <c r="J251" s="85"/>
      <c r="K251" s="99">
        <v>0.27079999999999999</v>
      </c>
      <c r="L251" s="107">
        <f t="shared" si="8"/>
        <v>1.4842</v>
      </c>
    </row>
    <row r="252" spans="1:14" s="88" customFormat="1" x14ac:dyDescent="0.2">
      <c r="A252" s="79"/>
      <c r="B252" s="75"/>
      <c r="C252" s="112"/>
      <c r="D252" s="113"/>
      <c r="E252" s="361" t="str">
        <f>E232</f>
        <v>Custo Direto</v>
      </c>
      <c r="F252" s="361"/>
      <c r="G252" s="361"/>
      <c r="H252" s="114">
        <f>SUM(H248:H250)</f>
        <v>0.12872999999999998</v>
      </c>
      <c r="I252" s="114">
        <f>SUM(I248:I250)</f>
        <v>2.38</v>
      </c>
      <c r="J252" s="85"/>
      <c r="K252" s="99">
        <v>0.27079999999999999</v>
      </c>
      <c r="L252" s="107">
        <f t="shared" si="8"/>
        <v>1.4842</v>
      </c>
    </row>
    <row r="253" spans="1:14" s="88" customFormat="1" x14ac:dyDescent="0.2">
      <c r="A253" s="79"/>
      <c r="B253" s="75"/>
      <c r="C253" s="112"/>
      <c r="D253" s="113"/>
      <c r="E253" s="361" t="str">
        <f>E233</f>
        <v>LS(%): 148,42</v>
      </c>
      <c r="F253" s="361"/>
      <c r="G253" s="361"/>
      <c r="H253" s="77">
        <f>H252*L253</f>
        <v>0.19106106599999997</v>
      </c>
      <c r="I253" s="82"/>
      <c r="J253" s="85"/>
      <c r="K253" s="99">
        <v>0.27079999999999999</v>
      </c>
      <c r="L253" s="107">
        <f t="shared" si="8"/>
        <v>1.4842</v>
      </c>
    </row>
    <row r="254" spans="1:14" s="88" customFormat="1" x14ac:dyDescent="0.2">
      <c r="A254" s="79"/>
      <c r="B254" s="75"/>
      <c r="C254" s="112"/>
      <c r="D254" s="113"/>
      <c r="E254" s="361" t="str">
        <f>E234</f>
        <v>BDI (%): 27,08</v>
      </c>
      <c r="F254" s="361"/>
      <c r="G254" s="361"/>
      <c r="H254" s="362">
        <f>(H252+I252+H253)*K254</f>
        <v>0.73110342067279999</v>
      </c>
      <c r="I254" s="362"/>
      <c r="J254" s="85"/>
      <c r="K254" s="99">
        <v>0.27079999999999999</v>
      </c>
      <c r="L254" s="107">
        <f t="shared" si="8"/>
        <v>1.4842</v>
      </c>
    </row>
    <row r="255" spans="1:14" s="88" customFormat="1" x14ac:dyDescent="0.2">
      <c r="A255" s="79"/>
      <c r="B255" s="75"/>
      <c r="C255" s="112"/>
      <c r="D255" s="113"/>
      <c r="E255" s="361" t="str">
        <f>E235</f>
        <v>Valor Total c/ Taxas</v>
      </c>
      <c r="F255" s="361"/>
      <c r="G255" s="361"/>
      <c r="H255" s="77"/>
      <c r="I255" s="114">
        <f>(H252+I252+H253+H254)</f>
        <v>3.4308944866728002</v>
      </c>
      <c r="J255" s="85"/>
      <c r="K255" s="99">
        <v>0.27079999999999999</v>
      </c>
      <c r="L255" s="107">
        <f t="shared" si="8"/>
        <v>1.4842</v>
      </c>
      <c r="N255" s="330">
        <f>ORÇAMENTO!E50</f>
        <v>3.4308944866728002</v>
      </c>
    </row>
    <row r="256" spans="1:14" s="88" customFormat="1" x14ac:dyDescent="0.2">
      <c r="A256" s="79"/>
      <c r="B256" s="75"/>
      <c r="C256" s="112"/>
      <c r="D256" s="113"/>
      <c r="E256" s="77"/>
      <c r="F256" s="71"/>
      <c r="G256" s="98"/>
      <c r="H256" s="77"/>
      <c r="I256" s="77"/>
      <c r="J256" s="85"/>
      <c r="K256" s="99">
        <v>0.27079999999999999</v>
      </c>
      <c r="L256" s="107">
        <f t="shared" si="8"/>
        <v>1.4842</v>
      </c>
    </row>
    <row r="257" spans="1:14" s="88" customFormat="1" x14ac:dyDescent="0.2">
      <c r="A257" s="129"/>
      <c r="B257" s="95" t="str">
        <f>ORÇAMENTO!A51</f>
        <v>4.1.4</v>
      </c>
      <c r="C257" s="96" t="str">
        <f>ORÇAMENTO!B51</f>
        <v>Fio isolado em pvc seção 6,0mm²- 750v / 70º C</v>
      </c>
      <c r="D257" s="97" t="str">
        <f>D248</f>
        <v>M</v>
      </c>
      <c r="E257" s="77"/>
      <c r="F257" s="71"/>
      <c r="G257" s="98"/>
      <c r="H257" s="77"/>
      <c r="I257" s="77"/>
      <c r="J257" s="85"/>
      <c r="K257" s="99">
        <v>0.27079999999999999</v>
      </c>
      <c r="L257" s="107">
        <f t="shared" si="8"/>
        <v>1.4842</v>
      </c>
    </row>
    <row r="258" spans="1:14" s="88" customFormat="1" x14ac:dyDescent="0.2">
      <c r="A258" s="79"/>
      <c r="B258" s="75"/>
      <c r="C258" s="112" t="str">
        <f>C257</f>
        <v>Fio isolado em pvc seção 6,0mm²- 750v / 70º C</v>
      </c>
      <c r="D258" s="113" t="str">
        <f>D257</f>
        <v>M</v>
      </c>
      <c r="E258" s="77">
        <f>3.15*N12</f>
        <v>3.15</v>
      </c>
      <c r="F258" s="71">
        <v>10.42</v>
      </c>
      <c r="G258" s="98">
        <v>1</v>
      </c>
      <c r="H258" s="77"/>
      <c r="I258" s="77">
        <f t="shared" ref="I258:I260" si="11">E258*G258</f>
        <v>3.15</v>
      </c>
      <c r="J258" s="85"/>
      <c r="K258" s="99">
        <v>0.27079999999999999</v>
      </c>
      <c r="L258" s="107">
        <f t="shared" si="8"/>
        <v>1.4842</v>
      </c>
    </row>
    <row r="259" spans="1:14" s="88" customFormat="1" x14ac:dyDescent="0.2">
      <c r="A259" s="79"/>
      <c r="B259" s="75"/>
      <c r="C259" s="112" t="s">
        <v>359</v>
      </c>
      <c r="D259" s="113" t="s">
        <v>336</v>
      </c>
      <c r="E259" s="77">
        <f>5.21*N12</f>
        <v>5.21</v>
      </c>
      <c r="F259" s="71"/>
      <c r="G259" s="98">
        <v>3.0000000000000001E-3</v>
      </c>
      <c r="H259" s="77">
        <f>E259*G259</f>
        <v>1.5630000000000002E-2</v>
      </c>
      <c r="I259" s="77">
        <f t="shared" si="11"/>
        <v>1.5630000000000002E-2</v>
      </c>
      <c r="J259" s="85"/>
      <c r="K259" s="99">
        <v>0.27079999999999999</v>
      </c>
      <c r="L259" s="107">
        <f t="shared" si="8"/>
        <v>1.4842</v>
      </c>
    </row>
    <row r="260" spans="1:14" s="88" customFormat="1" x14ac:dyDescent="0.2">
      <c r="A260" s="79"/>
      <c r="B260" s="75"/>
      <c r="C260" s="112" t="s">
        <v>345</v>
      </c>
      <c r="D260" s="113" t="s">
        <v>336</v>
      </c>
      <c r="E260" s="77">
        <f>3.77*N12</f>
        <v>3.77</v>
      </c>
      <c r="F260" s="71"/>
      <c r="G260" s="98">
        <v>3.0000000000000001E-3</v>
      </c>
      <c r="H260" s="77">
        <f>E260*G260</f>
        <v>1.1310000000000001E-2</v>
      </c>
      <c r="I260" s="77">
        <f t="shared" si="11"/>
        <v>1.1310000000000001E-2</v>
      </c>
      <c r="J260" s="85"/>
      <c r="K260" s="99">
        <v>0.27079999999999999</v>
      </c>
      <c r="L260" s="107">
        <f t="shared" si="8"/>
        <v>1.4842</v>
      </c>
    </row>
    <row r="261" spans="1:14" s="88" customFormat="1" x14ac:dyDescent="0.2">
      <c r="A261" s="79"/>
      <c r="B261" s="75"/>
      <c r="C261" s="112"/>
      <c r="D261" s="113"/>
      <c r="E261" s="77"/>
      <c r="F261" s="71"/>
      <c r="G261" s="98"/>
      <c r="H261" s="77"/>
      <c r="I261" s="77"/>
      <c r="J261" s="85"/>
      <c r="K261" s="99">
        <v>0.27079999999999999</v>
      </c>
      <c r="L261" s="107">
        <f t="shared" si="8"/>
        <v>1.4842</v>
      </c>
    </row>
    <row r="262" spans="1:14" s="88" customFormat="1" x14ac:dyDescent="0.2">
      <c r="A262" s="79"/>
      <c r="B262" s="75"/>
      <c r="C262" s="112"/>
      <c r="D262" s="113"/>
      <c r="E262" s="361" t="str">
        <f>E232</f>
        <v>Custo Direto</v>
      </c>
      <c r="F262" s="361"/>
      <c r="G262" s="361"/>
      <c r="H262" s="114">
        <f>SUM(H258:H260)</f>
        <v>2.6940000000000002E-2</v>
      </c>
      <c r="I262" s="114">
        <f>SUM(I258:I260)</f>
        <v>3.1769399999999997</v>
      </c>
      <c r="J262" s="85"/>
      <c r="K262" s="99">
        <v>0.27079999999999999</v>
      </c>
      <c r="L262" s="107">
        <f t="shared" si="8"/>
        <v>1.4842</v>
      </c>
    </row>
    <row r="263" spans="1:14" s="88" customFormat="1" x14ac:dyDescent="0.2">
      <c r="A263" s="79"/>
      <c r="B263" s="75"/>
      <c r="C263" s="112"/>
      <c r="D263" s="113"/>
      <c r="E263" s="361" t="str">
        <f>E233</f>
        <v>LS(%): 148,42</v>
      </c>
      <c r="F263" s="361"/>
      <c r="G263" s="361"/>
      <c r="H263" s="77">
        <f>H262*L263</f>
        <v>3.9984348000000003E-2</v>
      </c>
      <c r="I263" s="82"/>
      <c r="J263" s="85"/>
      <c r="K263" s="99">
        <v>0.27079999999999999</v>
      </c>
      <c r="L263" s="107">
        <f t="shared" si="8"/>
        <v>1.4842</v>
      </c>
    </row>
    <row r="264" spans="1:14" s="88" customFormat="1" x14ac:dyDescent="0.2">
      <c r="A264" s="79"/>
      <c r="B264" s="75"/>
      <c r="C264" s="112"/>
      <c r="D264" s="113"/>
      <c r="E264" s="361" t="str">
        <f>E234</f>
        <v>BDI (%): 27,08</v>
      </c>
      <c r="F264" s="361"/>
      <c r="G264" s="361"/>
      <c r="H264" s="362">
        <f>(H262+I262+H263)*K264</f>
        <v>0.87843846543839987</v>
      </c>
      <c r="I264" s="362"/>
      <c r="J264" s="85"/>
      <c r="K264" s="99">
        <v>0.27079999999999999</v>
      </c>
      <c r="L264" s="107">
        <f t="shared" si="8"/>
        <v>1.4842</v>
      </c>
    </row>
    <row r="265" spans="1:14" s="88" customFormat="1" x14ac:dyDescent="0.2">
      <c r="A265" s="79"/>
      <c r="B265" s="75"/>
      <c r="C265" s="112"/>
      <c r="D265" s="113"/>
      <c r="E265" s="361" t="str">
        <f>E235</f>
        <v>Valor Total c/ Taxas</v>
      </c>
      <c r="F265" s="361"/>
      <c r="G265" s="361"/>
      <c r="H265" s="77"/>
      <c r="I265" s="114">
        <f>(H262+I262+H263+H264)</f>
        <v>4.1223028134383997</v>
      </c>
      <c r="J265" s="85"/>
      <c r="K265" s="99">
        <v>0.27079999999999999</v>
      </c>
      <c r="L265" s="107">
        <f t="shared" si="8"/>
        <v>1.4842</v>
      </c>
      <c r="N265" s="330">
        <v>4.12</v>
      </c>
    </row>
    <row r="266" spans="1:14" s="88" customFormat="1" x14ac:dyDescent="0.2">
      <c r="A266" s="79"/>
      <c r="B266" s="75"/>
      <c r="C266" s="112"/>
      <c r="D266" s="113"/>
      <c r="E266" s="361"/>
      <c r="F266" s="361"/>
      <c r="G266" s="361"/>
      <c r="H266" s="77"/>
      <c r="I266" s="114"/>
      <c r="J266" s="85"/>
      <c r="K266" s="99">
        <v>0.27079999999999999</v>
      </c>
      <c r="L266" s="107">
        <f t="shared" si="8"/>
        <v>1.4842</v>
      </c>
    </row>
    <row r="267" spans="1:14" s="88" customFormat="1" ht="15" customHeight="1" x14ac:dyDescent="0.2">
      <c r="A267" s="129"/>
      <c r="B267" s="95" t="str">
        <f>ORÇAMENTO!A52</f>
        <v>4.1.5</v>
      </c>
      <c r="C267" s="96" t="str">
        <f>ORÇAMENTO!B52</f>
        <v>Cabo isolado em pvc seção 10,0mm²- 750v / 70º C</v>
      </c>
      <c r="D267" s="97" t="str">
        <f>D258</f>
        <v>M</v>
      </c>
      <c r="E267" s="77"/>
      <c r="F267" s="71"/>
      <c r="G267" s="98"/>
      <c r="H267" s="77"/>
      <c r="I267" s="77"/>
      <c r="J267" s="85"/>
      <c r="K267" s="99">
        <v>0.27079999999999999</v>
      </c>
      <c r="L267" s="107">
        <f t="shared" si="8"/>
        <v>1.4842</v>
      </c>
    </row>
    <row r="268" spans="1:14" s="88" customFormat="1" ht="12.75" customHeight="1" x14ac:dyDescent="0.2">
      <c r="A268" s="79"/>
      <c r="B268" s="75"/>
      <c r="C268" s="112" t="str">
        <f>C267</f>
        <v>Cabo isolado em pvc seção 10,0mm²- 750v / 70º C</v>
      </c>
      <c r="D268" s="113" t="str">
        <f>D267</f>
        <v>M</v>
      </c>
      <c r="E268" s="77">
        <f>5.43*N12</f>
        <v>5.43</v>
      </c>
      <c r="F268" s="71">
        <v>415.1</v>
      </c>
      <c r="G268" s="98">
        <v>1</v>
      </c>
      <c r="H268" s="77"/>
      <c r="I268" s="77">
        <f>E268*G268</f>
        <v>5.43</v>
      </c>
      <c r="J268" s="85"/>
      <c r="K268" s="99">
        <v>0.27079999999999999</v>
      </c>
      <c r="L268" s="107">
        <f t="shared" si="8"/>
        <v>1.4842</v>
      </c>
    </row>
    <row r="269" spans="1:14" s="88" customFormat="1" x14ac:dyDescent="0.2">
      <c r="A269" s="79"/>
      <c r="B269" s="75"/>
      <c r="C269" s="112" t="s">
        <v>359</v>
      </c>
      <c r="D269" s="113" t="s">
        <v>336</v>
      </c>
      <c r="E269" s="77">
        <f>5.21*N12</f>
        <v>5.21</v>
      </c>
      <c r="F269" s="71"/>
      <c r="G269" s="98">
        <v>3.0000000000000001E-3</v>
      </c>
      <c r="H269" s="77">
        <f>E269*G269</f>
        <v>1.5630000000000002E-2</v>
      </c>
      <c r="I269" s="77"/>
      <c r="J269" s="85"/>
      <c r="K269" s="99">
        <v>0.27079999999999999</v>
      </c>
      <c r="L269" s="107">
        <f t="shared" si="8"/>
        <v>1.4842</v>
      </c>
    </row>
    <row r="270" spans="1:14" s="88" customFormat="1" x14ac:dyDescent="0.2">
      <c r="A270" s="79"/>
      <c r="B270" s="75"/>
      <c r="C270" s="112" t="s">
        <v>345</v>
      </c>
      <c r="D270" s="113" t="s">
        <v>336</v>
      </c>
      <c r="E270" s="77">
        <f>3.77*N12</f>
        <v>3.77</v>
      </c>
      <c r="F270" s="71"/>
      <c r="G270" s="98">
        <v>3.0000000000000001E-3</v>
      </c>
      <c r="H270" s="77">
        <f>E270*G270</f>
        <v>1.1310000000000001E-2</v>
      </c>
      <c r="I270" s="77"/>
      <c r="J270" s="85"/>
      <c r="K270" s="99">
        <v>0.27079999999999999</v>
      </c>
      <c r="L270" s="107">
        <f t="shared" si="8"/>
        <v>1.4842</v>
      </c>
    </row>
    <row r="271" spans="1:14" s="88" customFormat="1" x14ac:dyDescent="0.2">
      <c r="A271" s="79"/>
      <c r="B271" s="75"/>
      <c r="C271" s="112"/>
      <c r="D271" s="113"/>
      <c r="E271" s="77"/>
      <c r="F271" s="71"/>
      <c r="G271" s="98"/>
      <c r="H271" s="77"/>
      <c r="I271" s="77"/>
      <c r="J271" s="85"/>
      <c r="K271" s="99">
        <v>0.27079999999999999</v>
      </c>
      <c r="L271" s="107">
        <f t="shared" si="8"/>
        <v>1.4842</v>
      </c>
    </row>
    <row r="272" spans="1:14" s="88" customFormat="1" x14ac:dyDescent="0.2">
      <c r="A272" s="79"/>
      <c r="B272" s="75"/>
      <c r="C272" s="112"/>
      <c r="D272" s="113"/>
      <c r="E272" s="361" t="str">
        <f>E262</f>
        <v>Custo Direto</v>
      </c>
      <c r="F272" s="361"/>
      <c r="G272" s="361"/>
      <c r="H272" s="114">
        <f>SUM(H268:H270)</f>
        <v>2.6940000000000002E-2</v>
      </c>
      <c r="I272" s="114">
        <f>SUM(I268:I270)</f>
        <v>5.43</v>
      </c>
      <c r="J272" s="85"/>
      <c r="K272" s="99">
        <v>0.27079999999999999</v>
      </c>
      <c r="L272" s="107">
        <f t="shared" si="8"/>
        <v>1.4842</v>
      </c>
    </row>
    <row r="273" spans="1:14" s="88" customFormat="1" x14ac:dyDescent="0.2">
      <c r="A273" s="79"/>
      <c r="B273" s="75"/>
      <c r="C273" s="112"/>
      <c r="D273" s="113"/>
      <c r="E273" s="361" t="str">
        <f>E263</f>
        <v>LS(%): 148,42</v>
      </c>
      <c r="F273" s="361"/>
      <c r="G273" s="361"/>
      <c r="H273" s="77">
        <f>H272*L273</f>
        <v>3.9984348000000003E-2</v>
      </c>
      <c r="I273" s="82"/>
      <c r="J273" s="85"/>
      <c r="K273" s="99">
        <v>0.27079999999999999</v>
      </c>
      <c r="L273" s="107">
        <f t="shared" si="8"/>
        <v>1.4842</v>
      </c>
    </row>
    <row r="274" spans="1:14" s="88" customFormat="1" x14ac:dyDescent="0.2">
      <c r="A274" s="79"/>
      <c r="B274" s="75"/>
      <c r="C274" s="112"/>
      <c r="D274" s="113"/>
      <c r="E274" s="361" t="str">
        <f>E264</f>
        <v>BDI (%): 27,08</v>
      </c>
      <c r="F274" s="361"/>
      <c r="G274" s="361"/>
      <c r="H274" s="362">
        <f>(H272+I272+H273)*K274</f>
        <v>1.4885671134383998</v>
      </c>
      <c r="I274" s="362"/>
      <c r="J274" s="85"/>
      <c r="K274" s="99">
        <v>0.27079999999999999</v>
      </c>
      <c r="L274" s="107">
        <f t="shared" ref="L274:L338" si="12">L273</f>
        <v>1.4842</v>
      </c>
    </row>
    <row r="275" spans="1:14" s="88" customFormat="1" x14ac:dyDescent="0.2">
      <c r="A275" s="79"/>
      <c r="B275" s="75"/>
      <c r="C275" s="112"/>
      <c r="D275" s="113"/>
      <c r="E275" s="361" t="str">
        <f>E265</f>
        <v>Valor Total c/ Taxas</v>
      </c>
      <c r="F275" s="361"/>
      <c r="G275" s="361"/>
      <c r="H275" s="77"/>
      <c r="I275" s="114">
        <f>(H272+I272+H273+H274)</f>
        <v>6.9854914614383992</v>
      </c>
      <c r="J275" s="85"/>
      <c r="K275" s="99">
        <v>0.27079999999999999</v>
      </c>
      <c r="L275" s="107">
        <f t="shared" si="12"/>
        <v>1.4842</v>
      </c>
      <c r="N275" s="330">
        <v>6.99</v>
      </c>
    </row>
    <row r="276" spans="1:14" s="88" customFormat="1" x14ac:dyDescent="0.2">
      <c r="A276" s="79"/>
      <c r="B276" s="75"/>
      <c r="C276" s="112"/>
      <c r="D276" s="113"/>
      <c r="E276" s="77"/>
      <c r="F276" s="71"/>
      <c r="G276" s="98"/>
      <c r="H276" s="77"/>
      <c r="I276" s="77"/>
      <c r="J276" s="85"/>
      <c r="K276" s="99">
        <v>0.27079999999999999</v>
      </c>
      <c r="L276" s="107">
        <f t="shared" si="12"/>
        <v>1.4842</v>
      </c>
    </row>
    <row r="277" spans="1:14" s="88" customFormat="1" hidden="1" x14ac:dyDescent="0.2">
      <c r="A277" s="79"/>
      <c r="B277" s="75"/>
      <c r="C277" s="112"/>
      <c r="D277" s="113"/>
      <c r="E277" s="77"/>
      <c r="F277" s="71"/>
      <c r="G277" s="98"/>
      <c r="H277" s="77"/>
      <c r="I277" s="77"/>
      <c r="J277" s="85"/>
      <c r="K277" s="99">
        <v>0.27079999999999999</v>
      </c>
      <c r="L277" s="107">
        <f t="shared" si="12"/>
        <v>1.4842</v>
      </c>
    </row>
    <row r="278" spans="1:14" s="88" customFormat="1" x14ac:dyDescent="0.2">
      <c r="A278" s="129"/>
      <c r="B278" s="95" t="str">
        <f>ORÇAMENTO!A53</f>
        <v>4.1.6</v>
      </c>
      <c r="C278" s="96" t="str">
        <f>ORÇAMENTO!B53</f>
        <v>Cabo isolado em pvc seção 16,0mm²- 750v/ 70º C</v>
      </c>
      <c r="D278" s="97" t="str">
        <f>D268</f>
        <v>M</v>
      </c>
      <c r="E278" s="77"/>
      <c r="F278" s="71"/>
      <c r="G278" s="98"/>
      <c r="H278" s="77"/>
      <c r="I278" s="77"/>
      <c r="J278" s="85"/>
      <c r="K278" s="99">
        <v>0.27079999999999999</v>
      </c>
      <c r="L278" s="107">
        <f t="shared" si="12"/>
        <v>1.4842</v>
      </c>
    </row>
    <row r="279" spans="1:14" s="88" customFormat="1" x14ac:dyDescent="0.2">
      <c r="A279" s="79"/>
      <c r="B279" s="75"/>
      <c r="C279" s="112" t="str">
        <f>C278</f>
        <v>Cabo isolado em pvc seção 16,0mm²- 750v/ 70º C</v>
      </c>
      <c r="D279" s="113" t="str">
        <f>D278</f>
        <v>M</v>
      </c>
      <c r="E279" s="77">
        <f>78.913*N12</f>
        <v>78.912999999999997</v>
      </c>
      <c r="F279" s="71">
        <v>475.2</v>
      </c>
      <c r="G279" s="98">
        <v>1</v>
      </c>
      <c r="H279" s="77"/>
      <c r="I279" s="77">
        <f>E279*G279</f>
        <v>78.912999999999997</v>
      </c>
      <c r="J279" s="85"/>
      <c r="K279" s="99">
        <v>0.27079999999999999</v>
      </c>
      <c r="L279" s="107">
        <f t="shared" si="12"/>
        <v>1.4842</v>
      </c>
    </row>
    <row r="280" spans="1:14" s="88" customFormat="1" x14ac:dyDescent="0.2">
      <c r="A280" s="79"/>
      <c r="B280" s="75"/>
      <c r="C280" s="112" t="s">
        <v>359</v>
      </c>
      <c r="D280" s="113" t="s">
        <v>336</v>
      </c>
      <c r="E280" s="77">
        <f>5.21*N12</f>
        <v>5.21</v>
      </c>
      <c r="F280" s="71"/>
      <c r="G280" s="98">
        <v>3.0000000000000001E-3</v>
      </c>
      <c r="H280" s="77">
        <f>E280*G280</f>
        <v>1.5630000000000002E-2</v>
      </c>
      <c r="I280" s="144"/>
      <c r="J280" s="85"/>
      <c r="K280" s="99">
        <v>0.27079999999999999</v>
      </c>
      <c r="L280" s="107">
        <f t="shared" si="12"/>
        <v>1.4842</v>
      </c>
    </row>
    <row r="281" spans="1:14" s="88" customFormat="1" x14ac:dyDescent="0.2">
      <c r="A281" s="79"/>
      <c r="B281" s="75"/>
      <c r="C281" s="112" t="s">
        <v>345</v>
      </c>
      <c r="D281" s="113" t="s">
        <v>336</v>
      </c>
      <c r="E281" s="77">
        <f>3.77*N12</f>
        <v>3.77</v>
      </c>
      <c r="F281" s="71"/>
      <c r="G281" s="98">
        <v>3.0000000000000001E-3</v>
      </c>
      <c r="H281" s="77">
        <f>E281*G281</f>
        <v>1.1310000000000001E-2</v>
      </c>
      <c r="I281" s="144"/>
      <c r="J281" s="85"/>
      <c r="K281" s="99">
        <v>0.27079999999999999</v>
      </c>
      <c r="L281" s="107">
        <f t="shared" si="12"/>
        <v>1.4842</v>
      </c>
    </row>
    <row r="282" spans="1:14" s="88" customFormat="1" hidden="1" x14ac:dyDescent="0.2">
      <c r="A282" s="79"/>
      <c r="B282" s="75"/>
      <c r="C282" s="112"/>
      <c r="D282" s="113"/>
      <c r="E282" s="77"/>
      <c r="F282" s="71"/>
      <c r="G282" s="98"/>
      <c r="H282" s="77"/>
      <c r="I282" s="77"/>
      <c r="J282" s="85"/>
      <c r="K282" s="99">
        <v>0.27079999999999999</v>
      </c>
      <c r="L282" s="107">
        <f t="shared" si="12"/>
        <v>1.4842</v>
      </c>
    </row>
    <row r="283" spans="1:14" s="88" customFormat="1" x14ac:dyDescent="0.2">
      <c r="A283" s="79"/>
      <c r="B283" s="75"/>
      <c r="C283" s="112"/>
      <c r="D283" s="113"/>
      <c r="E283" s="77"/>
      <c r="F283" s="71"/>
      <c r="G283" s="98"/>
      <c r="H283" s="77"/>
      <c r="I283" s="77"/>
      <c r="J283" s="85"/>
      <c r="K283" s="99"/>
      <c r="L283" s="107"/>
    </row>
    <row r="284" spans="1:14" s="88" customFormat="1" x14ac:dyDescent="0.2">
      <c r="A284" s="79"/>
      <c r="B284" s="75"/>
      <c r="C284" s="112"/>
      <c r="D284" s="113"/>
      <c r="E284" s="361" t="str">
        <f>E272</f>
        <v>Custo Direto</v>
      </c>
      <c r="F284" s="361"/>
      <c r="G284" s="361"/>
      <c r="H284" s="114">
        <f>SUM(H279:H281)</f>
        <v>2.6940000000000002E-2</v>
      </c>
      <c r="I284" s="114">
        <f>SUM(I279:I281)</f>
        <v>78.912999999999997</v>
      </c>
      <c r="J284" s="85"/>
      <c r="K284" s="99">
        <v>0.27079999999999999</v>
      </c>
      <c r="L284" s="107">
        <f>L282</f>
        <v>1.4842</v>
      </c>
    </row>
    <row r="285" spans="1:14" s="88" customFormat="1" x14ac:dyDescent="0.2">
      <c r="A285" s="79"/>
      <c r="B285" s="75"/>
      <c r="C285" s="112"/>
      <c r="D285" s="113"/>
      <c r="E285" s="361" t="str">
        <f>E273</f>
        <v>LS(%): 148,42</v>
      </c>
      <c r="F285" s="361"/>
      <c r="G285" s="361"/>
      <c r="H285" s="77">
        <f>H284*L285</f>
        <v>3.9984348000000003E-2</v>
      </c>
      <c r="I285" s="82"/>
      <c r="J285" s="85"/>
      <c r="K285" s="99">
        <v>0.27079999999999999</v>
      </c>
      <c r="L285" s="107">
        <f t="shared" si="12"/>
        <v>1.4842</v>
      </c>
    </row>
    <row r="286" spans="1:14" s="88" customFormat="1" x14ac:dyDescent="0.2">
      <c r="A286" s="79"/>
      <c r="B286" s="75"/>
      <c r="C286" s="112"/>
      <c r="D286" s="113"/>
      <c r="E286" s="361" t="str">
        <f>E274</f>
        <v>BDI (%): 27,08</v>
      </c>
      <c r="F286" s="361"/>
      <c r="G286" s="361"/>
      <c r="H286" s="362">
        <f>(H284+I284+H285)*K286</f>
        <v>21.387763513438397</v>
      </c>
      <c r="I286" s="362"/>
      <c r="J286" s="85"/>
      <c r="K286" s="99">
        <v>0.27079999999999999</v>
      </c>
      <c r="L286" s="107">
        <f t="shared" si="12"/>
        <v>1.4842</v>
      </c>
    </row>
    <row r="287" spans="1:14" s="88" customFormat="1" x14ac:dyDescent="0.2">
      <c r="A287" s="79"/>
      <c r="B287" s="75"/>
      <c r="C287" s="112"/>
      <c r="D287" s="113"/>
      <c r="E287" s="361" t="str">
        <f>E275</f>
        <v>Valor Total c/ Taxas</v>
      </c>
      <c r="F287" s="361"/>
      <c r="G287" s="361"/>
      <c r="H287" s="77"/>
      <c r="I287" s="114">
        <f>(H284+I284+H285+H286)</f>
        <v>100.3676878614384</v>
      </c>
      <c r="J287" s="85"/>
      <c r="K287" s="99">
        <v>0.27079999999999999</v>
      </c>
      <c r="L287" s="107">
        <f t="shared" si="12"/>
        <v>1.4842</v>
      </c>
      <c r="N287" s="330">
        <v>100.37</v>
      </c>
    </row>
    <row r="288" spans="1:14" s="88" customFormat="1" ht="9" customHeight="1" x14ac:dyDescent="0.2">
      <c r="A288" s="79"/>
      <c r="B288" s="75"/>
      <c r="C288" s="112"/>
      <c r="D288" s="113"/>
      <c r="E288" s="76"/>
      <c r="F288" s="71"/>
      <c r="G288" s="123"/>
      <c r="H288" s="77"/>
      <c r="I288" s="77"/>
      <c r="J288" s="85"/>
      <c r="K288" s="99">
        <v>0.27079999999999999</v>
      </c>
      <c r="L288" s="107">
        <f t="shared" si="12"/>
        <v>1.4842</v>
      </c>
    </row>
    <row r="289" spans="1:14" s="88" customFormat="1" ht="16.5" customHeight="1" x14ac:dyDescent="0.2">
      <c r="A289" s="129"/>
      <c r="B289" s="125" t="str">
        <f>ORÇAMENTO!A55</f>
        <v>4.2.1</v>
      </c>
      <c r="C289" s="96" t="str">
        <f>ORÇAMENTO!B55</f>
        <v>Instalação de cabo telefônico CCE-50-02</v>
      </c>
      <c r="D289" s="97" t="str">
        <f>D278</f>
        <v>M</v>
      </c>
      <c r="E289" s="77"/>
      <c r="F289" s="71"/>
      <c r="G289" s="98"/>
      <c r="H289" s="77"/>
      <c r="I289" s="77"/>
      <c r="J289" s="85"/>
      <c r="K289" s="99">
        <v>0.27079999999999999</v>
      </c>
      <c r="L289" s="107">
        <f t="shared" si="12"/>
        <v>1.4842</v>
      </c>
    </row>
    <row r="290" spans="1:14" s="88" customFormat="1" ht="17.25" customHeight="1" x14ac:dyDescent="0.2">
      <c r="A290" s="79"/>
      <c r="B290" s="75"/>
      <c r="C290" s="112" t="str">
        <f>C289</f>
        <v>Instalação de cabo telefônico CCE-50-02</v>
      </c>
      <c r="D290" s="113" t="str">
        <f>D289</f>
        <v>M</v>
      </c>
      <c r="E290" s="77">
        <f>1.22*N12</f>
        <v>1.22</v>
      </c>
      <c r="F290" s="71">
        <f>F279</f>
        <v>475.2</v>
      </c>
      <c r="G290" s="98">
        <v>1</v>
      </c>
      <c r="H290" s="77"/>
      <c r="I290" s="77">
        <f>E290*G290</f>
        <v>1.22</v>
      </c>
      <c r="J290" s="85"/>
      <c r="K290" s="99">
        <v>0.27079999999999999</v>
      </c>
      <c r="L290" s="107">
        <f t="shared" si="12"/>
        <v>1.4842</v>
      </c>
    </row>
    <row r="291" spans="1:14" s="88" customFormat="1" x14ac:dyDescent="0.2">
      <c r="A291" s="79"/>
      <c r="B291" s="75"/>
      <c r="C291" s="112" t="s">
        <v>359</v>
      </c>
      <c r="D291" s="113" t="s">
        <v>336</v>
      </c>
      <c r="E291" s="77">
        <f>5.21*N12</f>
        <v>5.21</v>
      </c>
      <c r="F291" s="71"/>
      <c r="G291" s="98">
        <v>3.0000000000000001E-3</v>
      </c>
      <c r="H291" s="77">
        <f>E291*G291</f>
        <v>1.5630000000000002E-2</v>
      </c>
      <c r="I291" s="144"/>
      <c r="J291" s="85"/>
      <c r="K291" s="99">
        <v>0.27079999999999999</v>
      </c>
      <c r="L291" s="107">
        <f t="shared" si="12"/>
        <v>1.4842</v>
      </c>
    </row>
    <row r="292" spans="1:14" s="88" customFormat="1" x14ac:dyDescent="0.2">
      <c r="A292" s="79"/>
      <c r="B292" s="75"/>
      <c r="C292" s="112" t="s">
        <v>345</v>
      </c>
      <c r="D292" s="113" t="s">
        <v>336</v>
      </c>
      <c r="E292" s="77">
        <f>3.77*N12</f>
        <v>3.77</v>
      </c>
      <c r="F292" s="71"/>
      <c r="G292" s="98">
        <v>3.0000000000000001E-3</v>
      </c>
      <c r="H292" s="77">
        <f>E292*G292</f>
        <v>1.1310000000000001E-2</v>
      </c>
      <c r="I292" s="144"/>
      <c r="J292" s="85"/>
      <c r="K292" s="99">
        <v>0.27079999999999999</v>
      </c>
      <c r="L292" s="107">
        <f t="shared" si="12"/>
        <v>1.4842</v>
      </c>
    </row>
    <row r="293" spans="1:14" s="88" customFormat="1" x14ac:dyDescent="0.2">
      <c r="A293" s="79"/>
      <c r="B293" s="75"/>
      <c r="C293" s="112"/>
      <c r="D293" s="113"/>
      <c r="E293" s="77"/>
      <c r="F293" s="71"/>
      <c r="G293" s="98"/>
      <c r="H293" s="77"/>
      <c r="I293" s="144"/>
      <c r="J293" s="85"/>
      <c r="K293" s="99">
        <v>0.27079999999999999</v>
      </c>
      <c r="L293" s="107">
        <f t="shared" si="12"/>
        <v>1.4842</v>
      </c>
    </row>
    <row r="294" spans="1:14" s="88" customFormat="1" x14ac:dyDescent="0.2">
      <c r="A294" s="79"/>
      <c r="B294" s="75"/>
      <c r="C294" s="112"/>
      <c r="D294" s="113"/>
      <c r="E294" s="361" t="str">
        <f>E284</f>
        <v>Custo Direto</v>
      </c>
      <c r="F294" s="361"/>
      <c r="G294" s="361"/>
      <c r="H294" s="114">
        <f>SUM(H290:H292)</f>
        <v>2.6940000000000002E-2</v>
      </c>
      <c r="I294" s="114">
        <f>SUM(I290:I292)</f>
        <v>1.22</v>
      </c>
      <c r="J294" s="85"/>
      <c r="K294" s="99">
        <v>0.27079999999999999</v>
      </c>
      <c r="L294" s="107">
        <f t="shared" si="12"/>
        <v>1.4842</v>
      </c>
    </row>
    <row r="295" spans="1:14" s="88" customFormat="1" x14ac:dyDescent="0.2">
      <c r="A295" s="79"/>
      <c r="B295" s="75"/>
      <c r="C295" s="112"/>
      <c r="D295" s="113"/>
      <c r="E295" s="361" t="str">
        <f>E285</f>
        <v>LS(%): 148,42</v>
      </c>
      <c r="F295" s="361"/>
      <c r="G295" s="361"/>
      <c r="H295" s="77">
        <f>H294*L295</f>
        <v>3.9984348000000003E-2</v>
      </c>
      <c r="I295" s="82"/>
      <c r="J295" s="85"/>
      <c r="K295" s="99">
        <v>0.27079999999999999</v>
      </c>
      <c r="L295" s="107">
        <f t="shared" si="12"/>
        <v>1.4842</v>
      </c>
    </row>
    <row r="296" spans="1:14" s="88" customFormat="1" x14ac:dyDescent="0.2">
      <c r="A296" s="79"/>
      <c r="B296" s="75"/>
      <c r="C296" s="112"/>
      <c r="D296" s="113"/>
      <c r="E296" s="361" t="str">
        <f>E286</f>
        <v>BDI (%): 27,08</v>
      </c>
      <c r="F296" s="361"/>
      <c r="G296" s="361"/>
      <c r="H296" s="362">
        <f>(H294+I294+H295)*K296</f>
        <v>0.34849911343839995</v>
      </c>
      <c r="I296" s="362"/>
      <c r="J296" s="85"/>
      <c r="K296" s="99">
        <v>0.27079999999999999</v>
      </c>
      <c r="L296" s="107">
        <f t="shared" si="12"/>
        <v>1.4842</v>
      </c>
    </row>
    <row r="297" spans="1:14" s="88" customFormat="1" x14ac:dyDescent="0.2">
      <c r="A297" s="79"/>
      <c r="B297" s="75"/>
      <c r="C297" s="112"/>
      <c r="D297" s="113"/>
      <c r="E297" s="361" t="str">
        <f>E287</f>
        <v>Valor Total c/ Taxas</v>
      </c>
      <c r="F297" s="361"/>
      <c r="G297" s="361"/>
      <c r="H297" s="77"/>
      <c r="I297" s="114">
        <f>(H294+I294+H295+H296)</f>
        <v>1.6354234614383998</v>
      </c>
      <c r="J297" s="85"/>
      <c r="K297" s="99">
        <v>0.27079999999999999</v>
      </c>
      <c r="L297" s="107">
        <f t="shared" si="12"/>
        <v>1.4842</v>
      </c>
      <c r="N297" s="330">
        <v>1.64</v>
      </c>
    </row>
    <row r="298" spans="1:14" s="88" customFormat="1" x14ac:dyDescent="0.2">
      <c r="A298" s="79"/>
      <c r="B298" s="75"/>
      <c r="C298" s="112"/>
      <c r="D298" s="113"/>
      <c r="E298" s="76"/>
      <c r="F298" s="71"/>
      <c r="G298" s="123"/>
      <c r="H298" s="77"/>
      <c r="I298" s="77"/>
      <c r="J298" s="85"/>
      <c r="K298" s="99">
        <v>0.27079999999999999</v>
      </c>
      <c r="L298" s="107">
        <f t="shared" si="12"/>
        <v>1.4842</v>
      </c>
    </row>
    <row r="299" spans="1:14" s="88" customFormat="1" ht="13.5" customHeight="1" x14ac:dyDescent="0.2">
      <c r="A299" s="129"/>
      <c r="B299" s="95" t="str">
        <f>ORÇAMENTO!A56</f>
        <v>4.2.2</v>
      </c>
      <c r="C299" s="96" t="str">
        <f>ORÇAMENTO!B56</f>
        <v>Instalação de cabo telefônico CCI-50-02</v>
      </c>
      <c r="D299" s="97" t="str">
        <f>D289</f>
        <v>M</v>
      </c>
      <c r="E299" s="77"/>
      <c r="F299" s="71"/>
      <c r="G299" s="98"/>
      <c r="H299" s="77"/>
      <c r="I299" s="77"/>
      <c r="J299" s="85"/>
      <c r="K299" s="99">
        <v>0.27079999999999999</v>
      </c>
      <c r="L299" s="107">
        <f t="shared" si="12"/>
        <v>1.4842</v>
      </c>
    </row>
    <row r="300" spans="1:14" s="88" customFormat="1" ht="11.25" customHeight="1" x14ac:dyDescent="0.2">
      <c r="A300" s="79"/>
      <c r="B300" s="75"/>
      <c r="C300" s="112" t="str">
        <f>C299</f>
        <v>Instalação de cabo telefônico CCI-50-02</v>
      </c>
      <c r="D300" s="113" t="str">
        <f>D299</f>
        <v>M</v>
      </c>
      <c r="E300" s="77">
        <f>0.79*N12</f>
        <v>0.79</v>
      </c>
      <c r="F300" s="71">
        <f>F290</f>
        <v>475.2</v>
      </c>
      <c r="G300" s="98">
        <v>1</v>
      </c>
      <c r="H300" s="77"/>
      <c r="I300" s="77">
        <f>E300*G300</f>
        <v>0.79</v>
      </c>
      <c r="J300" s="85"/>
      <c r="K300" s="99">
        <v>0.27079999999999999</v>
      </c>
      <c r="L300" s="107">
        <f t="shared" si="12"/>
        <v>1.4842</v>
      </c>
    </row>
    <row r="301" spans="1:14" s="88" customFormat="1" x14ac:dyDescent="0.2">
      <c r="A301" s="79"/>
      <c r="B301" s="75"/>
      <c r="C301" s="112" t="s">
        <v>359</v>
      </c>
      <c r="D301" s="113" t="s">
        <v>336</v>
      </c>
      <c r="E301" s="77">
        <f>5.21*N12</f>
        <v>5.21</v>
      </c>
      <c r="F301" s="71"/>
      <c r="G301" s="98">
        <v>3.0000000000000001E-3</v>
      </c>
      <c r="H301" s="77">
        <f>E301*G301</f>
        <v>1.5630000000000002E-2</v>
      </c>
      <c r="I301" s="144"/>
      <c r="J301" s="85"/>
      <c r="K301" s="99">
        <v>0.27079999999999999</v>
      </c>
      <c r="L301" s="107">
        <f t="shared" si="12"/>
        <v>1.4842</v>
      </c>
    </row>
    <row r="302" spans="1:14" s="88" customFormat="1" x14ac:dyDescent="0.2">
      <c r="A302" s="79"/>
      <c r="B302" s="75"/>
      <c r="C302" s="112" t="s">
        <v>345</v>
      </c>
      <c r="D302" s="113" t="s">
        <v>336</v>
      </c>
      <c r="E302" s="77">
        <f>3.77*N12</f>
        <v>3.77</v>
      </c>
      <c r="F302" s="71"/>
      <c r="G302" s="98">
        <v>3.0000000000000001E-3</v>
      </c>
      <c r="H302" s="77">
        <f>E302*G302</f>
        <v>1.1310000000000001E-2</v>
      </c>
      <c r="I302" s="144"/>
      <c r="J302" s="85"/>
      <c r="K302" s="99">
        <v>0.27079999999999999</v>
      </c>
      <c r="L302" s="107">
        <f t="shared" si="12"/>
        <v>1.4842</v>
      </c>
    </row>
    <row r="303" spans="1:14" s="88" customFormat="1" x14ac:dyDescent="0.2">
      <c r="A303" s="79"/>
      <c r="B303" s="75"/>
      <c r="C303" s="112"/>
      <c r="D303" s="113"/>
      <c r="E303" s="77"/>
      <c r="F303" s="71"/>
      <c r="G303" s="98"/>
      <c r="H303" s="77"/>
      <c r="I303" s="144"/>
      <c r="J303" s="85"/>
      <c r="K303" s="99"/>
      <c r="L303" s="107"/>
    </row>
    <row r="304" spans="1:14" s="88" customFormat="1" x14ac:dyDescent="0.2">
      <c r="A304" s="79"/>
      <c r="B304" s="75"/>
      <c r="C304" s="112"/>
      <c r="D304" s="113"/>
      <c r="E304" s="361" t="str">
        <f>E294</f>
        <v>Custo Direto</v>
      </c>
      <c r="F304" s="361"/>
      <c r="G304" s="361"/>
      <c r="H304" s="114">
        <f>SUM(H300:H302)</f>
        <v>2.6940000000000002E-2</v>
      </c>
      <c r="I304" s="114">
        <f>SUM(I300:I302)</f>
        <v>0.79</v>
      </c>
      <c r="J304" s="85"/>
      <c r="K304" s="99">
        <v>0.27079999999999999</v>
      </c>
      <c r="L304" s="107">
        <f>L302</f>
        <v>1.4842</v>
      </c>
    </row>
    <row r="305" spans="1:14" s="88" customFormat="1" x14ac:dyDescent="0.2">
      <c r="A305" s="79"/>
      <c r="B305" s="75"/>
      <c r="C305" s="112"/>
      <c r="D305" s="113"/>
      <c r="E305" s="361" t="str">
        <f>E295</f>
        <v>LS(%): 148,42</v>
      </c>
      <c r="F305" s="361"/>
      <c r="G305" s="361"/>
      <c r="H305" s="77">
        <f>H304*L305</f>
        <v>3.9984348000000003E-2</v>
      </c>
      <c r="I305" s="82"/>
      <c r="J305" s="85"/>
      <c r="K305" s="99">
        <v>0.27079999999999999</v>
      </c>
      <c r="L305" s="107">
        <f t="shared" si="12"/>
        <v>1.4842</v>
      </c>
    </row>
    <row r="306" spans="1:14" s="88" customFormat="1" x14ac:dyDescent="0.2">
      <c r="A306" s="79"/>
      <c r="B306" s="75"/>
      <c r="C306" s="112"/>
      <c r="D306" s="113"/>
      <c r="E306" s="361" t="str">
        <f>E296</f>
        <v>BDI (%): 27,08</v>
      </c>
      <c r="F306" s="361"/>
      <c r="G306" s="361"/>
      <c r="H306" s="362">
        <f>(H304+I304+H305)*K306</f>
        <v>0.23205511343839996</v>
      </c>
      <c r="I306" s="362"/>
      <c r="J306" s="85"/>
      <c r="K306" s="99">
        <v>0.27079999999999999</v>
      </c>
      <c r="L306" s="107">
        <f t="shared" si="12"/>
        <v>1.4842</v>
      </c>
    </row>
    <row r="307" spans="1:14" s="88" customFormat="1" x14ac:dyDescent="0.2">
      <c r="A307" s="79"/>
      <c r="B307" s="75"/>
      <c r="C307" s="112"/>
      <c r="D307" s="113"/>
      <c r="E307" s="361" t="str">
        <f>E297</f>
        <v>Valor Total c/ Taxas</v>
      </c>
      <c r="F307" s="361"/>
      <c r="G307" s="361"/>
      <c r="H307" s="77"/>
      <c r="I307" s="114">
        <f>(H304+I304+H305+H306)</f>
        <v>1.0889794614383999</v>
      </c>
      <c r="J307" s="85"/>
      <c r="K307" s="99">
        <v>0.27079999999999999</v>
      </c>
      <c r="L307" s="107">
        <f t="shared" si="12"/>
        <v>1.4842</v>
      </c>
      <c r="N307" s="330">
        <v>1.0900000000000001</v>
      </c>
    </row>
    <row r="308" spans="1:14" s="88" customFormat="1" x14ac:dyDescent="0.2">
      <c r="A308" s="79"/>
      <c r="B308" s="75"/>
      <c r="C308" s="112"/>
      <c r="D308" s="113"/>
      <c r="E308" s="76"/>
      <c r="F308" s="71"/>
      <c r="G308" s="123"/>
      <c r="H308" s="77"/>
      <c r="I308" s="77"/>
      <c r="J308" s="85"/>
      <c r="K308" s="99">
        <v>0.27079999999999999</v>
      </c>
      <c r="L308" s="107">
        <f t="shared" si="12"/>
        <v>1.4842</v>
      </c>
    </row>
    <row r="309" spans="1:14" s="88" customFormat="1" x14ac:dyDescent="0.2">
      <c r="A309" s="79"/>
      <c r="B309" s="75" t="str">
        <f>ORÇAMENTO!A58</f>
        <v>4.3.1</v>
      </c>
      <c r="C309" s="96" t="str">
        <f>ORÇAMENTO!B58</f>
        <v>Interruptor 01 seção simples</v>
      </c>
      <c r="D309" s="97" t="s">
        <v>355</v>
      </c>
      <c r="E309" s="77"/>
      <c r="F309" s="71"/>
      <c r="G309" s="98"/>
      <c r="H309" s="77"/>
      <c r="I309" s="144"/>
      <c r="J309" s="85"/>
      <c r="K309" s="99">
        <v>0.27079999999999999</v>
      </c>
      <c r="L309" s="107">
        <f t="shared" si="12"/>
        <v>1.4842</v>
      </c>
    </row>
    <row r="310" spans="1:14" s="88" customFormat="1" x14ac:dyDescent="0.2">
      <c r="A310" s="79"/>
      <c r="B310" s="75"/>
      <c r="C310" s="112" t="str">
        <f>C309</f>
        <v>Interruptor 01 seção simples</v>
      </c>
      <c r="D310" s="113" t="s">
        <v>355</v>
      </c>
      <c r="E310" s="77">
        <f>4.6*N12</f>
        <v>4.5999999999999996</v>
      </c>
      <c r="F310" s="71">
        <v>435.5</v>
      </c>
      <c r="G310" s="98">
        <v>1</v>
      </c>
      <c r="H310" s="77"/>
      <c r="I310" s="144">
        <f>E310*G310</f>
        <v>4.5999999999999996</v>
      </c>
      <c r="J310" s="85"/>
      <c r="K310" s="99">
        <v>0.27079999999999999</v>
      </c>
      <c r="L310" s="107">
        <f t="shared" si="12"/>
        <v>1.4842</v>
      </c>
    </row>
    <row r="311" spans="1:14" s="88" customFormat="1" x14ac:dyDescent="0.2">
      <c r="A311" s="79"/>
      <c r="B311" s="75"/>
      <c r="C311" s="112" t="s">
        <v>359</v>
      </c>
      <c r="D311" s="113" t="s">
        <v>336</v>
      </c>
      <c r="E311" s="77">
        <f>5.21*N12</f>
        <v>5.21</v>
      </c>
      <c r="F311" s="71" t="e">
        <f>#REF!</f>
        <v>#REF!</v>
      </c>
      <c r="G311" s="98">
        <v>0.03</v>
      </c>
      <c r="H311" s="77">
        <f>E311*G311</f>
        <v>0.15629999999999999</v>
      </c>
      <c r="I311" s="144"/>
      <c r="J311" s="85"/>
      <c r="K311" s="99">
        <v>0.27079999999999999</v>
      </c>
      <c r="L311" s="107">
        <f t="shared" si="12"/>
        <v>1.4842</v>
      </c>
    </row>
    <row r="312" spans="1:14" s="88" customFormat="1" x14ac:dyDescent="0.2">
      <c r="A312" s="79"/>
      <c r="B312" s="75"/>
      <c r="C312" s="112" t="s">
        <v>345</v>
      </c>
      <c r="D312" s="113" t="s">
        <v>336</v>
      </c>
      <c r="E312" s="77">
        <f>3.77*N12</f>
        <v>3.77</v>
      </c>
      <c r="F312" s="71">
        <f>E301</f>
        <v>5.21</v>
      </c>
      <c r="G312" s="98">
        <v>0.03</v>
      </c>
      <c r="H312" s="77">
        <f>E312*G312</f>
        <v>0.11309999999999999</v>
      </c>
      <c r="I312" s="144"/>
      <c r="J312" s="85"/>
      <c r="K312" s="99">
        <v>0.27079999999999999</v>
      </c>
      <c r="L312" s="107">
        <f t="shared" si="12"/>
        <v>1.4842</v>
      </c>
    </row>
    <row r="313" spans="1:14" s="88" customFormat="1" x14ac:dyDescent="0.2">
      <c r="A313" s="79"/>
      <c r="B313" s="75"/>
      <c r="C313" s="112"/>
      <c r="D313" s="113"/>
      <c r="E313" s="77"/>
      <c r="F313" s="71"/>
      <c r="G313" s="98"/>
      <c r="H313" s="77"/>
      <c r="I313" s="144"/>
      <c r="J313" s="85"/>
      <c r="K313" s="99"/>
      <c r="L313" s="107"/>
    </row>
    <row r="314" spans="1:14" s="88" customFormat="1" x14ac:dyDescent="0.2">
      <c r="A314" s="79"/>
      <c r="B314" s="75"/>
      <c r="C314" s="112"/>
      <c r="D314" s="113"/>
      <c r="E314" s="361" t="str">
        <f>E304</f>
        <v>Custo Direto</v>
      </c>
      <c r="F314" s="361"/>
      <c r="G314" s="361"/>
      <c r="H314" s="114">
        <f>SUM(H310:H312)</f>
        <v>0.26939999999999997</v>
      </c>
      <c r="I314" s="114">
        <f>SUM(I310:I312)</f>
        <v>4.5999999999999996</v>
      </c>
      <c r="J314" s="85"/>
      <c r="K314" s="99">
        <v>0.27079999999999999</v>
      </c>
      <c r="L314" s="107">
        <f>L312</f>
        <v>1.4842</v>
      </c>
    </row>
    <row r="315" spans="1:14" s="88" customFormat="1" x14ac:dyDescent="0.2">
      <c r="A315" s="79"/>
      <c r="B315" s="75"/>
      <c r="C315" s="112"/>
      <c r="D315" s="113"/>
      <c r="E315" s="361" t="str">
        <f>E305</f>
        <v>LS(%): 148,42</v>
      </c>
      <c r="F315" s="361"/>
      <c r="G315" s="361"/>
      <c r="H315" s="77">
        <f>H314*L315</f>
        <v>0.39984347999999997</v>
      </c>
      <c r="I315" s="82"/>
      <c r="J315" s="85"/>
      <c r="K315" s="99">
        <v>0.27079999999999999</v>
      </c>
      <c r="L315" s="107">
        <f t="shared" si="12"/>
        <v>1.4842</v>
      </c>
    </row>
    <row r="316" spans="1:14" s="88" customFormat="1" x14ac:dyDescent="0.2">
      <c r="A316" s="79"/>
      <c r="B316" s="75"/>
      <c r="C316" s="112"/>
      <c r="D316" s="113"/>
      <c r="E316" s="361" t="str">
        <f>E306</f>
        <v>BDI (%): 27,08</v>
      </c>
      <c r="F316" s="361"/>
      <c r="G316" s="361"/>
      <c r="H316" s="362">
        <f>(H314+I314+H315)*K316</f>
        <v>1.426911134384</v>
      </c>
      <c r="I316" s="362"/>
      <c r="J316" s="85"/>
      <c r="K316" s="99">
        <v>0.27079999999999999</v>
      </c>
      <c r="L316" s="107">
        <f t="shared" si="12"/>
        <v>1.4842</v>
      </c>
    </row>
    <row r="317" spans="1:14" s="88" customFormat="1" x14ac:dyDescent="0.2">
      <c r="A317" s="79"/>
      <c r="B317" s="75"/>
      <c r="C317" s="112"/>
      <c r="D317" s="113"/>
      <c r="E317" s="361" t="str">
        <f>E307</f>
        <v>Valor Total c/ Taxas</v>
      </c>
      <c r="F317" s="361"/>
      <c r="G317" s="361"/>
      <c r="H317" s="77"/>
      <c r="I317" s="114">
        <f>(H314+I314+H315+H316)</f>
        <v>6.6961546143839996</v>
      </c>
      <c r="J317" s="85"/>
      <c r="K317" s="99">
        <v>0.27079999999999999</v>
      </c>
      <c r="L317" s="107">
        <f t="shared" si="12"/>
        <v>1.4842</v>
      </c>
      <c r="N317" s="330">
        <v>6.7</v>
      </c>
    </row>
    <row r="318" spans="1:14" s="88" customFormat="1" hidden="1" x14ac:dyDescent="0.2">
      <c r="A318" s="79"/>
      <c r="B318" s="75"/>
      <c r="C318" s="112"/>
      <c r="D318" s="113"/>
      <c r="E318" s="76"/>
      <c r="F318" s="71"/>
      <c r="G318" s="123"/>
      <c r="H318" s="77"/>
      <c r="I318" s="77"/>
      <c r="J318" s="85"/>
      <c r="K318" s="99">
        <v>0.27079999999999999</v>
      </c>
      <c r="L318" s="107">
        <f t="shared" si="12"/>
        <v>1.4842</v>
      </c>
    </row>
    <row r="319" spans="1:14" s="88" customFormat="1" x14ac:dyDescent="0.2">
      <c r="A319" s="79"/>
      <c r="B319" s="75"/>
      <c r="C319" s="112"/>
      <c r="D319" s="113"/>
      <c r="E319" s="76"/>
      <c r="F319" s="71"/>
      <c r="G319" s="123"/>
      <c r="H319" s="77"/>
      <c r="I319" s="77"/>
      <c r="J319" s="85"/>
      <c r="K319" s="99">
        <v>0.27079999999999999</v>
      </c>
      <c r="L319" s="107">
        <f t="shared" si="12"/>
        <v>1.4842</v>
      </c>
    </row>
    <row r="320" spans="1:14" s="88" customFormat="1" x14ac:dyDescent="0.2">
      <c r="A320" s="79"/>
      <c r="B320" s="75" t="str">
        <f>ORÇAMENTO!A59</f>
        <v>4.3.2</v>
      </c>
      <c r="C320" s="96" t="str">
        <f>ORÇAMENTO!B59</f>
        <v>Interruptor 02 seção simples</v>
      </c>
      <c r="D320" s="97" t="s">
        <v>355</v>
      </c>
      <c r="E320" s="77"/>
      <c r="F320" s="71"/>
      <c r="G320" s="98"/>
      <c r="H320" s="77"/>
      <c r="I320" s="144"/>
      <c r="J320" s="85"/>
      <c r="K320" s="99">
        <v>0.27079999999999999</v>
      </c>
      <c r="L320" s="107">
        <f t="shared" si="12"/>
        <v>1.4842</v>
      </c>
    </row>
    <row r="321" spans="1:14" s="88" customFormat="1" x14ac:dyDescent="0.2">
      <c r="A321" s="79"/>
      <c r="B321" s="75"/>
      <c r="C321" s="112" t="str">
        <f>C320</f>
        <v>Interruptor 02 seção simples</v>
      </c>
      <c r="D321" s="113" t="str">
        <f>D320</f>
        <v>M</v>
      </c>
      <c r="E321" s="77">
        <f>6.95*N12</f>
        <v>6.95</v>
      </c>
      <c r="F321" s="71">
        <f>F268</f>
        <v>415.1</v>
      </c>
      <c r="G321" s="98">
        <v>1</v>
      </c>
      <c r="H321" s="77"/>
      <c r="I321" s="145">
        <f>E321*G321</f>
        <v>6.95</v>
      </c>
      <c r="J321" s="85"/>
      <c r="K321" s="99">
        <v>0.27079999999999999</v>
      </c>
      <c r="L321" s="107">
        <f t="shared" si="12"/>
        <v>1.4842</v>
      </c>
    </row>
    <row r="322" spans="1:14" s="88" customFormat="1" x14ac:dyDescent="0.2">
      <c r="A322" s="79"/>
      <c r="B322" s="75"/>
      <c r="C322" s="112" t="s">
        <v>359</v>
      </c>
      <c r="D322" s="113" t="s">
        <v>336</v>
      </c>
      <c r="E322" s="77">
        <f>5.21*N12</f>
        <v>5.21</v>
      </c>
      <c r="F322" s="71" t="e">
        <f>#REF!</f>
        <v>#REF!</v>
      </c>
      <c r="G322" s="98">
        <v>3.0000000000000001E-3</v>
      </c>
      <c r="H322" s="77">
        <f>E322*G322</f>
        <v>1.5630000000000002E-2</v>
      </c>
      <c r="I322" s="144"/>
      <c r="J322" s="85"/>
      <c r="K322" s="99">
        <v>0.27079999999999999</v>
      </c>
      <c r="L322" s="107">
        <f t="shared" si="12"/>
        <v>1.4842</v>
      </c>
    </row>
    <row r="323" spans="1:14" s="88" customFormat="1" x14ac:dyDescent="0.2">
      <c r="A323" s="79"/>
      <c r="B323" s="75"/>
      <c r="C323" s="112" t="s">
        <v>345</v>
      </c>
      <c r="D323" s="113" t="s">
        <v>336</v>
      </c>
      <c r="E323" s="77">
        <f>3.77*N12</f>
        <v>3.77</v>
      </c>
      <c r="F323" s="71">
        <f>E311</f>
        <v>5.21</v>
      </c>
      <c r="G323" s="98">
        <v>3.0000000000000001E-3</v>
      </c>
      <c r="H323" s="77">
        <f>E323*G323</f>
        <v>1.1310000000000001E-2</v>
      </c>
      <c r="I323" s="144"/>
      <c r="J323" s="85"/>
      <c r="K323" s="99">
        <v>0.27079999999999999</v>
      </c>
      <c r="L323" s="107">
        <f t="shared" si="12"/>
        <v>1.4842</v>
      </c>
    </row>
    <row r="324" spans="1:14" s="88" customFormat="1" x14ac:dyDescent="0.2">
      <c r="A324" s="79"/>
      <c r="B324" s="75"/>
      <c r="C324" s="112"/>
      <c r="D324" s="113"/>
      <c r="E324" s="77"/>
      <c r="F324" s="71"/>
      <c r="G324" s="98"/>
      <c r="H324" s="77"/>
      <c r="I324" s="144"/>
      <c r="J324" s="85"/>
      <c r="K324" s="99"/>
      <c r="L324" s="107"/>
    </row>
    <row r="325" spans="1:14" s="88" customFormat="1" x14ac:dyDescent="0.2">
      <c r="A325" s="79"/>
      <c r="B325" s="75"/>
      <c r="C325" s="112"/>
      <c r="D325" s="113"/>
      <c r="E325" s="361" t="str">
        <f>E314</f>
        <v>Custo Direto</v>
      </c>
      <c r="F325" s="361"/>
      <c r="G325" s="361"/>
      <c r="H325" s="114">
        <f>SUM(H321:H323)</f>
        <v>2.6940000000000002E-2</v>
      </c>
      <c r="I325" s="114">
        <f>SUM(I321:I323)</f>
        <v>6.95</v>
      </c>
      <c r="J325" s="85"/>
      <c r="K325" s="99">
        <v>0.27079999999999999</v>
      </c>
      <c r="L325" s="107">
        <f>L323</f>
        <v>1.4842</v>
      </c>
    </row>
    <row r="326" spans="1:14" s="88" customFormat="1" x14ac:dyDescent="0.2">
      <c r="A326" s="79"/>
      <c r="B326" s="75"/>
      <c r="C326" s="112"/>
      <c r="D326" s="113"/>
      <c r="E326" s="361" t="str">
        <f>E315</f>
        <v>LS(%): 148,42</v>
      </c>
      <c r="F326" s="361"/>
      <c r="G326" s="361"/>
      <c r="H326" s="77">
        <f>H325*L326</f>
        <v>3.9984348000000003E-2</v>
      </c>
      <c r="I326" s="82"/>
      <c r="J326" s="85"/>
      <c r="K326" s="99">
        <v>0.27079999999999999</v>
      </c>
      <c r="L326" s="107">
        <f t="shared" si="12"/>
        <v>1.4842</v>
      </c>
    </row>
    <row r="327" spans="1:14" s="88" customFormat="1" x14ac:dyDescent="0.2">
      <c r="A327" s="79"/>
      <c r="B327" s="75"/>
      <c r="C327" s="112"/>
      <c r="D327" s="113"/>
      <c r="E327" s="361" t="str">
        <f>E316</f>
        <v>BDI (%): 27,08</v>
      </c>
      <c r="F327" s="361"/>
      <c r="G327" s="361"/>
      <c r="H327" s="362">
        <f>(H325+I325+H326)*K327</f>
        <v>1.9001831134384</v>
      </c>
      <c r="I327" s="362"/>
      <c r="J327" s="85"/>
      <c r="K327" s="99">
        <v>0.27079999999999999</v>
      </c>
      <c r="L327" s="107">
        <f t="shared" si="12"/>
        <v>1.4842</v>
      </c>
    </row>
    <row r="328" spans="1:14" s="88" customFormat="1" x14ac:dyDescent="0.2">
      <c r="A328" s="79"/>
      <c r="B328" s="75"/>
      <c r="C328" s="112"/>
      <c r="D328" s="113"/>
      <c r="E328" s="361" t="str">
        <f>E317</f>
        <v>Valor Total c/ Taxas</v>
      </c>
      <c r="F328" s="361"/>
      <c r="G328" s="361"/>
      <c r="H328" s="77"/>
      <c r="I328" s="114">
        <f>(H325+I325+H326+H327)</f>
        <v>8.9171074614384001</v>
      </c>
      <c r="J328" s="85"/>
      <c r="K328" s="99">
        <v>0.27079999999999999</v>
      </c>
      <c r="L328" s="107">
        <f t="shared" si="12"/>
        <v>1.4842</v>
      </c>
      <c r="N328" s="330">
        <v>8.92</v>
      </c>
    </row>
    <row r="329" spans="1:14" s="88" customFormat="1" x14ac:dyDescent="0.2">
      <c r="A329" s="79"/>
      <c r="B329" s="75"/>
      <c r="C329" s="112"/>
      <c r="D329" s="113"/>
      <c r="E329" s="76"/>
      <c r="F329" s="71"/>
      <c r="G329" s="123"/>
      <c r="H329" s="77"/>
      <c r="I329" s="114"/>
      <c r="J329" s="85"/>
      <c r="K329" s="99">
        <v>0.27079999999999999</v>
      </c>
      <c r="L329" s="107">
        <f t="shared" si="12"/>
        <v>1.4842</v>
      </c>
    </row>
    <row r="330" spans="1:14" s="88" customFormat="1" x14ac:dyDescent="0.2">
      <c r="A330" s="79"/>
      <c r="B330" s="75" t="str">
        <f>ORÇAMENTO!A60</f>
        <v>4.3.3</v>
      </c>
      <c r="C330" s="96" t="str">
        <f>ORÇAMENTO!B60</f>
        <v>Interruptor para ventilador</v>
      </c>
      <c r="D330" s="97" t="s">
        <v>355</v>
      </c>
      <c r="E330" s="77"/>
      <c r="F330" s="71"/>
      <c r="G330" s="98"/>
      <c r="H330" s="77"/>
      <c r="I330" s="144"/>
      <c r="J330" s="85"/>
      <c r="K330" s="99">
        <v>0.27079999999999999</v>
      </c>
      <c r="L330" s="107">
        <f t="shared" si="12"/>
        <v>1.4842</v>
      </c>
    </row>
    <row r="331" spans="1:14" s="88" customFormat="1" x14ac:dyDescent="0.2">
      <c r="A331" s="79"/>
      <c r="B331" s="75"/>
      <c r="C331" s="112" t="str">
        <f>C330</f>
        <v>Interruptor para ventilador</v>
      </c>
      <c r="D331" s="113" t="str">
        <f>D330</f>
        <v>M</v>
      </c>
      <c r="E331" s="77">
        <f>5.533*N12</f>
        <v>5.5330000000000004</v>
      </c>
      <c r="F331" s="71">
        <v>155</v>
      </c>
      <c r="G331" s="98">
        <v>1</v>
      </c>
      <c r="H331" s="77"/>
      <c r="I331" s="145">
        <f>E331*G331</f>
        <v>5.5330000000000004</v>
      </c>
      <c r="J331" s="85"/>
      <c r="K331" s="99">
        <v>0.27079999999999999</v>
      </c>
      <c r="L331" s="107">
        <f t="shared" si="12"/>
        <v>1.4842</v>
      </c>
    </row>
    <row r="332" spans="1:14" s="88" customFormat="1" x14ac:dyDescent="0.2">
      <c r="A332" s="79"/>
      <c r="B332" s="75"/>
      <c r="C332" s="112" t="s">
        <v>359</v>
      </c>
      <c r="D332" s="113" t="s">
        <v>336</v>
      </c>
      <c r="E332" s="77">
        <f>5.21*N12</f>
        <v>5.21</v>
      </c>
      <c r="F332" s="71"/>
      <c r="G332" s="98">
        <v>3.0000000000000001E-3</v>
      </c>
      <c r="H332" s="77">
        <f>E332*G332</f>
        <v>1.5630000000000002E-2</v>
      </c>
      <c r="I332" s="144"/>
      <c r="J332" s="85"/>
      <c r="K332" s="99">
        <v>0.27079999999999999</v>
      </c>
      <c r="L332" s="107">
        <f t="shared" si="12"/>
        <v>1.4842</v>
      </c>
    </row>
    <row r="333" spans="1:14" s="88" customFormat="1" x14ac:dyDescent="0.2">
      <c r="A333" s="79"/>
      <c r="B333" s="75"/>
      <c r="C333" s="112" t="s">
        <v>345</v>
      </c>
      <c r="D333" s="113" t="s">
        <v>336</v>
      </c>
      <c r="E333" s="77">
        <f>3.77*N12</f>
        <v>3.77</v>
      </c>
      <c r="F333" s="71"/>
      <c r="G333" s="98">
        <v>3.0000000000000001E-3</v>
      </c>
      <c r="H333" s="77">
        <f>E333*G333</f>
        <v>1.1310000000000001E-2</v>
      </c>
      <c r="I333" s="144"/>
      <c r="J333" s="85"/>
      <c r="K333" s="99">
        <v>0.27079999999999999</v>
      </c>
      <c r="L333" s="107">
        <f t="shared" si="12"/>
        <v>1.4842</v>
      </c>
    </row>
    <row r="334" spans="1:14" s="88" customFormat="1" x14ac:dyDescent="0.2">
      <c r="A334" s="79"/>
      <c r="B334" s="75"/>
      <c r="C334" s="112"/>
      <c r="D334" s="113"/>
      <c r="E334" s="77"/>
      <c r="F334" s="71"/>
      <c r="G334" s="98"/>
      <c r="H334" s="77"/>
      <c r="I334" s="77"/>
      <c r="J334" s="85"/>
      <c r="K334" s="99">
        <v>0.27079999999999999</v>
      </c>
      <c r="L334" s="107">
        <f t="shared" si="12"/>
        <v>1.4842</v>
      </c>
    </row>
    <row r="335" spans="1:14" s="88" customFormat="1" x14ac:dyDescent="0.2">
      <c r="A335" s="79"/>
      <c r="B335" s="75"/>
      <c r="C335" s="112"/>
      <c r="D335" s="113"/>
      <c r="E335" s="361" t="str">
        <f>E325</f>
        <v>Custo Direto</v>
      </c>
      <c r="F335" s="361"/>
      <c r="G335" s="361"/>
      <c r="H335" s="114">
        <f>SUM(H331:H334)</f>
        <v>2.6940000000000002E-2</v>
      </c>
      <c r="I335" s="114">
        <f>SUM(I331:I334)</f>
        <v>5.5330000000000004</v>
      </c>
      <c r="J335" s="85"/>
      <c r="K335" s="99">
        <v>0.27079999999999999</v>
      </c>
      <c r="L335" s="107">
        <f t="shared" si="12"/>
        <v>1.4842</v>
      </c>
    </row>
    <row r="336" spans="1:14" s="88" customFormat="1" x14ac:dyDescent="0.2">
      <c r="A336" s="79"/>
      <c r="B336" s="75"/>
      <c r="C336" s="112"/>
      <c r="D336" s="113"/>
      <c r="E336" s="361" t="str">
        <f>E326</f>
        <v>LS(%): 148,42</v>
      </c>
      <c r="F336" s="361"/>
      <c r="G336" s="361"/>
      <c r="H336" s="77">
        <f>H335*L336</f>
        <v>3.9984348000000003E-2</v>
      </c>
      <c r="I336" s="82"/>
      <c r="J336" s="85"/>
      <c r="K336" s="99">
        <v>0.27079999999999999</v>
      </c>
      <c r="L336" s="107">
        <f t="shared" si="12"/>
        <v>1.4842</v>
      </c>
    </row>
    <row r="337" spans="1:14" s="88" customFormat="1" x14ac:dyDescent="0.2">
      <c r="A337" s="79"/>
      <c r="B337" s="75"/>
      <c r="C337" s="112"/>
      <c r="D337" s="113"/>
      <c r="E337" s="361" t="str">
        <f>E327</f>
        <v>BDI (%): 27,08</v>
      </c>
      <c r="F337" s="361"/>
      <c r="G337" s="361"/>
      <c r="H337" s="362">
        <f>(H335+I335+H336)*K337</f>
        <v>1.5164595134384</v>
      </c>
      <c r="I337" s="362"/>
      <c r="J337" s="85"/>
      <c r="K337" s="99">
        <v>0.27079999999999999</v>
      </c>
      <c r="L337" s="107">
        <f t="shared" si="12"/>
        <v>1.4842</v>
      </c>
    </row>
    <row r="338" spans="1:14" s="88" customFormat="1" x14ac:dyDescent="0.2">
      <c r="A338" s="79"/>
      <c r="B338" s="75"/>
      <c r="C338" s="112"/>
      <c r="D338" s="113"/>
      <c r="E338" s="361" t="str">
        <f>E328</f>
        <v>Valor Total c/ Taxas</v>
      </c>
      <c r="F338" s="361"/>
      <c r="G338" s="361"/>
      <c r="H338" s="77"/>
      <c r="I338" s="114">
        <f>(H335+I335+H336+H337)</f>
        <v>7.1163838614384005</v>
      </c>
      <c r="J338" s="85"/>
      <c r="K338" s="99">
        <v>0.27079999999999999</v>
      </c>
      <c r="L338" s="107">
        <f t="shared" si="12"/>
        <v>1.4842</v>
      </c>
      <c r="N338" s="330">
        <v>7.12</v>
      </c>
    </row>
    <row r="339" spans="1:14" s="88" customFormat="1" x14ac:dyDescent="0.2">
      <c r="A339" s="79"/>
      <c r="B339" s="75"/>
      <c r="C339" s="112"/>
      <c r="D339" s="113"/>
      <c r="E339" s="76"/>
      <c r="F339" s="71"/>
      <c r="G339" s="123"/>
      <c r="H339" s="77"/>
      <c r="I339" s="77"/>
      <c r="J339" s="85"/>
      <c r="K339" s="99">
        <v>0.27079999999999999</v>
      </c>
      <c r="L339" s="107">
        <f t="shared" ref="L339:L402" si="13">L338</f>
        <v>1.4842</v>
      </c>
    </row>
    <row r="340" spans="1:14" s="88" customFormat="1" x14ac:dyDescent="0.2">
      <c r="A340" s="79"/>
      <c r="B340" s="75" t="str">
        <f>ORÇAMENTO!A62</f>
        <v>4.4.1</v>
      </c>
      <c r="C340" s="96" t="str">
        <f>ORÇAMENTO!B62</f>
        <v>Tomada para telefone,com caixa pvc,embutir</v>
      </c>
      <c r="D340" s="97" t="s">
        <v>355</v>
      </c>
      <c r="E340" s="77"/>
      <c r="F340" s="71"/>
      <c r="G340" s="98"/>
      <c r="H340" s="77"/>
      <c r="I340" s="144"/>
      <c r="J340" s="85"/>
      <c r="K340" s="99">
        <v>0.27079999999999999</v>
      </c>
      <c r="L340" s="107">
        <f t="shared" si="13"/>
        <v>1.4842</v>
      </c>
    </row>
    <row r="341" spans="1:14" s="88" customFormat="1" x14ac:dyDescent="0.2">
      <c r="A341" s="79"/>
      <c r="B341" s="75"/>
      <c r="C341" s="112" t="str">
        <f>C340</f>
        <v>Tomada para telefone,com caixa pvc,embutir</v>
      </c>
      <c r="D341" s="113" t="str">
        <f>D340</f>
        <v>M</v>
      </c>
      <c r="E341" s="77">
        <f>9.12*N12</f>
        <v>9.1199999999999992</v>
      </c>
      <c r="F341" s="71">
        <v>160</v>
      </c>
      <c r="G341" s="98">
        <v>1</v>
      </c>
      <c r="H341" s="77"/>
      <c r="I341" s="145">
        <f>E341*G341</f>
        <v>9.1199999999999992</v>
      </c>
      <c r="J341" s="85"/>
      <c r="K341" s="99">
        <v>0.27079999999999999</v>
      </c>
      <c r="L341" s="107">
        <f t="shared" si="13"/>
        <v>1.4842</v>
      </c>
    </row>
    <row r="342" spans="1:14" s="88" customFormat="1" x14ac:dyDescent="0.2">
      <c r="A342" s="79"/>
      <c r="B342" s="75"/>
      <c r="C342" s="112" t="s">
        <v>359</v>
      </c>
      <c r="D342" s="113" t="s">
        <v>336</v>
      </c>
      <c r="E342" s="77">
        <f>5.21*N12</f>
        <v>5.21</v>
      </c>
      <c r="F342" s="71"/>
      <c r="G342" s="98">
        <v>3.0000000000000001E-3</v>
      </c>
      <c r="H342" s="77">
        <f>E342*G342</f>
        <v>1.5630000000000002E-2</v>
      </c>
      <c r="I342" s="144"/>
      <c r="J342" s="85"/>
      <c r="K342" s="99">
        <v>0.27079999999999999</v>
      </c>
      <c r="L342" s="107">
        <f t="shared" si="13"/>
        <v>1.4842</v>
      </c>
    </row>
    <row r="343" spans="1:14" s="88" customFormat="1" x14ac:dyDescent="0.2">
      <c r="A343" s="79"/>
      <c r="B343" s="75"/>
      <c r="C343" s="112" t="s">
        <v>345</v>
      </c>
      <c r="D343" s="113" t="s">
        <v>336</v>
      </c>
      <c r="E343" s="77">
        <f>3.77*N12</f>
        <v>3.77</v>
      </c>
      <c r="F343" s="71"/>
      <c r="G343" s="98">
        <v>3.0000000000000001E-3</v>
      </c>
      <c r="H343" s="77">
        <f>E343*G343</f>
        <v>1.1310000000000001E-2</v>
      </c>
      <c r="I343" s="144"/>
      <c r="J343" s="85"/>
      <c r="K343" s="99">
        <v>0.27079999999999999</v>
      </c>
      <c r="L343" s="107">
        <f t="shared" si="13"/>
        <v>1.4842</v>
      </c>
    </row>
    <row r="344" spans="1:14" s="88" customFormat="1" x14ac:dyDescent="0.2">
      <c r="A344" s="79"/>
      <c r="B344" s="75"/>
      <c r="C344" s="112"/>
      <c r="D344" s="113"/>
      <c r="E344" s="77"/>
      <c r="F344" s="71"/>
      <c r="G344" s="98"/>
      <c r="H344" s="77"/>
      <c r="I344" s="77"/>
      <c r="J344" s="85"/>
      <c r="K344" s="99">
        <v>0.27079999999999999</v>
      </c>
      <c r="L344" s="107">
        <f t="shared" si="13"/>
        <v>1.4842</v>
      </c>
    </row>
    <row r="345" spans="1:14" s="88" customFormat="1" x14ac:dyDescent="0.2">
      <c r="A345" s="79"/>
      <c r="B345" s="75"/>
      <c r="C345" s="112"/>
      <c r="D345" s="113"/>
      <c r="E345" s="361" t="str">
        <f>E335</f>
        <v>Custo Direto</v>
      </c>
      <c r="F345" s="361"/>
      <c r="G345" s="361"/>
      <c r="H345" s="114">
        <f>SUM(H341:H344)</f>
        <v>2.6940000000000002E-2</v>
      </c>
      <c r="I345" s="114">
        <f>SUM(I341:I344)</f>
        <v>9.1199999999999992</v>
      </c>
      <c r="J345" s="85"/>
      <c r="K345" s="99">
        <v>0.27079999999999999</v>
      </c>
      <c r="L345" s="107">
        <f t="shared" si="13"/>
        <v>1.4842</v>
      </c>
    </row>
    <row r="346" spans="1:14" s="88" customFormat="1" x14ac:dyDescent="0.2">
      <c r="A346" s="79"/>
      <c r="B346" s="75"/>
      <c r="C346" s="112"/>
      <c r="D346" s="113"/>
      <c r="E346" s="361" t="str">
        <f>E336</f>
        <v>LS(%): 148,42</v>
      </c>
      <c r="F346" s="361"/>
      <c r="G346" s="361"/>
      <c r="H346" s="77">
        <f>H345*L346</f>
        <v>3.9984348000000003E-2</v>
      </c>
      <c r="I346" s="82"/>
      <c r="J346" s="85"/>
      <c r="K346" s="99">
        <v>0.27079999999999999</v>
      </c>
      <c r="L346" s="107">
        <f t="shared" si="13"/>
        <v>1.4842</v>
      </c>
      <c r="M346" s="133"/>
    </row>
    <row r="347" spans="1:14" s="88" customFormat="1" x14ac:dyDescent="0.2">
      <c r="A347" s="79"/>
      <c r="B347" s="75"/>
      <c r="C347" s="112"/>
      <c r="D347" s="113"/>
      <c r="E347" s="361" t="str">
        <f>E337</f>
        <v>BDI (%): 27,08</v>
      </c>
      <c r="F347" s="361"/>
      <c r="G347" s="361"/>
      <c r="H347" s="362">
        <f>(H345+I345+H346)*K347</f>
        <v>2.4878191134384</v>
      </c>
      <c r="I347" s="362"/>
      <c r="J347" s="85"/>
      <c r="K347" s="99">
        <v>0.27079999999999999</v>
      </c>
      <c r="L347" s="107">
        <f t="shared" si="13"/>
        <v>1.4842</v>
      </c>
    </row>
    <row r="348" spans="1:14" s="88" customFormat="1" x14ac:dyDescent="0.2">
      <c r="A348" s="79"/>
      <c r="B348" s="75"/>
      <c r="C348" s="112"/>
      <c r="D348" s="113"/>
      <c r="E348" s="361" t="str">
        <f>E338</f>
        <v>Valor Total c/ Taxas</v>
      </c>
      <c r="F348" s="361"/>
      <c r="G348" s="361"/>
      <c r="H348" s="77"/>
      <c r="I348" s="114">
        <f>(H345+I345+H346+H347)</f>
        <v>11.6747434614384</v>
      </c>
      <c r="J348" s="85"/>
      <c r="K348" s="99">
        <v>0.27079999999999999</v>
      </c>
      <c r="L348" s="107">
        <f t="shared" si="13"/>
        <v>1.4842</v>
      </c>
      <c r="N348" s="330">
        <v>11.67</v>
      </c>
    </row>
    <row r="349" spans="1:14" s="88" customFormat="1" x14ac:dyDescent="0.2">
      <c r="A349" s="79"/>
      <c r="B349" s="75"/>
      <c r="C349" s="112"/>
      <c r="D349" s="113"/>
      <c r="E349" s="76"/>
      <c r="F349" s="71"/>
      <c r="G349" s="123"/>
      <c r="H349" s="77"/>
      <c r="I349" s="77"/>
      <c r="J349" s="85"/>
      <c r="K349" s="99">
        <v>0.27079999999999999</v>
      </c>
      <c r="L349" s="107">
        <f t="shared" si="13"/>
        <v>1.4842</v>
      </c>
    </row>
    <row r="350" spans="1:14" s="88" customFormat="1" x14ac:dyDescent="0.2">
      <c r="A350" s="79"/>
      <c r="B350" s="75" t="str">
        <f>ORÇAMENTO!A64</f>
        <v>4.5.1</v>
      </c>
      <c r="C350" s="96" t="str">
        <f>ORÇAMENTO!B64</f>
        <v>Tomada de embutir para uso geral, 2p+t</v>
      </c>
      <c r="D350" s="97" t="s">
        <v>355</v>
      </c>
      <c r="E350" s="77"/>
      <c r="F350" s="71"/>
      <c r="G350" s="98"/>
      <c r="H350" s="77"/>
      <c r="I350" s="144"/>
      <c r="J350" s="85"/>
      <c r="K350" s="99">
        <v>0.27079999999999999</v>
      </c>
      <c r="L350" s="107">
        <f t="shared" si="13"/>
        <v>1.4842</v>
      </c>
    </row>
    <row r="351" spans="1:14" s="88" customFormat="1" x14ac:dyDescent="0.2">
      <c r="A351" s="79"/>
      <c r="B351" s="75"/>
      <c r="C351" s="112" t="str">
        <f>C350</f>
        <v>Tomada de embutir para uso geral, 2p+t</v>
      </c>
      <c r="D351" s="113" t="str">
        <f>D350</f>
        <v>M</v>
      </c>
      <c r="E351" s="77">
        <f>4.6*N12</f>
        <v>4.5999999999999996</v>
      </c>
      <c r="F351" s="71">
        <v>180</v>
      </c>
      <c r="G351" s="98">
        <v>1</v>
      </c>
      <c r="H351" s="77"/>
      <c r="I351" s="145">
        <f>E351*G351</f>
        <v>4.5999999999999996</v>
      </c>
      <c r="J351" s="85"/>
      <c r="K351" s="99">
        <v>0.27079999999999999</v>
      </c>
      <c r="L351" s="107">
        <f t="shared" si="13"/>
        <v>1.4842</v>
      </c>
    </row>
    <row r="352" spans="1:14" s="88" customFormat="1" x14ac:dyDescent="0.2">
      <c r="A352" s="79"/>
      <c r="B352" s="75"/>
      <c r="C352" s="112" t="s">
        <v>359</v>
      </c>
      <c r="D352" s="113" t="s">
        <v>336</v>
      </c>
      <c r="E352" s="77">
        <f>5.21*N12</f>
        <v>5.21</v>
      </c>
      <c r="F352" s="71"/>
      <c r="G352" s="98">
        <v>0.03</v>
      </c>
      <c r="H352" s="77">
        <f>E352*G352</f>
        <v>0.15629999999999999</v>
      </c>
      <c r="I352" s="144"/>
      <c r="J352" s="85"/>
      <c r="K352" s="99">
        <v>0.27079999999999999</v>
      </c>
      <c r="L352" s="107">
        <f t="shared" si="13"/>
        <v>1.4842</v>
      </c>
    </row>
    <row r="353" spans="1:14" s="88" customFormat="1" x14ac:dyDescent="0.2">
      <c r="A353" s="79"/>
      <c r="B353" s="75"/>
      <c r="C353" s="112" t="s">
        <v>345</v>
      </c>
      <c r="D353" s="113" t="s">
        <v>336</v>
      </c>
      <c r="E353" s="77">
        <f>3.77*N12</f>
        <v>3.77</v>
      </c>
      <c r="F353" s="71"/>
      <c r="G353" s="98">
        <v>0.03</v>
      </c>
      <c r="H353" s="77">
        <f>E353*G353</f>
        <v>0.11309999999999999</v>
      </c>
      <c r="I353" s="144"/>
      <c r="J353" s="85"/>
      <c r="K353" s="99">
        <v>0.27079999999999999</v>
      </c>
      <c r="L353" s="107">
        <f t="shared" si="13"/>
        <v>1.4842</v>
      </c>
    </row>
    <row r="354" spans="1:14" s="88" customFormat="1" hidden="1" x14ac:dyDescent="0.2">
      <c r="A354" s="79"/>
      <c r="B354" s="75"/>
      <c r="C354" s="112"/>
      <c r="D354" s="113"/>
      <c r="E354" s="77"/>
      <c r="F354" s="71"/>
      <c r="G354" s="98"/>
      <c r="H354" s="77"/>
      <c r="I354" s="77"/>
      <c r="J354" s="85"/>
      <c r="K354" s="99">
        <v>0.27079999999999999</v>
      </c>
      <c r="L354" s="107">
        <f t="shared" si="13"/>
        <v>1.4842</v>
      </c>
    </row>
    <row r="355" spans="1:14" s="88" customFormat="1" x14ac:dyDescent="0.2">
      <c r="A355" s="79"/>
      <c r="B355" s="75"/>
      <c r="C355" s="112"/>
      <c r="D355" s="113"/>
      <c r="E355" s="77"/>
      <c r="F355" s="71"/>
      <c r="G355" s="98"/>
      <c r="H355" s="77"/>
      <c r="I355" s="77"/>
      <c r="J355" s="85"/>
      <c r="K355" s="99"/>
      <c r="L355" s="107"/>
    </row>
    <row r="356" spans="1:14" s="88" customFormat="1" x14ac:dyDescent="0.2">
      <c r="A356" s="79"/>
      <c r="B356" s="75"/>
      <c r="C356" s="112"/>
      <c r="D356" s="113"/>
      <c r="E356" s="361" t="str">
        <f>E345</f>
        <v>Custo Direto</v>
      </c>
      <c r="F356" s="361"/>
      <c r="G356" s="361"/>
      <c r="H356" s="114">
        <f>SUM(H351:H354)</f>
        <v>0.26939999999999997</v>
      </c>
      <c r="I356" s="114">
        <f>SUM(I351:I354)</f>
        <v>4.5999999999999996</v>
      </c>
      <c r="J356" s="85"/>
      <c r="K356" s="99">
        <v>0.27079999999999999</v>
      </c>
      <c r="L356" s="107">
        <f>L354</f>
        <v>1.4842</v>
      </c>
    </row>
    <row r="357" spans="1:14" s="88" customFormat="1" x14ac:dyDescent="0.2">
      <c r="A357" s="79"/>
      <c r="B357" s="75"/>
      <c r="C357" s="112"/>
      <c r="D357" s="113"/>
      <c r="E357" s="361" t="str">
        <f>E346</f>
        <v>LS(%): 148,42</v>
      </c>
      <c r="F357" s="361"/>
      <c r="G357" s="361"/>
      <c r="H357" s="77">
        <f>H356*L357</f>
        <v>0.39984347999999997</v>
      </c>
      <c r="I357" s="82"/>
      <c r="J357" s="85"/>
      <c r="K357" s="99">
        <v>0.27079999999999999</v>
      </c>
      <c r="L357" s="107">
        <f t="shared" si="13"/>
        <v>1.4842</v>
      </c>
      <c r="M357" s="133"/>
    </row>
    <row r="358" spans="1:14" s="88" customFormat="1" x14ac:dyDescent="0.2">
      <c r="A358" s="79"/>
      <c r="B358" s="75"/>
      <c r="C358" s="112"/>
      <c r="D358" s="113"/>
      <c r="E358" s="361" t="str">
        <f>E347</f>
        <v>BDI (%): 27,08</v>
      </c>
      <c r="F358" s="361"/>
      <c r="G358" s="361"/>
      <c r="H358" s="362">
        <f>(H356+I356+H357)*K358</f>
        <v>1.426911134384</v>
      </c>
      <c r="I358" s="362"/>
      <c r="J358" s="85"/>
      <c r="K358" s="99">
        <v>0.27079999999999999</v>
      </c>
      <c r="L358" s="107">
        <f t="shared" si="13"/>
        <v>1.4842</v>
      </c>
    </row>
    <row r="359" spans="1:14" s="88" customFormat="1" x14ac:dyDescent="0.2">
      <c r="A359" s="79"/>
      <c r="B359" s="75"/>
      <c r="C359" s="112"/>
      <c r="D359" s="113"/>
      <c r="E359" s="361" t="str">
        <f>E348</f>
        <v>Valor Total c/ Taxas</v>
      </c>
      <c r="F359" s="361"/>
      <c r="G359" s="361"/>
      <c r="H359" s="77"/>
      <c r="I359" s="114">
        <f>(H356+I356+H357+H358)</f>
        <v>6.6961546143839996</v>
      </c>
      <c r="J359" s="85"/>
      <c r="K359" s="99">
        <v>0.27079999999999999</v>
      </c>
      <c r="L359" s="107">
        <f t="shared" si="13"/>
        <v>1.4842</v>
      </c>
      <c r="N359" s="330">
        <v>6.7</v>
      </c>
    </row>
    <row r="360" spans="1:14" s="88" customFormat="1" x14ac:dyDescent="0.2">
      <c r="A360" s="79"/>
      <c r="B360" s="75"/>
      <c r="C360" s="112"/>
      <c r="D360" s="113"/>
      <c r="E360" s="76"/>
      <c r="F360" s="71"/>
      <c r="G360" s="123"/>
      <c r="H360" s="77"/>
      <c r="I360" s="77"/>
      <c r="J360" s="85"/>
      <c r="K360" s="99">
        <v>0.27079999999999999</v>
      </c>
      <c r="L360" s="107">
        <f t="shared" si="13"/>
        <v>1.4842</v>
      </c>
    </row>
    <row r="361" spans="1:14" s="88" customFormat="1" x14ac:dyDescent="0.2">
      <c r="A361" s="79"/>
      <c r="B361" s="75" t="str">
        <f>ORÇAMENTO!A65</f>
        <v>4.5.2</v>
      </c>
      <c r="C361" s="96" t="str">
        <f>ORÇAMENTO!B65</f>
        <v>Tomada de embutir para uso geral, 2p+t,dupla</v>
      </c>
      <c r="D361" s="97" t="s">
        <v>355</v>
      </c>
      <c r="E361" s="77"/>
      <c r="F361" s="71"/>
      <c r="G361" s="98"/>
      <c r="H361" s="77"/>
      <c r="I361" s="144"/>
      <c r="J361" s="85"/>
      <c r="K361" s="99">
        <v>0.27079999999999999</v>
      </c>
      <c r="L361" s="107">
        <f t="shared" si="13"/>
        <v>1.4842</v>
      </c>
    </row>
    <row r="362" spans="1:14" s="88" customFormat="1" x14ac:dyDescent="0.2">
      <c r="A362" s="79"/>
      <c r="B362" s="75"/>
      <c r="C362" s="112" t="str">
        <f>C361</f>
        <v>Tomada de embutir para uso geral, 2p+t,dupla</v>
      </c>
      <c r="D362" s="113" t="str">
        <f>D361</f>
        <v>M</v>
      </c>
      <c r="E362" s="77">
        <f>6.35*N12</f>
        <v>6.35</v>
      </c>
      <c r="F362" s="71">
        <v>190</v>
      </c>
      <c r="G362" s="98">
        <v>1</v>
      </c>
      <c r="H362" s="77"/>
      <c r="I362" s="145">
        <f>E362*G362</f>
        <v>6.35</v>
      </c>
      <c r="J362" s="85"/>
      <c r="K362" s="99">
        <v>0.27079999999999999</v>
      </c>
      <c r="L362" s="107">
        <f t="shared" si="13"/>
        <v>1.4842</v>
      </c>
    </row>
    <row r="363" spans="1:14" s="88" customFormat="1" x14ac:dyDescent="0.2">
      <c r="A363" s="79"/>
      <c r="B363" s="75"/>
      <c r="C363" s="112" t="s">
        <v>359</v>
      </c>
      <c r="D363" s="113" t="s">
        <v>336</v>
      </c>
      <c r="E363" s="77">
        <f>5.21*N12</f>
        <v>5.21</v>
      </c>
      <c r="F363" s="71"/>
      <c r="G363" s="98">
        <v>0.03</v>
      </c>
      <c r="H363" s="77">
        <f>E363*G363</f>
        <v>0.15629999999999999</v>
      </c>
      <c r="I363" s="144"/>
      <c r="J363" s="85"/>
      <c r="K363" s="99">
        <v>0.27079999999999999</v>
      </c>
      <c r="L363" s="107">
        <f t="shared" si="13"/>
        <v>1.4842</v>
      </c>
    </row>
    <row r="364" spans="1:14" s="88" customFormat="1" x14ac:dyDescent="0.2">
      <c r="A364" s="79"/>
      <c r="B364" s="75"/>
      <c r="C364" s="112" t="s">
        <v>345</v>
      </c>
      <c r="D364" s="113" t="s">
        <v>336</v>
      </c>
      <c r="E364" s="77">
        <f>3.77*N12</f>
        <v>3.77</v>
      </c>
      <c r="F364" s="71"/>
      <c r="G364" s="98">
        <v>0.03</v>
      </c>
      <c r="H364" s="77">
        <f>E364*G364</f>
        <v>0.11309999999999999</v>
      </c>
      <c r="I364" s="144"/>
      <c r="J364" s="85"/>
      <c r="K364" s="99">
        <v>0.27079999999999999</v>
      </c>
      <c r="L364" s="107">
        <f t="shared" si="13"/>
        <v>1.4842</v>
      </c>
    </row>
    <row r="365" spans="1:14" s="88" customFormat="1" hidden="1" x14ac:dyDescent="0.2">
      <c r="A365" s="79"/>
      <c r="B365" s="75"/>
      <c r="C365" s="112"/>
      <c r="D365" s="113"/>
      <c r="E365" s="77"/>
      <c r="F365" s="71"/>
      <c r="G365" s="98"/>
      <c r="H365" s="77"/>
      <c r="I365" s="77"/>
      <c r="J365" s="85"/>
      <c r="K365" s="99">
        <v>0.27079999999999999</v>
      </c>
      <c r="L365" s="107">
        <f t="shared" si="13"/>
        <v>1.4842</v>
      </c>
    </row>
    <row r="366" spans="1:14" s="88" customFormat="1" x14ac:dyDescent="0.2">
      <c r="A366" s="79"/>
      <c r="B366" s="75"/>
      <c r="C366" s="112"/>
      <c r="D366" s="113"/>
      <c r="E366" s="77"/>
      <c r="F366" s="71"/>
      <c r="G366" s="98"/>
      <c r="H366" s="77"/>
      <c r="I366" s="77"/>
      <c r="J366" s="85"/>
      <c r="K366" s="99"/>
      <c r="L366" s="107"/>
    </row>
    <row r="367" spans="1:14" s="88" customFormat="1" x14ac:dyDescent="0.2">
      <c r="A367" s="79"/>
      <c r="B367" s="75"/>
      <c r="C367" s="112"/>
      <c r="D367" s="113"/>
      <c r="E367" s="361" t="str">
        <f>E356</f>
        <v>Custo Direto</v>
      </c>
      <c r="F367" s="361"/>
      <c r="G367" s="361"/>
      <c r="H367" s="114">
        <f>SUM(H362:H365)</f>
        <v>0.26939999999999997</v>
      </c>
      <c r="I367" s="114">
        <f>SUM(I362:I365)</f>
        <v>6.35</v>
      </c>
      <c r="J367" s="85"/>
      <c r="K367" s="99">
        <v>0.27079999999999999</v>
      </c>
      <c r="L367" s="107">
        <f>L365</f>
        <v>1.4842</v>
      </c>
    </row>
    <row r="368" spans="1:14" s="88" customFormat="1" x14ac:dyDescent="0.2">
      <c r="A368" s="79"/>
      <c r="B368" s="75"/>
      <c r="C368" s="112"/>
      <c r="D368" s="113"/>
      <c r="E368" s="361" t="str">
        <f>E357</f>
        <v>LS(%): 148,42</v>
      </c>
      <c r="F368" s="361"/>
      <c r="G368" s="361"/>
      <c r="H368" s="77">
        <f>H367*L368</f>
        <v>0.39984347999999997</v>
      </c>
      <c r="I368" s="82"/>
      <c r="J368" s="85"/>
      <c r="K368" s="99">
        <v>0.27079999999999999</v>
      </c>
      <c r="L368" s="107">
        <f t="shared" si="13"/>
        <v>1.4842</v>
      </c>
      <c r="M368" s="133"/>
    </row>
    <row r="369" spans="1:14" s="88" customFormat="1" x14ac:dyDescent="0.2">
      <c r="A369" s="79"/>
      <c r="B369" s="75"/>
      <c r="C369" s="112"/>
      <c r="D369" s="113"/>
      <c r="E369" s="361" t="str">
        <f>E358</f>
        <v>BDI (%): 27,08</v>
      </c>
      <c r="F369" s="361"/>
      <c r="G369" s="361"/>
      <c r="H369" s="362">
        <f>(H367+I367+H368)*K369</f>
        <v>1.900811134384</v>
      </c>
      <c r="I369" s="362"/>
      <c r="J369" s="85"/>
      <c r="K369" s="99">
        <v>0.27079999999999999</v>
      </c>
      <c r="L369" s="107">
        <f t="shared" si="13"/>
        <v>1.4842</v>
      </c>
    </row>
    <row r="370" spans="1:14" s="88" customFormat="1" x14ac:dyDescent="0.2">
      <c r="A370" s="79"/>
      <c r="B370" s="75"/>
      <c r="C370" s="112"/>
      <c r="D370" s="113"/>
      <c r="E370" s="361" t="str">
        <f>E359</f>
        <v>Valor Total c/ Taxas</v>
      </c>
      <c r="F370" s="361"/>
      <c r="G370" s="361"/>
      <c r="H370" s="77"/>
      <c r="I370" s="114">
        <f>(H367+I367+H368+H369)</f>
        <v>8.920054614384</v>
      </c>
      <c r="J370" s="85"/>
      <c r="K370" s="99">
        <v>0.27079999999999999</v>
      </c>
      <c r="L370" s="107">
        <f t="shared" si="13"/>
        <v>1.4842</v>
      </c>
      <c r="N370" s="330">
        <v>8.92</v>
      </c>
    </row>
    <row r="371" spans="1:14" s="88" customFormat="1" ht="21.75" customHeight="1" x14ac:dyDescent="0.2">
      <c r="A371" s="79"/>
      <c r="B371" s="75"/>
      <c r="C371" s="112"/>
      <c r="D371" s="113"/>
      <c r="E371" s="76"/>
      <c r="F371" s="71"/>
      <c r="G371" s="123"/>
      <c r="H371" s="77"/>
      <c r="I371" s="77"/>
      <c r="J371" s="85"/>
      <c r="K371" s="99">
        <v>0.27079999999999999</v>
      </c>
      <c r="L371" s="107">
        <f t="shared" si="13"/>
        <v>1.4842</v>
      </c>
    </row>
    <row r="372" spans="1:14" s="88" customFormat="1" x14ac:dyDescent="0.2">
      <c r="A372" s="79"/>
      <c r="B372" s="75" t="str">
        <f>ORÇAMENTO!A67</f>
        <v>4.6.1</v>
      </c>
      <c r="C372" s="96" t="str">
        <f>ORÇAMENTO!B67</f>
        <v>Fornecimento e assentamento de caixa pvc 4'' x 2'' com tampa</v>
      </c>
      <c r="D372" s="97" t="s">
        <v>346</v>
      </c>
      <c r="E372" s="77"/>
      <c r="F372" s="71"/>
      <c r="G372" s="98"/>
      <c r="H372" s="77"/>
      <c r="I372" s="144"/>
      <c r="J372" s="85"/>
      <c r="K372" s="99">
        <v>0.27079999999999999</v>
      </c>
      <c r="L372" s="107">
        <f t="shared" si="13"/>
        <v>1.4842</v>
      </c>
    </row>
    <row r="373" spans="1:14" s="88" customFormat="1" x14ac:dyDescent="0.2">
      <c r="A373" s="79"/>
      <c r="B373" s="75"/>
      <c r="C373" s="112" t="str">
        <f>C372</f>
        <v>Fornecimento e assentamento de caixa pvc 4'' x 2'' com tampa</v>
      </c>
      <c r="D373" s="113" t="s">
        <v>346</v>
      </c>
      <c r="E373" s="77">
        <f>0.163*N12</f>
        <v>0.16300000000000001</v>
      </c>
      <c r="F373" s="71">
        <v>210</v>
      </c>
      <c r="G373" s="98">
        <v>1</v>
      </c>
      <c r="H373" s="77"/>
      <c r="I373" s="145">
        <f>E373*G373</f>
        <v>0.16300000000000001</v>
      </c>
      <c r="J373" s="85"/>
      <c r="K373" s="99">
        <v>0.27079999999999999</v>
      </c>
      <c r="L373" s="107">
        <f t="shared" si="13"/>
        <v>1.4842</v>
      </c>
    </row>
    <row r="374" spans="1:14" s="88" customFormat="1" x14ac:dyDescent="0.2">
      <c r="A374" s="79"/>
      <c r="B374" s="75"/>
      <c r="C374" s="112" t="s">
        <v>359</v>
      </c>
      <c r="D374" s="113" t="s">
        <v>336</v>
      </c>
      <c r="E374" s="77">
        <f>5.21*N12</f>
        <v>5.21</v>
      </c>
      <c r="F374" s="71"/>
      <c r="G374" s="98">
        <v>0.03</v>
      </c>
      <c r="H374" s="77">
        <f>E374*G374</f>
        <v>0.15629999999999999</v>
      </c>
      <c r="I374" s="144"/>
      <c r="J374" s="85"/>
      <c r="K374" s="99">
        <v>0.27079999999999999</v>
      </c>
      <c r="L374" s="107">
        <f t="shared" si="13"/>
        <v>1.4842</v>
      </c>
    </row>
    <row r="375" spans="1:14" s="88" customFormat="1" x14ac:dyDescent="0.2">
      <c r="A375" s="79"/>
      <c r="B375" s="75"/>
      <c r="C375" s="112" t="s">
        <v>345</v>
      </c>
      <c r="D375" s="113" t="s">
        <v>336</v>
      </c>
      <c r="E375" s="77">
        <f>3.77*N12</f>
        <v>3.77</v>
      </c>
      <c r="F375" s="71"/>
      <c r="G375" s="98">
        <v>0.03</v>
      </c>
      <c r="H375" s="77">
        <f>E375*G375</f>
        <v>0.11309999999999999</v>
      </c>
      <c r="I375" s="144"/>
      <c r="J375" s="85"/>
      <c r="K375" s="99">
        <v>0.27079999999999999</v>
      </c>
      <c r="L375" s="107">
        <f t="shared" si="13"/>
        <v>1.4842</v>
      </c>
    </row>
    <row r="376" spans="1:14" s="88" customFormat="1" x14ac:dyDescent="0.2">
      <c r="A376" s="79"/>
      <c r="B376" s="75"/>
      <c r="C376" s="112"/>
      <c r="D376" s="113"/>
      <c r="E376" s="77"/>
      <c r="F376" s="71"/>
      <c r="G376" s="98"/>
      <c r="H376" s="77"/>
      <c r="I376" s="77"/>
      <c r="J376" s="85"/>
      <c r="K376" s="99">
        <v>0.27079999999999999</v>
      </c>
      <c r="L376" s="107">
        <f t="shared" si="13"/>
        <v>1.4842</v>
      </c>
    </row>
    <row r="377" spans="1:14" s="88" customFormat="1" x14ac:dyDescent="0.2">
      <c r="A377" s="79"/>
      <c r="B377" s="75"/>
      <c r="C377" s="112"/>
      <c r="D377" s="113"/>
      <c r="E377" s="361" t="str">
        <f>E356</f>
        <v>Custo Direto</v>
      </c>
      <c r="F377" s="361"/>
      <c r="G377" s="361"/>
      <c r="H377" s="114">
        <f>SUM(H373:H376)</f>
        <v>0.26939999999999997</v>
      </c>
      <c r="I377" s="114">
        <f>SUM(I373:I376)</f>
        <v>0.16300000000000001</v>
      </c>
      <c r="J377" s="85"/>
      <c r="K377" s="99">
        <v>0.27079999999999999</v>
      </c>
      <c r="L377" s="107">
        <f t="shared" si="13"/>
        <v>1.4842</v>
      </c>
    </row>
    <row r="378" spans="1:14" s="88" customFormat="1" x14ac:dyDescent="0.2">
      <c r="A378" s="79"/>
      <c r="B378" s="75"/>
      <c r="C378" s="112"/>
      <c r="D378" s="113"/>
      <c r="E378" s="361" t="str">
        <f>E357</f>
        <v>LS(%): 148,42</v>
      </c>
      <c r="F378" s="361"/>
      <c r="G378" s="361"/>
      <c r="H378" s="77">
        <f>H377*L378</f>
        <v>0.39984347999999997</v>
      </c>
      <c r="I378" s="82"/>
      <c r="J378" s="85"/>
      <c r="K378" s="99">
        <v>0.27079999999999999</v>
      </c>
      <c r="L378" s="107">
        <f t="shared" si="13"/>
        <v>1.4842</v>
      </c>
    </row>
    <row r="379" spans="1:14" s="88" customFormat="1" x14ac:dyDescent="0.2">
      <c r="A379" s="79"/>
      <c r="B379" s="75"/>
      <c r="C379" s="112"/>
      <c r="D379" s="113"/>
      <c r="E379" s="361" t="str">
        <f>E358</f>
        <v>BDI (%): 27,08</v>
      </c>
      <c r="F379" s="361"/>
      <c r="G379" s="361"/>
      <c r="H379" s="362">
        <f>(H377+I377+H378)*K379</f>
        <v>0.22537153438400001</v>
      </c>
      <c r="I379" s="362"/>
      <c r="J379" s="85"/>
      <c r="K379" s="99">
        <v>0.27079999999999999</v>
      </c>
      <c r="L379" s="107">
        <f t="shared" si="13"/>
        <v>1.4842</v>
      </c>
    </row>
    <row r="380" spans="1:14" s="88" customFormat="1" x14ac:dyDescent="0.2">
      <c r="A380" s="79"/>
      <c r="B380" s="75"/>
      <c r="C380" s="112"/>
      <c r="D380" s="113"/>
      <c r="E380" s="361" t="str">
        <f>E359</f>
        <v>Valor Total c/ Taxas</v>
      </c>
      <c r="F380" s="361"/>
      <c r="G380" s="361"/>
      <c r="H380" s="77"/>
      <c r="I380" s="114">
        <f>(H377+I377+H378+H379)</f>
        <v>1.057615014384</v>
      </c>
      <c r="J380" s="85"/>
      <c r="K380" s="99">
        <v>0.27079999999999999</v>
      </c>
      <c r="L380" s="107">
        <f t="shared" si="13"/>
        <v>1.4842</v>
      </c>
      <c r="N380" s="330">
        <v>1.06</v>
      </c>
    </row>
    <row r="381" spans="1:14" s="88" customFormat="1" x14ac:dyDescent="0.2">
      <c r="A381" s="79"/>
      <c r="B381" s="75"/>
      <c r="C381" s="112"/>
      <c r="D381" s="113"/>
      <c r="E381" s="76"/>
      <c r="F381" s="71"/>
      <c r="G381" s="123"/>
      <c r="H381" s="77"/>
      <c r="I381" s="77"/>
      <c r="J381" s="85"/>
      <c r="K381" s="99">
        <v>0.27079999999999999</v>
      </c>
      <c r="L381" s="107">
        <f t="shared" si="13"/>
        <v>1.4842</v>
      </c>
    </row>
    <row r="382" spans="1:14" s="88" customFormat="1" ht="13.5" customHeight="1" x14ac:dyDescent="0.2">
      <c r="A382" s="79"/>
      <c r="B382" s="75" t="str">
        <f>ORÇAMENTO!A68</f>
        <v>4.6.2</v>
      </c>
      <c r="C382" s="96" t="str">
        <f>ORÇAMENTO!B68</f>
        <v>Fornecimento e assentamento de caixa pvc 4'' x 4''</v>
      </c>
      <c r="D382" s="97" t="s">
        <v>346</v>
      </c>
      <c r="E382" s="77"/>
      <c r="F382" s="71"/>
      <c r="G382" s="98"/>
      <c r="H382" s="77"/>
      <c r="I382" s="144"/>
      <c r="J382" s="85"/>
      <c r="K382" s="99">
        <v>0.27079999999999999</v>
      </c>
      <c r="L382" s="107">
        <f t="shared" si="13"/>
        <v>1.4842</v>
      </c>
    </row>
    <row r="383" spans="1:14" s="88" customFormat="1" x14ac:dyDescent="0.2">
      <c r="A383" s="79"/>
      <c r="B383" s="75"/>
      <c r="C383" s="112" t="str">
        <f>C382</f>
        <v>Fornecimento e assentamento de caixa pvc 4'' x 4''</v>
      </c>
      <c r="D383" s="113" t="s">
        <v>346</v>
      </c>
      <c r="E383" s="77">
        <f>0.74*N12</f>
        <v>0.74</v>
      </c>
      <c r="F383" s="71">
        <v>211</v>
      </c>
      <c r="G383" s="98">
        <v>1</v>
      </c>
      <c r="H383" s="77"/>
      <c r="I383" s="145">
        <f>E383*G383</f>
        <v>0.74</v>
      </c>
      <c r="J383" s="85"/>
      <c r="K383" s="99">
        <v>0.27079999999999999</v>
      </c>
      <c r="L383" s="107">
        <f t="shared" si="13"/>
        <v>1.4842</v>
      </c>
    </row>
    <row r="384" spans="1:14" s="88" customFormat="1" x14ac:dyDescent="0.2">
      <c r="A384" s="79"/>
      <c r="B384" s="75"/>
      <c r="C384" s="112" t="s">
        <v>359</v>
      </c>
      <c r="D384" s="113" t="s">
        <v>336</v>
      </c>
      <c r="E384" s="77">
        <f>5.21*N12</f>
        <v>5.21</v>
      </c>
      <c r="F384" s="71"/>
      <c r="G384" s="98">
        <v>0.03</v>
      </c>
      <c r="H384" s="77">
        <f>E384*G384</f>
        <v>0.15629999999999999</v>
      </c>
      <c r="I384" s="144"/>
      <c r="J384" s="85"/>
      <c r="K384" s="99">
        <v>0.27079999999999999</v>
      </c>
      <c r="L384" s="107">
        <f t="shared" si="13"/>
        <v>1.4842</v>
      </c>
    </row>
    <row r="385" spans="1:14" s="88" customFormat="1" x14ac:dyDescent="0.2">
      <c r="A385" s="79"/>
      <c r="B385" s="75"/>
      <c r="C385" s="112" t="s">
        <v>345</v>
      </c>
      <c r="D385" s="113" t="s">
        <v>336</v>
      </c>
      <c r="E385" s="77">
        <f>3.77*N12</f>
        <v>3.77</v>
      </c>
      <c r="F385" s="71"/>
      <c r="G385" s="98">
        <v>0.03</v>
      </c>
      <c r="H385" s="77">
        <f>E385*G385</f>
        <v>0.11309999999999999</v>
      </c>
      <c r="I385" s="144"/>
      <c r="J385" s="85"/>
      <c r="K385" s="99">
        <v>0.27079999999999999</v>
      </c>
      <c r="L385" s="107">
        <f t="shared" si="13"/>
        <v>1.4842</v>
      </c>
    </row>
    <row r="386" spans="1:14" s="88" customFormat="1" x14ac:dyDescent="0.2">
      <c r="A386" s="79"/>
      <c r="B386" s="75"/>
      <c r="C386" s="112"/>
      <c r="D386" s="113"/>
      <c r="E386" s="77"/>
      <c r="F386" s="71"/>
      <c r="G386" s="98"/>
      <c r="H386" s="77"/>
      <c r="I386" s="77"/>
      <c r="J386" s="85"/>
      <c r="K386" s="99">
        <v>0.27079999999999999</v>
      </c>
      <c r="L386" s="107">
        <f t="shared" si="13"/>
        <v>1.4842</v>
      </c>
    </row>
    <row r="387" spans="1:14" s="88" customFormat="1" x14ac:dyDescent="0.2">
      <c r="A387" s="79"/>
      <c r="B387" s="75"/>
      <c r="C387" s="112"/>
      <c r="D387" s="113"/>
      <c r="E387" s="361" t="str">
        <f>E377</f>
        <v>Custo Direto</v>
      </c>
      <c r="F387" s="361"/>
      <c r="G387" s="361"/>
      <c r="H387" s="114">
        <f>SUM(H383:H386)</f>
        <v>0.26939999999999997</v>
      </c>
      <c r="I387" s="114">
        <f>SUM(I383:I386)</f>
        <v>0.74</v>
      </c>
      <c r="J387" s="85"/>
      <c r="K387" s="99">
        <v>0.27079999999999999</v>
      </c>
      <c r="L387" s="107">
        <f t="shared" si="13"/>
        <v>1.4842</v>
      </c>
    </row>
    <row r="388" spans="1:14" s="88" customFormat="1" x14ac:dyDescent="0.2">
      <c r="A388" s="79"/>
      <c r="B388" s="75"/>
      <c r="C388" s="112"/>
      <c r="D388" s="113"/>
      <c r="E388" s="361" t="str">
        <f>E378</f>
        <v>LS(%): 148,42</v>
      </c>
      <c r="F388" s="361"/>
      <c r="G388" s="361"/>
      <c r="H388" s="77">
        <f>H387*L388</f>
        <v>0.39984347999999997</v>
      </c>
      <c r="I388" s="82"/>
      <c r="J388" s="85"/>
      <c r="K388" s="99">
        <v>0.27079999999999999</v>
      </c>
      <c r="L388" s="107">
        <f t="shared" si="13"/>
        <v>1.4842</v>
      </c>
    </row>
    <row r="389" spans="1:14" s="88" customFormat="1" x14ac:dyDescent="0.2">
      <c r="A389" s="79"/>
      <c r="B389" s="75"/>
      <c r="C389" s="112"/>
      <c r="D389" s="113"/>
      <c r="E389" s="361" t="str">
        <f>E379</f>
        <v>BDI (%): 27,08</v>
      </c>
      <c r="F389" s="361"/>
      <c r="G389" s="361"/>
      <c r="H389" s="362">
        <f>(H387+I387+H388)*K389</f>
        <v>0.38162313438399992</v>
      </c>
      <c r="I389" s="362"/>
      <c r="J389" s="85"/>
      <c r="K389" s="99">
        <v>0.27079999999999999</v>
      </c>
      <c r="L389" s="107">
        <f t="shared" si="13"/>
        <v>1.4842</v>
      </c>
    </row>
    <row r="390" spans="1:14" s="88" customFormat="1" x14ac:dyDescent="0.2">
      <c r="A390" s="79"/>
      <c r="B390" s="75"/>
      <c r="C390" s="112"/>
      <c r="D390" s="113"/>
      <c r="E390" s="361" t="str">
        <f>E380</f>
        <v>Valor Total c/ Taxas</v>
      </c>
      <c r="F390" s="361"/>
      <c r="G390" s="361"/>
      <c r="H390" s="77"/>
      <c r="I390" s="114">
        <f>(H387+I387+H388+H389)</f>
        <v>1.7908666143839997</v>
      </c>
      <c r="J390" s="85"/>
      <c r="K390" s="99">
        <v>0.27079999999999999</v>
      </c>
      <c r="L390" s="107">
        <f t="shared" si="13"/>
        <v>1.4842</v>
      </c>
      <c r="N390" s="330">
        <v>1.79</v>
      </c>
    </row>
    <row r="391" spans="1:14" s="88" customFormat="1" hidden="1" x14ac:dyDescent="0.2">
      <c r="A391" s="79"/>
      <c r="B391" s="75"/>
      <c r="C391" s="112"/>
      <c r="D391" s="113"/>
      <c r="E391" s="76"/>
      <c r="F391" s="71"/>
      <c r="G391" s="123"/>
      <c r="H391" s="77"/>
      <c r="I391" s="77"/>
      <c r="J391" s="85"/>
      <c r="K391" s="99">
        <v>0.27079999999999999</v>
      </c>
      <c r="L391" s="107">
        <f t="shared" si="13"/>
        <v>1.4842</v>
      </c>
    </row>
    <row r="392" spans="1:14" s="88" customFormat="1" x14ac:dyDescent="0.2">
      <c r="A392" s="79"/>
      <c r="B392" s="75"/>
      <c r="C392" s="112"/>
      <c r="D392" s="113"/>
      <c r="E392" s="76"/>
      <c r="F392" s="71"/>
      <c r="G392" s="123"/>
      <c r="H392" s="77"/>
      <c r="I392" s="77"/>
      <c r="J392" s="85"/>
      <c r="K392" s="99">
        <v>0.27079999999999999</v>
      </c>
      <c r="L392" s="107">
        <f t="shared" si="13"/>
        <v>1.4842</v>
      </c>
    </row>
    <row r="393" spans="1:14" s="88" customFormat="1" ht="13.5" customHeight="1" x14ac:dyDescent="0.2">
      <c r="A393" s="79"/>
      <c r="B393" s="75" t="str">
        <f>ORÇAMENTO!A69</f>
        <v>4.6.3</v>
      </c>
      <c r="C393" s="96" t="str">
        <f>ORÇAMENTO!B69</f>
        <v>Fornecimento e assentamento de caixa octogonal de pvc 4'' x 4''</v>
      </c>
      <c r="D393" s="97" t="str">
        <f>D382</f>
        <v>U N</v>
      </c>
      <c r="E393" s="77"/>
      <c r="F393" s="71"/>
      <c r="G393" s="98"/>
      <c r="H393" s="77"/>
      <c r="I393" s="144"/>
      <c r="J393" s="85"/>
      <c r="K393" s="99">
        <v>0.27079999999999999</v>
      </c>
      <c r="L393" s="107">
        <f t="shared" si="13"/>
        <v>1.4842</v>
      </c>
    </row>
    <row r="394" spans="1:14" s="88" customFormat="1" x14ac:dyDescent="0.2">
      <c r="A394" s="79"/>
      <c r="B394" s="75"/>
      <c r="C394" s="112" t="str">
        <f>C393</f>
        <v>Fornecimento e assentamento de caixa octogonal de pvc 4'' x 4''</v>
      </c>
      <c r="D394" s="113" t="str">
        <f>D393</f>
        <v>U N</v>
      </c>
      <c r="E394" s="77">
        <f>1.083*N12</f>
        <v>1.083</v>
      </c>
      <c r="F394" s="71">
        <v>290</v>
      </c>
      <c r="G394" s="98">
        <v>1</v>
      </c>
      <c r="H394" s="77"/>
      <c r="I394" s="145">
        <f>E394*G394</f>
        <v>1.083</v>
      </c>
      <c r="J394" s="85"/>
      <c r="K394" s="99">
        <v>0.27079999999999999</v>
      </c>
      <c r="L394" s="107">
        <f t="shared" si="13"/>
        <v>1.4842</v>
      </c>
    </row>
    <row r="395" spans="1:14" s="88" customFormat="1" x14ac:dyDescent="0.2">
      <c r="A395" s="79"/>
      <c r="B395" s="75"/>
      <c r="C395" s="112" t="s">
        <v>359</v>
      </c>
      <c r="D395" s="113" t="s">
        <v>336</v>
      </c>
      <c r="E395" s="77">
        <f>5.21*N12</f>
        <v>5.21</v>
      </c>
      <c r="F395" s="71"/>
      <c r="G395" s="98">
        <v>0.03</v>
      </c>
      <c r="H395" s="77">
        <f>E395*G395</f>
        <v>0.15629999999999999</v>
      </c>
      <c r="I395" s="144"/>
      <c r="J395" s="85"/>
      <c r="K395" s="99">
        <v>0.27079999999999999</v>
      </c>
      <c r="L395" s="107">
        <f t="shared" si="13"/>
        <v>1.4842</v>
      </c>
    </row>
    <row r="396" spans="1:14" s="88" customFormat="1" x14ac:dyDescent="0.2">
      <c r="A396" s="79"/>
      <c r="B396" s="75"/>
      <c r="C396" s="112" t="s">
        <v>345</v>
      </c>
      <c r="D396" s="113" t="s">
        <v>336</v>
      </c>
      <c r="E396" s="77">
        <f>3.77*N12</f>
        <v>3.77</v>
      </c>
      <c r="F396" s="71"/>
      <c r="G396" s="98">
        <v>0.03</v>
      </c>
      <c r="H396" s="77">
        <f>E396*G396</f>
        <v>0.11309999999999999</v>
      </c>
      <c r="I396" s="144"/>
      <c r="J396" s="85"/>
      <c r="K396" s="99">
        <v>0.27079999999999999</v>
      </c>
      <c r="L396" s="107">
        <f t="shared" si="13"/>
        <v>1.4842</v>
      </c>
    </row>
    <row r="397" spans="1:14" s="88" customFormat="1" x14ac:dyDescent="0.2">
      <c r="A397" s="79"/>
      <c r="B397" s="75"/>
      <c r="C397" s="112"/>
      <c r="D397" s="113"/>
      <c r="E397" s="361"/>
      <c r="F397" s="361"/>
      <c r="G397" s="361"/>
      <c r="H397" s="77"/>
      <c r="I397" s="77"/>
      <c r="J397" s="85"/>
      <c r="K397" s="99">
        <v>0.27079999999999999</v>
      </c>
      <c r="L397" s="107">
        <f t="shared" si="13"/>
        <v>1.4842</v>
      </c>
    </row>
    <row r="398" spans="1:14" s="88" customFormat="1" x14ac:dyDescent="0.2">
      <c r="A398" s="79"/>
      <c r="B398" s="75"/>
      <c r="C398" s="112"/>
      <c r="D398" s="113"/>
      <c r="E398" s="361" t="str">
        <f>E387</f>
        <v>Custo Direto</v>
      </c>
      <c r="F398" s="361"/>
      <c r="G398" s="361"/>
      <c r="H398" s="114">
        <f>SUM(H394:H397)</f>
        <v>0.26939999999999997</v>
      </c>
      <c r="I398" s="114">
        <f>SUM(I394:I397)</f>
        <v>1.083</v>
      </c>
      <c r="J398" s="85"/>
      <c r="K398" s="99">
        <v>0.27079999999999999</v>
      </c>
      <c r="L398" s="107">
        <f t="shared" si="13"/>
        <v>1.4842</v>
      </c>
    </row>
    <row r="399" spans="1:14" s="88" customFormat="1" x14ac:dyDescent="0.2">
      <c r="A399" s="79"/>
      <c r="B399" s="75"/>
      <c r="C399" s="112"/>
      <c r="D399" s="113"/>
      <c r="E399" s="361" t="str">
        <f>E388</f>
        <v>LS(%): 148,42</v>
      </c>
      <c r="F399" s="361"/>
      <c r="G399" s="361"/>
      <c r="H399" s="77">
        <f>H398*L399</f>
        <v>0.39984347999999997</v>
      </c>
      <c r="I399" s="82"/>
      <c r="J399" s="85"/>
      <c r="K399" s="99">
        <v>0.27079999999999999</v>
      </c>
      <c r="L399" s="107">
        <f t="shared" si="13"/>
        <v>1.4842</v>
      </c>
    </row>
    <row r="400" spans="1:14" s="88" customFormat="1" x14ac:dyDescent="0.2">
      <c r="A400" s="79"/>
      <c r="B400" s="75"/>
      <c r="C400" s="112"/>
      <c r="D400" s="113"/>
      <c r="E400" s="361" t="str">
        <f>E389</f>
        <v>BDI (%): 27,08</v>
      </c>
      <c r="F400" s="361"/>
      <c r="G400" s="361"/>
      <c r="H400" s="362">
        <f>(H398+I398+H399)*K400</f>
        <v>0.4745075343839999</v>
      </c>
      <c r="I400" s="362"/>
      <c r="J400" s="85"/>
      <c r="K400" s="99">
        <v>0.27079999999999999</v>
      </c>
      <c r="L400" s="107">
        <f t="shared" si="13"/>
        <v>1.4842</v>
      </c>
    </row>
    <row r="401" spans="1:14" s="88" customFormat="1" x14ac:dyDescent="0.2">
      <c r="A401" s="79"/>
      <c r="B401" s="75"/>
      <c r="C401" s="112"/>
      <c r="D401" s="113"/>
      <c r="E401" s="361" t="str">
        <f>E390</f>
        <v>Valor Total c/ Taxas</v>
      </c>
      <c r="F401" s="361"/>
      <c r="G401" s="361"/>
      <c r="H401" s="77"/>
      <c r="I401" s="114">
        <f>(H398+I398+H399+H400)</f>
        <v>2.2267510143839995</v>
      </c>
      <c r="J401" s="85"/>
      <c r="K401" s="99">
        <v>0.27079999999999999</v>
      </c>
      <c r="L401" s="107">
        <f t="shared" si="13"/>
        <v>1.4842</v>
      </c>
      <c r="N401" s="330">
        <v>2.23</v>
      </c>
    </row>
    <row r="402" spans="1:14" s="88" customFormat="1" x14ac:dyDescent="0.2">
      <c r="A402" s="79"/>
      <c r="B402" s="75"/>
      <c r="C402" s="112"/>
      <c r="D402" s="113"/>
      <c r="E402" s="76"/>
      <c r="F402" s="71"/>
      <c r="G402" s="123"/>
      <c r="H402" s="77"/>
      <c r="I402" s="77"/>
      <c r="J402" s="85"/>
      <c r="K402" s="99">
        <v>0.27079999999999999</v>
      </c>
      <c r="L402" s="107">
        <f t="shared" si="13"/>
        <v>1.4842</v>
      </c>
    </row>
    <row r="403" spans="1:14" s="147" customFormat="1" ht="25.5" x14ac:dyDescent="0.2">
      <c r="A403" s="129"/>
      <c r="B403" s="125" t="str">
        <f>ORÇAMENTO!A71</f>
        <v>4.7.1</v>
      </c>
      <c r="C403" s="96" t="str">
        <f>ORÇAMENTO!B71</f>
        <v>Luminária fluorescente de embutir aberta 1 x 32 w,completa conforme especificações</v>
      </c>
      <c r="D403" s="97" t="s">
        <v>346</v>
      </c>
      <c r="E403" s="77"/>
      <c r="F403" s="71"/>
      <c r="G403" s="98"/>
      <c r="H403" s="77"/>
      <c r="I403" s="77"/>
      <c r="J403" s="146"/>
      <c r="K403" s="99">
        <v>0.27079999999999999</v>
      </c>
      <c r="L403" s="107">
        <f t="shared" ref="L403:L466" si="14">L402</f>
        <v>1.4842</v>
      </c>
    </row>
    <row r="404" spans="1:14" s="88" customFormat="1" ht="25.5" x14ac:dyDescent="0.2">
      <c r="A404" s="79"/>
      <c r="B404" s="75"/>
      <c r="C404" s="112" t="str">
        <f>C403</f>
        <v>Luminária fluorescente de embutir aberta 1 x 32 w,completa conforme especificações</v>
      </c>
      <c r="D404" s="113" t="s">
        <v>346</v>
      </c>
      <c r="E404" s="77">
        <f>50.75*N12</f>
        <v>50.75</v>
      </c>
      <c r="F404" s="71">
        <v>58.56</v>
      </c>
      <c r="G404" s="98">
        <v>1</v>
      </c>
      <c r="H404" s="77"/>
      <c r="I404" s="77">
        <f>E404*G404</f>
        <v>50.75</v>
      </c>
      <c r="J404" s="85"/>
      <c r="K404" s="99">
        <v>0.27079999999999999</v>
      </c>
      <c r="L404" s="107">
        <f t="shared" si="14"/>
        <v>1.4842</v>
      </c>
    </row>
    <row r="405" spans="1:14" s="88" customFormat="1" x14ac:dyDescent="0.2">
      <c r="A405" s="79"/>
      <c r="B405" s="75"/>
      <c r="C405" s="112" t="s">
        <v>359</v>
      </c>
      <c r="D405" s="113" t="s">
        <v>336</v>
      </c>
      <c r="E405" s="77">
        <f>5.21*N12</f>
        <v>5.21</v>
      </c>
      <c r="F405" s="71"/>
      <c r="G405" s="98">
        <v>0.03</v>
      </c>
      <c r="H405" s="77">
        <f>E405*G405</f>
        <v>0.15629999999999999</v>
      </c>
      <c r="I405" s="144"/>
      <c r="J405" s="85"/>
      <c r="K405" s="99">
        <v>0.27079999999999999</v>
      </c>
      <c r="L405" s="107">
        <f t="shared" si="14"/>
        <v>1.4842</v>
      </c>
    </row>
    <row r="406" spans="1:14" s="88" customFormat="1" x14ac:dyDescent="0.2">
      <c r="A406" s="79"/>
      <c r="B406" s="75"/>
      <c r="C406" s="112" t="s">
        <v>345</v>
      </c>
      <c r="D406" s="113" t="s">
        <v>336</v>
      </c>
      <c r="E406" s="77">
        <f>3.77*N12</f>
        <v>3.77</v>
      </c>
      <c r="F406" s="71"/>
      <c r="G406" s="98">
        <v>0.03</v>
      </c>
      <c r="H406" s="77">
        <f>E406*G406</f>
        <v>0.11309999999999999</v>
      </c>
      <c r="I406" s="144"/>
      <c r="J406" s="85"/>
      <c r="K406" s="99">
        <v>0.27079999999999999</v>
      </c>
      <c r="L406" s="107">
        <f t="shared" si="14"/>
        <v>1.4842</v>
      </c>
    </row>
    <row r="407" spans="1:14" s="88" customFormat="1" x14ac:dyDescent="0.2">
      <c r="A407" s="79"/>
      <c r="B407" s="75"/>
      <c r="C407" s="112"/>
      <c r="D407" s="113"/>
      <c r="E407" s="77"/>
      <c r="F407" s="71"/>
      <c r="G407" s="98"/>
      <c r="H407" s="77"/>
      <c r="I407" s="77"/>
      <c r="J407" s="85"/>
      <c r="K407" s="99">
        <v>0.27079999999999999</v>
      </c>
      <c r="L407" s="107">
        <f t="shared" si="14"/>
        <v>1.4842</v>
      </c>
    </row>
    <row r="408" spans="1:14" s="88" customFormat="1" x14ac:dyDescent="0.2">
      <c r="A408" s="79"/>
      <c r="B408" s="75"/>
      <c r="C408" s="112"/>
      <c r="D408" s="113"/>
      <c r="E408" s="361" t="str">
        <f>E398</f>
        <v>Custo Direto</v>
      </c>
      <c r="F408" s="361"/>
      <c r="G408" s="361"/>
      <c r="H408" s="114">
        <f>SUM(H404:H407)</f>
        <v>0.26939999999999997</v>
      </c>
      <c r="I408" s="114">
        <f>SUM(I404:I407)</f>
        <v>50.75</v>
      </c>
      <c r="J408" s="85"/>
      <c r="K408" s="99">
        <v>0.27079999999999999</v>
      </c>
      <c r="L408" s="107">
        <f t="shared" si="14"/>
        <v>1.4842</v>
      </c>
    </row>
    <row r="409" spans="1:14" s="88" customFormat="1" x14ac:dyDescent="0.2">
      <c r="A409" s="79"/>
      <c r="B409" s="75"/>
      <c r="C409" s="112"/>
      <c r="D409" s="113"/>
      <c r="E409" s="361" t="str">
        <f t="shared" ref="E409:E411" si="15">E399</f>
        <v>LS(%): 148,42</v>
      </c>
      <c r="F409" s="361"/>
      <c r="G409" s="361"/>
      <c r="H409" s="77">
        <f>H408*L409</f>
        <v>0.39984347999999997</v>
      </c>
      <c r="I409" s="82"/>
      <c r="J409" s="85"/>
      <c r="K409" s="99">
        <v>0.27079999999999999</v>
      </c>
      <c r="L409" s="107">
        <f t="shared" si="14"/>
        <v>1.4842</v>
      </c>
    </row>
    <row r="410" spans="1:14" s="88" customFormat="1" x14ac:dyDescent="0.2">
      <c r="A410" s="79"/>
      <c r="B410" s="75"/>
      <c r="C410" s="112"/>
      <c r="D410" s="113"/>
      <c r="E410" s="361" t="str">
        <f t="shared" si="15"/>
        <v>BDI (%): 27,08</v>
      </c>
      <c r="F410" s="361"/>
      <c r="G410" s="361"/>
      <c r="H410" s="362">
        <f>(H408+I408+H409)*K410</f>
        <v>13.924331134383999</v>
      </c>
      <c r="I410" s="362"/>
      <c r="J410" s="85"/>
      <c r="K410" s="99">
        <v>0.27079999999999999</v>
      </c>
      <c r="L410" s="107">
        <f t="shared" si="14"/>
        <v>1.4842</v>
      </c>
    </row>
    <row r="411" spans="1:14" s="88" customFormat="1" x14ac:dyDescent="0.2">
      <c r="A411" s="79"/>
      <c r="B411" s="75"/>
      <c r="C411" s="112"/>
      <c r="D411" s="113"/>
      <c r="E411" s="361" t="str">
        <f t="shared" si="15"/>
        <v>Valor Total c/ Taxas</v>
      </c>
      <c r="F411" s="361"/>
      <c r="G411" s="361"/>
      <c r="H411" s="77"/>
      <c r="I411" s="114">
        <f>(H408+I408+H409+H410)</f>
        <v>65.343574614383996</v>
      </c>
      <c r="J411" s="85"/>
      <c r="K411" s="99">
        <v>0.27079999999999999</v>
      </c>
      <c r="L411" s="107">
        <f t="shared" si="14"/>
        <v>1.4842</v>
      </c>
      <c r="N411" s="330">
        <v>65.34</v>
      </c>
    </row>
    <row r="412" spans="1:14" s="88" customFormat="1" hidden="1" x14ac:dyDescent="0.2">
      <c r="A412" s="79"/>
      <c r="B412" s="75"/>
      <c r="C412" s="112"/>
      <c r="D412" s="113"/>
      <c r="E412" s="76"/>
      <c r="F412" s="71"/>
      <c r="G412" s="123"/>
      <c r="H412" s="77"/>
      <c r="I412" s="77"/>
      <c r="J412" s="85"/>
      <c r="K412" s="99">
        <v>0.27079999999999999</v>
      </c>
      <c r="L412" s="107">
        <f t="shared" si="14"/>
        <v>1.4842</v>
      </c>
    </row>
    <row r="413" spans="1:14" s="88" customFormat="1" x14ac:dyDescent="0.2">
      <c r="A413" s="79"/>
      <c r="B413" s="75"/>
      <c r="C413" s="112"/>
      <c r="D413" s="113"/>
      <c r="E413" s="76"/>
      <c r="F413" s="71"/>
      <c r="G413" s="123"/>
      <c r="H413" s="77"/>
      <c r="I413" s="77"/>
      <c r="J413" s="85"/>
      <c r="K413" s="99">
        <v>0.27079999999999999</v>
      </c>
      <c r="L413" s="107">
        <f t="shared" si="14"/>
        <v>1.4842</v>
      </c>
    </row>
    <row r="414" spans="1:14" s="147" customFormat="1" ht="25.5" x14ac:dyDescent="0.2">
      <c r="A414" s="129"/>
      <c r="B414" s="125" t="str">
        <f>ORÇAMENTO!A72</f>
        <v>4.7.2</v>
      </c>
      <c r="C414" s="96" t="str">
        <f>ORÇAMENTO!B72</f>
        <v>Luminária fluorescente de embutir aberta 2 x 32 w,completa conforme especificações</v>
      </c>
      <c r="D414" s="97" t="str">
        <f>D403</f>
        <v>U N</v>
      </c>
      <c r="E414" s="77"/>
      <c r="F414" s="71"/>
      <c r="G414" s="98"/>
      <c r="H414" s="77"/>
      <c r="I414" s="77"/>
      <c r="J414" s="146"/>
      <c r="K414" s="99">
        <v>0.27079999999999999</v>
      </c>
      <c r="L414" s="107">
        <f t="shared" si="14"/>
        <v>1.4842</v>
      </c>
    </row>
    <row r="415" spans="1:14" s="88" customFormat="1" ht="25.5" x14ac:dyDescent="0.2">
      <c r="A415" s="79"/>
      <c r="B415" s="75"/>
      <c r="C415" s="112" t="str">
        <f>C414</f>
        <v>Luminária fluorescente de embutir aberta 2 x 32 w,completa conforme especificações</v>
      </c>
      <c r="D415" s="113" t="str">
        <f>D414</f>
        <v>U N</v>
      </c>
      <c r="E415" s="77">
        <f>67.87*N12</f>
        <v>67.87</v>
      </c>
      <c r="F415" s="71">
        <v>230</v>
      </c>
      <c r="G415" s="98">
        <v>1</v>
      </c>
      <c r="H415" s="77"/>
      <c r="I415" s="77">
        <f>E415*G415</f>
        <v>67.87</v>
      </c>
      <c r="J415" s="85"/>
      <c r="K415" s="99">
        <v>0.27079999999999999</v>
      </c>
      <c r="L415" s="107">
        <f t="shared" si="14"/>
        <v>1.4842</v>
      </c>
    </row>
    <row r="416" spans="1:14" s="88" customFormat="1" x14ac:dyDescent="0.2">
      <c r="A416" s="79"/>
      <c r="B416" s="75"/>
      <c r="C416" s="112" t="s">
        <v>359</v>
      </c>
      <c r="D416" s="113" t="s">
        <v>336</v>
      </c>
      <c r="E416" s="77">
        <f>5.21*N12</f>
        <v>5.21</v>
      </c>
      <c r="F416" s="71"/>
      <c r="G416" s="98">
        <v>0.03</v>
      </c>
      <c r="H416" s="77">
        <f>E416*G416</f>
        <v>0.15629999999999999</v>
      </c>
      <c r="I416" s="144"/>
      <c r="J416" s="85"/>
      <c r="K416" s="99">
        <v>0.27079999999999999</v>
      </c>
      <c r="L416" s="107">
        <f t="shared" si="14"/>
        <v>1.4842</v>
      </c>
    </row>
    <row r="417" spans="1:14" s="88" customFormat="1" x14ac:dyDescent="0.2">
      <c r="A417" s="79"/>
      <c r="B417" s="75"/>
      <c r="C417" s="112" t="s">
        <v>345</v>
      </c>
      <c r="D417" s="113" t="s">
        <v>336</v>
      </c>
      <c r="E417" s="77">
        <f>3.77*N12</f>
        <v>3.77</v>
      </c>
      <c r="F417" s="71"/>
      <c r="G417" s="98">
        <v>0.03</v>
      </c>
      <c r="H417" s="77">
        <f>E417*G417</f>
        <v>0.11309999999999999</v>
      </c>
      <c r="I417" s="144"/>
      <c r="J417" s="85"/>
      <c r="K417" s="99">
        <v>0.27079999999999999</v>
      </c>
      <c r="L417" s="107">
        <f t="shared" si="14"/>
        <v>1.4842</v>
      </c>
    </row>
    <row r="418" spans="1:14" s="88" customFormat="1" x14ac:dyDescent="0.2">
      <c r="A418" s="79"/>
      <c r="B418" s="75"/>
      <c r="C418" s="112"/>
      <c r="D418" s="113"/>
      <c r="E418" s="77"/>
      <c r="F418" s="71"/>
      <c r="G418" s="98"/>
      <c r="H418" s="77"/>
      <c r="I418" s="77"/>
      <c r="J418" s="85"/>
      <c r="K418" s="99">
        <v>0.27079999999999999</v>
      </c>
      <c r="L418" s="107">
        <f t="shared" si="14"/>
        <v>1.4842</v>
      </c>
    </row>
    <row r="419" spans="1:14" s="88" customFormat="1" x14ac:dyDescent="0.2">
      <c r="A419" s="79"/>
      <c r="B419" s="75"/>
      <c r="C419" s="112"/>
      <c r="D419" s="113"/>
      <c r="E419" s="361" t="str">
        <f>E408</f>
        <v>Custo Direto</v>
      </c>
      <c r="F419" s="361"/>
      <c r="G419" s="361"/>
      <c r="H419" s="114">
        <f>SUM(H415:H418)</f>
        <v>0.26939999999999997</v>
      </c>
      <c r="I419" s="114">
        <f>SUM(I415:I418)</f>
        <v>67.87</v>
      </c>
      <c r="J419" s="85"/>
      <c r="K419" s="99">
        <v>0.27079999999999999</v>
      </c>
      <c r="L419" s="107">
        <f t="shared" si="14"/>
        <v>1.4842</v>
      </c>
    </row>
    <row r="420" spans="1:14" s="88" customFormat="1" x14ac:dyDescent="0.2">
      <c r="A420" s="79"/>
      <c r="B420" s="75"/>
      <c r="C420" s="112"/>
      <c r="D420" s="113"/>
      <c r="E420" s="361" t="str">
        <f>E409</f>
        <v>LS(%): 148,42</v>
      </c>
      <c r="F420" s="361"/>
      <c r="G420" s="361"/>
      <c r="H420" s="77">
        <f>H419*L420</f>
        <v>0.39984347999999997</v>
      </c>
      <c r="I420" s="82"/>
      <c r="J420" s="85"/>
      <c r="K420" s="99">
        <v>0.27079999999999999</v>
      </c>
      <c r="L420" s="107">
        <f t="shared" si="14"/>
        <v>1.4842</v>
      </c>
    </row>
    <row r="421" spans="1:14" s="88" customFormat="1" x14ac:dyDescent="0.2">
      <c r="A421" s="79"/>
      <c r="B421" s="75"/>
      <c r="C421" s="112"/>
      <c r="D421" s="113"/>
      <c r="E421" s="361" t="str">
        <f>E410</f>
        <v>BDI (%): 27,08</v>
      </c>
      <c r="F421" s="361"/>
      <c r="G421" s="361"/>
      <c r="H421" s="362">
        <f>(H419+I419+H420)*K421</f>
        <v>18.560427134384003</v>
      </c>
      <c r="I421" s="362"/>
      <c r="J421" s="85"/>
      <c r="K421" s="99">
        <v>0.27079999999999999</v>
      </c>
      <c r="L421" s="107">
        <f t="shared" si="14"/>
        <v>1.4842</v>
      </c>
    </row>
    <row r="422" spans="1:14" s="88" customFormat="1" x14ac:dyDescent="0.2">
      <c r="A422" s="79"/>
      <c r="B422" s="75"/>
      <c r="C422" s="112"/>
      <c r="D422" s="113"/>
      <c r="E422" s="361" t="str">
        <f>E411</f>
        <v>Valor Total c/ Taxas</v>
      </c>
      <c r="F422" s="361"/>
      <c r="G422" s="361"/>
      <c r="H422" s="77"/>
      <c r="I422" s="148">
        <f>H421+I419+H419+H420</f>
        <v>87.09967061438401</v>
      </c>
      <c r="J422" s="85"/>
      <c r="K422" s="99">
        <v>0.27079999999999999</v>
      </c>
      <c r="L422" s="107">
        <f t="shared" si="14"/>
        <v>1.4842</v>
      </c>
      <c r="N422" s="330">
        <v>87.1</v>
      </c>
    </row>
    <row r="423" spans="1:14" s="88" customFormat="1" x14ac:dyDescent="0.2">
      <c r="A423" s="79"/>
      <c r="B423" s="75"/>
      <c r="C423" s="112"/>
      <c r="D423" s="113"/>
      <c r="E423" s="77"/>
      <c r="F423" s="71"/>
      <c r="G423" s="98"/>
      <c r="H423" s="77"/>
      <c r="I423" s="114"/>
      <c r="J423" s="85"/>
      <c r="K423" s="99">
        <v>0.27079999999999999</v>
      </c>
      <c r="L423" s="107">
        <f t="shared" si="14"/>
        <v>1.4842</v>
      </c>
    </row>
    <row r="424" spans="1:14" s="147" customFormat="1" x14ac:dyDescent="0.2">
      <c r="A424" s="129"/>
      <c r="B424" s="95" t="str">
        <f>ORÇAMENTO!A74</f>
        <v>4.8.1</v>
      </c>
      <c r="C424" s="96" t="str">
        <f>ORÇAMENTO!B74</f>
        <v>Cabo de cobre nú 35 mm²</v>
      </c>
      <c r="D424" s="97" t="str">
        <f>D414</f>
        <v>U N</v>
      </c>
      <c r="E424" s="77"/>
      <c r="F424" s="71"/>
      <c r="G424" s="98"/>
      <c r="H424" s="77"/>
      <c r="I424" s="77"/>
      <c r="J424" s="146"/>
      <c r="K424" s="99">
        <v>0.27079999999999999</v>
      </c>
      <c r="L424" s="107">
        <f t="shared" si="14"/>
        <v>1.4842</v>
      </c>
    </row>
    <row r="425" spans="1:14" s="88" customFormat="1" x14ac:dyDescent="0.2">
      <c r="A425" s="79"/>
      <c r="B425" s="75"/>
      <c r="C425" s="112" t="str">
        <f>C424</f>
        <v>Cabo de cobre nú 35 mm²</v>
      </c>
      <c r="D425" s="113" t="str">
        <f>D424</f>
        <v>U N</v>
      </c>
      <c r="E425" s="77">
        <v>14.122999999999999</v>
      </c>
      <c r="F425" s="71">
        <v>145</v>
      </c>
      <c r="G425" s="98">
        <v>1</v>
      </c>
      <c r="H425" s="77"/>
      <c r="I425" s="77">
        <f>E425*G425</f>
        <v>14.122999999999999</v>
      </c>
      <c r="J425" s="85"/>
      <c r="K425" s="99">
        <v>0.27079999999999999</v>
      </c>
      <c r="L425" s="107">
        <f t="shared" si="14"/>
        <v>1.4842</v>
      </c>
    </row>
    <row r="426" spans="1:14" s="88" customFormat="1" x14ac:dyDescent="0.2">
      <c r="A426" s="79"/>
      <c r="B426" s="75"/>
      <c r="C426" s="112" t="s">
        <v>359</v>
      </c>
      <c r="D426" s="113" t="s">
        <v>336</v>
      </c>
      <c r="E426" s="77">
        <f>5.21*N12</f>
        <v>5.21</v>
      </c>
      <c r="F426" s="71"/>
      <c r="G426" s="98">
        <v>0.03</v>
      </c>
      <c r="H426" s="77">
        <f>E426*G426</f>
        <v>0.15629999999999999</v>
      </c>
      <c r="I426" s="144"/>
      <c r="J426" s="85"/>
      <c r="K426" s="99">
        <v>0.27079999999999999</v>
      </c>
      <c r="L426" s="107">
        <f t="shared" si="14"/>
        <v>1.4842</v>
      </c>
    </row>
    <row r="427" spans="1:14" s="88" customFormat="1" x14ac:dyDescent="0.2">
      <c r="A427" s="79"/>
      <c r="B427" s="75"/>
      <c r="C427" s="112" t="s">
        <v>345</v>
      </c>
      <c r="D427" s="113" t="s">
        <v>336</v>
      </c>
      <c r="E427" s="77">
        <f>3.77*N12</f>
        <v>3.77</v>
      </c>
      <c r="F427" s="71"/>
      <c r="G427" s="98">
        <v>0.03</v>
      </c>
      <c r="H427" s="77">
        <f>E427*G427</f>
        <v>0.11309999999999999</v>
      </c>
      <c r="I427" s="144"/>
      <c r="J427" s="85"/>
      <c r="K427" s="99">
        <v>0.27079999999999999</v>
      </c>
      <c r="L427" s="107">
        <f t="shared" si="14"/>
        <v>1.4842</v>
      </c>
    </row>
    <row r="428" spans="1:14" s="88" customFormat="1" x14ac:dyDescent="0.2">
      <c r="A428" s="79"/>
      <c r="B428" s="75"/>
      <c r="C428" s="112"/>
      <c r="D428" s="113"/>
      <c r="E428" s="77"/>
      <c r="F428" s="71"/>
      <c r="G428" s="98"/>
      <c r="H428" s="77"/>
      <c r="I428" s="77"/>
      <c r="J428" s="85"/>
      <c r="K428" s="99">
        <v>0.27079999999999999</v>
      </c>
      <c r="L428" s="107">
        <f t="shared" si="14"/>
        <v>1.4842</v>
      </c>
    </row>
    <row r="429" spans="1:14" s="88" customFormat="1" x14ac:dyDescent="0.2">
      <c r="A429" s="79"/>
      <c r="B429" s="75"/>
      <c r="C429" s="112"/>
      <c r="D429" s="113"/>
      <c r="E429" s="361" t="str">
        <f>E419</f>
        <v>Custo Direto</v>
      </c>
      <c r="F429" s="361"/>
      <c r="G429" s="361"/>
      <c r="H429" s="114">
        <f>SUM(H425:H428)</f>
        <v>0.26939999999999997</v>
      </c>
      <c r="I429" s="114">
        <f>SUM(I425:I428)</f>
        <v>14.122999999999999</v>
      </c>
      <c r="J429" s="85"/>
      <c r="K429" s="99">
        <v>0.27079999999999999</v>
      </c>
      <c r="L429" s="107">
        <f t="shared" si="14"/>
        <v>1.4842</v>
      </c>
    </row>
    <row r="430" spans="1:14" s="88" customFormat="1" x14ac:dyDescent="0.2">
      <c r="A430" s="79"/>
      <c r="B430" s="75"/>
      <c r="C430" s="112"/>
      <c r="D430" s="113"/>
      <c r="E430" s="361" t="str">
        <f>E420</f>
        <v>LS(%): 148,42</v>
      </c>
      <c r="F430" s="361"/>
      <c r="G430" s="361"/>
      <c r="H430" s="77">
        <f>H429*L430</f>
        <v>0.39984347999999997</v>
      </c>
      <c r="I430" s="82"/>
      <c r="J430" s="85"/>
      <c r="K430" s="99">
        <v>0.27079999999999999</v>
      </c>
      <c r="L430" s="107">
        <f t="shared" si="14"/>
        <v>1.4842</v>
      </c>
    </row>
    <row r="431" spans="1:14" s="88" customFormat="1" x14ac:dyDescent="0.2">
      <c r="A431" s="79"/>
      <c r="B431" s="75"/>
      <c r="C431" s="112"/>
      <c r="D431" s="113"/>
      <c r="E431" s="361" t="str">
        <f>E421</f>
        <v>BDI (%): 27,08</v>
      </c>
      <c r="F431" s="361"/>
      <c r="G431" s="361"/>
      <c r="H431" s="362">
        <f>(H429+I429+H430)*K431</f>
        <v>4.0057395343839994</v>
      </c>
      <c r="I431" s="362"/>
      <c r="J431" s="85"/>
      <c r="K431" s="99">
        <v>0.27079999999999999</v>
      </c>
      <c r="L431" s="107">
        <f t="shared" si="14"/>
        <v>1.4842</v>
      </c>
    </row>
    <row r="432" spans="1:14" s="88" customFormat="1" x14ac:dyDescent="0.2">
      <c r="A432" s="79"/>
      <c r="B432" s="75"/>
      <c r="C432" s="112"/>
      <c r="D432" s="113"/>
      <c r="E432" s="361" t="str">
        <f>E422</f>
        <v>Valor Total c/ Taxas</v>
      </c>
      <c r="F432" s="361"/>
      <c r="G432" s="361"/>
      <c r="H432" s="77"/>
      <c r="I432" s="114">
        <f>(H429+I429+H430+H431)</f>
        <v>18.797983014383998</v>
      </c>
      <c r="J432" s="85"/>
      <c r="K432" s="99">
        <v>0.27079999999999999</v>
      </c>
      <c r="L432" s="107">
        <f t="shared" si="14"/>
        <v>1.4842</v>
      </c>
      <c r="N432" s="330">
        <v>18.8</v>
      </c>
    </row>
    <row r="433" spans="1:14" s="88" customFormat="1" x14ac:dyDescent="0.2">
      <c r="A433" s="79"/>
      <c r="B433" s="75"/>
      <c r="C433" s="112"/>
      <c r="D433" s="113"/>
      <c r="E433" s="77"/>
      <c r="F433" s="71"/>
      <c r="G433" s="98"/>
      <c r="H433" s="77"/>
      <c r="I433" s="114"/>
      <c r="J433" s="85"/>
      <c r="K433" s="99">
        <v>0.27079999999999999</v>
      </c>
      <c r="L433" s="107">
        <f t="shared" si="14"/>
        <v>1.4842</v>
      </c>
    </row>
    <row r="434" spans="1:14" s="147" customFormat="1" x14ac:dyDescent="0.2">
      <c r="A434" s="129"/>
      <c r="B434" s="95" t="str">
        <f>ORÇAMENTO!A75</f>
        <v>4.8.2</v>
      </c>
      <c r="C434" s="96" t="str">
        <f>ORÇAMENTO!B75</f>
        <v>Conjunto terminal aéreo,presilha e fixação</v>
      </c>
      <c r="D434" s="97" t="str">
        <f>D424</f>
        <v>U N</v>
      </c>
      <c r="E434" s="77"/>
      <c r="F434" s="71"/>
      <c r="G434" s="98"/>
      <c r="H434" s="77"/>
      <c r="I434" s="77"/>
      <c r="J434" s="146"/>
      <c r="K434" s="99">
        <v>0.27079999999999999</v>
      </c>
      <c r="L434" s="107">
        <f t="shared" si="14"/>
        <v>1.4842</v>
      </c>
    </row>
    <row r="435" spans="1:14" s="88" customFormat="1" ht="15.75" customHeight="1" x14ac:dyDescent="0.2">
      <c r="A435" s="79"/>
      <c r="B435" s="75"/>
      <c r="C435" s="112" t="str">
        <f>C434</f>
        <v>Conjunto terminal aéreo,presilha e fixação</v>
      </c>
      <c r="D435" s="113" t="str">
        <f>D434</f>
        <v>U N</v>
      </c>
      <c r="E435" s="77">
        <f>13.17*N12</f>
        <v>13.17</v>
      </c>
      <c r="F435" s="71">
        <v>270</v>
      </c>
      <c r="G435" s="98">
        <v>1</v>
      </c>
      <c r="H435" s="77"/>
      <c r="I435" s="77">
        <f>E435*G435</f>
        <v>13.17</v>
      </c>
      <c r="J435" s="85"/>
      <c r="K435" s="99">
        <v>0.27079999999999999</v>
      </c>
      <c r="L435" s="107">
        <f t="shared" si="14"/>
        <v>1.4842</v>
      </c>
    </row>
    <row r="436" spans="1:14" s="88" customFormat="1" x14ac:dyDescent="0.2">
      <c r="A436" s="79"/>
      <c r="B436" s="75"/>
      <c r="C436" s="112" t="s">
        <v>359</v>
      </c>
      <c r="D436" s="113" t="s">
        <v>336</v>
      </c>
      <c r="E436" s="77">
        <f>5.21*N12</f>
        <v>5.21</v>
      </c>
      <c r="F436" s="71"/>
      <c r="G436" s="84">
        <v>0.03</v>
      </c>
      <c r="H436" s="77">
        <f t="shared" ref="H436:H437" si="16">E436*G436</f>
        <v>0.15629999999999999</v>
      </c>
      <c r="I436" s="144"/>
      <c r="J436" s="85"/>
      <c r="K436" s="99">
        <v>0.27079999999999999</v>
      </c>
      <c r="L436" s="107">
        <f t="shared" si="14"/>
        <v>1.4842</v>
      </c>
    </row>
    <row r="437" spans="1:14" s="88" customFormat="1" x14ac:dyDescent="0.2">
      <c r="A437" s="79"/>
      <c r="B437" s="75"/>
      <c r="C437" s="112" t="s">
        <v>345</v>
      </c>
      <c r="D437" s="113" t="s">
        <v>336</v>
      </c>
      <c r="E437" s="77">
        <f>3.77*N12</f>
        <v>3.77</v>
      </c>
      <c r="F437" s="71"/>
      <c r="G437" s="84">
        <v>0.03</v>
      </c>
      <c r="H437" s="77">
        <f t="shared" si="16"/>
        <v>0.11309999999999999</v>
      </c>
      <c r="I437" s="144"/>
      <c r="J437" s="85"/>
      <c r="K437" s="99">
        <v>0.27079999999999999</v>
      </c>
      <c r="L437" s="107">
        <f t="shared" si="14"/>
        <v>1.4842</v>
      </c>
    </row>
    <row r="438" spans="1:14" s="88" customFormat="1" x14ac:dyDescent="0.2">
      <c r="A438" s="79"/>
      <c r="B438" s="75"/>
      <c r="C438" s="112"/>
      <c r="D438" s="113"/>
      <c r="E438" s="77"/>
      <c r="F438" s="71"/>
      <c r="G438" s="98"/>
      <c r="H438" s="77"/>
      <c r="I438" s="77"/>
      <c r="J438" s="85"/>
      <c r="K438" s="99">
        <v>0.27079999999999999</v>
      </c>
      <c r="L438" s="107">
        <f t="shared" si="14"/>
        <v>1.4842</v>
      </c>
    </row>
    <row r="439" spans="1:14" s="88" customFormat="1" x14ac:dyDescent="0.2">
      <c r="A439" s="79"/>
      <c r="B439" s="75"/>
      <c r="C439" s="112"/>
      <c r="D439" s="113"/>
      <c r="E439" s="361" t="str">
        <f>E429</f>
        <v>Custo Direto</v>
      </c>
      <c r="F439" s="361"/>
      <c r="G439" s="361"/>
      <c r="H439" s="114">
        <f>SUM(H435:H438)</f>
        <v>0.26939999999999997</v>
      </c>
      <c r="I439" s="114">
        <f>SUM(I435:I438)</f>
        <v>13.17</v>
      </c>
      <c r="J439" s="85"/>
      <c r="K439" s="99">
        <v>0.27079999999999999</v>
      </c>
      <c r="L439" s="107">
        <f t="shared" si="14"/>
        <v>1.4842</v>
      </c>
    </row>
    <row r="440" spans="1:14" s="88" customFormat="1" x14ac:dyDescent="0.2">
      <c r="A440" s="79"/>
      <c r="B440" s="75"/>
      <c r="C440" s="112"/>
      <c r="D440" s="113"/>
      <c r="E440" s="361" t="str">
        <f>E430</f>
        <v>LS(%): 148,42</v>
      </c>
      <c r="F440" s="361"/>
      <c r="G440" s="361"/>
      <c r="H440" s="77">
        <f>H439*L440</f>
        <v>0.39984347999999997</v>
      </c>
      <c r="I440" s="82"/>
      <c r="J440" s="85"/>
      <c r="K440" s="99">
        <v>0.27079999999999999</v>
      </c>
      <c r="L440" s="107">
        <f t="shared" si="14"/>
        <v>1.4842</v>
      </c>
    </row>
    <row r="441" spans="1:14" s="88" customFormat="1" x14ac:dyDescent="0.2">
      <c r="A441" s="79"/>
      <c r="B441" s="75"/>
      <c r="C441" s="112"/>
      <c r="D441" s="113"/>
      <c r="E441" s="361" t="str">
        <f>E431</f>
        <v>BDI (%): 27,08</v>
      </c>
      <c r="F441" s="361"/>
      <c r="G441" s="361"/>
      <c r="H441" s="362">
        <f>(H439+I439+H440)*K441</f>
        <v>3.7476671343839993</v>
      </c>
      <c r="I441" s="362"/>
      <c r="J441" s="85"/>
      <c r="K441" s="99">
        <v>0.27079999999999999</v>
      </c>
      <c r="L441" s="107">
        <f t="shared" si="14"/>
        <v>1.4842</v>
      </c>
    </row>
    <row r="442" spans="1:14" s="88" customFormat="1" x14ac:dyDescent="0.2">
      <c r="A442" s="79"/>
      <c r="B442" s="75"/>
      <c r="C442" s="112"/>
      <c r="D442" s="113"/>
      <c r="E442" s="361" t="str">
        <f>E432</f>
        <v>Valor Total c/ Taxas</v>
      </c>
      <c r="F442" s="361"/>
      <c r="G442" s="361"/>
      <c r="H442" s="77"/>
      <c r="I442" s="114">
        <f>(H439+I439+H440+H441)</f>
        <v>17.586910614383999</v>
      </c>
      <c r="J442" s="85"/>
      <c r="K442" s="99">
        <v>0.27079999999999999</v>
      </c>
      <c r="L442" s="107">
        <f t="shared" si="14"/>
        <v>1.4842</v>
      </c>
      <c r="N442" s="330">
        <v>17.59</v>
      </c>
    </row>
    <row r="443" spans="1:14" s="88" customFormat="1" x14ac:dyDescent="0.2">
      <c r="A443" s="79"/>
      <c r="B443" s="75"/>
      <c r="C443" s="112"/>
      <c r="D443" s="113"/>
      <c r="E443" s="77"/>
      <c r="F443" s="71"/>
      <c r="G443" s="98"/>
      <c r="H443" s="77"/>
      <c r="I443" s="114"/>
      <c r="J443" s="85"/>
      <c r="K443" s="99">
        <v>0.27079999999999999</v>
      </c>
      <c r="L443" s="107">
        <f t="shared" si="14"/>
        <v>1.4842</v>
      </c>
    </row>
    <row r="444" spans="1:14" s="147" customFormat="1" x14ac:dyDescent="0.2">
      <c r="A444" s="129"/>
      <c r="B444" s="95" t="str">
        <f>ORÇAMENTO!A76</f>
        <v>4.8.3</v>
      </c>
      <c r="C444" s="96" t="str">
        <f>ORÇAMENTO!B76</f>
        <v>Conector e descida para pilares</v>
      </c>
      <c r="D444" s="97" t="s">
        <v>346</v>
      </c>
      <c r="E444" s="77"/>
      <c r="F444" s="71"/>
      <c r="G444" s="98"/>
      <c r="H444" s="77"/>
      <c r="I444" s="77"/>
      <c r="J444" s="146"/>
      <c r="K444" s="99">
        <v>0.27079999999999999</v>
      </c>
      <c r="L444" s="107">
        <f t="shared" si="14"/>
        <v>1.4842</v>
      </c>
    </row>
    <row r="445" spans="1:14" s="88" customFormat="1" ht="15.75" customHeight="1" x14ac:dyDescent="0.2">
      <c r="A445" s="79"/>
      <c r="B445" s="75"/>
      <c r="C445" s="112" t="str">
        <f>C444</f>
        <v>Conector e descida para pilares</v>
      </c>
      <c r="D445" s="113" t="str">
        <f>D444</f>
        <v>U N</v>
      </c>
      <c r="E445" s="77">
        <f>7.183*N12</f>
        <v>7.1829999999999998</v>
      </c>
      <c r="F445" s="71">
        <v>50</v>
      </c>
      <c r="G445" s="98">
        <v>1</v>
      </c>
      <c r="H445" s="77"/>
      <c r="I445" s="77">
        <f>E445*G445</f>
        <v>7.1829999999999998</v>
      </c>
      <c r="J445" s="85"/>
      <c r="K445" s="99">
        <v>0.27079999999999999</v>
      </c>
      <c r="L445" s="107">
        <f t="shared" si="14"/>
        <v>1.4842</v>
      </c>
    </row>
    <row r="446" spans="1:14" s="88" customFormat="1" x14ac:dyDescent="0.2">
      <c r="A446" s="79"/>
      <c r="B446" s="75"/>
      <c r="C446" s="112" t="s">
        <v>359</v>
      </c>
      <c r="D446" s="113" t="s">
        <v>336</v>
      </c>
      <c r="E446" s="77">
        <f>5.21*N12</f>
        <v>5.21</v>
      </c>
      <c r="F446" s="71"/>
      <c r="G446" s="84">
        <v>0.03</v>
      </c>
      <c r="H446" s="77">
        <f t="shared" ref="H446:H447" si="17">E446*G446</f>
        <v>0.15629999999999999</v>
      </c>
      <c r="I446" s="144"/>
      <c r="J446" s="85"/>
      <c r="K446" s="99">
        <v>0.27079999999999999</v>
      </c>
      <c r="L446" s="107">
        <f t="shared" si="14"/>
        <v>1.4842</v>
      </c>
    </row>
    <row r="447" spans="1:14" s="88" customFormat="1" x14ac:dyDescent="0.2">
      <c r="A447" s="79"/>
      <c r="B447" s="75"/>
      <c r="C447" s="112" t="s">
        <v>345</v>
      </c>
      <c r="D447" s="113" t="s">
        <v>336</v>
      </c>
      <c r="E447" s="77">
        <f>3.77*N12</f>
        <v>3.77</v>
      </c>
      <c r="F447" s="71"/>
      <c r="G447" s="84">
        <v>0.03</v>
      </c>
      <c r="H447" s="77">
        <f t="shared" si="17"/>
        <v>0.11309999999999999</v>
      </c>
      <c r="I447" s="144"/>
      <c r="J447" s="85"/>
      <c r="K447" s="99">
        <v>0.27079999999999999</v>
      </c>
      <c r="L447" s="107">
        <f t="shared" si="14"/>
        <v>1.4842</v>
      </c>
    </row>
    <row r="448" spans="1:14" s="88" customFormat="1" x14ac:dyDescent="0.2">
      <c r="A448" s="79"/>
      <c r="B448" s="75"/>
      <c r="C448" s="112"/>
      <c r="D448" s="113"/>
      <c r="E448" s="77"/>
      <c r="F448" s="71"/>
      <c r="G448" s="98"/>
      <c r="H448" s="77"/>
      <c r="I448" s="77"/>
      <c r="J448" s="85"/>
      <c r="K448" s="99">
        <v>0.27079999999999999</v>
      </c>
      <c r="L448" s="107">
        <f t="shared" si="14"/>
        <v>1.4842</v>
      </c>
    </row>
    <row r="449" spans="1:14" s="88" customFormat="1" x14ac:dyDescent="0.2">
      <c r="A449" s="79"/>
      <c r="B449" s="75"/>
      <c r="C449" s="112"/>
      <c r="D449" s="113"/>
      <c r="E449" s="361" t="str">
        <f>E429</f>
        <v>Custo Direto</v>
      </c>
      <c r="F449" s="361"/>
      <c r="G449" s="361"/>
      <c r="H449" s="114">
        <f>SUM(H445:H448)</f>
        <v>0.26939999999999997</v>
      </c>
      <c r="I449" s="114">
        <f>SUM(I445:I448)</f>
        <v>7.1829999999999998</v>
      </c>
      <c r="J449" s="85"/>
      <c r="K449" s="99">
        <v>0.27079999999999999</v>
      </c>
      <c r="L449" s="107">
        <f t="shared" si="14"/>
        <v>1.4842</v>
      </c>
    </row>
    <row r="450" spans="1:14" s="88" customFormat="1" x14ac:dyDescent="0.2">
      <c r="A450" s="79"/>
      <c r="B450" s="75"/>
      <c r="C450" s="112"/>
      <c r="D450" s="113"/>
      <c r="E450" s="361" t="str">
        <f>E430</f>
        <v>LS(%): 148,42</v>
      </c>
      <c r="F450" s="361"/>
      <c r="G450" s="361"/>
      <c r="H450" s="77">
        <f>H449*L450</f>
        <v>0.39984347999999997</v>
      </c>
      <c r="I450" s="82"/>
      <c r="J450" s="85"/>
      <c r="K450" s="99">
        <v>0.27079999999999999</v>
      </c>
      <c r="L450" s="107">
        <f t="shared" si="14"/>
        <v>1.4842</v>
      </c>
    </row>
    <row r="451" spans="1:14" s="88" customFormat="1" x14ac:dyDescent="0.2">
      <c r="A451" s="79"/>
      <c r="B451" s="75"/>
      <c r="C451" s="112"/>
      <c r="D451" s="113"/>
      <c r="E451" s="361" t="str">
        <f>E431</f>
        <v>BDI (%): 27,08</v>
      </c>
      <c r="F451" s="361"/>
      <c r="G451" s="361"/>
      <c r="H451" s="362">
        <f>(H449+I449+H450)*K451</f>
        <v>2.126387534384</v>
      </c>
      <c r="I451" s="362"/>
      <c r="J451" s="85"/>
      <c r="K451" s="99">
        <v>0.27079999999999999</v>
      </c>
      <c r="L451" s="107">
        <f t="shared" si="14"/>
        <v>1.4842</v>
      </c>
    </row>
    <row r="452" spans="1:14" s="88" customFormat="1" x14ac:dyDescent="0.2">
      <c r="A452" s="79"/>
      <c r="B452" s="75"/>
      <c r="C452" s="112"/>
      <c r="D452" s="113"/>
      <c r="E452" s="361" t="str">
        <f>E432</f>
        <v>Valor Total c/ Taxas</v>
      </c>
      <c r="F452" s="361"/>
      <c r="G452" s="361"/>
      <c r="H452" s="77"/>
      <c r="I452" s="114">
        <f>(H449+I449+H450+H451)</f>
        <v>9.9786310143839998</v>
      </c>
      <c r="J452" s="85"/>
      <c r="K452" s="99">
        <v>0.27079999999999999</v>
      </c>
      <c r="L452" s="107">
        <f t="shared" si="14"/>
        <v>1.4842</v>
      </c>
      <c r="N452" s="330">
        <v>9.98</v>
      </c>
    </row>
    <row r="453" spans="1:14" s="88" customFormat="1" x14ac:dyDescent="0.2">
      <c r="A453" s="79"/>
      <c r="B453" s="75"/>
      <c r="C453" s="112"/>
      <c r="D453" s="113"/>
      <c r="E453" s="76"/>
      <c r="F453" s="70"/>
      <c r="G453" s="76"/>
      <c r="H453" s="77"/>
      <c r="I453" s="114"/>
      <c r="J453" s="85"/>
      <c r="K453" s="99">
        <v>0.27079999999999999</v>
      </c>
      <c r="L453" s="107">
        <f t="shared" si="14"/>
        <v>1.4842</v>
      </c>
    </row>
    <row r="454" spans="1:14" s="79" customFormat="1" ht="25.5" x14ac:dyDescent="0.2">
      <c r="A454" s="149"/>
      <c r="B454" s="125" t="str">
        <f>ORÇAMENTO!A80</f>
        <v>5.1.1</v>
      </c>
      <c r="C454" s="96" t="str">
        <f>ORÇAMENTO!B80</f>
        <v>Porta em madeira de lei,lisa,semi-ôca,0.70 x 2.10 m,exclusive ferragens - PM-1</v>
      </c>
      <c r="D454" s="97" t="s">
        <v>346</v>
      </c>
      <c r="E454" s="76"/>
      <c r="F454" s="71"/>
      <c r="G454" s="98"/>
      <c r="H454" s="76"/>
      <c r="I454" s="76"/>
      <c r="J454" s="90"/>
      <c r="K454" s="99">
        <v>0.27079999999999999</v>
      </c>
      <c r="L454" s="107">
        <f t="shared" si="14"/>
        <v>1.4842</v>
      </c>
    </row>
    <row r="455" spans="1:14" s="88" customFormat="1" ht="25.5" x14ac:dyDescent="0.2">
      <c r="A455" s="79"/>
      <c r="B455" s="75"/>
      <c r="C455" s="112" t="str">
        <f>C454</f>
        <v>Porta em madeira de lei,lisa,semi-ôca,0.70 x 2.10 m,exclusive ferragens - PM-1</v>
      </c>
      <c r="D455" s="113" t="str">
        <f>D454</f>
        <v>U N</v>
      </c>
      <c r="E455" s="77">
        <f>216.15*N12</f>
        <v>216.15</v>
      </c>
      <c r="F455" s="71">
        <v>50</v>
      </c>
      <c r="G455" s="98">
        <v>1.5</v>
      </c>
      <c r="H455" s="77"/>
      <c r="I455" s="77">
        <f>E455*G455</f>
        <v>324.22500000000002</v>
      </c>
      <c r="J455" s="85"/>
      <c r="K455" s="99">
        <v>0.27079999999999999</v>
      </c>
      <c r="L455" s="107">
        <f t="shared" si="14"/>
        <v>1.4842</v>
      </c>
    </row>
    <row r="456" spans="1:14" s="88" customFormat="1" x14ac:dyDescent="0.2">
      <c r="A456" s="79"/>
      <c r="B456" s="75"/>
      <c r="C456" s="112" t="s">
        <v>358</v>
      </c>
      <c r="D456" s="113" t="s">
        <v>336</v>
      </c>
      <c r="E456" s="77">
        <f>5.21*N12</f>
        <v>5.21</v>
      </c>
      <c r="F456" s="71"/>
      <c r="G456" s="84">
        <v>1</v>
      </c>
      <c r="H456" s="77">
        <f t="shared" ref="H456:H457" si="18">E456*G456</f>
        <v>5.21</v>
      </c>
      <c r="I456" s="144"/>
      <c r="J456" s="85"/>
      <c r="K456" s="99">
        <v>0.27079999999999999</v>
      </c>
      <c r="L456" s="107">
        <f t="shared" si="14"/>
        <v>1.4842</v>
      </c>
    </row>
    <row r="457" spans="1:14" s="88" customFormat="1" x14ac:dyDescent="0.2">
      <c r="A457" s="79"/>
      <c r="B457" s="75"/>
      <c r="C457" s="112" t="s">
        <v>345</v>
      </c>
      <c r="D457" s="113" t="s">
        <v>336</v>
      </c>
      <c r="E457" s="77">
        <f>3.77*N12</f>
        <v>3.77</v>
      </c>
      <c r="F457" s="71"/>
      <c r="G457" s="84">
        <v>1</v>
      </c>
      <c r="H457" s="77">
        <f t="shared" si="18"/>
        <v>3.77</v>
      </c>
      <c r="I457" s="144"/>
      <c r="J457" s="85"/>
      <c r="K457" s="99">
        <v>0.27079999999999999</v>
      </c>
      <c r="L457" s="107">
        <f t="shared" si="14"/>
        <v>1.4842</v>
      </c>
    </row>
    <row r="458" spans="1:14" s="88" customFormat="1" x14ac:dyDescent="0.2">
      <c r="A458" s="79"/>
      <c r="B458" s="75"/>
      <c r="C458" s="112"/>
      <c r="D458" s="113"/>
      <c r="E458" s="77"/>
      <c r="F458" s="71"/>
      <c r="G458" s="98"/>
      <c r="H458" s="77"/>
      <c r="I458" s="77"/>
      <c r="J458" s="85"/>
      <c r="K458" s="99">
        <v>0.27079999999999999</v>
      </c>
      <c r="L458" s="107">
        <f t="shared" si="14"/>
        <v>1.4842</v>
      </c>
    </row>
    <row r="459" spans="1:14" s="88" customFormat="1" x14ac:dyDescent="0.2">
      <c r="A459" s="79"/>
      <c r="B459" s="75"/>
      <c r="C459" s="112"/>
      <c r="D459" s="113"/>
      <c r="E459" s="361" t="str">
        <f>E449</f>
        <v>Custo Direto</v>
      </c>
      <c r="F459" s="361"/>
      <c r="G459" s="361"/>
      <c r="H459" s="114">
        <f>SUM(H455:H458)</f>
        <v>8.98</v>
      </c>
      <c r="I459" s="114">
        <f>SUM(I455:I458)</f>
        <v>324.22500000000002</v>
      </c>
      <c r="J459" s="85"/>
      <c r="K459" s="99">
        <v>0.27079999999999999</v>
      </c>
      <c r="L459" s="107">
        <f t="shared" si="14"/>
        <v>1.4842</v>
      </c>
    </row>
    <row r="460" spans="1:14" s="88" customFormat="1" x14ac:dyDescent="0.2">
      <c r="A460" s="79"/>
      <c r="B460" s="75"/>
      <c r="C460" s="112"/>
      <c r="D460" s="113"/>
      <c r="E460" s="361" t="str">
        <f>E450</f>
        <v>LS(%): 148,42</v>
      </c>
      <c r="F460" s="361"/>
      <c r="G460" s="361"/>
      <c r="H460" s="77">
        <f>H459*L460</f>
        <v>13.328116</v>
      </c>
      <c r="I460" s="82"/>
      <c r="J460" s="85"/>
      <c r="K460" s="99">
        <v>0.27079999999999999</v>
      </c>
      <c r="L460" s="107">
        <f t="shared" si="14"/>
        <v>1.4842</v>
      </c>
    </row>
    <row r="461" spans="1:14" s="88" customFormat="1" x14ac:dyDescent="0.2">
      <c r="A461" s="79"/>
      <c r="B461" s="75"/>
      <c r="C461" s="112"/>
      <c r="D461" s="113"/>
      <c r="E461" s="361" t="str">
        <f>E451</f>
        <v>BDI (%): 27,08</v>
      </c>
      <c r="F461" s="361"/>
      <c r="G461" s="361"/>
      <c r="H461" s="362">
        <f>(H459+I459+H460)*K461</f>
        <v>93.841167812800009</v>
      </c>
      <c r="I461" s="362"/>
      <c r="J461" s="85"/>
      <c r="K461" s="99">
        <v>0.27079999999999999</v>
      </c>
      <c r="L461" s="107">
        <f t="shared" si="14"/>
        <v>1.4842</v>
      </c>
    </row>
    <row r="462" spans="1:14" s="88" customFormat="1" x14ac:dyDescent="0.2">
      <c r="A462" s="79"/>
      <c r="B462" s="75"/>
      <c r="C462" s="112"/>
      <c r="D462" s="113"/>
      <c r="E462" s="361" t="str">
        <f>E452</f>
        <v>Valor Total c/ Taxas</v>
      </c>
      <c r="F462" s="361"/>
      <c r="G462" s="361"/>
      <c r="H462" s="77"/>
      <c r="I462" s="114">
        <f>(H459+I459+H460+H461)</f>
        <v>440.37428381280006</v>
      </c>
      <c r="J462" s="85"/>
      <c r="K462" s="99">
        <v>0.27079999999999999</v>
      </c>
      <c r="L462" s="107">
        <f t="shared" si="14"/>
        <v>1.4842</v>
      </c>
      <c r="N462" s="330">
        <v>440.37</v>
      </c>
    </row>
    <row r="463" spans="1:14" s="88" customFormat="1" x14ac:dyDescent="0.2">
      <c r="A463" s="79"/>
      <c r="B463" s="75"/>
      <c r="C463" s="112"/>
      <c r="D463" s="113"/>
      <c r="E463" s="76"/>
      <c r="F463" s="70"/>
      <c r="G463" s="76"/>
      <c r="H463" s="77"/>
      <c r="I463" s="114"/>
      <c r="J463" s="85"/>
      <c r="K463" s="99">
        <v>0.27079999999999999</v>
      </c>
      <c r="L463" s="107">
        <f t="shared" si="14"/>
        <v>1.4842</v>
      </c>
    </row>
    <row r="464" spans="1:14" s="79" customFormat="1" ht="25.5" x14ac:dyDescent="0.2">
      <c r="A464" s="149"/>
      <c r="B464" s="95" t="str">
        <f>ORÇAMENTO!A81</f>
        <v>5.1.2</v>
      </c>
      <c r="C464" s="96" t="str">
        <f>ORÇAMENTO!B81</f>
        <v>Porta em madeira de lei,lisa,semi-ôca,0.80 x 2.10 m,exclusive ferragens - PM-2</v>
      </c>
      <c r="D464" s="97" t="s">
        <v>346</v>
      </c>
      <c r="E464" s="76"/>
      <c r="F464" s="71"/>
      <c r="G464" s="98"/>
      <c r="H464" s="76"/>
      <c r="I464" s="76"/>
      <c r="J464" s="90"/>
      <c r="K464" s="99">
        <v>0.27079999999999999</v>
      </c>
      <c r="L464" s="107">
        <f t="shared" si="14"/>
        <v>1.4842</v>
      </c>
    </row>
    <row r="465" spans="1:14" s="88" customFormat="1" ht="25.5" x14ac:dyDescent="0.2">
      <c r="A465" s="79"/>
      <c r="B465" s="75"/>
      <c r="C465" s="112" t="str">
        <f>C464</f>
        <v>Porta em madeira de lei,lisa,semi-ôca,0.80 x 2.10 m,exclusive ferragens - PM-2</v>
      </c>
      <c r="D465" s="113" t="str">
        <f>D464</f>
        <v>U N</v>
      </c>
      <c r="E465" s="77">
        <f>255.07*N12</f>
        <v>255.07</v>
      </c>
      <c r="F465" s="71">
        <v>90</v>
      </c>
      <c r="G465" s="84">
        <v>1.5</v>
      </c>
      <c r="H465" s="77"/>
      <c r="I465" s="144">
        <f>E465*G465</f>
        <v>382.60500000000002</v>
      </c>
      <c r="J465" s="85"/>
      <c r="K465" s="99">
        <v>0.27079999999999999</v>
      </c>
      <c r="L465" s="107">
        <f t="shared" si="14"/>
        <v>1.4842</v>
      </c>
    </row>
    <row r="466" spans="1:14" s="88" customFormat="1" x14ac:dyDescent="0.2">
      <c r="A466" s="79"/>
      <c r="B466" s="75"/>
      <c r="C466" s="112" t="s">
        <v>358</v>
      </c>
      <c r="D466" s="113" t="s">
        <v>336</v>
      </c>
      <c r="E466" s="77">
        <f>5.21*N12</f>
        <v>5.21</v>
      </c>
      <c r="F466" s="71"/>
      <c r="G466" s="84">
        <v>1</v>
      </c>
      <c r="H466" s="77">
        <f t="shared" ref="H466:H467" si="19">E466*G466</f>
        <v>5.21</v>
      </c>
      <c r="I466" s="144"/>
      <c r="J466" s="85"/>
      <c r="K466" s="99">
        <v>0.27079999999999999</v>
      </c>
      <c r="L466" s="107">
        <f t="shared" si="14"/>
        <v>1.4842</v>
      </c>
    </row>
    <row r="467" spans="1:14" s="88" customFormat="1" x14ac:dyDescent="0.2">
      <c r="A467" s="79"/>
      <c r="B467" s="75"/>
      <c r="C467" s="112" t="s">
        <v>345</v>
      </c>
      <c r="D467" s="113" t="s">
        <v>336</v>
      </c>
      <c r="E467" s="77">
        <f>3.77*N12</f>
        <v>3.77</v>
      </c>
      <c r="F467" s="71"/>
      <c r="G467" s="84">
        <v>1</v>
      </c>
      <c r="H467" s="77">
        <f t="shared" si="19"/>
        <v>3.77</v>
      </c>
      <c r="I467" s="144"/>
      <c r="J467" s="85"/>
      <c r="K467" s="99">
        <v>0.27079999999999999</v>
      </c>
      <c r="L467" s="107">
        <f t="shared" ref="L467:L530" si="20">L466</f>
        <v>1.4842</v>
      </c>
    </row>
    <row r="468" spans="1:14" s="88" customFormat="1" x14ac:dyDescent="0.2">
      <c r="A468" s="79"/>
      <c r="B468" s="75"/>
      <c r="C468" s="112"/>
      <c r="D468" s="113"/>
      <c r="E468" s="77"/>
      <c r="F468" s="71"/>
      <c r="G468" s="98"/>
      <c r="H468" s="77"/>
      <c r="I468" s="77"/>
      <c r="J468" s="85"/>
      <c r="K468" s="99">
        <v>0.27079999999999999</v>
      </c>
      <c r="L468" s="107">
        <f t="shared" si="20"/>
        <v>1.4842</v>
      </c>
    </row>
    <row r="469" spans="1:14" s="88" customFormat="1" x14ac:dyDescent="0.2">
      <c r="A469" s="79"/>
      <c r="B469" s="75"/>
      <c r="C469" s="112"/>
      <c r="D469" s="113"/>
      <c r="E469" s="361" t="str">
        <f>E459</f>
        <v>Custo Direto</v>
      </c>
      <c r="F469" s="361"/>
      <c r="G469" s="361"/>
      <c r="H469" s="114">
        <f>SUM(H465:H468)</f>
        <v>8.98</v>
      </c>
      <c r="I469" s="114">
        <f>SUM(I465:I468)</f>
        <v>382.60500000000002</v>
      </c>
      <c r="J469" s="85"/>
      <c r="K469" s="99">
        <v>0.27079999999999999</v>
      </c>
      <c r="L469" s="107">
        <f t="shared" si="20"/>
        <v>1.4842</v>
      </c>
    </row>
    <row r="470" spans="1:14" s="88" customFormat="1" x14ac:dyDescent="0.2">
      <c r="A470" s="79"/>
      <c r="B470" s="75"/>
      <c r="C470" s="112"/>
      <c r="D470" s="113"/>
      <c r="E470" s="361" t="str">
        <f>E460</f>
        <v>LS(%): 148,42</v>
      </c>
      <c r="F470" s="361"/>
      <c r="G470" s="361"/>
      <c r="H470" s="77">
        <f>H469*L470</f>
        <v>13.328116</v>
      </c>
      <c r="I470" s="82"/>
      <c r="J470" s="85"/>
      <c r="K470" s="99">
        <v>0.27079999999999999</v>
      </c>
      <c r="L470" s="107">
        <f t="shared" si="20"/>
        <v>1.4842</v>
      </c>
    </row>
    <row r="471" spans="1:14" s="88" customFormat="1" x14ac:dyDescent="0.2">
      <c r="A471" s="79"/>
      <c r="B471" s="75"/>
      <c r="C471" s="112"/>
      <c r="D471" s="113"/>
      <c r="E471" s="361" t="str">
        <f>E461</f>
        <v>BDI (%): 27,08</v>
      </c>
      <c r="F471" s="361"/>
      <c r="G471" s="361"/>
      <c r="H471" s="362">
        <f>(H469+I469+H470)*K471</f>
        <v>109.65047181280001</v>
      </c>
      <c r="I471" s="362"/>
      <c r="J471" s="85"/>
      <c r="K471" s="99">
        <v>0.27079999999999999</v>
      </c>
      <c r="L471" s="107">
        <f t="shared" si="20"/>
        <v>1.4842</v>
      </c>
    </row>
    <row r="472" spans="1:14" s="88" customFormat="1" x14ac:dyDescent="0.2">
      <c r="A472" s="79"/>
      <c r="B472" s="75"/>
      <c r="C472" s="112"/>
      <c r="D472" s="113"/>
      <c r="E472" s="361" t="str">
        <f>E462</f>
        <v>Valor Total c/ Taxas</v>
      </c>
      <c r="F472" s="361"/>
      <c r="G472" s="361"/>
      <c r="H472" s="77"/>
      <c r="I472" s="114">
        <f>(H469+I469+H470+H471)</f>
        <v>514.56358781280005</v>
      </c>
      <c r="J472" s="85"/>
      <c r="K472" s="99">
        <v>0.27079999999999999</v>
      </c>
      <c r="L472" s="107">
        <f t="shared" si="20"/>
        <v>1.4842</v>
      </c>
      <c r="N472" s="330">
        <v>514.55999999999995</v>
      </c>
    </row>
    <row r="473" spans="1:14" s="88" customFormat="1" x14ac:dyDescent="0.2">
      <c r="A473" s="79"/>
      <c r="B473" s="75"/>
      <c r="C473" s="112"/>
      <c r="D473" s="113"/>
      <c r="E473" s="77"/>
      <c r="F473" s="71"/>
      <c r="G473" s="98"/>
      <c r="H473" s="77"/>
      <c r="I473" s="114"/>
      <c r="J473" s="85"/>
      <c r="K473" s="99">
        <v>0.27079999999999999</v>
      </c>
      <c r="L473" s="107">
        <f>L452</f>
        <v>1.4842</v>
      </c>
    </row>
    <row r="474" spans="1:14" s="79" customFormat="1" ht="25.5" x14ac:dyDescent="0.2">
      <c r="A474" s="149"/>
      <c r="B474" s="125" t="str">
        <f>ORÇAMENTO!A82</f>
        <v>5.1.3</v>
      </c>
      <c r="C474" s="96" t="str">
        <f>ORÇAMENTO!B82</f>
        <v>Porta em madeira de lei,lisa,semi-ôca, 0.90 x 2.10 m,exclusive ferragens - PM-3</v>
      </c>
      <c r="D474" s="97" t="s">
        <v>346</v>
      </c>
      <c r="E474" s="76"/>
      <c r="F474" s="71"/>
      <c r="G474" s="98"/>
      <c r="H474" s="76"/>
      <c r="I474" s="76"/>
      <c r="J474" s="90"/>
      <c r="K474" s="99">
        <v>0.27079999999999999</v>
      </c>
      <c r="L474" s="107">
        <f t="shared" si="20"/>
        <v>1.4842</v>
      </c>
    </row>
    <row r="475" spans="1:14" s="88" customFormat="1" ht="25.5" x14ac:dyDescent="0.2">
      <c r="A475" s="79"/>
      <c r="B475" s="75"/>
      <c r="C475" s="112" t="str">
        <f>C474</f>
        <v>Porta em madeira de lei,lisa,semi-ôca, 0.90 x 2.10 m,exclusive ferragens - PM-3</v>
      </c>
      <c r="D475" s="113" t="str">
        <f>D474</f>
        <v>U N</v>
      </c>
      <c r="E475" s="77">
        <f>255.07*N12</f>
        <v>255.07</v>
      </c>
      <c r="F475" s="71">
        <v>130</v>
      </c>
      <c r="G475" s="98">
        <v>1.5</v>
      </c>
      <c r="H475" s="77"/>
      <c r="I475" s="77">
        <f>E475*G475</f>
        <v>382.60500000000002</v>
      </c>
      <c r="J475" s="85"/>
      <c r="K475" s="99">
        <v>0.27079999999999999</v>
      </c>
      <c r="L475" s="107">
        <f t="shared" si="20"/>
        <v>1.4842</v>
      </c>
    </row>
    <row r="476" spans="1:14" s="88" customFormat="1" x14ac:dyDescent="0.2">
      <c r="A476" s="79"/>
      <c r="B476" s="75"/>
      <c r="C476" s="112" t="s">
        <v>358</v>
      </c>
      <c r="D476" s="113" t="s">
        <v>336</v>
      </c>
      <c r="E476" s="77">
        <f>5.21*N12</f>
        <v>5.21</v>
      </c>
      <c r="F476" s="71"/>
      <c r="G476" s="84">
        <v>1</v>
      </c>
      <c r="H476" s="77">
        <f>E476*G476</f>
        <v>5.21</v>
      </c>
      <c r="I476" s="77"/>
      <c r="J476" s="85"/>
      <c r="K476" s="99">
        <v>0.27079999999999999</v>
      </c>
      <c r="L476" s="107">
        <f t="shared" si="20"/>
        <v>1.4842</v>
      </c>
    </row>
    <row r="477" spans="1:14" s="88" customFormat="1" x14ac:dyDescent="0.2">
      <c r="A477" s="79"/>
      <c r="B477" s="75"/>
      <c r="C477" s="112" t="s">
        <v>345</v>
      </c>
      <c r="D477" s="113" t="s">
        <v>336</v>
      </c>
      <c r="E477" s="77">
        <f>3.77*N12</f>
        <v>3.77</v>
      </c>
      <c r="F477" s="71"/>
      <c r="G477" s="84">
        <v>1</v>
      </c>
      <c r="H477" s="77">
        <f>E477*G477</f>
        <v>3.77</v>
      </c>
      <c r="I477" s="77"/>
      <c r="J477" s="85"/>
      <c r="K477" s="99">
        <v>0.27079999999999999</v>
      </c>
      <c r="L477" s="107">
        <f t="shared" si="20"/>
        <v>1.4842</v>
      </c>
    </row>
    <row r="478" spans="1:14" s="88" customFormat="1" x14ac:dyDescent="0.2">
      <c r="A478" s="79"/>
      <c r="B478" s="75"/>
      <c r="C478" s="112"/>
      <c r="D478" s="113"/>
      <c r="E478" s="77"/>
      <c r="F478" s="71"/>
      <c r="G478" s="98"/>
      <c r="H478" s="77"/>
      <c r="I478" s="77"/>
      <c r="J478" s="85"/>
      <c r="K478" s="99">
        <v>0.27079999999999999</v>
      </c>
      <c r="L478" s="107">
        <f t="shared" si="20"/>
        <v>1.4842</v>
      </c>
    </row>
    <row r="479" spans="1:14" s="88" customFormat="1" x14ac:dyDescent="0.2">
      <c r="A479" s="79"/>
      <c r="B479" s="75"/>
      <c r="C479" s="112"/>
      <c r="D479" s="113"/>
      <c r="E479" s="361" t="str">
        <f>E449</f>
        <v>Custo Direto</v>
      </c>
      <c r="F479" s="361"/>
      <c r="G479" s="361"/>
      <c r="H479" s="114">
        <f>SUM(H475:H478)</f>
        <v>8.98</v>
      </c>
      <c r="I479" s="114">
        <f>SUM(I475:I478)</f>
        <v>382.60500000000002</v>
      </c>
      <c r="J479" s="85"/>
      <c r="K479" s="99">
        <v>0.27079999999999999</v>
      </c>
      <c r="L479" s="107">
        <f t="shared" si="20"/>
        <v>1.4842</v>
      </c>
    </row>
    <row r="480" spans="1:14" s="88" customFormat="1" x14ac:dyDescent="0.2">
      <c r="A480" s="79"/>
      <c r="B480" s="75"/>
      <c r="C480" s="112"/>
      <c r="D480" s="113"/>
      <c r="E480" s="361" t="str">
        <f>E450</f>
        <v>LS(%): 148,42</v>
      </c>
      <c r="F480" s="361"/>
      <c r="G480" s="361"/>
      <c r="H480" s="77">
        <f>H479*L480</f>
        <v>13.328116</v>
      </c>
      <c r="I480" s="82"/>
      <c r="J480" s="85"/>
      <c r="K480" s="99">
        <v>0.27079999999999999</v>
      </c>
      <c r="L480" s="107">
        <f t="shared" si="20"/>
        <v>1.4842</v>
      </c>
    </row>
    <row r="481" spans="1:14" s="88" customFormat="1" x14ac:dyDescent="0.2">
      <c r="A481" s="79"/>
      <c r="B481" s="75"/>
      <c r="C481" s="112"/>
      <c r="D481" s="113"/>
      <c r="E481" s="361" t="str">
        <f>E451</f>
        <v>BDI (%): 27,08</v>
      </c>
      <c r="F481" s="361"/>
      <c r="G481" s="361"/>
      <c r="H481" s="362">
        <f>(H479+I479+H480)*K481</f>
        <v>109.65047181280001</v>
      </c>
      <c r="I481" s="362"/>
      <c r="J481" s="85"/>
      <c r="K481" s="99">
        <v>0.27079999999999999</v>
      </c>
      <c r="L481" s="107">
        <f t="shared" si="20"/>
        <v>1.4842</v>
      </c>
    </row>
    <row r="482" spans="1:14" s="88" customFormat="1" x14ac:dyDescent="0.2">
      <c r="A482" s="79"/>
      <c r="B482" s="75"/>
      <c r="C482" s="112"/>
      <c r="D482" s="113"/>
      <c r="E482" s="361" t="str">
        <f>E452</f>
        <v>Valor Total c/ Taxas</v>
      </c>
      <c r="F482" s="361"/>
      <c r="G482" s="361"/>
      <c r="H482" s="77"/>
      <c r="I482" s="114">
        <f>(H479+I479+H480+H481)</f>
        <v>514.56358781280005</v>
      </c>
      <c r="J482" s="85"/>
      <c r="K482" s="99">
        <v>0.27079999999999999</v>
      </c>
      <c r="L482" s="107">
        <f t="shared" si="20"/>
        <v>1.4842</v>
      </c>
      <c r="N482" s="330">
        <v>514.55999999999995</v>
      </c>
    </row>
    <row r="483" spans="1:14" s="88" customFormat="1" x14ac:dyDescent="0.2">
      <c r="A483" s="79"/>
      <c r="B483" s="75"/>
      <c r="C483" s="112"/>
      <c r="D483" s="113"/>
      <c r="E483" s="76"/>
      <c r="F483" s="70"/>
      <c r="G483" s="150"/>
      <c r="H483" s="77"/>
      <c r="I483" s="114"/>
      <c r="J483" s="85"/>
      <c r="K483" s="99">
        <v>0.27079999999999999</v>
      </c>
      <c r="L483" s="107">
        <f t="shared" si="20"/>
        <v>1.4842</v>
      </c>
    </row>
    <row r="484" spans="1:14" s="79" customFormat="1" ht="25.5" x14ac:dyDescent="0.2">
      <c r="A484" s="149"/>
      <c r="B484" s="95" t="str">
        <f>ORÇAMENTO!A83</f>
        <v>5.1.4</v>
      </c>
      <c r="C484" s="96" t="str">
        <f>ORÇAMENTO!B83</f>
        <v>Porta em madeira de lei,lisa,semi-ôca, 0.60 x 1.80 m,com batentes e ferragens - PM-4</v>
      </c>
      <c r="D484" s="97" t="s">
        <v>346</v>
      </c>
      <c r="E484" s="76"/>
      <c r="F484" s="71"/>
      <c r="G484" s="98"/>
      <c r="H484" s="76"/>
      <c r="I484" s="76"/>
      <c r="J484" s="90"/>
      <c r="K484" s="99">
        <v>0.27079999999999999</v>
      </c>
      <c r="L484" s="107">
        <f t="shared" si="20"/>
        <v>1.4842</v>
      </c>
    </row>
    <row r="485" spans="1:14" s="88" customFormat="1" ht="25.5" x14ac:dyDescent="0.2">
      <c r="A485" s="79"/>
      <c r="B485" s="75"/>
      <c r="C485" s="112" t="str">
        <f>C484</f>
        <v>Porta em madeira de lei,lisa,semi-ôca, 0.60 x 1.80 m,com batentes e ferragens - PM-4</v>
      </c>
      <c r="D485" s="113" t="str">
        <f>D484</f>
        <v>U N</v>
      </c>
      <c r="E485" s="77">
        <f>155.686*N12</f>
        <v>155.68600000000001</v>
      </c>
      <c r="F485" s="71">
        <f>F475</f>
        <v>130</v>
      </c>
      <c r="G485" s="98">
        <v>1.5</v>
      </c>
      <c r="H485" s="77"/>
      <c r="I485" s="77">
        <f>E485*G485</f>
        <v>233.529</v>
      </c>
      <c r="J485" s="85"/>
      <c r="K485" s="99">
        <v>0.27079999999999999</v>
      </c>
      <c r="L485" s="107">
        <f t="shared" si="20"/>
        <v>1.4842</v>
      </c>
    </row>
    <row r="486" spans="1:14" s="88" customFormat="1" x14ac:dyDescent="0.2">
      <c r="A486" s="79"/>
      <c r="B486" s="75"/>
      <c r="C486" s="112" t="s">
        <v>358</v>
      </c>
      <c r="D486" s="113" t="s">
        <v>336</v>
      </c>
      <c r="E486" s="77">
        <f>5.21*N12</f>
        <v>5.21</v>
      </c>
      <c r="F486" s="71"/>
      <c r="G486" s="84">
        <v>1</v>
      </c>
      <c r="H486" s="77">
        <f t="shared" ref="H486:H487" si="21">E486*G486</f>
        <v>5.21</v>
      </c>
      <c r="I486" s="77"/>
      <c r="J486" s="85"/>
      <c r="K486" s="99">
        <v>0.27079999999999999</v>
      </c>
      <c r="L486" s="107">
        <f t="shared" si="20"/>
        <v>1.4842</v>
      </c>
    </row>
    <row r="487" spans="1:14" s="88" customFormat="1" x14ac:dyDescent="0.2">
      <c r="A487" s="79"/>
      <c r="B487" s="75"/>
      <c r="C487" s="112" t="s">
        <v>345</v>
      </c>
      <c r="D487" s="113" t="s">
        <v>336</v>
      </c>
      <c r="E487" s="77">
        <f>3.77*N12</f>
        <v>3.77</v>
      </c>
      <c r="F487" s="71"/>
      <c r="G487" s="84">
        <v>1</v>
      </c>
      <c r="H487" s="77">
        <f t="shared" si="21"/>
        <v>3.77</v>
      </c>
      <c r="I487" s="77"/>
      <c r="J487" s="85"/>
      <c r="K487" s="99">
        <v>0.27079999999999999</v>
      </c>
      <c r="L487" s="107">
        <f t="shared" si="20"/>
        <v>1.4842</v>
      </c>
    </row>
    <row r="488" spans="1:14" s="88" customFormat="1" x14ac:dyDescent="0.2">
      <c r="A488" s="79"/>
      <c r="B488" s="75"/>
      <c r="C488" s="112"/>
      <c r="D488" s="113"/>
      <c r="E488" s="77"/>
      <c r="F488" s="71"/>
      <c r="G488" s="98"/>
      <c r="H488" s="77"/>
      <c r="I488" s="77"/>
      <c r="J488" s="85"/>
      <c r="K488" s="99">
        <v>0.27079999999999999</v>
      </c>
      <c r="L488" s="107">
        <f t="shared" si="20"/>
        <v>1.4842</v>
      </c>
    </row>
    <row r="489" spans="1:14" s="88" customFormat="1" x14ac:dyDescent="0.2">
      <c r="A489" s="79"/>
      <c r="B489" s="75"/>
      <c r="C489" s="112"/>
      <c r="D489" s="113"/>
      <c r="E489" s="361" t="str">
        <f>E479</f>
        <v>Custo Direto</v>
      </c>
      <c r="F489" s="361"/>
      <c r="G489" s="361"/>
      <c r="H489" s="114">
        <f>SUM(H485:H488)</f>
        <v>8.98</v>
      </c>
      <c r="I489" s="114">
        <f>SUM(I485:I488)</f>
        <v>233.529</v>
      </c>
      <c r="J489" s="85"/>
      <c r="K489" s="99">
        <v>0.27079999999999999</v>
      </c>
      <c r="L489" s="107">
        <f t="shared" si="20"/>
        <v>1.4842</v>
      </c>
    </row>
    <row r="490" spans="1:14" s="88" customFormat="1" x14ac:dyDescent="0.2">
      <c r="A490" s="79"/>
      <c r="B490" s="75"/>
      <c r="C490" s="112"/>
      <c r="D490" s="113"/>
      <c r="E490" s="361" t="str">
        <f>E480</f>
        <v>LS(%): 148,42</v>
      </c>
      <c r="F490" s="361"/>
      <c r="G490" s="361"/>
      <c r="H490" s="77">
        <f>H489*L490</f>
        <v>13.328116</v>
      </c>
      <c r="I490" s="82"/>
      <c r="J490" s="85"/>
      <c r="K490" s="99">
        <v>0.27079999999999999</v>
      </c>
      <c r="L490" s="107">
        <f t="shared" si="20"/>
        <v>1.4842</v>
      </c>
    </row>
    <row r="491" spans="1:14" s="88" customFormat="1" x14ac:dyDescent="0.2">
      <c r="A491" s="79"/>
      <c r="B491" s="75"/>
      <c r="C491" s="112"/>
      <c r="D491" s="113"/>
      <c r="E491" s="361" t="str">
        <f>E481</f>
        <v>BDI (%): 27,08</v>
      </c>
      <c r="F491" s="361"/>
      <c r="G491" s="361"/>
      <c r="H491" s="362">
        <f>(H489+I489+H490)*K491</f>
        <v>69.280691012799991</v>
      </c>
      <c r="I491" s="362"/>
      <c r="J491" s="85"/>
      <c r="K491" s="99">
        <v>0.27079999999999999</v>
      </c>
      <c r="L491" s="107">
        <f t="shared" si="20"/>
        <v>1.4842</v>
      </c>
    </row>
    <row r="492" spans="1:14" s="88" customFormat="1" x14ac:dyDescent="0.2">
      <c r="A492" s="79"/>
      <c r="B492" s="75"/>
      <c r="C492" s="112"/>
      <c r="D492" s="113"/>
      <c r="E492" s="361" t="str">
        <f>E482</f>
        <v>Valor Total c/ Taxas</v>
      </c>
      <c r="F492" s="361"/>
      <c r="G492" s="361"/>
      <c r="H492" s="77"/>
      <c r="I492" s="114">
        <f>(H489+I489+H490+H491)</f>
        <v>325.11780701279997</v>
      </c>
      <c r="J492" s="85"/>
      <c r="K492" s="99">
        <v>0.27079999999999999</v>
      </c>
      <c r="L492" s="107">
        <f t="shared" si="20"/>
        <v>1.4842</v>
      </c>
      <c r="N492" s="330">
        <v>325.12</v>
      </c>
    </row>
    <row r="493" spans="1:14" s="88" customFormat="1" x14ac:dyDescent="0.2">
      <c r="A493" s="79"/>
      <c r="B493" s="75"/>
      <c r="C493" s="112"/>
      <c r="D493" s="113"/>
      <c r="E493" s="76"/>
      <c r="F493" s="70"/>
      <c r="G493" s="76"/>
      <c r="H493" s="77"/>
      <c r="I493" s="114"/>
      <c r="J493" s="85"/>
      <c r="K493" s="99">
        <v>0.27079999999999999</v>
      </c>
      <c r="L493" s="107">
        <f t="shared" si="20"/>
        <v>1.4842</v>
      </c>
    </row>
    <row r="494" spans="1:14" s="79" customFormat="1" ht="25.5" x14ac:dyDescent="0.2">
      <c r="A494" s="149"/>
      <c r="B494" s="95" t="str">
        <f>ORÇAMENTO!A84</f>
        <v>5.1.5</v>
      </c>
      <c r="C494" s="96" t="str">
        <f>ORÇAMENTO!B84</f>
        <v>Porta em madeira de lei,lisa,semi-ôca, 0.80 x 1.80 m, com batentes,ferregens e barra para PNE- PM-5</v>
      </c>
      <c r="D494" s="97" t="s">
        <v>346</v>
      </c>
      <c r="E494" s="76"/>
      <c r="F494" s="71"/>
      <c r="G494" s="98"/>
      <c r="H494" s="76"/>
      <c r="I494" s="76"/>
      <c r="J494" s="90"/>
      <c r="K494" s="99">
        <v>0.27079999999999999</v>
      </c>
      <c r="L494" s="107">
        <f t="shared" si="20"/>
        <v>1.4842</v>
      </c>
    </row>
    <row r="495" spans="1:14" s="88" customFormat="1" ht="25.5" x14ac:dyDescent="0.2">
      <c r="A495" s="79"/>
      <c r="B495" s="75"/>
      <c r="C495" s="112" t="str">
        <f>C494</f>
        <v>Porta em madeira de lei,lisa,semi-ôca, 0.80 x 1.80 m, com batentes,ferregens e barra para PNE- PM-5</v>
      </c>
      <c r="D495" s="113" t="str">
        <f>D494</f>
        <v>U N</v>
      </c>
      <c r="E495" s="77">
        <f>155.686*N12</f>
        <v>155.68600000000001</v>
      </c>
      <c r="F495" s="71">
        <v>210</v>
      </c>
      <c r="G495" s="98">
        <v>1.5</v>
      </c>
      <c r="H495" s="77"/>
      <c r="I495" s="77">
        <f>E495*G495</f>
        <v>233.529</v>
      </c>
      <c r="J495" s="85"/>
      <c r="K495" s="99">
        <v>0.27079999999999999</v>
      </c>
      <c r="L495" s="107">
        <f t="shared" si="20"/>
        <v>1.4842</v>
      </c>
    </row>
    <row r="496" spans="1:14" s="88" customFormat="1" x14ac:dyDescent="0.2">
      <c r="A496" s="79"/>
      <c r="B496" s="75"/>
      <c r="C496" s="112" t="s">
        <v>358</v>
      </c>
      <c r="D496" s="113" t="s">
        <v>336</v>
      </c>
      <c r="E496" s="77">
        <f>5.21*N12</f>
        <v>5.21</v>
      </c>
      <c r="F496" s="71"/>
      <c r="G496" s="84">
        <v>1</v>
      </c>
      <c r="H496" s="77">
        <f>E496*G496</f>
        <v>5.21</v>
      </c>
      <c r="I496" s="77"/>
      <c r="J496" s="85"/>
      <c r="K496" s="99">
        <v>0.27079999999999999</v>
      </c>
      <c r="L496" s="107">
        <f t="shared" si="20"/>
        <v>1.4842</v>
      </c>
    </row>
    <row r="497" spans="1:14" s="88" customFormat="1" x14ac:dyDescent="0.2">
      <c r="A497" s="79"/>
      <c r="B497" s="75"/>
      <c r="C497" s="112" t="s">
        <v>345</v>
      </c>
      <c r="D497" s="113" t="s">
        <v>336</v>
      </c>
      <c r="E497" s="77">
        <f>3.77*N12</f>
        <v>3.77</v>
      </c>
      <c r="F497" s="71"/>
      <c r="G497" s="84">
        <v>1</v>
      </c>
      <c r="H497" s="77">
        <f>E497*G497</f>
        <v>3.77</v>
      </c>
      <c r="I497" s="77"/>
      <c r="J497" s="85"/>
      <c r="K497" s="99">
        <v>0.27079999999999999</v>
      </c>
      <c r="L497" s="107">
        <f t="shared" si="20"/>
        <v>1.4842</v>
      </c>
    </row>
    <row r="498" spans="1:14" s="88" customFormat="1" x14ac:dyDescent="0.2">
      <c r="A498" s="79"/>
      <c r="B498" s="75"/>
      <c r="C498" s="112"/>
      <c r="D498" s="113"/>
      <c r="E498" s="77"/>
      <c r="F498" s="71"/>
      <c r="G498" s="98"/>
      <c r="H498" s="77"/>
      <c r="I498" s="77"/>
      <c r="J498" s="85"/>
      <c r="K498" s="99">
        <v>0.27079999999999999</v>
      </c>
      <c r="L498" s="107">
        <f t="shared" si="20"/>
        <v>1.4842</v>
      </c>
    </row>
    <row r="499" spans="1:14" s="88" customFormat="1" x14ac:dyDescent="0.2">
      <c r="A499" s="79"/>
      <c r="B499" s="75"/>
      <c r="C499" s="112"/>
      <c r="D499" s="113"/>
      <c r="E499" s="361" t="str">
        <f>E489</f>
        <v>Custo Direto</v>
      </c>
      <c r="F499" s="361"/>
      <c r="G499" s="361"/>
      <c r="H499" s="114">
        <f>SUM(H495:H498)</f>
        <v>8.98</v>
      </c>
      <c r="I499" s="114">
        <f>SUM(I495:I498)</f>
        <v>233.529</v>
      </c>
      <c r="J499" s="85"/>
      <c r="K499" s="99">
        <v>0.27079999999999999</v>
      </c>
      <c r="L499" s="107">
        <f t="shared" si="20"/>
        <v>1.4842</v>
      </c>
    </row>
    <row r="500" spans="1:14" s="88" customFormat="1" x14ac:dyDescent="0.2">
      <c r="A500" s="79"/>
      <c r="B500" s="75"/>
      <c r="C500" s="112"/>
      <c r="D500" s="113"/>
      <c r="E500" s="361" t="str">
        <f>E490</f>
        <v>LS(%): 148,42</v>
      </c>
      <c r="F500" s="361"/>
      <c r="G500" s="361"/>
      <c r="H500" s="77">
        <f>H499*L500</f>
        <v>13.328116</v>
      </c>
      <c r="I500" s="82"/>
      <c r="J500" s="85"/>
      <c r="K500" s="99">
        <v>0.27079999999999999</v>
      </c>
      <c r="L500" s="107">
        <f t="shared" si="20"/>
        <v>1.4842</v>
      </c>
    </row>
    <row r="501" spans="1:14" s="88" customFormat="1" x14ac:dyDescent="0.2">
      <c r="A501" s="79"/>
      <c r="B501" s="75"/>
      <c r="C501" s="112"/>
      <c r="D501" s="113"/>
      <c r="E501" s="361" t="str">
        <f>E491</f>
        <v>BDI (%): 27,08</v>
      </c>
      <c r="F501" s="361"/>
      <c r="G501" s="361"/>
      <c r="H501" s="362">
        <f>(H499+I499+H500)*K501</f>
        <v>69.280691012799991</v>
      </c>
      <c r="I501" s="362"/>
      <c r="J501" s="85"/>
      <c r="K501" s="99">
        <v>0.27079999999999999</v>
      </c>
      <c r="L501" s="107">
        <f t="shared" si="20"/>
        <v>1.4842</v>
      </c>
    </row>
    <row r="502" spans="1:14" s="88" customFormat="1" x14ac:dyDescent="0.2">
      <c r="A502" s="79"/>
      <c r="B502" s="75"/>
      <c r="C502" s="112"/>
      <c r="D502" s="113"/>
      <c r="E502" s="361" t="str">
        <f>E492</f>
        <v>Valor Total c/ Taxas</v>
      </c>
      <c r="F502" s="361"/>
      <c r="G502" s="361"/>
      <c r="H502" s="77"/>
      <c r="I502" s="114">
        <f>(H499+I499+H500+H501)</f>
        <v>325.11780701279997</v>
      </c>
      <c r="J502" s="85"/>
      <c r="K502" s="99">
        <v>0.27079999999999999</v>
      </c>
      <c r="L502" s="107">
        <f t="shared" si="20"/>
        <v>1.4842</v>
      </c>
      <c r="N502" s="330">
        <v>325.12</v>
      </c>
    </row>
    <row r="503" spans="1:14" s="88" customFormat="1" x14ac:dyDescent="0.2">
      <c r="A503" s="79"/>
      <c r="B503" s="75"/>
      <c r="C503" s="112"/>
      <c r="D503" s="113"/>
      <c r="E503" s="77"/>
      <c r="F503" s="71"/>
      <c r="G503" s="77"/>
      <c r="H503" s="77"/>
      <c r="I503" s="114"/>
      <c r="J503" s="85"/>
      <c r="K503" s="99">
        <v>0.27079999999999999</v>
      </c>
      <c r="L503" s="107">
        <f t="shared" si="20"/>
        <v>1.4842</v>
      </c>
    </row>
    <row r="504" spans="1:14" s="79" customFormat="1" ht="25.5" x14ac:dyDescent="0.2">
      <c r="A504" s="149"/>
      <c r="B504" s="95" t="str">
        <f>ORÇAMENTO!A86</f>
        <v>5.2.1</v>
      </c>
      <c r="C504" s="96" t="str">
        <f>ORÇAMENTO!B86</f>
        <v>Basculante de ferro (dimensões,detalhes e nos ambinetes conforme o projeto - vide quadro de esquadrias)</v>
      </c>
      <c r="D504" s="97" t="s">
        <v>349</v>
      </c>
      <c r="E504" s="76"/>
      <c r="F504" s="71"/>
      <c r="G504" s="98"/>
      <c r="H504" s="76"/>
      <c r="I504" s="76"/>
      <c r="J504" s="90"/>
      <c r="K504" s="99">
        <v>0.27079999999999999</v>
      </c>
      <c r="L504" s="107">
        <f t="shared" si="20"/>
        <v>1.4842</v>
      </c>
    </row>
    <row r="505" spans="1:14" s="88" customFormat="1" ht="25.5" x14ac:dyDescent="0.2">
      <c r="A505" s="79"/>
      <c r="B505" s="75"/>
      <c r="C505" s="112" t="str">
        <f>C504</f>
        <v>Basculante de ferro (dimensões,detalhes e nos ambinetes conforme o projeto - vide quadro de esquadrias)</v>
      </c>
      <c r="D505" s="113" t="str">
        <f>D504</f>
        <v>M²</v>
      </c>
      <c r="E505" s="77">
        <f>248.66*N12</f>
        <v>248.66</v>
      </c>
      <c r="F505" s="71">
        <v>39.65</v>
      </c>
      <c r="G505" s="98">
        <v>1.5</v>
      </c>
      <c r="H505" s="77"/>
      <c r="I505" s="77">
        <f>E505*G505</f>
        <v>372.99</v>
      </c>
      <c r="J505" s="85"/>
      <c r="K505" s="99">
        <v>0.27079999999999999</v>
      </c>
      <c r="L505" s="107">
        <f t="shared" si="20"/>
        <v>1.4842</v>
      </c>
    </row>
    <row r="506" spans="1:14" s="88" customFormat="1" x14ac:dyDescent="0.2">
      <c r="A506" s="79"/>
      <c r="B506" s="75"/>
      <c r="C506" s="112" t="s">
        <v>358</v>
      </c>
      <c r="D506" s="113" t="s">
        <v>336</v>
      </c>
      <c r="E506" s="77">
        <f>5.21*N12</f>
        <v>5.21</v>
      </c>
      <c r="F506" s="71"/>
      <c r="G506" s="84">
        <v>1</v>
      </c>
      <c r="H506" s="77">
        <f>E506*G506</f>
        <v>5.21</v>
      </c>
      <c r="I506" s="77"/>
      <c r="J506" s="85"/>
      <c r="K506" s="99">
        <v>0.27079999999999999</v>
      </c>
      <c r="L506" s="107">
        <f t="shared" si="20"/>
        <v>1.4842</v>
      </c>
    </row>
    <row r="507" spans="1:14" s="88" customFormat="1" x14ac:dyDescent="0.2">
      <c r="A507" s="79"/>
      <c r="B507" s="75"/>
      <c r="C507" s="112" t="s">
        <v>345</v>
      </c>
      <c r="D507" s="113" t="s">
        <v>336</v>
      </c>
      <c r="E507" s="77">
        <f>3.77*N12</f>
        <v>3.77</v>
      </c>
      <c r="F507" s="71"/>
      <c r="G507" s="84">
        <v>1</v>
      </c>
      <c r="H507" s="77">
        <f>E507*G507</f>
        <v>3.77</v>
      </c>
      <c r="I507" s="77"/>
      <c r="J507" s="85"/>
      <c r="K507" s="99">
        <v>0.27079999999999999</v>
      </c>
      <c r="L507" s="107">
        <f t="shared" si="20"/>
        <v>1.4842</v>
      </c>
    </row>
    <row r="508" spans="1:14" s="88" customFormat="1" x14ac:dyDescent="0.2">
      <c r="A508" s="79"/>
      <c r="B508" s="75"/>
      <c r="C508" s="112"/>
      <c r="D508" s="113"/>
      <c r="E508" s="77"/>
      <c r="F508" s="71"/>
      <c r="G508" s="98"/>
      <c r="H508" s="77"/>
      <c r="I508" s="77"/>
      <c r="J508" s="85"/>
      <c r="K508" s="99">
        <v>0.27079999999999999</v>
      </c>
      <c r="L508" s="107">
        <f t="shared" si="20"/>
        <v>1.4842</v>
      </c>
    </row>
    <row r="509" spans="1:14" s="88" customFormat="1" x14ac:dyDescent="0.2">
      <c r="A509" s="79"/>
      <c r="B509" s="75"/>
      <c r="C509" s="112"/>
      <c r="D509" s="113"/>
      <c r="E509" s="361" t="str">
        <f>E489</f>
        <v>Custo Direto</v>
      </c>
      <c r="F509" s="361"/>
      <c r="G509" s="361"/>
      <c r="H509" s="114">
        <f>SUM(H505:H508)</f>
        <v>8.98</v>
      </c>
      <c r="I509" s="114">
        <f>SUM(I505:I508)</f>
        <v>372.99</v>
      </c>
      <c r="J509" s="85"/>
      <c r="K509" s="99">
        <v>0.27079999999999999</v>
      </c>
      <c r="L509" s="107">
        <f t="shared" si="20"/>
        <v>1.4842</v>
      </c>
    </row>
    <row r="510" spans="1:14" s="88" customFormat="1" x14ac:dyDescent="0.2">
      <c r="A510" s="79"/>
      <c r="B510" s="75"/>
      <c r="C510" s="112"/>
      <c r="D510" s="113"/>
      <c r="E510" s="361" t="str">
        <f>E490</f>
        <v>LS(%): 148,42</v>
      </c>
      <c r="F510" s="361"/>
      <c r="G510" s="361"/>
      <c r="H510" s="77">
        <f>H509*L510</f>
        <v>13.328116</v>
      </c>
      <c r="I510" s="82"/>
      <c r="J510" s="85"/>
      <c r="K510" s="99">
        <v>0.27079999999999999</v>
      </c>
      <c r="L510" s="107">
        <f t="shared" si="20"/>
        <v>1.4842</v>
      </c>
    </row>
    <row r="511" spans="1:14" s="88" customFormat="1" x14ac:dyDescent="0.2">
      <c r="A511" s="79"/>
      <c r="B511" s="75"/>
      <c r="C511" s="112"/>
      <c r="D511" s="113"/>
      <c r="E511" s="361" t="str">
        <f>E491</f>
        <v>BDI (%): 27,08</v>
      </c>
      <c r="F511" s="361"/>
      <c r="G511" s="361"/>
      <c r="H511" s="362">
        <f>(H509+I509+H510)*K511</f>
        <v>107.04672981280001</v>
      </c>
      <c r="I511" s="362"/>
      <c r="J511" s="85"/>
      <c r="K511" s="99">
        <v>0.27079999999999999</v>
      </c>
      <c r="L511" s="107">
        <f t="shared" si="20"/>
        <v>1.4842</v>
      </c>
    </row>
    <row r="512" spans="1:14" s="88" customFormat="1" x14ac:dyDescent="0.2">
      <c r="A512" s="79"/>
      <c r="B512" s="75"/>
      <c r="C512" s="112"/>
      <c r="D512" s="113"/>
      <c r="E512" s="361" t="str">
        <f>E492</f>
        <v>Valor Total c/ Taxas</v>
      </c>
      <c r="F512" s="361"/>
      <c r="G512" s="361"/>
      <c r="H512" s="77"/>
      <c r="I512" s="114">
        <f>(H509+I509+H510+H511)</f>
        <v>502.34484581280003</v>
      </c>
      <c r="J512" s="85"/>
      <c r="K512" s="99">
        <v>0.27079999999999999</v>
      </c>
      <c r="L512" s="107">
        <f t="shared" si="20"/>
        <v>1.4842</v>
      </c>
      <c r="N512" s="330">
        <v>502.34</v>
      </c>
    </row>
    <row r="513" spans="1:14" s="88" customFormat="1" x14ac:dyDescent="0.2">
      <c r="A513" s="79"/>
      <c r="B513" s="75"/>
      <c r="C513" s="112"/>
      <c r="D513" s="113"/>
      <c r="E513" s="77"/>
      <c r="F513" s="71"/>
      <c r="G513" s="98"/>
      <c r="H513" s="77"/>
      <c r="I513" s="114"/>
      <c r="J513" s="85"/>
      <c r="K513" s="99">
        <v>0.27079999999999999</v>
      </c>
      <c r="L513" s="107">
        <f t="shared" si="20"/>
        <v>1.4842</v>
      </c>
    </row>
    <row r="514" spans="1:14" s="79" customFormat="1" ht="25.5" x14ac:dyDescent="0.2">
      <c r="A514" s="151"/>
      <c r="B514" s="95" t="str">
        <f>ORÇAMENTO!A88</f>
        <v>5.3.1</v>
      </c>
      <c r="C514" s="96" t="str">
        <f>ORÇAMENTO!B88</f>
        <v>Fechadura,maçaneta/espelho,acabamento cromado brilhante,conforme especificações</v>
      </c>
      <c r="D514" s="97" t="str">
        <f>D504</f>
        <v>M²</v>
      </c>
      <c r="E514" s="76"/>
      <c r="F514" s="71"/>
      <c r="G514" s="98"/>
      <c r="H514" s="76"/>
      <c r="I514" s="76"/>
      <c r="J514" s="90"/>
      <c r="K514" s="99">
        <v>0.27079999999999999</v>
      </c>
      <c r="L514" s="107">
        <f t="shared" si="20"/>
        <v>1.4842</v>
      </c>
    </row>
    <row r="515" spans="1:14" s="88" customFormat="1" ht="25.5" x14ac:dyDescent="0.2">
      <c r="A515" s="79"/>
      <c r="B515" s="75"/>
      <c r="C515" s="112" t="str">
        <f>C514</f>
        <v>Fechadura,maçaneta/espelho,acabamento cromado brilhante,conforme especificações</v>
      </c>
      <c r="D515" s="113" t="str">
        <f>D514</f>
        <v>M²</v>
      </c>
      <c r="E515" s="77">
        <f>52.01*N12</f>
        <v>52.01</v>
      </c>
      <c r="F515" s="71">
        <v>28</v>
      </c>
      <c r="G515" s="98">
        <v>1.5</v>
      </c>
      <c r="H515" s="77"/>
      <c r="I515" s="77">
        <f>E515*G515</f>
        <v>78.015000000000001</v>
      </c>
      <c r="J515" s="85"/>
      <c r="K515" s="99">
        <v>0.27079999999999999</v>
      </c>
      <c r="L515" s="107">
        <f t="shared" si="20"/>
        <v>1.4842</v>
      </c>
    </row>
    <row r="516" spans="1:14" s="88" customFormat="1" x14ac:dyDescent="0.2">
      <c r="A516" s="79"/>
      <c r="B516" s="75"/>
      <c r="C516" s="112" t="s">
        <v>358</v>
      </c>
      <c r="D516" s="113" t="s">
        <v>336</v>
      </c>
      <c r="E516" s="77">
        <f>5.21*N12</f>
        <v>5.21</v>
      </c>
      <c r="F516" s="71"/>
      <c r="G516" s="84">
        <v>1</v>
      </c>
      <c r="H516" s="77">
        <f>E516*G516</f>
        <v>5.21</v>
      </c>
      <c r="I516" s="77"/>
      <c r="J516" s="85"/>
      <c r="K516" s="99">
        <v>0.27079999999999999</v>
      </c>
      <c r="L516" s="107">
        <f t="shared" si="20"/>
        <v>1.4842</v>
      </c>
    </row>
    <row r="517" spans="1:14" s="88" customFormat="1" x14ac:dyDescent="0.2">
      <c r="A517" s="79"/>
      <c r="B517" s="75"/>
      <c r="C517" s="112" t="s">
        <v>345</v>
      </c>
      <c r="D517" s="113" t="s">
        <v>336</v>
      </c>
      <c r="E517" s="77">
        <f>3.77*N12</f>
        <v>3.77</v>
      </c>
      <c r="F517" s="71"/>
      <c r="G517" s="84">
        <v>1</v>
      </c>
      <c r="H517" s="77">
        <f>E517*G517</f>
        <v>3.77</v>
      </c>
      <c r="I517" s="77"/>
      <c r="J517" s="85"/>
      <c r="K517" s="99">
        <v>0.27079999999999999</v>
      </c>
      <c r="L517" s="107">
        <f t="shared" si="20"/>
        <v>1.4842</v>
      </c>
    </row>
    <row r="518" spans="1:14" s="88" customFormat="1" x14ac:dyDescent="0.2">
      <c r="A518" s="79"/>
      <c r="B518" s="75"/>
      <c r="C518" s="112"/>
      <c r="D518" s="113"/>
      <c r="E518" s="77"/>
      <c r="F518" s="71"/>
      <c r="G518" s="98"/>
      <c r="H518" s="77"/>
      <c r="I518" s="77"/>
      <c r="J518" s="85"/>
      <c r="K518" s="99">
        <v>0.27079999999999999</v>
      </c>
      <c r="L518" s="107">
        <f t="shared" si="20"/>
        <v>1.4842</v>
      </c>
    </row>
    <row r="519" spans="1:14" s="88" customFormat="1" x14ac:dyDescent="0.2">
      <c r="A519" s="79"/>
      <c r="B519" s="75"/>
      <c r="C519" s="112"/>
      <c r="D519" s="113"/>
      <c r="E519" s="361" t="str">
        <f>E509</f>
        <v>Custo Direto</v>
      </c>
      <c r="F519" s="361"/>
      <c r="G519" s="361"/>
      <c r="H519" s="114">
        <f>SUM(H515:H518)</f>
        <v>8.98</v>
      </c>
      <c r="I519" s="114">
        <f>SUM(I515:I518)</f>
        <v>78.015000000000001</v>
      </c>
      <c r="J519" s="85"/>
      <c r="K519" s="99">
        <v>0.27079999999999999</v>
      </c>
      <c r="L519" s="107">
        <f t="shared" si="20"/>
        <v>1.4842</v>
      </c>
    </row>
    <row r="520" spans="1:14" s="88" customFormat="1" x14ac:dyDescent="0.2">
      <c r="A520" s="79"/>
      <c r="B520" s="75"/>
      <c r="C520" s="112"/>
      <c r="D520" s="113"/>
      <c r="E520" s="361" t="str">
        <f>E510</f>
        <v>LS(%): 148,42</v>
      </c>
      <c r="F520" s="361"/>
      <c r="G520" s="361"/>
      <c r="H520" s="77">
        <f>H519*L520</f>
        <v>13.328116</v>
      </c>
      <c r="I520" s="82"/>
      <c r="J520" s="85"/>
      <c r="K520" s="99">
        <v>0.27079999999999999</v>
      </c>
      <c r="L520" s="107">
        <f t="shared" si="20"/>
        <v>1.4842</v>
      </c>
    </row>
    <row r="521" spans="1:14" s="88" customFormat="1" x14ac:dyDescent="0.2">
      <c r="A521" s="79"/>
      <c r="B521" s="75"/>
      <c r="C521" s="112"/>
      <c r="D521" s="113"/>
      <c r="E521" s="361" t="str">
        <f>E511</f>
        <v>BDI (%): 27,08</v>
      </c>
      <c r="F521" s="361"/>
      <c r="G521" s="361"/>
      <c r="H521" s="362">
        <f>(H519+I519+H520)*K521</f>
        <v>27.167499812799999</v>
      </c>
      <c r="I521" s="362"/>
      <c r="J521" s="85"/>
      <c r="K521" s="99">
        <v>0.27079999999999999</v>
      </c>
      <c r="L521" s="107">
        <f t="shared" si="20"/>
        <v>1.4842</v>
      </c>
    </row>
    <row r="522" spans="1:14" s="88" customFormat="1" x14ac:dyDescent="0.2">
      <c r="A522" s="79"/>
      <c r="B522" s="75"/>
      <c r="C522" s="112"/>
      <c r="D522" s="113"/>
      <c r="E522" s="361" t="str">
        <f>E512</f>
        <v>Valor Total c/ Taxas</v>
      </c>
      <c r="F522" s="361"/>
      <c r="G522" s="361"/>
      <c r="H522" s="77"/>
      <c r="I522" s="114">
        <f>(H519+I519+H520+H521)</f>
        <v>127.4906158128</v>
      </c>
      <c r="J522" s="85"/>
      <c r="K522" s="99">
        <v>0.27079999999999999</v>
      </c>
      <c r="L522" s="107">
        <f t="shared" si="20"/>
        <v>1.4842</v>
      </c>
      <c r="N522" s="330">
        <v>127.49</v>
      </c>
    </row>
    <row r="523" spans="1:14" s="88" customFormat="1" x14ac:dyDescent="0.2">
      <c r="A523" s="79"/>
      <c r="B523" s="75"/>
      <c r="C523" s="112"/>
      <c r="D523" s="113"/>
      <c r="E523" s="77"/>
      <c r="F523" s="71"/>
      <c r="G523" s="98"/>
      <c r="H523" s="77"/>
      <c r="I523" s="114"/>
      <c r="J523" s="85"/>
      <c r="K523" s="99">
        <v>0.27079999999999999</v>
      </c>
      <c r="L523" s="107">
        <f>L508</f>
        <v>1.4842</v>
      </c>
    </row>
    <row r="524" spans="1:14" s="79" customFormat="1" ht="38.25" x14ac:dyDescent="0.2">
      <c r="A524" s="152"/>
      <c r="B524" s="95" t="str">
        <f>ORÇAMENTO!A89</f>
        <v>5.3.2</v>
      </c>
      <c r="C524" s="96" t="str">
        <f>ORÇAMENTO!B89</f>
        <v>Dobradiça de latão ou aço,acabamento cromado brilhante,tipo média, 3 x 2  1/2'' com anéis,com parafusos,conforme especificações</v>
      </c>
      <c r="D524" s="97" t="str">
        <f>D514</f>
        <v>M²</v>
      </c>
      <c r="E524" s="76"/>
      <c r="F524" s="71"/>
      <c r="G524" s="98"/>
      <c r="H524" s="76"/>
      <c r="I524" s="76"/>
      <c r="J524" s="90"/>
      <c r="K524" s="99">
        <v>0.27079999999999999</v>
      </c>
      <c r="L524" s="107">
        <f t="shared" si="20"/>
        <v>1.4842</v>
      </c>
    </row>
    <row r="525" spans="1:14" s="88" customFormat="1" ht="38.25" x14ac:dyDescent="0.2">
      <c r="A525" s="79"/>
      <c r="B525" s="75"/>
      <c r="C525" s="112" t="str">
        <f>C524</f>
        <v>Dobradiça de latão ou aço,acabamento cromado brilhante,tipo média, 3 x 2  1/2'' com anéis,com parafusos,conforme especificações</v>
      </c>
      <c r="D525" s="113" t="str">
        <f>D524</f>
        <v>M²</v>
      </c>
      <c r="E525" s="77">
        <f>6.503*N12</f>
        <v>6.5030000000000001</v>
      </c>
      <c r="F525" s="71">
        <v>3.12</v>
      </c>
      <c r="G525" s="98">
        <v>1.5</v>
      </c>
      <c r="H525" s="77"/>
      <c r="I525" s="77">
        <f>E525*G525</f>
        <v>9.7545000000000002</v>
      </c>
      <c r="J525" s="85"/>
      <c r="K525" s="99">
        <v>0.27079999999999999</v>
      </c>
      <c r="L525" s="107">
        <f t="shared" si="20"/>
        <v>1.4842</v>
      </c>
    </row>
    <row r="526" spans="1:14" s="88" customFormat="1" x14ac:dyDescent="0.2">
      <c r="A526" s="79"/>
      <c r="B526" s="75"/>
      <c r="C526" s="112" t="s">
        <v>358</v>
      </c>
      <c r="D526" s="113" t="s">
        <v>336</v>
      </c>
      <c r="E526" s="77">
        <f>5.21*N12</f>
        <v>5.21</v>
      </c>
      <c r="F526" s="71"/>
      <c r="G526" s="84">
        <v>5.0000000000000001E-3</v>
      </c>
      <c r="H526" s="77">
        <f>E526*G526</f>
        <v>2.605E-2</v>
      </c>
      <c r="I526" s="77"/>
      <c r="J526" s="85"/>
      <c r="K526" s="99">
        <v>0.27079999999999999</v>
      </c>
      <c r="L526" s="107">
        <f t="shared" si="20"/>
        <v>1.4842</v>
      </c>
    </row>
    <row r="527" spans="1:14" s="88" customFormat="1" x14ac:dyDescent="0.2">
      <c r="A527" s="79"/>
      <c r="B527" s="75"/>
      <c r="C527" s="112" t="s">
        <v>345</v>
      </c>
      <c r="D527" s="113" t="s">
        <v>336</v>
      </c>
      <c r="E527" s="77">
        <f>3.77*N12</f>
        <v>3.77</v>
      </c>
      <c r="F527" s="71"/>
      <c r="G527" s="84">
        <v>5.0000000000000001E-3</v>
      </c>
      <c r="H527" s="77">
        <f>E527*G527</f>
        <v>1.8850000000000002E-2</v>
      </c>
      <c r="I527" s="77"/>
      <c r="J527" s="85"/>
      <c r="K527" s="99">
        <v>0.27079999999999999</v>
      </c>
      <c r="L527" s="107">
        <f t="shared" si="20"/>
        <v>1.4842</v>
      </c>
    </row>
    <row r="528" spans="1:14" s="88" customFormat="1" x14ac:dyDescent="0.2">
      <c r="A528" s="79"/>
      <c r="B528" s="75"/>
      <c r="C528" s="112"/>
      <c r="D528" s="113"/>
      <c r="E528" s="77"/>
      <c r="F528" s="71"/>
      <c r="G528" s="98"/>
      <c r="H528" s="77"/>
      <c r="I528" s="77"/>
      <c r="J528" s="85"/>
      <c r="K528" s="99">
        <v>0.27079999999999999</v>
      </c>
      <c r="L528" s="107">
        <f t="shared" si="20"/>
        <v>1.4842</v>
      </c>
    </row>
    <row r="529" spans="1:14" s="88" customFormat="1" x14ac:dyDescent="0.2">
      <c r="A529" s="79"/>
      <c r="B529" s="75"/>
      <c r="C529" s="112"/>
      <c r="D529" s="113"/>
      <c r="E529" s="361" t="str">
        <f>E519</f>
        <v>Custo Direto</v>
      </c>
      <c r="F529" s="361"/>
      <c r="G529" s="361"/>
      <c r="H529" s="114">
        <f>SUM(H525:H528)</f>
        <v>4.4900000000000002E-2</v>
      </c>
      <c r="I529" s="114">
        <f>SUM(I525:I528)</f>
        <v>9.7545000000000002</v>
      </c>
      <c r="J529" s="85"/>
      <c r="K529" s="99">
        <v>0.27079999999999999</v>
      </c>
      <c r="L529" s="107">
        <f t="shared" si="20"/>
        <v>1.4842</v>
      </c>
    </row>
    <row r="530" spans="1:14" s="88" customFormat="1" x14ac:dyDescent="0.2">
      <c r="A530" s="79"/>
      <c r="B530" s="75"/>
      <c r="C530" s="112"/>
      <c r="D530" s="113"/>
      <c r="E530" s="361" t="str">
        <f>E520</f>
        <v>LS(%): 148,42</v>
      </c>
      <c r="F530" s="361"/>
      <c r="G530" s="361"/>
      <c r="H530" s="77">
        <f>H529*L530</f>
        <v>6.6640580000000005E-2</v>
      </c>
      <c r="I530" s="82"/>
      <c r="J530" s="85"/>
      <c r="K530" s="99">
        <v>0.27079999999999999</v>
      </c>
      <c r="L530" s="107">
        <f t="shared" si="20"/>
        <v>1.4842</v>
      </c>
    </row>
    <row r="531" spans="1:14" s="88" customFormat="1" x14ac:dyDescent="0.2">
      <c r="A531" s="79"/>
      <c r="B531" s="75"/>
      <c r="C531" s="112"/>
      <c r="D531" s="113"/>
      <c r="E531" s="361" t="str">
        <f>E521</f>
        <v>BDI (%): 27,08</v>
      </c>
      <c r="F531" s="361"/>
      <c r="G531" s="361"/>
      <c r="H531" s="362">
        <f>(H529+I529+H530)*K531</f>
        <v>2.671723789064</v>
      </c>
      <c r="I531" s="362"/>
      <c r="J531" s="85"/>
      <c r="K531" s="99">
        <v>0.27079999999999999</v>
      </c>
      <c r="L531" s="107">
        <f t="shared" ref="L531:L571" si="22">L530</f>
        <v>1.4842</v>
      </c>
    </row>
    <row r="532" spans="1:14" s="88" customFormat="1" x14ac:dyDescent="0.2">
      <c r="A532" s="79"/>
      <c r="B532" s="75"/>
      <c r="C532" s="112"/>
      <c r="D532" s="113"/>
      <c r="E532" s="361" t="str">
        <f>E522</f>
        <v>Valor Total c/ Taxas</v>
      </c>
      <c r="F532" s="361"/>
      <c r="G532" s="361"/>
      <c r="H532" s="77"/>
      <c r="I532" s="114">
        <f>(H529+I529+H530+H531)</f>
        <v>12.537764369064</v>
      </c>
      <c r="J532" s="85"/>
      <c r="K532" s="99">
        <v>0.27079999999999999</v>
      </c>
      <c r="L532" s="107">
        <f t="shared" si="22"/>
        <v>1.4842</v>
      </c>
      <c r="N532" s="330">
        <v>12.54</v>
      </c>
    </row>
    <row r="533" spans="1:14" s="88" customFormat="1" x14ac:dyDescent="0.2">
      <c r="A533" s="79"/>
      <c r="B533" s="75"/>
      <c r="C533" s="112"/>
      <c r="D533" s="113"/>
      <c r="E533" s="77"/>
      <c r="F533" s="71"/>
      <c r="G533" s="98"/>
      <c r="H533" s="77"/>
      <c r="I533" s="114"/>
      <c r="J533" s="85"/>
      <c r="K533" s="99">
        <v>0.27079999999999999</v>
      </c>
      <c r="L533" s="107">
        <f t="shared" si="22"/>
        <v>1.4842</v>
      </c>
    </row>
    <row r="534" spans="1:14" s="79" customFormat="1" ht="19.5" customHeight="1" x14ac:dyDescent="0.2">
      <c r="A534" s="152"/>
      <c r="B534" s="95" t="str">
        <f>ORÇAMENTO!A90</f>
        <v>5.3.3</v>
      </c>
      <c r="C534" s="96" t="str">
        <f>ORÇAMENTO!B90</f>
        <v>Tarjeta em aço inox para banheiro (tipo livre/ocupado)</v>
      </c>
      <c r="D534" s="97" t="str">
        <f>D524</f>
        <v>M²</v>
      </c>
      <c r="E534" s="76"/>
      <c r="F534" s="71"/>
      <c r="G534" s="98"/>
      <c r="H534" s="76"/>
      <c r="I534" s="76"/>
      <c r="J534" s="90"/>
      <c r="K534" s="99">
        <v>0.27079999999999999</v>
      </c>
      <c r="L534" s="107">
        <f t="shared" si="22"/>
        <v>1.4842</v>
      </c>
    </row>
    <row r="535" spans="1:14" s="88" customFormat="1" ht="16.5" customHeight="1" x14ac:dyDescent="0.2">
      <c r="A535" s="79"/>
      <c r="B535" s="75"/>
      <c r="C535" s="112" t="str">
        <f>C534</f>
        <v>Tarjeta em aço inox para banheiro (tipo livre/ocupado)</v>
      </c>
      <c r="D535" s="113" t="str">
        <f>D534</f>
        <v>M²</v>
      </c>
      <c r="E535" s="77">
        <f>22.94*N12</f>
        <v>22.94</v>
      </c>
      <c r="F535" s="71">
        <v>3.12</v>
      </c>
      <c r="G535" s="98">
        <v>1</v>
      </c>
      <c r="H535" s="77"/>
      <c r="I535" s="77">
        <f>E535*G535</f>
        <v>22.94</v>
      </c>
      <c r="J535" s="85"/>
      <c r="K535" s="99">
        <v>0.27079999999999999</v>
      </c>
      <c r="L535" s="107">
        <f t="shared" si="22"/>
        <v>1.4842</v>
      </c>
    </row>
    <row r="536" spans="1:14" s="88" customFormat="1" x14ac:dyDescent="0.2">
      <c r="A536" s="79"/>
      <c r="B536" s="75"/>
      <c r="C536" s="112" t="s">
        <v>358</v>
      </c>
      <c r="D536" s="113" t="s">
        <v>336</v>
      </c>
      <c r="E536" s="77">
        <f>5.21*N12</f>
        <v>5.21</v>
      </c>
      <c r="F536" s="71"/>
      <c r="G536" s="84">
        <v>0.03</v>
      </c>
      <c r="H536" s="77">
        <f>E536*G536</f>
        <v>0.15629999999999999</v>
      </c>
      <c r="I536" s="77"/>
      <c r="J536" s="85"/>
      <c r="K536" s="99">
        <v>0.27079999999999999</v>
      </c>
      <c r="L536" s="107">
        <f t="shared" si="22"/>
        <v>1.4842</v>
      </c>
    </row>
    <row r="537" spans="1:14" s="88" customFormat="1" x14ac:dyDescent="0.2">
      <c r="A537" s="79"/>
      <c r="B537" s="75"/>
      <c r="C537" s="112" t="s">
        <v>345</v>
      </c>
      <c r="D537" s="113" t="s">
        <v>336</v>
      </c>
      <c r="E537" s="77">
        <f>3.77*N12</f>
        <v>3.77</v>
      </c>
      <c r="F537" s="71"/>
      <c r="G537" s="84">
        <v>0.03</v>
      </c>
      <c r="H537" s="77">
        <f>E537*G537</f>
        <v>0.11309999999999999</v>
      </c>
      <c r="I537" s="77"/>
      <c r="J537" s="85"/>
      <c r="K537" s="99">
        <v>0.27079999999999999</v>
      </c>
      <c r="L537" s="107">
        <f t="shared" si="22"/>
        <v>1.4842</v>
      </c>
    </row>
    <row r="538" spans="1:14" s="88" customFormat="1" x14ac:dyDescent="0.2">
      <c r="A538" s="79"/>
      <c r="B538" s="75"/>
      <c r="C538" s="112"/>
      <c r="D538" s="113"/>
      <c r="E538" s="77"/>
      <c r="F538" s="71"/>
      <c r="G538" s="98"/>
      <c r="H538" s="77"/>
      <c r="I538" s="77"/>
      <c r="J538" s="85"/>
      <c r="K538" s="99">
        <v>0.27079999999999999</v>
      </c>
      <c r="L538" s="107">
        <f t="shared" si="22"/>
        <v>1.4842</v>
      </c>
    </row>
    <row r="539" spans="1:14" s="88" customFormat="1" x14ac:dyDescent="0.2">
      <c r="A539" s="79"/>
      <c r="B539" s="75"/>
      <c r="C539" s="112"/>
      <c r="D539" s="113"/>
      <c r="E539" s="361" t="str">
        <f>E519</f>
        <v>Custo Direto</v>
      </c>
      <c r="F539" s="361"/>
      <c r="G539" s="361"/>
      <c r="H539" s="114">
        <f>SUM(H535:H538)</f>
        <v>0.26939999999999997</v>
      </c>
      <c r="I539" s="114">
        <f>SUM(I535:I538)</f>
        <v>22.94</v>
      </c>
      <c r="J539" s="85"/>
      <c r="K539" s="99">
        <v>0.27079999999999999</v>
      </c>
      <c r="L539" s="107">
        <f t="shared" si="22"/>
        <v>1.4842</v>
      </c>
    </row>
    <row r="540" spans="1:14" s="88" customFormat="1" x14ac:dyDescent="0.2">
      <c r="A540" s="79"/>
      <c r="B540" s="75"/>
      <c r="C540" s="112"/>
      <c r="D540" s="113"/>
      <c r="E540" s="361" t="str">
        <f>E520</f>
        <v>LS(%): 148,42</v>
      </c>
      <c r="F540" s="361"/>
      <c r="G540" s="361"/>
      <c r="H540" s="77">
        <f>H539*L540</f>
        <v>0.39984347999999997</v>
      </c>
      <c r="I540" s="82"/>
      <c r="J540" s="85"/>
      <c r="K540" s="99">
        <v>0.27079999999999999</v>
      </c>
      <c r="L540" s="107">
        <f t="shared" si="22"/>
        <v>1.4842</v>
      </c>
    </row>
    <row r="541" spans="1:14" s="88" customFormat="1" x14ac:dyDescent="0.2">
      <c r="A541" s="79"/>
      <c r="B541" s="75"/>
      <c r="C541" s="112"/>
      <c r="D541" s="113"/>
      <c r="E541" s="361" t="str">
        <f>E521</f>
        <v>BDI (%): 27,08</v>
      </c>
      <c r="F541" s="361"/>
      <c r="G541" s="361"/>
      <c r="H541" s="362">
        <f>(H539+I539+H540)*K541</f>
        <v>6.3933831343840009</v>
      </c>
      <c r="I541" s="362"/>
      <c r="J541" s="85"/>
      <c r="K541" s="99">
        <v>0.27079999999999999</v>
      </c>
      <c r="L541" s="107">
        <f t="shared" si="22"/>
        <v>1.4842</v>
      </c>
    </row>
    <row r="542" spans="1:14" s="88" customFormat="1" x14ac:dyDescent="0.2">
      <c r="A542" s="79"/>
      <c r="B542" s="75"/>
      <c r="C542" s="112"/>
      <c r="D542" s="113"/>
      <c r="E542" s="361" t="str">
        <f>E522</f>
        <v>Valor Total c/ Taxas</v>
      </c>
      <c r="F542" s="361"/>
      <c r="G542" s="361"/>
      <c r="H542" s="77"/>
      <c r="I542" s="114">
        <f>(H539+I539+H540+H541)</f>
        <v>30.002626614384006</v>
      </c>
      <c r="J542" s="85"/>
      <c r="K542" s="99">
        <v>0.27079999999999999</v>
      </c>
      <c r="L542" s="107">
        <f t="shared" si="22"/>
        <v>1.4842</v>
      </c>
      <c r="N542" s="330">
        <v>30</v>
      </c>
    </row>
    <row r="543" spans="1:14" s="88" customFormat="1" x14ac:dyDescent="0.2">
      <c r="A543" s="79"/>
      <c r="B543" s="75"/>
      <c r="C543" s="112"/>
      <c r="D543" s="113"/>
      <c r="E543" s="77"/>
      <c r="F543" s="71"/>
      <c r="G543" s="98"/>
      <c r="H543" s="77"/>
      <c r="I543" s="114"/>
      <c r="J543" s="85"/>
      <c r="K543" s="99">
        <v>0.27079999999999999</v>
      </c>
      <c r="L543" s="107">
        <f t="shared" si="22"/>
        <v>1.4842</v>
      </c>
    </row>
    <row r="544" spans="1:14" s="79" customFormat="1" ht="17.25" customHeight="1" x14ac:dyDescent="0.2">
      <c r="A544" s="152"/>
      <c r="B544" s="125" t="str">
        <f>ORÇAMENTO!A94</f>
        <v>6.1.1</v>
      </c>
      <c r="C544" s="96" t="str">
        <f>ORÇAMENTO!B94</f>
        <v>Telhado em telha cerâmica tipo PLAN  de primeira qualidade</v>
      </c>
      <c r="D544" s="97" t="str">
        <f>D534</f>
        <v>M²</v>
      </c>
      <c r="E544" s="76"/>
      <c r="F544" s="71"/>
      <c r="G544" s="98"/>
      <c r="H544" s="76"/>
      <c r="I544" s="76"/>
      <c r="J544" s="90"/>
      <c r="K544" s="99">
        <v>0.27079999999999999</v>
      </c>
      <c r="L544" s="107">
        <f t="shared" si="22"/>
        <v>1.4842</v>
      </c>
    </row>
    <row r="545" spans="1:14" s="88" customFormat="1" ht="12" customHeight="1" x14ac:dyDescent="0.2">
      <c r="A545" s="79"/>
      <c r="B545" s="75"/>
      <c r="C545" s="112" t="str">
        <f>C544</f>
        <v>Telhado em telha cerâmica tipo PLAN  de primeira qualidade</v>
      </c>
      <c r="D545" s="113" t="str">
        <f>D544</f>
        <v>M²</v>
      </c>
      <c r="E545" s="77">
        <f>27.05*N12</f>
        <v>27.05</v>
      </c>
      <c r="F545" s="71">
        <v>2.4300000000000002</v>
      </c>
      <c r="G545" s="98">
        <v>1</v>
      </c>
      <c r="H545" s="77"/>
      <c r="I545" s="77">
        <f>E545*G545</f>
        <v>27.05</v>
      </c>
      <c r="J545" s="85"/>
      <c r="K545" s="99">
        <v>0.27079999999999999</v>
      </c>
      <c r="L545" s="107">
        <f t="shared" si="22"/>
        <v>1.4842</v>
      </c>
    </row>
    <row r="546" spans="1:14" s="88" customFormat="1" x14ac:dyDescent="0.2">
      <c r="A546" s="79"/>
      <c r="B546" s="75"/>
      <c r="C546" s="112" t="s">
        <v>549</v>
      </c>
      <c r="D546" s="113" t="s">
        <v>336</v>
      </c>
      <c r="E546" s="77">
        <f>5.21*N12</f>
        <v>5.21</v>
      </c>
      <c r="F546" s="71"/>
      <c r="G546" s="84">
        <v>0.5</v>
      </c>
      <c r="H546" s="77">
        <f>E546*G546</f>
        <v>2.605</v>
      </c>
      <c r="I546" s="144"/>
      <c r="J546" s="85"/>
      <c r="K546" s="99">
        <v>0.27079999999999999</v>
      </c>
      <c r="L546" s="107">
        <f t="shared" si="22"/>
        <v>1.4842</v>
      </c>
    </row>
    <row r="547" spans="1:14" s="88" customFormat="1" x14ac:dyDescent="0.2">
      <c r="A547" s="79"/>
      <c r="B547" s="75"/>
      <c r="C547" s="112" t="s">
        <v>345</v>
      </c>
      <c r="D547" s="113" t="s">
        <v>336</v>
      </c>
      <c r="E547" s="77">
        <f>3.77*N12</f>
        <v>3.77</v>
      </c>
      <c r="F547" s="71"/>
      <c r="G547" s="84">
        <v>0.5</v>
      </c>
      <c r="H547" s="77">
        <f>E547*G547</f>
        <v>1.885</v>
      </c>
      <c r="I547" s="144"/>
      <c r="J547" s="85"/>
      <c r="K547" s="99">
        <v>0.27079999999999999</v>
      </c>
      <c r="L547" s="107">
        <f t="shared" si="22"/>
        <v>1.4842</v>
      </c>
    </row>
    <row r="548" spans="1:14" s="88" customFormat="1" x14ac:dyDescent="0.2">
      <c r="A548" s="79"/>
      <c r="B548" s="75"/>
      <c r="C548" s="112"/>
      <c r="D548" s="113"/>
      <c r="E548" s="77"/>
      <c r="F548" s="71"/>
      <c r="G548" s="98"/>
      <c r="H548" s="77"/>
      <c r="I548" s="77"/>
      <c r="J548" s="85"/>
      <c r="K548" s="99">
        <v>0.27079999999999999</v>
      </c>
      <c r="L548" s="107">
        <f t="shared" si="22"/>
        <v>1.4842</v>
      </c>
    </row>
    <row r="549" spans="1:14" s="88" customFormat="1" x14ac:dyDescent="0.2">
      <c r="A549" s="79"/>
      <c r="B549" s="75"/>
      <c r="C549" s="112"/>
      <c r="D549" s="113"/>
      <c r="E549" s="361" t="str">
        <f>E539</f>
        <v>Custo Direto</v>
      </c>
      <c r="F549" s="361"/>
      <c r="G549" s="361"/>
      <c r="H549" s="114">
        <f>SUM(H545:H548)</f>
        <v>4.49</v>
      </c>
      <c r="I549" s="114">
        <f>SUM(I545:I548)</f>
        <v>27.05</v>
      </c>
      <c r="J549" s="85"/>
      <c r="K549" s="99">
        <v>0.27079999999999999</v>
      </c>
      <c r="L549" s="107">
        <f t="shared" si="22"/>
        <v>1.4842</v>
      </c>
    </row>
    <row r="550" spans="1:14" s="88" customFormat="1" x14ac:dyDescent="0.2">
      <c r="A550" s="79"/>
      <c r="B550" s="75"/>
      <c r="C550" s="112"/>
      <c r="D550" s="113"/>
      <c r="E550" s="361" t="str">
        <f>E540</f>
        <v>LS(%): 148,42</v>
      </c>
      <c r="F550" s="361"/>
      <c r="G550" s="361"/>
      <c r="H550" s="77">
        <f>H549*L550</f>
        <v>6.6640579999999998</v>
      </c>
      <c r="I550" s="82"/>
      <c r="J550" s="85"/>
      <c r="K550" s="99">
        <v>0.27079999999999999</v>
      </c>
      <c r="L550" s="107">
        <f t="shared" si="22"/>
        <v>1.4842</v>
      </c>
    </row>
    <row r="551" spans="1:14" s="88" customFormat="1" x14ac:dyDescent="0.2">
      <c r="A551" s="79"/>
      <c r="B551" s="75"/>
      <c r="C551" s="112"/>
      <c r="D551" s="113"/>
      <c r="E551" s="361" t="str">
        <f>E541</f>
        <v>BDI (%): 27,08</v>
      </c>
      <c r="F551" s="361"/>
      <c r="G551" s="361"/>
      <c r="H551" s="362">
        <f>(H549+I549+H550)*K551</f>
        <v>10.345658906399999</v>
      </c>
      <c r="I551" s="362"/>
      <c r="J551" s="85"/>
      <c r="K551" s="99">
        <v>0.27079999999999999</v>
      </c>
      <c r="L551" s="107">
        <f t="shared" si="22"/>
        <v>1.4842</v>
      </c>
    </row>
    <row r="552" spans="1:14" s="88" customFormat="1" x14ac:dyDescent="0.2">
      <c r="A552" s="79"/>
      <c r="B552" s="75"/>
      <c r="C552" s="112"/>
      <c r="D552" s="113"/>
      <c r="E552" s="361" t="str">
        <f>E542</f>
        <v>Valor Total c/ Taxas</v>
      </c>
      <c r="F552" s="361"/>
      <c r="G552" s="361"/>
      <c r="H552" s="77"/>
      <c r="I552" s="114">
        <f>(H549+I549+H550+H551)</f>
        <v>48.549716906399993</v>
      </c>
      <c r="J552" s="85"/>
      <c r="K552" s="99">
        <v>0.27079999999999999</v>
      </c>
      <c r="L552" s="107">
        <f t="shared" si="22"/>
        <v>1.4842</v>
      </c>
      <c r="N552" s="330">
        <v>48.55</v>
      </c>
    </row>
    <row r="553" spans="1:14" s="88" customFormat="1" x14ac:dyDescent="0.2">
      <c r="A553" s="79"/>
      <c r="B553" s="75"/>
      <c r="C553" s="112"/>
      <c r="D553" s="113"/>
      <c r="E553" s="77"/>
      <c r="F553" s="71"/>
      <c r="G553" s="98"/>
      <c r="H553" s="77"/>
      <c r="I553" s="114"/>
      <c r="J553" s="85"/>
      <c r="K553" s="99">
        <v>0.27079999999999999</v>
      </c>
      <c r="L553" s="107">
        <f t="shared" si="22"/>
        <v>1.4842</v>
      </c>
    </row>
    <row r="554" spans="1:14" s="79" customFormat="1" ht="17.25" customHeight="1" x14ac:dyDescent="0.2">
      <c r="A554" s="152"/>
      <c r="B554" s="125" t="str">
        <f>ORÇAMENTO!A95</f>
        <v>6.1.2</v>
      </c>
      <c r="C554" s="96" t="str">
        <f>ORÇAMENTO!B95</f>
        <v>Cumeeira para telha tipo PLAN,inclusive emassamento</v>
      </c>
      <c r="D554" s="97" t="s">
        <v>355</v>
      </c>
      <c r="E554" s="76"/>
      <c r="F554" s="71"/>
      <c r="G554" s="98"/>
      <c r="H554" s="76"/>
      <c r="I554" s="76"/>
      <c r="J554" s="90"/>
      <c r="K554" s="99">
        <v>0.27079999999999999</v>
      </c>
      <c r="L554" s="107">
        <f t="shared" si="22"/>
        <v>1.4842</v>
      </c>
    </row>
    <row r="555" spans="1:14" s="88" customFormat="1" ht="12" customHeight="1" x14ac:dyDescent="0.2">
      <c r="A555" s="79"/>
      <c r="B555" s="75"/>
      <c r="C555" s="112" t="str">
        <f>C554</f>
        <v>Cumeeira para telha tipo PLAN,inclusive emassamento</v>
      </c>
      <c r="D555" s="113" t="str">
        <f>D554</f>
        <v>M</v>
      </c>
      <c r="E555" s="77">
        <f>8.56*N12</f>
        <v>8.56</v>
      </c>
      <c r="F555" s="71">
        <v>180</v>
      </c>
      <c r="G555" s="98">
        <v>1</v>
      </c>
      <c r="H555" s="77"/>
      <c r="I555" s="77">
        <f>E555*G555</f>
        <v>8.56</v>
      </c>
      <c r="J555" s="85"/>
      <c r="K555" s="99">
        <v>0.27079999999999999</v>
      </c>
      <c r="L555" s="107">
        <f t="shared" si="22"/>
        <v>1.4842</v>
      </c>
    </row>
    <row r="556" spans="1:14" s="88" customFormat="1" x14ac:dyDescent="0.2">
      <c r="A556" s="79"/>
      <c r="B556" s="75"/>
      <c r="C556" s="112" t="s">
        <v>361</v>
      </c>
      <c r="D556" s="113" t="s">
        <v>336</v>
      </c>
      <c r="E556" s="77">
        <f>5.21*N12</f>
        <v>5.21</v>
      </c>
      <c r="F556" s="71"/>
      <c r="G556" s="84">
        <v>0.05</v>
      </c>
      <c r="H556" s="77">
        <f>E556*G556</f>
        <v>0.26050000000000001</v>
      </c>
      <c r="I556" s="144"/>
      <c r="J556" s="85"/>
      <c r="K556" s="99">
        <v>0.27079999999999999</v>
      </c>
      <c r="L556" s="107">
        <f t="shared" si="22"/>
        <v>1.4842</v>
      </c>
    </row>
    <row r="557" spans="1:14" s="88" customFormat="1" x14ac:dyDescent="0.2">
      <c r="A557" s="79"/>
      <c r="B557" s="75"/>
      <c r="C557" s="112" t="s">
        <v>345</v>
      </c>
      <c r="D557" s="113" t="s">
        <v>336</v>
      </c>
      <c r="E557" s="77">
        <f>3.77*N12</f>
        <v>3.77</v>
      </c>
      <c r="F557" s="71"/>
      <c r="G557" s="84">
        <v>0.05</v>
      </c>
      <c r="H557" s="77">
        <f>E557*G557</f>
        <v>0.1885</v>
      </c>
      <c r="I557" s="144"/>
      <c r="J557" s="85"/>
      <c r="K557" s="99">
        <v>0.27079999999999999</v>
      </c>
      <c r="L557" s="107">
        <f t="shared" si="22"/>
        <v>1.4842</v>
      </c>
    </row>
    <row r="558" spans="1:14" s="88" customFormat="1" x14ac:dyDescent="0.2">
      <c r="A558" s="79"/>
      <c r="B558" s="75"/>
      <c r="C558" s="112"/>
      <c r="D558" s="113"/>
      <c r="E558" s="77"/>
      <c r="F558" s="71"/>
      <c r="G558" s="98"/>
      <c r="H558" s="77"/>
      <c r="I558" s="77"/>
      <c r="J558" s="85"/>
      <c r="K558" s="99">
        <v>0.27079999999999999</v>
      </c>
      <c r="L558" s="107">
        <f t="shared" si="22"/>
        <v>1.4842</v>
      </c>
    </row>
    <row r="559" spans="1:14" s="88" customFormat="1" x14ac:dyDescent="0.2">
      <c r="A559" s="79"/>
      <c r="B559" s="75"/>
      <c r="C559" s="112"/>
      <c r="D559" s="113"/>
      <c r="E559" s="361" t="str">
        <f>E549</f>
        <v>Custo Direto</v>
      </c>
      <c r="F559" s="361"/>
      <c r="G559" s="361"/>
      <c r="H559" s="114">
        <f>SUM(H555:H558)</f>
        <v>0.44900000000000001</v>
      </c>
      <c r="I559" s="114">
        <f>SUM(I555:I558)</f>
        <v>8.56</v>
      </c>
      <c r="J559" s="85"/>
      <c r="K559" s="99">
        <v>0.27079999999999999</v>
      </c>
      <c r="L559" s="107">
        <f t="shared" si="22"/>
        <v>1.4842</v>
      </c>
    </row>
    <row r="560" spans="1:14" s="88" customFormat="1" x14ac:dyDescent="0.2">
      <c r="A560" s="79"/>
      <c r="B560" s="75"/>
      <c r="C560" s="112"/>
      <c r="D560" s="113"/>
      <c r="E560" s="361" t="str">
        <f>E550</f>
        <v>LS(%): 148,42</v>
      </c>
      <c r="F560" s="361"/>
      <c r="G560" s="361"/>
      <c r="H560" s="77">
        <f>H559*L560</f>
        <v>0.66640580000000005</v>
      </c>
      <c r="I560" s="82"/>
      <c r="J560" s="85"/>
      <c r="K560" s="99">
        <v>0.27079999999999999</v>
      </c>
      <c r="L560" s="107">
        <f t="shared" si="22"/>
        <v>1.4842</v>
      </c>
    </row>
    <row r="561" spans="1:14" s="88" customFormat="1" x14ac:dyDescent="0.2">
      <c r="A561" s="79"/>
      <c r="B561" s="75"/>
      <c r="C561" s="112"/>
      <c r="D561" s="113"/>
      <c r="E561" s="361" t="str">
        <f>E551</f>
        <v>BDI (%): 27,08</v>
      </c>
      <c r="F561" s="361"/>
      <c r="G561" s="361"/>
      <c r="H561" s="362">
        <f>(H559+I559+H560)*K561</f>
        <v>2.6200998906399997</v>
      </c>
      <c r="I561" s="362"/>
      <c r="J561" s="85"/>
      <c r="K561" s="99">
        <v>0.27079999999999999</v>
      </c>
      <c r="L561" s="107">
        <f t="shared" si="22"/>
        <v>1.4842</v>
      </c>
    </row>
    <row r="562" spans="1:14" s="88" customFormat="1" x14ac:dyDescent="0.2">
      <c r="A562" s="79"/>
      <c r="B562" s="75"/>
      <c r="C562" s="112"/>
      <c r="D562" s="113"/>
      <c r="E562" s="361" t="str">
        <f>E552</f>
        <v>Valor Total c/ Taxas</v>
      </c>
      <c r="F562" s="361"/>
      <c r="G562" s="361"/>
      <c r="H562" s="77"/>
      <c r="I562" s="114">
        <f>(H559+I559+H560+H561)</f>
        <v>12.295505690639999</v>
      </c>
      <c r="J562" s="85"/>
      <c r="K562" s="99">
        <v>0.27079999999999999</v>
      </c>
      <c r="L562" s="107">
        <f t="shared" si="22"/>
        <v>1.4842</v>
      </c>
      <c r="N562" s="330">
        <v>12.3</v>
      </c>
    </row>
    <row r="563" spans="1:14" s="88" customFormat="1" x14ac:dyDescent="0.2">
      <c r="A563" s="79"/>
      <c r="B563" s="75"/>
      <c r="C563" s="112"/>
      <c r="D563" s="113"/>
      <c r="E563" s="77"/>
      <c r="F563" s="71"/>
      <c r="G563" s="98"/>
      <c r="H563" s="77"/>
      <c r="I563" s="114"/>
      <c r="J563" s="85"/>
      <c r="K563" s="99">
        <v>0.27079999999999999</v>
      </c>
      <c r="L563" s="107">
        <f t="shared" si="22"/>
        <v>1.4842</v>
      </c>
    </row>
    <row r="564" spans="1:14" s="79" customFormat="1" ht="25.5" x14ac:dyDescent="0.2">
      <c r="A564" s="151"/>
      <c r="B564" s="125" t="str">
        <f>ORÇAMENTO!A96</f>
        <v>6.1.3</v>
      </c>
      <c r="C564" s="96" t="str">
        <f>ORÇAMENTO!B96</f>
        <v>Estrututa para telha cerâmica tipo PLAN,em madeira de lei aparelhada</v>
      </c>
      <c r="D564" s="97" t="s">
        <v>349</v>
      </c>
      <c r="E564" s="76"/>
      <c r="F564" s="71"/>
      <c r="G564" s="98"/>
      <c r="H564" s="76"/>
      <c r="I564" s="76"/>
      <c r="J564" s="90"/>
      <c r="K564" s="99">
        <v>0.27079999999999999</v>
      </c>
      <c r="L564" s="107">
        <f t="shared" si="22"/>
        <v>1.4842</v>
      </c>
    </row>
    <row r="565" spans="1:14" s="88" customFormat="1" ht="28.5" customHeight="1" x14ac:dyDescent="0.2">
      <c r="A565" s="79"/>
      <c r="B565" s="153"/>
      <c r="C565" s="112" t="str">
        <f>C564</f>
        <v>Estrututa para telha cerâmica tipo PLAN,em madeira de lei aparelhada</v>
      </c>
      <c r="D565" s="113" t="str">
        <f>D564</f>
        <v>M²</v>
      </c>
      <c r="E565" s="77">
        <f>38.28*N12</f>
        <v>38.28</v>
      </c>
      <c r="F565" s="71">
        <v>230</v>
      </c>
      <c r="G565" s="98">
        <v>1</v>
      </c>
      <c r="H565" s="77"/>
      <c r="I565" s="77">
        <f>E565*G565</f>
        <v>38.28</v>
      </c>
      <c r="J565" s="85"/>
      <c r="K565" s="99">
        <v>0.27079999999999999</v>
      </c>
      <c r="L565" s="107">
        <f t="shared" si="22"/>
        <v>1.4842</v>
      </c>
    </row>
    <row r="566" spans="1:14" s="88" customFormat="1" x14ac:dyDescent="0.2">
      <c r="A566" s="79"/>
      <c r="B566" s="75"/>
      <c r="C566" s="112" t="s">
        <v>358</v>
      </c>
      <c r="D566" s="113" t="s">
        <v>336</v>
      </c>
      <c r="E566" s="77">
        <f>5.21*N12</f>
        <v>5.21</v>
      </c>
      <c r="F566" s="71"/>
      <c r="G566" s="84">
        <v>0.03</v>
      </c>
      <c r="H566" s="77">
        <f>E566*G566</f>
        <v>0.15629999999999999</v>
      </c>
      <c r="I566" s="144"/>
      <c r="J566" s="85"/>
      <c r="K566" s="99">
        <v>0.27079999999999999</v>
      </c>
      <c r="L566" s="107">
        <f t="shared" si="22"/>
        <v>1.4842</v>
      </c>
    </row>
    <row r="567" spans="1:14" s="88" customFormat="1" x14ac:dyDescent="0.2">
      <c r="A567" s="79"/>
      <c r="B567" s="75"/>
      <c r="C567" s="112" t="s">
        <v>345</v>
      </c>
      <c r="D567" s="113" t="s">
        <v>336</v>
      </c>
      <c r="E567" s="77">
        <f>3.77*N12</f>
        <v>3.77</v>
      </c>
      <c r="F567" s="71"/>
      <c r="G567" s="84">
        <v>0.03</v>
      </c>
      <c r="H567" s="77">
        <f>E567*G567</f>
        <v>0.11309999999999999</v>
      </c>
      <c r="I567" s="144"/>
      <c r="J567" s="85"/>
      <c r="K567" s="99">
        <v>0.27079999999999999</v>
      </c>
      <c r="L567" s="107">
        <f t="shared" si="22"/>
        <v>1.4842</v>
      </c>
    </row>
    <row r="568" spans="1:14" s="88" customFormat="1" x14ac:dyDescent="0.2">
      <c r="A568" s="79"/>
      <c r="B568" s="75"/>
      <c r="C568" s="112"/>
      <c r="D568" s="113"/>
      <c r="E568" s="77"/>
      <c r="F568" s="71"/>
      <c r="G568" s="98"/>
      <c r="H568" s="77"/>
      <c r="I568" s="77"/>
      <c r="J568" s="85"/>
      <c r="K568" s="99">
        <v>0.27079999999999999</v>
      </c>
      <c r="L568" s="107">
        <f t="shared" si="22"/>
        <v>1.4842</v>
      </c>
    </row>
    <row r="569" spans="1:14" s="88" customFormat="1" x14ac:dyDescent="0.2">
      <c r="A569" s="79"/>
      <c r="B569" s="75"/>
      <c r="C569" s="112"/>
      <c r="D569" s="113"/>
      <c r="E569" s="361" t="str">
        <f>E559</f>
        <v>Custo Direto</v>
      </c>
      <c r="F569" s="361"/>
      <c r="G569" s="361"/>
      <c r="H569" s="114">
        <f>SUM(H565:H568)</f>
        <v>0.26939999999999997</v>
      </c>
      <c r="I569" s="114">
        <f>SUM(I565:I568)</f>
        <v>38.28</v>
      </c>
      <c r="J569" s="85"/>
      <c r="K569" s="99">
        <v>0.27079999999999999</v>
      </c>
      <c r="L569" s="107">
        <f t="shared" si="22"/>
        <v>1.4842</v>
      </c>
    </row>
    <row r="570" spans="1:14" s="88" customFormat="1" x14ac:dyDescent="0.2">
      <c r="A570" s="79"/>
      <c r="B570" s="75"/>
      <c r="C570" s="112"/>
      <c r="D570" s="113"/>
      <c r="E570" s="361" t="str">
        <f>E560</f>
        <v>LS(%): 148,42</v>
      </c>
      <c r="F570" s="361"/>
      <c r="G570" s="361"/>
      <c r="H570" s="77">
        <f>H569*L570</f>
        <v>0.39984347999999997</v>
      </c>
      <c r="I570" s="82"/>
      <c r="J570" s="85"/>
      <c r="K570" s="99">
        <v>0.27079999999999999</v>
      </c>
      <c r="L570" s="107">
        <f t="shared" si="22"/>
        <v>1.4842</v>
      </c>
    </row>
    <row r="571" spans="1:14" s="88" customFormat="1" x14ac:dyDescent="0.2">
      <c r="A571" s="79"/>
      <c r="B571" s="75"/>
      <c r="C571" s="112"/>
      <c r="D571" s="113"/>
      <c r="E571" s="361" t="str">
        <f>E561</f>
        <v>BDI (%): 27,08</v>
      </c>
      <c r="F571" s="361"/>
      <c r="G571" s="361"/>
      <c r="H571" s="362">
        <f>(H569+I569+H570)*K571</f>
        <v>10.547455134384</v>
      </c>
      <c r="I571" s="362"/>
      <c r="J571" s="85"/>
      <c r="K571" s="99">
        <v>0.27079999999999999</v>
      </c>
      <c r="L571" s="107">
        <f t="shared" si="22"/>
        <v>1.4842</v>
      </c>
    </row>
    <row r="572" spans="1:14" s="88" customFormat="1" x14ac:dyDescent="0.2">
      <c r="A572" s="79"/>
      <c r="B572" s="75"/>
      <c r="C572" s="112"/>
      <c r="D572" s="113"/>
      <c r="E572" s="361" t="str">
        <f>E562</f>
        <v>Valor Total c/ Taxas</v>
      </c>
      <c r="F572" s="361"/>
      <c r="G572" s="361"/>
      <c r="H572" s="77"/>
      <c r="I572" s="114">
        <f>(H569+I569+H570+H571)</f>
        <v>49.496698614384002</v>
      </c>
      <c r="J572" s="85"/>
      <c r="K572" s="99">
        <v>0.27079999999999999</v>
      </c>
      <c r="L572" s="107">
        <f>L571</f>
        <v>1.4842</v>
      </c>
      <c r="N572" s="330">
        <v>49.5</v>
      </c>
    </row>
    <row r="573" spans="1:14" s="88" customFormat="1" x14ac:dyDescent="0.2">
      <c r="A573" s="79"/>
      <c r="B573" s="75"/>
      <c r="C573" s="112"/>
      <c r="D573" s="113"/>
      <c r="E573" s="76"/>
      <c r="F573" s="76"/>
      <c r="G573" s="76"/>
      <c r="H573" s="77"/>
      <c r="I573" s="114"/>
      <c r="J573" s="85"/>
      <c r="K573" s="99">
        <v>0.27079999999999999</v>
      </c>
      <c r="L573" s="107">
        <f t="shared" ref="L573:L636" si="23">L572</f>
        <v>1.4842</v>
      </c>
    </row>
    <row r="574" spans="1:14" s="79" customFormat="1" ht="21.75" customHeight="1" x14ac:dyDescent="0.2">
      <c r="A574" s="151"/>
      <c r="B574" s="125" t="str">
        <f>ORÇAMENTO!A100</f>
        <v>7.1.1</v>
      </c>
      <c r="C574" s="96" t="str">
        <f>ORÇAMENTO!B100</f>
        <v>Chapisco em madeira com argamassa traço - 1:3 (cimento/areia)</v>
      </c>
      <c r="D574" s="97" t="str">
        <f>D564</f>
        <v>M²</v>
      </c>
      <c r="E574" s="76"/>
      <c r="F574" s="71"/>
      <c r="G574" s="98"/>
      <c r="H574" s="76"/>
      <c r="I574" s="76"/>
      <c r="J574" s="90"/>
      <c r="K574" s="99">
        <v>0.27079999999999999</v>
      </c>
      <c r="L574" s="107">
        <f t="shared" si="23"/>
        <v>1.4842</v>
      </c>
    </row>
    <row r="575" spans="1:14" s="88" customFormat="1" ht="17.25" customHeight="1" x14ac:dyDescent="0.2">
      <c r="A575" s="79"/>
      <c r="B575" s="153"/>
      <c r="C575" s="112" t="str">
        <f>C574</f>
        <v>Chapisco em madeira com argamassa traço - 1:3 (cimento/areia)</v>
      </c>
      <c r="D575" s="113" t="str">
        <f>D574</f>
        <v>M²</v>
      </c>
      <c r="E575" s="77">
        <f>3.87*N12</f>
        <v>3.87</v>
      </c>
      <c r="F575" s="71">
        <v>230</v>
      </c>
      <c r="G575" s="98">
        <v>0.8</v>
      </c>
      <c r="H575" s="77"/>
      <c r="I575" s="77">
        <f>E575*G575</f>
        <v>3.0960000000000001</v>
      </c>
      <c r="J575" s="85"/>
      <c r="K575" s="99">
        <v>0.27079999999999999</v>
      </c>
      <c r="L575" s="107">
        <f t="shared" si="23"/>
        <v>1.4842</v>
      </c>
    </row>
    <row r="576" spans="1:14" s="88" customFormat="1" x14ac:dyDescent="0.2">
      <c r="A576" s="79"/>
      <c r="B576" s="75"/>
      <c r="C576" s="112" t="s">
        <v>361</v>
      </c>
      <c r="D576" s="113" t="s">
        <v>336</v>
      </c>
      <c r="E576" s="77">
        <f>5.21*N12</f>
        <v>5.21</v>
      </c>
      <c r="F576" s="71"/>
      <c r="G576" s="84">
        <v>5.0000000000000001E-3</v>
      </c>
      <c r="H576" s="77">
        <f>E576*G576</f>
        <v>2.605E-2</v>
      </c>
      <c r="I576" s="144"/>
      <c r="J576" s="85"/>
      <c r="K576" s="99">
        <v>0.27079999999999999</v>
      </c>
      <c r="L576" s="107">
        <f t="shared" si="23"/>
        <v>1.4842</v>
      </c>
    </row>
    <row r="577" spans="1:14" s="88" customFormat="1" x14ac:dyDescent="0.2">
      <c r="A577" s="79"/>
      <c r="B577" s="75"/>
      <c r="C577" s="112" t="s">
        <v>345</v>
      </c>
      <c r="D577" s="113" t="s">
        <v>336</v>
      </c>
      <c r="E577" s="77">
        <f>3.77*N12</f>
        <v>3.77</v>
      </c>
      <c r="F577" s="71"/>
      <c r="G577" s="84">
        <v>5.0000000000000001E-3</v>
      </c>
      <c r="H577" s="77">
        <f>E577*G577</f>
        <v>1.8850000000000002E-2</v>
      </c>
      <c r="I577" s="144"/>
      <c r="J577" s="85"/>
      <c r="K577" s="99">
        <v>0.27079999999999999</v>
      </c>
      <c r="L577" s="107">
        <f t="shared" si="23"/>
        <v>1.4842</v>
      </c>
    </row>
    <row r="578" spans="1:14" s="88" customFormat="1" x14ac:dyDescent="0.2">
      <c r="A578" s="79"/>
      <c r="B578" s="75"/>
      <c r="C578" s="112"/>
      <c r="D578" s="113"/>
      <c r="E578" s="77"/>
      <c r="F578" s="71"/>
      <c r="G578" s="98"/>
      <c r="H578" s="77"/>
      <c r="I578" s="77"/>
      <c r="J578" s="85"/>
      <c r="K578" s="99">
        <v>0.27079999999999999</v>
      </c>
      <c r="L578" s="107">
        <f t="shared" si="23"/>
        <v>1.4842</v>
      </c>
    </row>
    <row r="579" spans="1:14" s="88" customFormat="1" x14ac:dyDescent="0.2">
      <c r="A579" s="79"/>
      <c r="B579" s="75"/>
      <c r="C579" s="112"/>
      <c r="D579" s="113"/>
      <c r="E579" s="361" t="str">
        <f>E569</f>
        <v>Custo Direto</v>
      </c>
      <c r="F579" s="361"/>
      <c r="G579" s="361"/>
      <c r="H579" s="114">
        <f>SUM(H575:H578)</f>
        <v>4.4900000000000002E-2</v>
      </c>
      <c r="I579" s="114">
        <f>SUM(I575:I578)</f>
        <v>3.0960000000000001</v>
      </c>
      <c r="J579" s="85"/>
      <c r="K579" s="99">
        <v>0.27079999999999999</v>
      </c>
      <c r="L579" s="107">
        <f t="shared" si="23"/>
        <v>1.4842</v>
      </c>
    </row>
    <row r="580" spans="1:14" s="88" customFormat="1" x14ac:dyDescent="0.2">
      <c r="A580" s="79"/>
      <c r="B580" s="75"/>
      <c r="C580" s="112"/>
      <c r="D580" s="113"/>
      <c r="E580" s="361" t="str">
        <f>E570</f>
        <v>LS(%): 148,42</v>
      </c>
      <c r="F580" s="361"/>
      <c r="G580" s="361"/>
      <c r="H580" s="77">
        <f>H579*L580</f>
        <v>6.6640580000000005E-2</v>
      </c>
      <c r="I580" s="82"/>
      <c r="J580" s="85"/>
      <c r="K580" s="99">
        <v>0.27079999999999999</v>
      </c>
      <c r="L580" s="107">
        <f t="shared" si="23"/>
        <v>1.4842</v>
      </c>
    </row>
    <row r="581" spans="1:14" s="88" customFormat="1" x14ac:dyDescent="0.2">
      <c r="A581" s="79"/>
      <c r="B581" s="75"/>
      <c r="C581" s="112"/>
      <c r="D581" s="113"/>
      <c r="E581" s="361" t="str">
        <f>E571</f>
        <v>BDI (%): 27,08</v>
      </c>
      <c r="F581" s="361"/>
      <c r="G581" s="361"/>
      <c r="H581" s="362">
        <f>(H579+I579+H580)*K581</f>
        <v>0.86860198906399999</v>
      </c>
      <c r="I581" s="362"/>
      <c r="J581" s="85"/>
      <c r="K581" s="99">
        <v>0.27079999999999999</v>
      </c>
      <c r="L581" s="107">
        <f t="shared" si="23"/>
        <v>1.4842</v>
      </c>
    </row>
    <row r="582" spans="1:14" s="88" customFormat="1" x14ac:dyDescent="0.2">
      <c r="A582" s="79"/>
      <c r="B582" s="75"/>
      <c r="C582" s="112"/>
      <c r="D582" s="113"/>
      <c r="E582" s="361" t="str">
        <f>E572</f>
        <v>Valor Total c/ Taxas</v>
      </c>
      <c r="F582" s="361"/>
      <c r="G582" s="361"/>
      <c r="H582" s="77"/>
      <c r="I582" s="114">
        <f>(H579+I579+H580+H581)</f>
        <v>4.0761425690640003</v>
      </c>
      <c r="J582" s="85"/>
      <c r="K582" s="99">
        <v>0.27079999999999999</v>
      </c>
      <c r="L582" s="107">
        <f>L581</f>
        <v>1.4842</v>
      </c>
      <c r="N582" s="330">
        <v>4.08</v>
      </c>
    </row>
    <row r="583" spans="1:14" s="88" customFormat="1" x14ac:dyDescent="0.2">
      <c r="A583" s="79"/>
      <c r="B583" s="75"/>
      <c r="C583" s="112"/>
      <c r="D583" s="113"/>
      <c r="E583" s="76"/>
      <c r="F583" s="76"/>
      <c r="G583" s="76"/>
      <c r="H583" s="77"/>
      <c r="I583" s="114"/>
      <c r="J583" s="85"/>
      <c r="K583" s="99">
        <v>0.27079999999999999</v>
      </c>
      <c r="L583" s="107">
        <f t="shared" si="23"/>
        <v>1.4842</v>
      </c>
    </row>
    <row r="584" spans="1:14" s="79" customFormat="1" ht="15.75" customHeight="1" x14ac:dyDescent="0.2">
      <c r="A584" s="151"/>
      <c r="B584" s="125" t="str">
        <f>ORÇAMENTO!A101</f>
        <v>7.1.2</v>
      </c>
      <c r="C584" s="96" t="str">
        <f>ORÇAMENTO!B101</f>
        <v>Chapisco em teto com argamassa traço - 1:3 (cimento/areia)</v>
      </c>
      <c r="D584" s="97" t="str">
        <f>D574</f>
        <v>M²</v>
      </c>
      <c r="E584" s="76"/>
      <c r="F584" s="71"/>
      <c r="G584" s="98"/>
      <c r="H584" s="76"/>
      <c r="I584" s="76"/>
      <c r="J584" s="90"/>
      <c r="K584" s="99">
        <v>0.27079999999999999</v>
      </c>
      <c r="L584" s="107">
        <f t="shared" si="23"/>
        <v>1.4842</v>
      </c>
    </row>
    <row r="585" spans="1:14" s="88" customFormat="1" ht="12" customHeight="1" x14ac:dyDescent="0.2">
      <c r="A585" s="79"/>
      <c r="B585" s="153"/>
      <c r="C585" s="112" t="str">
        <f>C584</f>
        <v>Chapisco em teto com argamassa traço - 1:3 (cimento/areia)</v>
      </c>
      <c r="D585" s="113" t="str">
        <f>D584</f>
        <v>M²</v>
      </c>
      <c r="E585" s="77">
        <f>3.87*N12</f>
        <v>3.87</v>
      </c>
      <c r="F585" s="71">
        <v>230</v>
      </c>
      <c r="G585" s="98">
        <v>0.8</v>
      </c>
      <c r="H585" s="77"/>
      <c r="I585" s="77">
        <f>E585*G585</f>
        <v>3.0960000000000001</v>
      </c>
      <c r="J585" s="85"/>
      <c r="K585" s="99">
        <v>0.27079999999999999</v>
      </c>
      <c r="L585" s="107">
        <f t="shared" si="23"/>
        <v>1.4842</v>
      </c>
    </row>
    <row r="586" spans="1:14" s="88" customFormat="1" x14ac:dyDescent="0.2">
      <c r="A586" s="79"/>
      <c r="B586" s="75"/>
      <c r="C586" s="112" t="s">
        <v>361</v>
      </c>
      <c r="D586" s="113" t="s">
        <v>336</v>
      </c>
      <c r="E586" s="77">
        <f>5.21*N12</f>
        <v>5.21</v>
      </c>
      <c r="F586" s="71"/>
      <c r="G586" s="84">
        <v>5.0000000000000001E-3</v>
      </c>
      <c r="H586" s="77">
        <f>E586*G586</f>
        <v>2.605E-2</v>
      </c>
      <c r="I586" s="144"/>
      <c r="J586" s="85"/>
      <c r="K586" s="99">
        <v>0.27079999999999999</v>
      </c>
      <c r="L586" s="107">
        <f t="shared" si="23"/>
        <v>1.4842</v>
      </c>
    </row>
    <row r="587" spans="1:14" s="88" customFormat="1" x14ac:dyDescent="0.2">
      <c r="A587" s="79"/>
      <c r="B587" s="75"/>
      <c r="C587" s="112" t="s">
        <v>345</v>
      </c>
      <c r="D587" s="113" t="s">
        <v>336</v>
      </c>
      <c r="E587" s="77">
        <f>3.77*N12</f>
        <v>3.77</v>
      </c>
      <c r="F587" s="71"/>
      <c r="G587" s="84">
        <v>5.0000000000000001E-3</v>
      </c>
      <c r="H587" s="77">
        <f>E587*G587</f>
        <v>1.8850000000000002E-2</v>
      </c>
      <c r="I587" s="144"/>
      <c r="J587" s="85"/>
      <c r="K587" s="99">
        <v>0.27079999999999999</v>
      </c>
      <c r="L587" s="107">
        <f t="shared" si="23"/>
        <v>1.4842</v>
      </c>
    </row>
    <row r="588" spans="1:14" s="88" customFormat="1" x14ac:dyDescent="0.2">
      <c r="A588" s="79"/>
      <c r="B588" s="75"/>
      <c r="C588" s="112"/>
      <c r="D588" s="113"/>
      <c r="E588" s="77"/>
      <c r="F588" s="71"/>
      <c r="G588" s="98"/>
      <c r="H588" s="77"/>
      <c r="I588" s="77"/>
      <c r="J588" s="85"/>
      <c r="K588" s="99">
        <v>0.27079999999999999</v>
      </c>
      <c r="L588" s="107">
        <f t="shared" si="23"/>
        <v>1.4842</v>
      </c>
    </row>
    <row r="589" spans="1:14" s="88" customFormat="1" x14ac:dyDescent="0.2">
      <c r="A589" s="79"/>
      <c r="B589" s="75"/>
      <c r="C589" s="112"/>
      <c r="D589" s="113"/>
      <c r="E589" s="361" t="str">
        <f>E579</f>
        <v>Custo Direto</v>
      </c>
      <c r="F589" s="361"/>
      <c r="G589" s="361"/>
      <c r="H589" s="114">
        <f>SUM(H585:H588)</f>
        <v>4.4900000000000002E-2</v>
      </c>
      <c r="I589" s="114">
        <f>SUM(I585:I588)</f>
        <v>3.0960000000000001</v>
      </c>
      <c r="J589" s="85"/>
      <c r="K589" s="99">
        <v>0.27079999999999999</v>
      </c>
      <c r="L589" s="107">
        <f t="shared" si="23"/>
        <v>1.4842</v>
      </c>
    </row>
    <row r="590" spans="1:14" s="88" customFormat="1" x14ac:dyDescent="0.2">
      <c r="A590" s="79"/>
      <c r="B590" s="75"/>
      <c r="C590" s="112"/>
      <c r="D590" s="113"/>
      <c r="E590" s="361" t="str">
        <f>E580</f>
        <v>LS(%): 148,42</v>
      </c>
      <c r="F590" s="361"/>
      <c r="G590" s="361"/>
      <c r="H590" s="77">
        <f>H589*L590</f>
        <v>6.6640580000000005E-2</v>
      </c>
      <c r="I590" s="82"/>
      <c r="J590" s="85"/>
      <c r="K590" s="99">
        <v>0.27079999999999999</v>
      </c>
      <c r="L590" s="107">
        <f t="shared" si="23"/>
        <v>1.4842</v>
      </c>
    </row>
    <row r="591" spans="1:14" s="88" customFormat="1" x14ac:dyDescent="0.2">
      <c r="A591" s="79"/>
      <c r="B591" s="75"/>
      <c r="C591" s="112"/>
      <c r="D591" s="113"/>
      <c r="E591" s="361" t="str">
        <f>E581</f>
        <v>BDI (%): 27,08</v>
      </c>
      <c r="F591" s="361"/>
      <c r="G591" s="361"/>
      <c r="H591" s="362">
        <f>(H589+I589+H590)*K591</f>
        <v>0.86860198906399999</v>
      </c>
      <c r="I591" s="362"/>
      <c r="J591" s="85"/>
      <c r="K591" s="99">
        <v>0.27079999999999999</v>
      </c>
      <c r="L591" s="107">
        <f t="shared" si="23"/>
        <v>1.4842</v>
      </c>
    </row>
    <row r="592" spans="1:14" s="88" customFormat="1" x14ac:dyDescent="0.2">
      <c r="A592" s="79"/>
      <c r="B592" s="75"/>
      <c r="C592" s="112"/>
      <c r="D592" s="113"/>
      <c r="E592" s="361" t="str">
        <f>E582</f>
        <v>Valor Total c/ Taxas</v>
      </c>
      <c r="F592" s="361"/>
      <c r="G592" s="361"/>
      <c r="H592" s="77"/>
      <c r="I592" s="114">
        <f>(H589+I589+H590+H591)</f>
        <v>4.0761425690640003</v>
      </c>
      <c r="J592" s="85"/>
      <c r="K592" s="99">
        <v>0.27079999999999999</v>
      </c>
      <c r="L592" s="107">
        <f>L591</f>
        <v>1.4842</v>
      </c>
      <c r="N592" s="330">
        <v>4.08</v>
      </c>
    </row>
    <row r="593" spans="1:14" s="88" customFormat="1" x14ac:dyDescent="0.2">
      <c r="A593" s="79"/>
      <c r="B593" s="75"/>
      <c r="C593" s="112"/>
      <c r="D593" s="113"/>
      <c r="E593" s="76"/>
      <c r="F593" s="76"/>
      <c r="G593" s="76"/>
      <c r="H593" s="77"/>
      <c r="I593" s="114"/>
      <c r="J593" s="85"/>
      <c r="K593" s="99">
        <v>0.27079999999999999</v>
      </c>
      <c r="L593" s="107">
        <f t="shared" si="23"/>
        <v>1.4842</v>
      </c>
    </row>
    <row r="594" spans="1:14" s="79" customFormat="1" ht="25.5" x14ac:dyDescent="0.2">
      <c r="A594" s="151"/>
      <c r="B594" s="125" t="str">
        <f>ORÇAMENTO!A102</f>
        <v>7.1.3</v>
      </c>
      <c r="C594" s="96" t="str">
        <f>ORÇAMENTO!B102</f>
        <v>Emboço de parede,com argamassa traço - 1:2:8 (cimento/cal/areia), espessura 2,0 cm</v>
      </c>
      <c r="D594" s="97" t="str">
        <f>D584</f>
        <v>M²</v>
      </c>
      <c r="E594" s="76"/>
      <c r="F594" s="71"/>
      <c r="G594" s="98"/>
      <c r="H594" s="76"/>
      <c r="I594" s="76"/>
      <c r="J594" s="90"/>
      <c r="K594" s="99">
        <v>0.27079999999999999</v>
      </c>
      <c r="L594" s="107">
        <f t="shared" si="23"/>
        <v>1.4842</v>
      </c>
    </row>
    <row r="595" spans="1:14" s="88" customFormat="1" ht="25.5" x14ac:dyDescent="0.2">
      <c r="A595" s="79"/>
      <c r="B595" s="153"/>
      <c r="C595" s="112" t="str">
        <f>C594</f>
        <v>Emboço de parede,com argamassa traço - 1:2:8 (cimento/cal/areia), espessura 2,0 cm</v>
      </c>
      <c r="D595" s="113" t="str">
        <f>D594</f>
        <v>M²</v>
      </c>
      <c r="E595" s="77">
        <f>14.85*N12</f>
        <v>14.85</v>
      </c>
      <c r="F595" s="71">
        <v>230</v>
      </c>
      <c r="G595" s="98">
        <v>1</v>
      </c>
      <c r="H595" s="77"/>
      <c r="I595" s="77">
        <f>E595*G595</f>
        <v>14.85</v>
      </c>
      <c r="J595" s="85"/>
      <c r="K595" s="99">
        <v>0.27079999999999999</v>
      </c>
      <c r="L595" s="107">
        <f t="shared" si="23"/>
        <v>1.4842</v>
      </c>
    </row>
    <row r="596" spans="1:14" s="88" customFormat="1" x14ac:dyDescent="0.2">
      <c r="A596" s="79"/>
      <c r="B596" s="75"/>
      <c r="C596" s="112" t="s">
        <v>361</v>
      </c>
      <c r="D596" s="113" t="s">
        <v>336</v>
      </c>
      <c r="E596" s="77">
        <f>5.21*N12</f>
        <v>5.21</v>
      </c>
      <c r="F596" s="71"/>
      <c r="G596" s="84">
        <v>0.03</v>
      </c>
      <c r="H596" s="77">
        <f>E596*G596</f>
        <v>0.15629999999999999</v>
      </c>
      <c r="I596" s="144"/>
      <c r="J596" s="85"/>
      <c r="K596" s="99">
        <v>0.27079999999999999</v>
      </c>
      <c r="L596" s="107">
        <f t="shared" si="23"/>
        <v>1.4842</v>
      </c>
    </row>
    <row r="597" spans="1:14" s="88" customFormat="1" x14ac:dyDescent="0.2">
      <c r="A597" s="79"/>
      <c r="B597" s="75"/>
      <c r="C597" s="112" t="s">
        <v>345</v>
      </c>
      <c r="D597" s="113" t="s">
        <v>336</v>
      </c>
      <c r="E597" s="77">
        <f>3.77*N12</f>
        <v>3.77</v>
      </c>
      <c r="F597" s="71"/>
      <c r="G597" s="84">
        <v>0.03</v>
      </c>
      <c r="H597" s="77">
        <f>E597*G597</f>
        <v>0.11309999999999999</v>
      </c>
      <c r="I597" s="144"/>
      <c r="J597" s="85"/>
      <c r="K597" s="99">
        <v>0.27079999999999999</v>
      </c>
      <c r="L597" s="107">
        <f t="shared" si="23"/>
        <v>1.4842</v>
      </c>
    </row>
    <row r="598" spans="1:14" s="88" customFormat="1" x14ac:dyDescent="0.2">
      <c r="A598" s="79"/>
      <c r="B598" s="75"/>
      <c r="C598" s="112"/>
      <c r="D598" s="113"/>
      <c r="E598" s="77"/>
      <c r="F598" s="71"/>
      <c r="G598" s="98"/>
      <c r="H598" s="77"/>
      <c r="I598" s="77"/>
      <c r="J598" s="85"/>
      <c r="K598" s="99">
        <v>0.27079999999999999</v>
      </c>
      <c r="L598" s="107">
        <f t="shared" si="23"/>
        <v>1.4842</v>
      </c>
    </row>
    <row r="599" spans="1:14" s="88" customFormat="1" x14ac:dyDescent="0.2">
      <c r="A599" s="79"/>
      <c r="B599" s="75"/>
      <c r="C599" s="112"/>
      <c r="D599" s="113"/>
      <c r="E599" s="361" t="str">
        <f>E589</f>
        <v>Custo Direto</v>
      </c>
      <c r="F599" s="361"/>
      <c r="G599" s="361"/>
      <c r="H599" s="114">
        <f>SUM(H595:H598)</f>
        <v>0.26939999999999997</v>
      </c>
      <c r="I599" s="114">
        <f>SUM(I595:I598)</f>
        <v>14.85</v>
      </c>
      <c r="J599" s="85"/>
      <c r="K599" s="99">
        <v>0.27079999999999999</v>
      </c>
      <c r="L599" s="107">
        <f t="shared" si="23"/>
        <v>1.4842</v>
      </c>
    </row>
    <row r="600" spans="1:14" s="88" customFormat="1" x14ac:dyDescent="0.2">
      <c r="A600" s="79"/>
      <c r="B600" s="75"/>
      <c r="C600" s="112"/>
      <c r="D600" s="113"/>
      <c r="E600" s="361" t="str">
        <f>E590</f>
        <v>LS(%): 148,42</v>
      </c>
      <c r="F600" s="361"/>
      <c r="G600" s="361"/>
      <c r="H600" s="77">
        <f>H599*L600</f>
        <v>0.39984347999999997</v>
      </c>
      <c r="I600" s="82"/>
      <c r="J600" s="85"/>
      <c r="K600" s="99">
        <v>0.27079999999999999</v>
      </c>
      <c r="L600" s="107">
        <f t="shared" si="23"/>
        <v>1.4842</v>
      </c>
    </row>
    <row r="601" spans="1:14" s="88" customFormat="1" x14ac:dyDescent="0.2">
      <c r="A601" s="79"/>
      <c r="B601" s="75"/>
      <c r="C601" s="112"/>
      <c r="D601" s="113"/>
      <c r="E601" s="361" t="str">
        <f>E591</f>
        <v>BDI (%): 27,08</v>
      </c>
      <c r="F601" s="361"/>
      <c r="G601" s="361"/>
      <c r="H601" s="362">
        <f>(H599+I599+H600)*K601</f>
        <v>4.2026111343839991</v>
      </c>
      <c r="I601" s="362"/>
      <c r="J601" s="85"/>
      <c r="K601" s="99">
        <v>0.27079999999999999</v>
      </c>
      <c r="L601" s="107">
        <f t="shared" si="23"/>
        <v>1.4842</v>
      </c>
    </row>
    <row r="602" spans="1:14" s="88" customFormat="1" x14ac:dyDescent="0.2">
      <c r="A602" s="79"/>
      <c r="B602" s="75"/>
      <c r="C602" s="112"/>
      <c r="D602" s="113"/>
      <c r="E602" s="361" t="str">
        <f>E592</f>
        <v>Valor Total c/ Taxas</v>
      </c>
      <c r="F602" s="361"/>
      <c r="G602" s="361"/>
      <c r="H602" s="77"/>
      <c r="I602" s="114">
        <f>(H599+I599+H600+H601)</f>
        <v>19.721854614383997</v>
      </c>
      <c r="J602" s="85"/>
      <c r="K602" s="99">
        <v>0.27079999999999999</v>
      </c>
      <c r="L602" s="107">
        <f>L601</f>
        <v>1.4842</v>
      </c>
      <c r="N602" s="330">
        <v>19.72</v>
      </c>
    </row>
    <row r="603" spans="1:14" s="88" customFormat="1" x14ac:dyDescent="0.2">
      <c r="A603" s="79"/>
      <c r="B603" s="75"/>
      <c r="C603" s="112"/>
      <c r="D603" s="113"/>
      <c r="E603" s="76"/>
      <c r="F603" s="76"/>
      <c r="G603" s="76"/>
      <c r="H603" s="77"/>
      <c r="I603" s="114"/>
      <c r="J603" s="85"/>
      <c r="K603" s="99">
        <v>0.27079999999999999</v>
      </c>
      <c r="L603" s="107">
        <f t="shared" si="23"/>
        <v>1.4842</v>
      </c>
    </row>
    <row r="604" spans="1:14" s="79" customFormat="1" ht="25.5" x14ac:dyDescent="0.2">
      <c r="A604" s="151"/>
      <c r="B604" s="125" t="str">
        <f>ORÇAMENTO!A103</f>
        <v>7.1.4</v>
      </c>
      <c r="C604" s="96" t="str">
        <f>ORÇAMENTO!B103</f>
        <v>Emboço de parede,com argamassa traço - 1:2:8 (cimento/cal/areia), espessura 1,5 cm</v>
      </c>
      <c r="D604" s="97" t="str">
        <f>D594</f>
        <v>M²</v>
      </c>
      <c r="E604" s="76"/>
      <c r="F604" s="71"/>
      <c r="G604" s="98"/>
      <c r="H604" s="76"/>
      <c r="I604" s="76"/>
      <c r="J604" s="90"/>
      <c r="K604" s="99">
        <v>0.27079999999999999</v>
      </c>
      <c r="L604" s="107">
        <f t="shared" si="23"/>
        <v>1.4842</v>
      </c>
    </row>
    <row r="605" spans="1:14" s="88" customFormat="1" ht="25.5" x14ac:dyDescent="0.2">
      <c r="A605" s="79"/>
      <c r="B605" s="153"/>
      <c r="C605" s="112" t="str">
        <f>C604</f>
        <v>Emboço de parede,com argamassa traço - 1:2:8 (cimento/cal/areia), espessura 1,5 cm</v>
      </c>
      <c r="D605" s="113" t="str">
        <f>D604</f>
        <v>M²</v>
      </c>
      <c r="E605" s="77">
        <f>14.85*N12</f>
        <v>14.85</v>
      </c>
      <c r="F605" s="71">
        <v>230</v>
      </c>
      <c r="G605" s="98">
        <v>1</v>
      </c>
      <c r="H605" s="77"/>
      <c r="I605" s="77">
        <f>E605*G605</f>
        <v>14.85</v>
      </c>
      <c r="J605" s="85"/>
      <c r="K605" s="99">
        <v>0.27079999999999999</v>
      </c>
      <c r="L605" s="107">
        <f t="shared" si="23"/>
        <v>1.4842</v>
      </c>
    </row>
    <row r="606" spans="1:14" s="88" customFormat="1" x14ac:dyDescent="0.2">
      <c r="A606" s="79"/>
      <c r="B606" s="75"/>
      <c r="C606" s="112" t="s">
        <v>361</v>
      </c>
      <c r="D606" s="113" t="s">
        <v>336</v>
      </c>
      <c r="E606" s="77">
        <f>5.21*N12</f>
        <v>5.21</v>
      </c>
      <c r="F606" s="71"/>
      <c r="G606" s="84">
        <v>0.03</v>
      </c>
      <c r="H606" s="77">
        <f>E606*G606</f>
        <v>0.15629999999999999</v>
      </c>
      <c r="I606" s="144"/>
      <c r="J606" s="85"/>
      <c r="K606" s="99">
        <v>0.27079999999999999</v>
      </c>
      <c r="L606" s="107">
        <f t="shared" si="23"/>
        <v>1.4842</v>
      </c>
    </row>
    <row r="607" spans="1:14" s="88" customFormat="1" x14ac:dyDescent="0.2">
      <c r="A607" s="79"/>
      <c r="B607" s="75"/>
      <c r="C607" s="112" t="s">
        <v>345</v>
      </c>
      <c r="D607" s="113" t="s">
        <v>336</v>
      </c>
      <c r="E607" s="77">
        <f>3.77*N12</f>
        <v>3.77</v>
      </c>
      <c r="F607" s="71"/>
      <c r="G607" s="84">
        <v>0.03</v>
      </c>
      <c r="H607" s="77">
        <f>E607*G607</f>
        <v>0.11309999999999999</v>
      </c>
      <c r="I607" s="144"/>
      <c r="J607" s="85"/>
      <c r="K607" s="99">
        <v>0.27079999999999999</v>
      </c>
      <c r="L607" s="107">
        <f t="shared" si="23"/>
        <v>1.4842</v>
      </c>
    </row>
    <row r="608" spans="1:14" s="88" customFormat="1" x14ac:dyDescent="0.2">
      <c r="A608" s="79"/>
      <c r="B608" s="75"/>
      <c r="C608" s="112"/>
      <c r="D608" s="113"/>
      <c r="E608" s="77"/>
      <c r="F608" s="71"/>
      <c r="G608" s="98"/>
      <c r="H608" s="77"/>
      <c r="I608" s="77"/>
      <c r="J608" s="85"/>
      <c r="K608" s="99">
        <v>0.27079999999999999</v>
      </c>
      <c r="L608" s="107">
        <f t="shared" si="23"/>
        <v>1.4842</v>
      </c>
    </row>
    <row r="609" spans="1:14" s="88" customFormat="1" x14ac:dyDescent="0.2">
      <c r="A609" s="79"/>
      <c r="B609" s="75"/>
      <c r="C609" s="112"/>
      <c r="D609" s="113"/>
      <c r="E609" s="361" t="str">
        <f>E599</f>
        <v>Custo Direto</v>
      </c>
      <c r="F609" s="361"/>
      <c r="G609" s="361"/>
      <c r="H609" s="114">
        <f>SUM(H605:H608)</f>
        <v>0.26939999999999997</v>
      </c>
      <c r="I609" s="114">
        <f>SUM(I605:I608)</f>
        <v>14.85</v>
      </c>
      <c r="J609" s="85"/>
      <c r="K609" s="99">
        <v>0.27079999999999999</v>
      </c>
      <c r="L609" s="107">
        <f t="shared" si="23"/>
        <v>1.4842</v>
      </c>
    </row>
    <row r="610" spans="1:14" s="88" customFormat="1" x14ac:dyDescent="0.2">
      <c r="A610" s="79"/>
      <c r="B610" s="75"/>
      <c r="C610" s="112"/>
      <c r="D610" s="113"/>
      <c r="E610" s="361" t="str">
        <f>E600</f>
        <v>LS(%): 148,42</v>
      </c>
      <c r="F610" s="361"/>
      <c r="G610" s="361"/>
      <c r="H610" s="77">
        <f>H609*L610</f>
        <v>0.39984347999999997</v>
      </c>
      <c r="I610" s="82"/>
      <c r="J610" s="85"/>
      <c r="K610" s="99">
        <v>0.27079999999999999</v>
      </c>
      <c r="L610" s="107">
        <f t="shared" si="23"/>
        <v>1.4842</v>
      </c>
    </row>
    <row r="611" spans="1:14" s="88" customFormat="1" x14ac:dyDescent="0.2">
      <c r="A611" s="79"/>
      <c r="B611" s="75"/>
      <c r="C611" s="112"/>
      <c r="D611" s="113"/>
      <c r="E611" s="361" t="str">
        <f>E601</f>
        <v>BDI (%): 27,08</v>
      </c>
      <c r="F611" s="361"/>
      <c r="G611" s="361"/>
      <c r="H611" s="362">
        <f>(H609+I609+H610)*K611</f>
        <v>4.2026111343839991</v>
      </c>
      <c r="I611" s="362"/>
      <c r="J611" s="85"/>
      <c r="K611" s="99">
        <v>0.27079999999999999</v>
      </c>
      <c r="L611" s="107">
        <f t="shared" si="23"/>
        <v>1.4842</v>
      </c>
    </row>
    <row r="612" spans="1:14" s="88" customFormat="1" x14ac:dyDescent="0.2">
      <c r="A612" s="79"/>
      <c r="B612" s="75"/>
      <c r="C612" s="112"/>
      <c r="D612" s="113"/>
      <c r="E612" s="361" t="str">
        <f>E602</f>
        <v>Valor Total c/ Taxas</v>
      </c>
      <c r="F612" s="361"/>
      <c r="G612" s="361"/>
      <c r="H612" s="77"/>
      <c r="I612" s="114">
        <f>(H609+I609+H610+H611)</f>
        <v>19.721854614383997</v>
      </c>
      <c r="J612" s="85"/>
      <c r="K612" s="99">
        <v>0.27079999999999999</v>
      </c>
      <c r="L612" s="107">
        <f>L611</f>
        <v>1.4842</v>
      </c>
      <c r="N612" s="330">
        <v>19.72</v>
      </c>
    </row>
    <row r="613" spans="1:14" s="88" customFormat="1" x14ac:dyDescent="0.2">
      <c r="A613" s="79"/>
      <c r="B613" s="75"/>
      <c r="C613" s="112"/>
      <c r="D613" s="113"/>
      <c r="E613" s="76"/>
      <c r="F613" s="76"/>
      <c r="G613" s="76"/>
      <c r="H613" s="77"/>
      <c r="I613" s="114"/>
      <c r="J613" s="85"/>
      <c r="K613" s="99">
        <v>0.27079999999999999</v>
      </c>
      <c r="L613" s="107">
        <f t="shared" si="23"/>
        <v>1.4842</v>
      </c>
    </row>
    <row r="614" spans="1:14" s="79" customFormat="1" ht="25.5" x14ac:dyDescent="0.2">
      <c r="A614" s="151"/>
      <c r="B614" s="125" t="str">
        <f>ORÇAMENTO!A104</f>
        <v>7.1.5</v>
      </c>
      <c r="C614" s="96" t="str">
        <f>ORÇAMENTO!B104</f>
        <v>Reboco para teto,com argamassa traço - 1:2:6 (cimento/cal/areia), espessura 1,5 cm - massa única</v>
      </c>
      <c r="D614" s="97" t="str">
        <f>D604</f>
        <v>M²</v>
      </c>
      <c r="E614" s="76"/>
      <c r="F614" s="71"/>
      <c r="G614" s="98"/>
      <c r="H614" s="76"/>
      <c r="I614" s="76"/>
      <c r="J614" s="90"/>
      <c r="K614" s="99">
        <v>0.27079999999999999</v>
      </c>
      <c r="L614" s="107">
        <f t="shared" si="23"/>
        <v>1.4842</v>
      </c>
    </row>
    <row r="615" spans="1:14" s="88" customFormat="1" ht="25.5" x14ac:dyDescent="0.2">
      <c r="A615" s="79"/>
      <c r="B615" s="153"/>
      <c r="C615" s="112" t="str">
        <f>C614</f>
        <v>Reboco para teto,com argamassa traço - 1:2:6 (cimento/cal/areia), espessura 1,5 cm - massa única</v>
      </c>
      <c r="D615" s="113" t="str">
        <f>D614</f>
        <v>M²</v>
      </c>
      <c r="E615" s="77">
        <f>6.1*N12</f>
        <v>6.1</v>
      </c>
      <c r="F615" s="71">
        <v>230</v>
      </c>
      <c r="G615" s="98">
        <v>1.5</v>
      </c>
      <c r="H615" s="77"/>
      <c r="I615" s="77">
        <f>E615*G615</f>
        <v>9.1499999999999986</v>
      </c>
      <c r="J615" s="85"/>
      <c r="K615" s="99">
        <v>0.27079999999999999</v>
      </c>
      <c r="L615" s="107">
        <f t="shared" si="23"/>
        <v>1.4842</v>
      </c>
    </row>
    <row r="616" spans="1:14" s="88" customFormat="1" x14ac:dyDescent="0.2">
      <c r="A616" s="79"/>
      <c r="B616" s="75"/>
      <c r="C616" s="112" t="s">
        <v>361</v>
      </c>
      <c r="D616" s="113" t="s">
        <v>336</v>
      </c>
      <c r="E616" s="77">
        <f>5.21*N12</f>
        <v>5.21</v>
      </c>
      <c r="F616" s="71"/>
      <c r="G616" s="84">
        <v>0.5</v>
      </c>
      <c r="H616" s="77">
        <f>E616*G616</f>
        <v>2.605</v>
      </c>
      <c r="I616" s="144"/>
      <c r="J616" s="85"/>
      <c r="K616" s="99">
        <v>0.27079999999999999</v>
      </c>
      <c r="L616" s="107">
        <f t="shared" si="23"/>
        <v>1.4842</v>
      </c>
    </row>
    <row r="617" spans="1:14" s="88" customFormat="1" x14ac:dyDescent="0.2">
      <c r="A617" s="79"/>
      <c r="B617" s="75"/>
      <c r="C617" s="112" t="s">
        <v>345</v>
      </c>
      <c r="D617" s="113" t="s">
        <v>336</v>
      </c>
      <c r="E617" s="77">
        <f>3.77*N12</f>
        <v>3.77</v>
      </c>
      <c r="F617" s="71"/>
      <c r="G617" s="84">
        <v>0.5</v>
      </c>
      <c r="H617" s="77">
        <f>E617*G617</f>
        <v>1.885</v>
      </c>
      <c r="I617" s="144"/>
      <c r="J617" s="85"/>
      <c r="K617" s="99">
        <v>0.27079999999999999</v>
      </c>
      <c r="L617" s="107">
        <f t="shared" si="23"/>
        <v>1.4842</v>
      </c>
    </row>
    <row r="618" spans="1:14" s="88" customFormat="1" x14ac:dyDescent="0.2">
      <c r="A618" s="79"/>
      <c r="B618" s="75"/>
      <c r="C618" s="112"/>
      <c r="D618" s="113"/>
      <c r="E618" s="77"/>
      <c r="F618" s="71"/>
      <c r="G618" s="98"/>
      <c r="H618" s="77"/>
      <c r="I618" s="77"/>
      <c r="J618" s="85"/>
      <c r="K618" s="99">
        <v>0.27079999999999999</v>
      </c>
      <c r="L618" s="107">
        <f t="shared" si="23"/>
        <v>1.4842</v>
      </c>
    </row>
    <row r="619" spans="1:14" s="88" customFormat="1" x14ac:dyDescent="0.2">
      <c r="A619" s="79"/>
      <c r="B619" s="75"/>
      <c r="C619" s="112"/>
      <c r="D619" s="113"/>
      <c r="E619" s="361" t="str">
        <f>E609</f>
        <v>Custo Direto</v>
      </c>
      <c r="F619" s="361"/>
      <c r="G619" s="361"/>
      <c r="H619" s="114">
        <f>SUM(H615:H618)</f>
        <v>4.49</v>
      </c>
      <c r="I619" s="114">
        <f>SUM(I615:I618)</f>
        <v>9.1499999999999986</v>
      </c>
      <c r="J619" s="85"/>
      <c r="K619" s="99">
        <v>0.27079999999999999</v>
      </c>
      <c r="L619" s="107">
        <f t="shared" si="23"/>
        <v>1.4842</v>
      </c>
    </row>
    <row r="620" spans="1:14" s="88" customFormat="1" x14ac:dyDescent="0.2">
      <c r="A620" s="79"/>
      <c r="B620" s="75"/>
      <c r="C620" s="112"/>
      <c r="D620" s="113"/>
      <c r="E620" s="361" t="str">
        <f>E610</f>
        <v>LS(%): 148,42</v>
      </c>
      <c r="F620" s="361"/>
      <c r="G620" s="361"/>
      <c r="H620" s="77">
        <f>H619*L620</f>
        <v>6.6640579999999998</v>
      </c>
      <c r="I620" s="82"/>
      <c r="J620" s="85"/>
      <c r="K620" s="99">
        <v>0.27079999999999999</v>
      </c>
      <c r="L620" s="107">
        <f t="shared" si="23"/>
        <v>1.4842</v>
      </c>
    </row>
    <row r="621" spans="1:14" s="88" customFormat="1" x14ac:dyDescent="0.2">
      <c r="A621" s="79"/>
      <c r="B621" s="75"/>
      <c r="C621" s="112"/>
      <c r="D621" s="113"/>
      <c r="E621" s="361" t="str">
        <f>E611</f>
        <v>BDI (%): 27,08</v>
      </c>
      <c r="F621" s="361"/>
      <c r="G621" s="361"/>
      <c r="H621" s="362">
        <f>(H619+I619+H620)*K621</f>
        <v>5.498338906399999</v>
      </c>
      <c r="I621" s="362"/>
      <c r="J621" s="85"/>
      <c r="K621" s="99">
        <v>0.27079999999999999</v>
      </c>
      <c r="L621" s="107">
        <f t="shared" si="23"/>
        <v>1.4842</v>
      </c>
    </row>
    <row r="622" spans="1:14" s="88" customFormat="1" x14ac:dyDescent="0.2">
      <c r="A622" s="79"/>
      <c r="B622" s="75"/>
      <c r="C622" s="112"/>
      <c r="D622" s="113"/>
      <c r="E622" s="361" t="str">
        <f>E612</f>
        <v>Valor Total c/ Taxas</v>
      </c>
      <c r="F622" s="361"/>
      <c r="G622" s="361"/>
      <c r="H622" s="77"/>
      <c r="I622" s="114">
        <f>(H619+I619+H620+H621)</f>
        <v>25.802396906399998</v>
      </c>
      <c r="J622" s="85"/>
      <c r="K622" s="99">
        <v>0.27079999999999999</v>
      </c>
      <c r="L622" s="107">
        <f>L621</f>
        <v>1.4842</v>
      </c>
      <c r="N622" s="330">
        <v>25.802396906399998</v>
      </c>
    </row>
    <row r="623" spans="1:14" s="88" customFormat="1" x14ac:dyDescent="0.2">
      <c r="A623" s="79"/>
      <c r="B623" s="75"/>
      <c r="C623" s="112"/>
      <c r="D623" s="113"/>
      <c r="E623" s="76"/>
      <c r="F623" s="76"/>
      <c r="G623" s="76"/>
      <c r="H623" s="77"/>
      <c r="I623" s="114"/>
      <c r="J623" s="85"/>
      <c r="K623" s="99">
        <v>0.27079999999999999</v>
      </c>
      <c r="L623" s="107">
        <f t="shared" si="23"/>
        <v>1.4842</v>
      </c>
    </row>
    <row r="624" spans="1:14" s="79" customFormat="1" ht="38.25" x14ac:dyDescent="0.2">
      <c r="A624" s="151"/>
      <c r="B624" s="125" t="str">
        <f>ORÇAMENTO!A106</f>
        <v>7.2.1</v>
      </c>
      <c r="C624" s="96" t="str">
        <f>ORÇAMENTO!B106</f>
        <v>Revestimento cerâmico para parede,pei - 4,dimensão 10 x 10 cm,aplicado com argamassa industrializada ac-i,rejuntado,exclusive emboço,conforme especificações</v>
      </c>
      <c r="D624" s="97" t="s">
        <v>346</v>
      </c>
      <c r="E624" s="76"/>
      <c r="F624" s="71"/>
      <c r="G624" s="98"/>
      <c r="H624" s="76"/>
      <c r="I624" s="76"/>
      <c r="J624" s="90"/>
      <c r="K624" s="99">
        <v>0.27079999999999999</v>
      </c>
      <c r="L624" s="107">
        <f t="shared" si="23"/>
        <v>1.4842</v>
      </c>
    </row>
    <row r="625" spans="1:14" s="88" customFormat="1" ht="38.25" x14ac:dyDescent="0.2">
      <c r="A625" s="79"/>
      <c r="B625" s="153"/>
      <c r="C625" s="112" t="str">
        <f>C624</f>
        <v>Revestimento cerâmico para parede,pei - 4,dimensão 10 x 10 cm,aplicado com argamassa industrializada ac-i,rejuntado,exclusive emboço,conforme especificações</v>
      </c>
      <c r="D625" s="113" t="str">
        <f>D624</f>
        <v>U N</v>
      </c>
      <c r="E625" s="77">
        <f>30.06*N12</f>
        <v>30.06</v>
      </c>
      <c r="F625" s="71">
        <v>230</v>
      </c>
      <c r="G625" s="98">
        <v>1.5</v>
      </c>
      <c r="H625" s="77"/>
      <c r="I625" s="77">
        <f>E625*G625</f>
        <v>45.089999999999996</v>
      </c>
      <c r="J625" s="85"/>
      <c r="K625" s="99">
        <v>0.27079999999999999</v>
      </c>
      <c r="L625" s="107">
        <f t="shared" si="23"/>
        <v>1.4842</v>
      </c>
    </row>
    <row r="626" spans="1:14" s="88" customFormat="1" x14ac:dyDescent="0.2">
      <c r="A626" s="79"/>
      <c r="B626" s="75"/>
      <c r="C626" s="112" t="s">
        <v>361</v>
      </c>
      <c r="D626" s="113" t="s">
        <v>336</v>
      </c>
      <c r="E626" s="77">
        <f>5.21*N12</f>
        <v>5.21</v>
      </c>
      <c r="F626" s="71"/>
      <c r="G626" s="84">
        <v>0.5</v>
      </c>
      <c r="H626" s="77">
        <f>E626*G626</f>
        <v>2.605</v>
      </c>
      <c r="I626" s="144"/>
      <c r="J626" s="85"/>
      <c r="K626" s="99">
        <v>0.27079999999999999</v>
      </c>
      <c r="L626" s="107">
        <f t="shared" si="23"/>
        <v>1.4842</v>
      </c>
    </row>
    <row r="627" spans="1:14" s="88" customFormat="1" x14ac:dyDescent="0.2">
      <c r="A627" s="79"/>
      <c r="B627" s="75"/>
      <c r="C627" s="112" t="s">
        <v>345</v>
      </c>
      <c r="D627" s="113" t="s">
        <v>336</v>
      </c>
      <c r="E627" s="77">
        <f>3.77*N12</f>
        <v>3.77</v>
      </c>
      <c r="F627" s="71"/>
      <c r="G627" s="84">
        <v>0.5</v>
      </c>
      <c r="H627" s="77">
        <f>E627*G627</f>
        <v>1.885</v>
      </c>
      <c r="I627" s="144"/>
      <c r="J627" s="85"/>
      <c r="K627" s="99">
        <v>0.27079999999999999</v>
      </c>
      <c r="L627" s="107">
        <f t="shared" si="23"/>
        <v>1.4842</v>
      </c>
    </row>
    <row r="628" spans="1:14" s="88" customFormat="1" x14ac:dyDescent="0.2">
      <c r="A628" s="79"/>
      <c r="B628" s="75"/>
      <c r="C628" s="112"/>
      <c r="D628" s="113"/>
      <c r="E628" s="77"/>
      <c r="F628" s="71"/>
      <c r="G628" s="98"/>
      <c r="H628" s="77"/>
      <c r="I628" s="77"/>
      <c r="J628" s="85"/>
      <c r="K628" s="99">
        <v>0.27079999999999999</v>
      </c>
      <c r="L628" s="107">
        <f t="shared" si="23"/>
        <v>1.4842</v>
      </c>
    </row>
    <row r="629" spans="1:14" s="88" customFormat="1" x14ac:dyDescent="0.2">
      <c r="A629" s="79"/>
      <c r="B629" s="75"/>
      <c r="C629" s="112"/>
      <c r="D629" s="113"/>
      <c r="E629" s="361" t="str">
        <f>E619</f>
        <v>Custo Direto</v>
      </c>
      <c r="F629" s="361"/>
      <c r="G629" s="361"/>
      <c r="H629" s="114">
        <f>SUM(H625:H628)</f>
        <v>4.49</v>
      </c>
      <c r="I629" s="114">
        <f>SUM(I625:I628)</f>
        <v>45.089999999999996</v>
      </c>
      <c r="J629" s="85"/>
      <c r="K629" s="99">
        <v>0.27079999999999999</v>
      </c>
      <c r="L629" s="107">
        <f t="shared" si="23"/>
        <v>1.4842</v>
      </c>
    </row>
    <row r="630" spans="1:14" s="88" customFormat="1" x14ac:dyDescent="0.2">
      <c r="A630" s="79"/>
      <c r="B630" s="75"/>
      <c r="C630" s="112"/>
      <c r="D630" s="113"/>
      <c r="E630" s="361" t="str">
        <f>E620</f>
        <v>LS(%): 148,42</v>
      </c>
      <c r="F630" s="361"/>
      <c r="G630" s="361"/>
      <c r="H630" s="77">
        <f>H629*L630</f>
        <v>6.6640579999999998</v>
      </c>
      <c r="I630" s="82"/>
      <c r="J630" s="85"/>
      <c r="K630" s="99">
        <v>0.27079999999999999</v>
      </c>
      <c r="L630" s="107">
        <f t="shared" si="23"/>
        <v>1.4842</v>
      </c>
    </row>
    <row r="631" spans="1:14" s="88" customFormat="1" x14ac:dyDescent="0.2">
      <c r="A631" s="79"/>
      <c r="B631" s="75"/>
      <c r="C631" s="112"/>
      <c r="D631" s="113"/>
      <c r="E631" s="361" t="str">
        <f>E621</f>
        <v>BDI (%): 27,08</v>
      </c>
      <c r="F631" s="361"/>
      <c r="G631" s="361"/>
      <c r="H631" s="362">
        <f>(H629+I629+H630)*K631</f>
        <v>15.230890906399997</v>
      </c>
      <c r="I631" s="362"/>
      <c r="J631" s="85"/>
      <c r="K631" s="99">
        <v>0.27079999999999999</v>
      </c>
      <c r="L631" s="107">
        <f t="shared" si="23"/>
        <v>1.4842</v>
      </c>
    </row>
    <row r="632" spans="1:14" s="88" customFormat="1" x14ac:dyDescent="0.2">
      <c r="A632" s="79"/>
      <c r="B632" s="75"/>
      <c r="C632" s="112"/>
      <c r="D632" s="113"/>
      <c r="E632" s="361" t="str">
        <f>E622</f>
        <v>Valor Total c/ Taxas</v>
      </c>
      <c r="F632" s="361"/>
      <c r="G632" s="361"/>
      <c r="H632" s="77"/>
      <c r="I632" s="114">
        <f>(H629+I629+H630+H631)</f>
        <v>71.474948906399987</v>
      </c>
      <c r="J632" s="85"/>
      <c r="K632" s="99">
        <v>0.27079999999999999</v>
      </c>
      <c r="L632" s="107">
        <f>L631</f>
        <v>1.4842</v>
      </c>
      <c r="N632" s="330">
        <v>71.47</v>
      </c>
    </row>
    <row r="633" spans="1:14" s="88" customFormat="1" x14ac:dyDescent="0.2">
      <c r="A633" s="79"/>
      <c r="B633" s="75"/>
      <c r="C633" s="112"/>
      <c r="D633" s="113"/>
      <c r="E633" s="76"/>
      <c r="F633" s="76"/>
      <c r="G633" s="76"/>
      <c r="H633" s="77"/>
      <c r="I633" s="114"/>
      <c r="J633" s="85"/>
      <c r="K633" s="99">
        <v>0.27079999999999999</v>
      </c>
      <c r="L633" s="107">
        <f t="shared" si="23"/>
        <v>1.4842</v>
      </c>
    </row>
    <row r="634" spans="1:14" s="79" customFormat="1" ht="25.5" x14ac:dyDescent="0.2">
      <c r="A634" s="151"/>
      <c r="B634" s="125" t="str">
        <f>ORÇAMENTO!A110</f>
        <v>8.1.1</v>
      </c>
      <c r="C634" s="96" t="str">
        <f>ORÇAMENTO!B110</f>
        <v>Lastro de concreto simples regularizado para piso inclusive impermeabiliação</v>
      </c>
      <c r="D634" s="97" t="s">
        <v>362</v>
      </c>
      <c r="E634" s="76"/>
      <c r="F634" s="71"/>
      <c r="G634" s="98"/>
      <c r="H634" s="76"/>
      <c r="I634" s="76"/>
      <c r="J634" s="90"/>
      <c r="K634" s="99">
        <v>0.27079999999999999</v>
      </c>
      <c r="L634" s="107">
        <f t="shared" si="23"/>
        <v>1.4842</v>
      </c>
    </row>
    <row r="635" spans="1:14" s="88" customFormat="1" ht="25.5" x14ac:dyDescent="0.2">
      <c r="A635" s="79"/>
      <c r="B635" s="153"/>
      <c r="C635" s="112" t="str">
        <f>C634</f>
        <v>Lastro de concreto simples regularizado para piso inclusive impermeabiliação</v>
      </c>
      <c r="D635" s="113" t="str">
        <f>D634</f>
        <v>M³</v>
      </c>
      <c r="E635" s="77">
        <f>9.15*N12</f>
        <v>9.15</v>
      </c>
      <c r="F635" s="71">
        <v>230</v>
      </c>
      <c r="G635" s="98">
        <v>1</v>
      </c>
      <c r="H635" s="77"/>
      <c r="I635" s="77">
        <f>E635*G635</f>
        <v>9.15</v>
      </c>
      <c r="J635" s="85"/>
      <c r="K635" s="99">
        <v>0.27079999999999999</v>
      </c>
      <c r="L635" s="107">
        <f t="shared" si="23"/>
        <v>1.4842</v>
      </c>
    </row>
    <row r="636" spans="1:14" s="88" customFormat="1" x14ac:dyDescent="0.2">
      <c r="A636" s="79"/>
      <c r="B636" s="75"/>
      <c r="C636" s="112" t="s">
        <v>361</v>
      </c>
      <c r="D636" s="113" t="s">
        <v>336</v>
      </c>
      <c r="E636" s="77">
        <f>5.21*N12</f>
        <v>5.21</v>
      </c>
      <c r="F636" s="71"/>
      <c r="G636" s="84">
        <v>0.3</v>
      </c>
      <c r="H636" s="77">
        <f>E636*G636</f>
        <v>1.5629999999999999</v>
      </c>
      <c r="I636" s="144"/>
      <c r="J636" s="85"/>
      <c r="K636" s="99">
        <v>0.27079999999999999</v>
      </c>
      <c r="L636" s="107">
        <f t="shared" si="23"/>
        <v>1.4842</v>
      </c>
    </row>
    <row r="637" spans="1:14" s="88" customFormat="1" x14ac:dyDescent="0.2">
      <c r="A637" s="79"/>
      <c r="B637" s="75"/>
      <c r="C637" s="112" t="s">
        <v>345</v>
      </c>
      <c r="D637" s="113" t="s">
        <v>336</v>
      </c>
      <c r="E637" s="77">
        <f>3.77*N12</f>
        <v>3.77</v>
      </c>
      <c r="F637" s="71"/>
      <c r="G637" s="84">
        <v>0.3</v>
      </c>
      <c r="H637" s="77">
        <f>E637*G637</f>
        <v>1.131</v>
      </c>
      <c r="I637" s="144"/>
      <c r="J637" s="85"/>
      <c r="K637" s="99">
        <v>0.27079999999999999</v>
      </c>
      <c r="L637" s="107">
        <f t="shared" ref="L637:L641" si="24">L636</f>
        <v>1.4842</v>
      </c>
    </row>
    <row r="638" spans="1:14" s="88" customFormat="1" x14ac:dyDescent="0.2">
      <c r="A638" s="79"/>
      <c r="B638" s="75"/>
      <c r="C638" s="112"/>
      <c r="D638" s="113"/>
      <c r="E638" s="77"/>
      <c r="F638" s="71"/>
      <c r="G638" s="98"/>
      <c r="H638" s="77"/>
      <c r="I638" s="77"/>
      <c r="J638" s="85"/>
      <c r="K638" s="99">
        <v>0.27079999999999999</v>
      </c>
      <c r="L638" s="107">
        <f t="shared" si="24"/>
        <v>1.4842</v>
      </c>
    </row>
    <row r="639" spans="1:14" s="88" customFormat="1" x14ac:dyDescent="0.2">
      <c r="A639" s="79"/>
      <c r="B639" s="75"/>
      <c r="C639" s="112"/>
      <c r="D639" s="113"/>
      <c r="E639" s="361" t="str">
        <f>E629</f>
        <v>Custo Direto</v>
      </c>
      <c r="F639" s="361"/>
      <c r="G639" s="361"/>
      <c r="H639" s="114">
        <f>SUM(H635:H638)</f>
        <v>2.694</v>
      </c>
      <c r="I639" s="114">
        <f>SUM(I635:I638)</f>
        <v>9.15</v>
      </c>
      <c r="J639" s="85"/>
      <c r="K639" s="99">
        <v>0.27079999999999999</v>
      </c>
      <c r="L639" s="107">
        <f t="shared" si="24"/>
        <v>1.4842</v>
      </c>
    </row>
    <row r="640" spans="1:14" s="88" customFormat="1" x14ac:dyDescent="0.2">
      <c r="A640" s="79"/>
      <c r="B640" s="75"/>
      <c r="C640" s="112"/>
      <c r="D640" s="113"/>
      <c r="E640" s="361" t="str">
        <f>E630</f>
        <v>LS(%): 148,42</v>
      </c>
      <c r="F640" s="361"/>
      <c r="G640" s="361"/>
      <c r="H640" s="77">
        <f>H639*L640</f>
        <v>3.9984347999999996</v>
      </c>
      <c r="I640" s="82"/>
      <c r="J640" s="85"/>
      <c r="K640" s="99">
        <v>0.27079999999999999</v>
      </c>
      <c r="L640" s="107">
        <f t="shared" si="24"/>
        <v>1.4842</v>
      </c>
    </row>
    <row r="641" spans="1:14" s="88" customFormat="1" x14ac:dyDescent="0.2">
      <c r="A641" s="79"/>
      <c r="B641" s="75"/>
      <c r="C641" s="112"/>
      <c r="D641" s="113"/>
      <c r="E641" s="361" t="str">
        <f>E631</f>
        <v>BDI (%): 27,08</v>
      </c>
      <c r="F641" s="361"/>
      <c r="G641" s="361"/>
      <c r="H641" s="362">
        <f>(H639+I639+H640)*K641</f>
        <v>4.2901313438399997</v>
      </c>
      <c r="I641" s="362"/>
      <c r="J641" s="85"/>
      <c r="K641" s="99">
        <v>0.27079999999999999</v>
      </c>
      <c r="L641" s="107">
        <f t="shared" si="24"/>
        <v>1.4842</v>
      </c>
    </row>
    <row r="642" spans="1:14" s="88" customFormat="1" x14ac:dyDescent="0.2">
      <c r="A642" s="79"/>
      <c r="B642" s="75"/>
      <c r="C642" s="112"/>
      <c r="D642" s="113"/>
      <c r="E642" s="361" t="str">
        <f>E632</f>
        <v>Valor Total c/ Taxas</v>
      </c>
      <c r="F642" s="361"/>
      <c r="G642" s="361"/>
      <c r="H642" s="77"/>
      <c r="I642" s="114">
        <f>(H639+I639+H640+H641)</f>
        <v>20.132566143840002</v>
      </c>
      <c r="J642" s="85"/>
      <c r="K642" s="99">
        <v>0.27079999999999999</v>
      </c>
      <c r="L642" s="107">
        <f>L641</f>
        <v>1.4842</v>
      </c>
      <c r="N642" s="330">
        <v>20.13</v>
      </c>
    </row>
    <row r="643" spans="1:14" s="88" customFormat="1" ht="14.25" customHeight="1" x14ac:dyDescent="0.2">
      <c r="A643" s="79"/>
      <c r="B643" s="75"/>
      <c r="C643" s="112"/>
      <c r="D643" s="113"/>
      <c r="E643" s="76"/>
      <c r="F643" s="76"/>
      <c r="G643" s="76"/>
      <c r="H643" s="77"/>
      <c r="I643" s="114"/>
      <c r="J643" s="85"/>
      <c r="K643" s="99">
        <v>0.27079999999999999</v>
      </c>
      <c r="L643" s="107">
        <f t="shared" ref="L643:L702" si="25">L642</f>
        <v>1.4842</v>
      </c>
    </row>
    <row r="644" spans="1:14" s="88" customFormat="1" ht="14.25" customHeight="1" x14ac:dyDescent="0.2">
      <c r="A644" s="79"/>
      <c r="B644" s="75"/>
      <c r="C644" s="112"/>
      <c r="D644" s="113"/>
      <c r="E644" s="76"/>
      <c r="F644" s="76"/>
      <c r="G644" s="76"/>
      <c r="H644" s="77"/>
      <c r="I644" s="114"/>
      <c r="J644" s="85"/>
      <c r="K644" s="99">
        <v>0.27079999999999999</v>
      </c>
      <c r="L644" s="107">
        <f t="shared" si="25"/>
        <v>1.4842</v>
      </c>
    </row>
    <row r="645" spans="1:14" s="79" customFormat="1" ht="38.25" x14ac:dyDescent="0.2">
      <c r="A645" s="151"/>
      <c r="B645" s="125" t="str">
        <f>ORÇAMENTO!A112</f>
        <v>8.2.1</v>
      </c>
      <c r="C645" s="96" t="str">
        <f>ORÇAMENTO!B112</f>
        <v>Revestimento cerâmico para piso,dimensão 40 x 40 cm,pei - 4,aplicado com argamassa industrializada ac-i,rejuntado,exclusive regularização de base,conforme especificações</v>
      </c>
      <c r="D645" s="97" t="s">
        <v>349</v>
      </c>
      <c r="E645" s="76"/>
      <c r="F645" s="71"/>
      <c r="G645" s="98"/>
      <c r="H645" s="76"/>
      <c r="I645" s="76"/>
      <c r="J645" s="90"/>
      <c r="K645" s="99">
        <v>0.27079999999999999</v>
      </c>
      <c r="L645" s="107">
        <f t="shared" si="25"/>
        <v>1.4842</v>
      </c>
    </row>
    <row r="646" spans="1:14" s="88" customFormat="1" ht="51" x14ac:dyDescent="0.2">
      <c r="A646" s="79"/>
      <c r="B646" s="153"/>
      <c r="C646" s="112" t="str">
        <f>C645</f>
        <v>Revestimento cerâmico para piso,dimensão 40 x 40 cm,pei - 4,aplicado com argamassa industrializada ac-i,rejuntado,exclusive regularização de base,conforme especificações</v>
      </c>
      <c r="D646" s="113" t="str">
        <f>D645</f>
        <v>M²</v>
      </c>
      <c r="E646" s="77">
        <f>30.983*N12</f>
        <v>30.983000000000001</v>
      </c>
      <c r="F646" s="71">
        <v>230</v>
      </c>
      <c r="G646" s="98">
        <v>1</v>
      </c>
      <c r="H646" s="77"/>
      <c r="I646" s="77">
        <f>E646*G646</f>
        <v>30.983000000000001</v>
      </c>
      <c r="J646" s="85"/>
      <c r="K646" s="99">
        <v>0.27079999999999999</v>
      </c>
      <c r="L646" s="107">
        <f t="shared" si="25"/>
        <v>1.4842</v>
      </c>
    </row>
    <row r="647" spans="1:14" s="88" customFormat="1" x14ac:dyDescent="0.2">
      <c r="A647" s="79"/>
      <c r="B647" s="75"/>
      <c r="C647" s="112" t="s">
        <v>361</v>
      </c>
      <c r="D647" s="113" t="s">
        <v>336</v>
      </c>
      <c r="E647" s="77">
        <f>5.21*N12</f>
        <v>5.21</v>
      </c>
      <c r="F647" s="71"/>
      <c r="G647" s="84">
        <v>0.3</v>
      </c>
      <c r="H647" s="77">
        <f>E647*G647</f>
        <v>1.5629999999999999</v>
      </c>
      <c r="I647" s="144"/>
      <c r="J647" s="85"/>
      <c r="K647" s="99">
        <v>0.27079999999999999</v>
      </c>
      <c r="L647" s="107">
        <f t="shared" si="25"/>
        <v>1.4842</v>
      </c>
    </row>
    <row r="648" spans="1:14" s="88" customFormat="1" x14ac:dyDescent="0.2">
      <c r="A648" s="79"/>
      <c r="B648" s="75"/>
      <c r="C648" s="112" t="s">
        <v>345</v>
      </c>
      <c r="D648" s="113" t="s">
        <v>336</v>
      </c>
      <c r="E648" s="77">
        <f>3.77*N12</f>
        <v>3.77</v>
      </c>
      <c r="F648" s="71"/>
      <c r="G648" s="84">
        <v>0.3</v>
      </c>
      <c r="H648" s="77">
        <f>E648*G648</f>
        <v>1.131</v>
      </c>
      <c r="I648" s="144"/>
      <c r="J648" s="85"/>
      <c r="K648" s="99">
        <v>0.27079999999999999</v>
      </c>
      <c r="L648" s="107">
        <f t="shared" si="25"/>
        <v>1.4842</v>
      </c>
    </row>
    <row r="649" spans="1:14" s="88" customFormat="1" x14ac:dyDescent="0.2">
      <c r="A649" s="79"/>
      <c r="B649" s="75"/>
      <c r="C649" s="112"/>
      <c r="D649" s="113"/>
      <c r="E649" s="77"/>
      <c r="F649" s="71"/>
      <c r="G649" s="98"/>
      <c r="H649" s="77"/>
      <c r="I649" s="77"/>
      <c r="J649" s="85"/>
      <c r="K649" s="99">
        <v>0.27079999999999999</v>
      </c>
      <c r="L649" s="107">
        <f t="shared" si="25"/>
        <v>1.4842</v>
      </c>
    </row>
    <row r="650" spans="1:14" s="88" customFormat="1" x14ac:dyDescent="0.2">
      <c r="A650" s="79"/>
      <c r="B650" s="75"/>
      <c r="C650" s="112"/>
      <c r="D650" s="113"/>
      <c r="E650" s="361" t="str">
        <f>E639</f>
        <v>Custo Direto</v>
      </c>
      <c r="F650" s="361"/>
      <c r="G650" s="361"/>
      <c r="H650" s="114">
        <f>SUM(H646:H649)</f>
        <v>2.694</v>
      </c>
      <c r="I650" s="114">
        <f>SUM(I646:I649)</f>
        <v>30.983000000000001</v>
      </c>
      <c r="J650" s="85"/>
      <c r="K650" s="99">
        <v>0.27079999999999999</v>
      </c>
      <c r="L650" s="107">
        <f t="shared" si="25"/>
        <v>1.4842</v>
      </c>
    </row>
    <row r="651" spans="1:14" s="88" customFormat="1" x14ac:dyDescent="0.2">
      <c r="A651" s="79"/>
      <c r="B651" s="75"/>
      <c r="C651" s="112"/>
      <c r="D651" s="113"/>
      <c r="E651" s="361" t="str">
        <f>E640</f>
        <v>LS(%): 148,42</v>
      </c>
      <c r="F651" s="361"/>
      <c r="G651" s="361"/>
      <c r="H651" s="77">
        <f>H650*L651</f>
        <v>3.9984347999999996</v>
      </c>
      <c r="I651" s="82"/>
      <c r="J651" s="85"/>
      <c r="K651" s="99">
        <v>0.27079999999999999</v>
      </c>
      <c r="L651" s="107">
        <f t="shared" si="25"/>
        <v>1.4842</v>
      </c>
    </row>
    <row r="652" spans="1:14" s="88" customFormat="1" x14ac:dyDescent="0.2">
      <c r="A652" s="79"/>
      <c r="B652" s="75"/>
      <c r="C652" s="112"/>
      <c r="D652" s="113"/>
      <c r="E652" s="361" t="str">
        <f>E641</f>
        <v>BDI (%): 27,08</v>
      </c>
      <c r="F652" s="361"/>
      <c r="G652" s="361"/>
      <c r="H652" s="362">
        <f>(H650+I650+H651)*K652</f>
        <v>10.202507743839998</v>
      </c>
      <c r="I652" s="362"/>
      <c r="J652" s="85"/>
      <c r="K652" s="99">
        <v>0.27079999999999999</v>
      </c>
      <c r="L652" s="107">
        <f t="shared" si="25"/>
        <v>1.4842</v>
      </c>
    </row>
    <row r="653" spans="1:14" s="88" customFormat="1" x14ac:dyDescent="0.2">
      <c r="A653" s="79"/>
      <c r="B653" s="75"/>
      <c r="C653" s="112"/>
      <c r="D653" s="113"/>
      <c r="E653" s="361" t="str">
        <f>E642</f>
        <v>Valor Total c/ Taxas</v>
      </c>
      <c r="F653" s="361"/>
      <c r="G653" s="361"/>
      <c r="H653" s="77"/>
      <c r="I653" s="114">
        <f>(H650+I650+H651+H652)</f>
        <v>47.877942543839993</v>
      </c>
      <c r="J653" s="85"/>
      <c r="K653" s="99">
        <v>0.27079999999999999</v>
      </c>
      <c r="L653" s="107">
        <f>L652</f>
        <v>1.4842</v>
      </c>
      <c r="N653" s="330">
        <v>47.88</v>
      </c>
    </row>
    <row r="654" spans="1:14" s="88" customFormat="1" ht="14.25" customHeight="1" x14ac:dyDescent="0.2">
      <c r="A654" s="79"/>
      <c r="B654" s="75"/>
      <c r="C654" s="112"/>
      <c r="D654" s="113"/>
      <c r="E654" s="76"/>
      <c r="F654" s="76"/>
      <c r="G654" s="76"/>
      <c r="H654" s="77"/>
      <c r="I654" s="114"/>
      <c r="J654" s="85"/>
      <c r="K654" s="99">
        <v>0.27079999999999999</v>
      </c>
      <c r="L654" s="107">
        <f t="shared" si="25"/>
        <v>1.4842</v>
      </c>
    </row>
    <row r="655" spans="1:14" s="79" customFormat="1" ht="19.5" customHeight="1" x14ac:dyDescent="0.2">
      <c r="A655" s="151"/>
      <c r="B655" s="125" t="str">
        <f>ORÇAMENTO!A114</f>
        <v>8.3.1</v>
      </c>
      <c r="C655" s="96" t="str">
        <f>ORÇAMENTO!B114</f>
        <v>Piso em concreto simples desempolado,fck=15 mpa,e=7 cm</v>
      </c>
      <c r="D655" s="97" t="s">
        <v>349</v>
      </c>
      <c r="E655" s="76"/>
      <c r="F655" s="71"/>
      <c r="G655" s="98"/>
      <c r="H655" s="76"/>
      <c r="I655" s="76"/>
      <c r="J655" s="90"/>
      <c r="K655" s="99">
        <v>0.27079999999999999</v>
      </c>
      <c r="L655" s="107">
        <f t="shared" si="25"/>
        <v>1.4842</v>
      </c>
    </row>
    <row r="656" spans="1:14" s="88" customFormat="1" ht="16.5" customHeight="1" x14ac:dyDescent="0.2">
      <c r="A656" s="79"/>
      <c r="B656" s="153"/>
      <c r="C656" s="112" t="str">
        <f>C655</f>
        <v>Piso em concreto simples desempolado,fck=15 mpa,e=7 cm</v>
      </c>
      <c r="D656" s="113" t="str">
        <f>D655</f>
        <v>M²</v>
      </c>
      <c r="E656" s="77">
        <f>22.7*N12</f>
        <v>22.7</v>
      </c>
      <c r="F656" s="71">
        <v>230</v>
      </c>
      <c r="G656" s="98">
        <v>1</v>
      </c>
      <c r="H656" s="77"/>
      <c r="I656" s="77">
        <f>E656*G656</f>
        <v>22.7</v>
      </c>
      <c r="J656" s="85"/>
      <c r="K656" s="99">
        <v>0.27079999999999999</v>
      </c>
      <c r="L656" s="107">
        <f t="shared" si="25"/>
        <v>1.4842</v>
      </c>
    </row>
    <row r="657" spans="1:14" s="88" customFormat="1" x14ac:dyDescent="0.2">
      <c r="A657" s="79"/>
      <c r="B657" s="75"/>
      <c r="C657" s="112" t="s">
        <v>361</v>
      </c>
      <c r="D657" s="113" t="s">
        <v>336</v>
      </c>
      <c r="E657" s="77">
        <f>5.21*N12</f>
        <v>5.21</v>
      </c>
      <c r="F657" s="71"/>
      <c r="G657" s="84">
        <v>0.3</v>
      </c>
      <c r="H657" s="77">
        <f>E657*G657</f>
        <v>1.5629999999999999</v>
      </c>
      <c r="I657" s="144"/>
      <c r="J657" s="85"/>
      <c r="K657" s="99">
        <v>0.27079999999999999</v>
      </c>
      <c r="L657" s="107">
        <f t="shared" si="25"/>
        <v>1.4842</v>
      </c>
    </row>
    <row r="658" spans="1:14" s="88" customFormat="1" x14ac:dyDescent="0.2">
      <c r="A658" s="79"/>
      <c r="B658" s="75"/>
      <c r="C658" s="112" t="s">
        <v>345</v>
      </c>
      <c r="D658" s="113" t="s">
        <v>336</v>
      </c>
      <c r="E658" s="77">
        <f>3.77*N12</f>
        <v>3.77</v>
      </c>
      <c r="F658" s="71"/>
      <c r="G658" s="84">
        <v>0.3</v>
      </c>
      <c r="H658" s="77">
        <f>E658*G658</f>
        <v>1.131</v>
      </c>
      <c r="I658" s="144"/>
      <c r="J658" s="85"/>
      <c r="K658" s="99">
        <v>0.27079999999999999</v>
      </c>
      <c r="L658" s="107">
        <f t="shared" si="25"/>
        <v>1.4842</v>
      </c>
    </row>
    <row r="659" spans="1:14" s="88" customFormat="1" x14ac:dyDescent="0.2">
      <c r="A659" s="79"/>
      <c r="B659" s="75"/>
      <c r="C659" s="112"/>
      <c r="D659" s="113"/>
      <c r="E659" s="77"/>
      <c r="F659" s="71"/>
      <c r="G659" s="98"/>
      <c r="H659" s="77"/>
      <c r="I659" s="77"/>
      <c r="J659" s="85"/>
      <c r="K659" s="99">
        <v>0.27079999999999999</v>
      </c>
      <c r="L659" s="107">
        <f t="shared" si="25"/>
        <v>1.4842</v>
      </c>
    </row>
    <row r="660" spans="1:14" s="88" customFormat="1" x14ac:dyDescent="0.2">
      <c r="A660" s="79"/>
      <c r="B660" s="75"/>
      <c r="C660" s="112"/>
      <c r="D660" s="113"/>
      <c r="E660" s="361" t="str">
        <f>E650</f>
        <v>Custo Direto</v>
      </c>
      <c r="F660" s="361"/>
      <c r="G660" s="361"/>
      <c r="H660" s="114">
        <f>SUM(H656:H659)</f>
        <v>2.694</v>
      </c>
      <c r="I660" s="114">
        <f>SUM(I656:I659)</f>
        <v>22.7</v>
      </c>
      <c r="J660" s="85"/>
      <c r="K660" s="99">
        <v>0.27079999999999999</v>
      </c>
      <c r="L660" s="107">
        <f t="shared" si="25"/>
        <v>1.4842</v>
      </c>
    </row>
    <row r="661" spans="1:14" s="88" customFormat="1" x14ac:dyDescent="0.2">
      <c r="A661" s="79"/>
      <c r="B661" s="75"/>
      <c r="C661" s="112"/>
      <c r="D661" s="113"/>
      <c r="E661" s="361" t="str">
        <f>E651</f>
        <v>LS(%): 148,42</v>
      </c>
      <c r="F661" s="361"/>
      <c r="G661" s="361"/>
      <c r="H661" s="77">
        <f>H660*L661</f>
        <v>3.9984347999999996</v>
      </c>
      <c r="I661" s="82"/>
      <c r="J661" s="85"/>
      <c r="K661" s="99">
        <v>0.27079999999999999</v>
      </c>
      <c r="L661" s="107">
        <f t="shared" si="25"/>
        <v>1.4842</v>
      </c>
    </row>
    <row r="662" spans="1:14" s="88" customFormat="1" x14ac:dyDescent="0.2">
      <c r="A662" s="79"/>
      <c r="B662" s="75"/>
      <c r="C662" s="112"/>
      <c r="D662" s="113"/>
      <c r="E662" s="361" t="str">
        <f>E652</f>
        <v>BDI (%): 27,08</v>
      </c>
      <c r="F662" s="361"/>
      <c r="G662" s="361"/>
      <c r="H662" s="362">
        <f>(H660+I660+H661)*K662</f>
        <v>7.9594713438399989</v>
      </c>
      <c r="I662" s="362"/>
      <c r="J662" s="85"/>
      <c r="K662" s="99">
        <v>0.27079999999999999</v>
      </c>
      <c r="L662" s="107">
        <f t="shared" si="25"/>
        <v>1.4842</v>
      </c>
    </row>
    <row r="663" spans="1:14" s="88" customFormat="1" x14ac:dyDescent="0.2">
      <c r="A663" s="79"/>
      <c r="B663" s="75"/>
      <c r="C663" s="112"/>
      <c r="D663" s="113"/>
      <c r="E663" s="361" t="str">
        <f>E653</f>
        <v>Valor Total c/ Taxas</v>
      </c>
      <c r="F663" s="361"/>
      <c r="G663" s="361"/>
      <c r="H663" s="77"/>
      <c r="I663" s="114">
        <f>(H660+I660+H661+H662)</f>
        <v>37.351906143839997</v>
      </c>
      <c r="J663" s="85"/>
      <c r="K663" s="99">
        <v>0.27079999999999999</v>
      </c>
      <c r="L663" s="107">
        <f>L662</f>
        <v>1.4842</v>
      </c>
      <c r="N663" s="330">
        <v>37.351906143839997</v>
      </c>
    </row>
    <row r="664" spans="1:14" s="88" customFormat="1" x14ac:dyDescent="0.2">
      <c r="A664" s="79"/>
      <c r="B664" s="75"/>
      <c r="C664" s="112"/>
      <c r="D664" s="113"/>
      <c r="E664" s="76"/>
      <c r="F664" s="76"/>
      <c r="G664" s="76"/>
      <c r="H664" s="77"/>
      <c r="I664" s="114"/>
      <c r="J664" s="85"/>
      <c r="K664" s="99">
        <v>0.27079999999999999</v>
      </c>
      <c r="L664" s="107">
        <f t="shared" si="25"/>
        <v>1.4842</v>
      </c>
    </row>
    <row r="665" spans="1:14" s="79" customFormat="1" ht="25.5" x14ac:dyDescent="0.2">
      <c r="A665" s="151"/>
      <c r="B665" s="125" t="str">
        <f>ORÇAMENTO!A118</f>
        <v>9.1.1</v>
      </c>
      <c r="C665" s="96" t="str">
        <f>ORÇAMENTO!B118</f>
        <v>Soleiras em granito cinza andorinha largura 15 em espessura 3cm,inclusive impermeabilização</v>
      </c>
      <c r="D665" s="97" t="s">
        <v>355</v>
      </c>
      <c r="E665" s="76"/>
      <c r="F665" s="71"/>
      <c r="G665" s="98"/>
      <c r="H665" s="76"/>
      <c r="I665" s="76"/>
      <c r="J665" s="90"/>
      <c r="K665" s="99">
        <v>0.27079999999999999</v>
      </c>
      <c r="L665" s="107">
        <f t="shared" si="25"/>
        <v>1.4842</v>
      </c>
    </row>
    <row r="666" spans="1:14" s="88" customFormat="1" ht="25.5" x14ac:dyDescent="0.2">
      <c r="A666" s="79"/>
      <c r="B666" s="153"/>
      <c r="C666" s="112" t="str">
        <f>C665</f>
        <v>Soleiras em granito cinza andorinha largura 15 em espessura 3cm,inclusive impermeabilização</v>
      </c>
      <c r="D666" s="113" t="str">
        <f>D665</f>
        <v>M</v>
      </c>
      <c r="E666" s="77">
        <f>36.32*N12</f>
        <v>36.32</v>
      </c>
      <c r="F666" s="71">
        <v>230</v>
      </c>
      <c r="G666" s="98">
        <v>1</v>
      </c>
      <c r="H666" s="77"/>
      <c r="I666" s="77">
        <f>E666*G666</f>
        <v>36.32</v>
      </c>
      <c r="J666" s="85"/>
      <c r="K666" s="99">
        <v>0.27079999999999999</v>
      </c>
      <c r="L666" s="107">
        <f t="shared" si="25"/>
        <v>1.4842</v>
      </c>
    </row>
    <row r="667" spans="1:14" s="88" customFormat="1" x14ac:dyDescent="0.2">
      <c r="A667" s="79"/>
      <c r="B667" s="75"/>
      <c r="C667" s="112" t="s">
        <v>361</v>
      </c>
      <c r="D667" s="113" t="s">
        <v>336</v>
      </c>
      <c r="E667" s="77">
        <f>5.21*N12</f>
        <v>5.21</v>
      </c>
      <c r="F667" s="71"/>
      <c r="G667" s="84">
        <v>0.3</v>
      </c>
      <c r="H667" s="77">
        <f>E667*G667</f>
        <v>1.5629999999999999</v>
      </c>
      <c r="I667" s="144"/>
      <c r="J667" s="85"/>
      <c r="K667" s="99">
        <v>0.27079999999999999</v>
      </c>
      <c r="L667" s="107">
        <f t="shared" si="25"/>
        <v>1.4842</v>
      </c>
    </row>
    <row r="668" spans="1:14" s="88" customFormat="1" x14ac:dyDescent="0.2">
      <c r="A668" s="79"/>
      <c r="B668" s="75"/>
      <c r="C668" s="112" t="s">
        <v>345</v>
      </c>
      <c r="D668" s="113" t="s">
        <v>336</v>
      </c>
      <c r="E668" s="77">
        <f>3.77*N12</f>
        <v>3.77</v>
      </c>
      <c r="F668" s="71"/>
      <c r="G668" s="84">
        <v>0.3</v>
      </c>
      <c r="H668" s="77">
        <f>E668*G668</f>
        <v>1.131</v>
      </c>
      <c r="I668" s="144"/>
      <c r="J668" s="85"/>
      <c r="K668" s="99">
        <v>0.27079999999999999</v>
      </c>
      <c r="L668" s="107">
        <f t="shared" si="25"/>
        <v>1.4842</v>
      </c>
    </row>
    <row r="669" spans="1:14" s="88" customFormat="1" x14ac:dyDescent="0.2">
      <c r="A669" s="79"/>
      <c r="B669" s="75"/>
      <c r="C669" s="112"/>
      <c r="D669" s="113"/>
      <c r="E669" s="77"/>
      <c r="F669" s="71"/>
      <c r="G669" s="98"/>
      <c r="H669" s="77"/>
      <c r="I669" s="77"/>
      <c r="J669" s="85"/>
      <c r="K669" s="99">
        <v>0.27079999999999999</v>
      </c>
      <c r="L669" s="107">
        <f t="shared" si="25"/>
        <v>1.4842</v>
      </c>
    </row>
    <row r="670" spans="1:14" s="88" customFormat="1" x14ac:dyDescent="0.2">
      <c r="A670" s="79"/>
      <c r="B670" s="75"/>
      <c r="C670" s="112"/>
      <c r="D670" s="113"/>
      <c r="E670" s="361" t="str">
        <f>E660</f>
        <v>Custo Direto</v>
      </c>
      <c r="F670" s="361"/>
      <c r="G670" s="361"/>
      <c r="H670" s="114">
        <f>SUM(H666:H669)</f>
        <v>2.694</v>
      </c>
      <c r="I670" s="114">
        <f>SUM(I666:I669)</f>
        <v>36.32</v>
      </c>
      <c r="J670" s="85"/>
      <c r="K670" s="99">
        <v>0.27079999999999999</v>
      </c>
      <c r="L670" s="107">
        <f t="shared" si="25"/>
        <v>1.4842</v>
      </c>
    </row>
    <row r="671" spans="1:14" s="88" customFormat="1" x14ac:dyDescent="0.2">
      <c r="A671" s="79"/>
      <c r="B671" s="75"/>
      <c r="C671" s="112"/>
      <c r="D671" s="113"/>
      <c r="E671" s="361" t="str">
        <f>E661</f>
        <v>LS(%): 148,42</v>
      </c>
      <c r="F671" s="361"/>
      <c r="G671" s="361"/>
      <c r="H671" s="77">
        <f>H670*L671</f>
        <v>3.9984347999999996</v>
      </c>
      <c r="I671" s="82"/>
      <c r="J671" s="85"/>
      <c r="K671" s="99">
        <v>0.27079999999999999</v>
      </c>
      <c r="L671" s="107">
        <f t="shared" si="25"/>
        <v>1.4842</v>
      </c>
    </row>
    <row r="672" spans="1:14" s="88" customFormat="1" x14ac:dyDescent="0.2">
      <c r="A672" s="79"/>
      <c r="B672" s="75"/>
      <c r="C672" s="112"/>
      <c r="D672" s="113"/>
      <c r="E672" s="361" t="str">
        <f>E662</f>
        <v>BDI (%): 27,08</v>
      </c>
      <c r="F672" s="361"/>
      <c r="G672" s="361"/>
      <c r="H672" s="362">
        <f>(H670+I670+H671)*K672</f>
        <v>11.64776734384</v>
      </c>
      <c r="I672" s="362"/>
      <c r="J672" s="85"/>
      <c r="K672" s="99">
        <v>0.27079999999999999</v>
      </c>
      <c r="L672" s="107">
        <f t="shared" si="25"/>
        <v>1.4842</v>
      </c>
    </row>
    <row r="673" spans="1:14" s="88" customFormat="1" x14ac:dyDescent="0.2">
      <c r="A673" s="79"/>
      <c r="B673" s="75"/>
      <c r="C673" s="112"/>
      <c r="D673" s="113"/>
      <c r="E673" s="361" t="str">
        <f>E663</f>
        <v>Valor Total c/ Taxas</v>
      </c>
      <c r="F673" s="361"/>
      <c r="G673" s="361"/>
      <c r="H673" s="77"/>
      <c r="I673" s="114">
        <f>(H670+I670+H671+H672)</f>
        <v>54.660202143840003</v>
      </c>
      <c r="J673" s="85"/>
      <c r="K673" s="99">
        <v>0.27079999999999999</v>
      </c>
      <c r="L673" s="107">
        <f>L672</f>
        <v>1.4842</v>
      </c>
      <c r="N673" s="330">
        <v>54.66</v>
      </c>
    </row>
    <row r="674" spans="1:14" s="88" customFormat="1" x14ac:dyDescent="0.2">
      <c r="A674" s="79"/>
      <c r="B674" s="75"/>
      <c r="C674" s="112"/>
      <c r="D674" s="113"/>
      <c r="E674" s="76"/>
      <c r="F674" s="76"/>
      <c r="G674" s="76"/>
      <c r="H674" s="77"/>
      <c r="I674" s="114"/>
      <c r="J674" s="85"/>
      <c r="K674" s="99">
        <v>0.27079999999999999</v>
      </c>
      <c r="L674" s="107">
        <f t="shared" si="25"/>
        <v>1.4842</v>
      </c>
    </row>
    <row r="675" spans="1:14" s="79" customFormat="1" ht="25.5" x14ac:dyDescent="0.2">
      <c r="A675" s="151"/>
      <c r="B675" s="125" t="str">
        <f>ORÇAMENTO!A120</f>
        <v>9.2.1</v>
      </c>
      <c r="C675" s="96" t="str">
        <f>ORÇAMENTO!B120</f>
        <v>Rodapé cerâmico,dimensão 8,5 x 40 cm,aplicado com argamassa industrializada ac-i,rejuntado,conforme especificações</v>
      </c>
      <c r="D675" s="97" t="s">
        <v>355</v>
      </c>
      <c r="E675" s="76"/>
      <c r="F675" s="71"/>
      <c r="G675" s="98"/>
      <c r="H675" s="76"/>
      <c r="I675" s="76"/>
      <c r="J675" s="90"/>
      <c r="K675" s="99">
        <v>0.27079999999999999</v>
      </c>
      <c r="L675" s="107">
        <f t="shared" si="25"/>
        <v>1.4842</v>
      </c>
    </row>
    <row r="676" spans="1:14" s="88" customFormat="1" ht="38.25" x14ac:dyDescent="0.2">
      <c r="A676" s="79"/>
      <c r="B676" s="153"/>
      <c r="C676" s="112" t="str">
        <f>C675</f>
        <v>Rodapé cerâmico,dimensão 8,5 x 40 cm,aplicado com argamassa industrializada ac-i,rejuntado,conforme especificações</v>
      </c>
      <c r="D676" s="113" t="str">
        <f>D675</f>
        <v>M</v>
      </c>
      <c r="E676" s="77">
        <f>6.62*N12</f>
        <v>6.62</v>
      </c>
      <c r="F676" s="71">
        <v>230</v>
      </c>
      <c r="G676" s="98">
        <v>1</v>
      </c>
      <c r="H676" s="77"/>
      <c r="I676" s="77">
        <f>E676*G676</f>
        <v>6.62</v>
      </c>
      <c r="J676" s="85"/>
      <c r="K676" s="99">
        <v>0.27079999999999999</v>
      </c>
      <c r="L676" s="107">
        <f t="shared" si="25"/>
        <v>1.4842</v>
      </c>
    </row>
    <row r="677" spans="1:14" s="88" customFormat="1" x14ac:dyDescent="0.2">
      <c r="A677" s="79"/>
      <c r="B677" s="75"/>
      <c r="C677" s="112" t="s">
        <v>361</v>
      </c>
      <c r="D677" s="113" t="s">
        <v>336</v>
      </c>
      <c r="E677" s="77">
        <f>5.21*N12</f>
        <v>5.21</v>
      </c>
      <c r="F677" s="71"/>
      <c r="G677" s="84">
        <v>3.0000000000000001E-3</v>
      </c>
      <c r="H677" s="77">
        <f>E677*G677</f>
        <v>1.5630000000000002E-2</v>
      </c>
      <c r="I677" s="144"/>
      <c r="J677" s="85"/>
      <c r="K677" s="99">
        <v>0.27079999999999999</v>
      </c>
      <c r="L677" s="107">
        <f t="shared" si="25"/>
        <v>1.4842</v>
      </c>
    </row>
    <row r="678" spans="1:14" s="88" customFormat="1" x14ac:dyDescent="0.2">
      <c r="A678" s="79"/>
      <c r="B678" s="75"/>
      <c r="C678" s="112" t="s">
        <v>345</v>
      </c>
      <c r="D678" s="113" t="s">
        <v>336</v>
      </c>
      <c r="E678" s="77">
        <f>3.77*N12</f>
        <v>3.77</v>
      </c>
      <c r="F678" s="71"/>
      <c r="G678" s="84">
        <v>3.0000000000000001E-3</v>
      </c>
      <c r="H678" s="77">
        <f>E678*G678</f>
        <v>1.1310000000000001E-2</v>
      </c>
      <c r="I678" s="144"/>
      <c r="J678" s="85"/>
      <c r="K678" s="99">
        <v>0.27079999999999999</v>
      </c>
      <c r="L678" s="107">
        <f t="shared" si="25"/>
        <v>1.4842</v>
      </c>
    </row>
    <row r="679" spans="1:14" s="88" customFormat="1" x14ac:dyDescent="0.2">
      <c r="A679" s="79"/>
      <c r="B679" s="75"/>
      <c r="C679" s="112"/>
      <c r="D679" s="113"/>
      <c r="E679" s="77"/>
      <c r="F679" s="71"/>
      <c r="G679" s="98"/>
      <c r="H679" s="77"/>
      <c r="I679" s="77"/>
      <c r="J679" s="85"/>
      <c r="K679" s="99">
        <v>0.27079999999999999</v>
      </c>
      <c r="L679" s="107">
        <f t="shared" si="25"/>
        <v>1.4842</v>
      </c>
    </row>
    <row r="680" spans="1:14" s="88" customFormat="1" x14ac:dyDescent="0.2">
      <c r="A680" s="79"/>
      <c r="B680" s="75"/>
      <c r="C680" s="112"/>
      <c r="D680" s="113"/>
      <c r="E680" s="361" t="str">
        <f>E670</f>
        <v>Custo Direto</v>
      </c>
      <c r="F680" s="361"/>
      <c r="G680" s="361"/>
      <c r="H680" s="114">
        <f>SUM(H676:H679)</f>
        <v>2.6940000000000002E-2</v>
      </c>
      <c r="I680" s="114">
        <f>SUM(I676:I679)</f>
        <v>6.62</v>
      </c>
      <c r="J680" s="85"/>
      <c r="K680" s="99">
        <v>0.27079999999999999</v>
      </c>
      <c r="L680" s="107">
        <f t="shared" si="25"/>
        <v>1.4842</v>
      </c>
    </row>
    <row r="681" spans="1:14" s="88" customFormat="1" x14ac:dyDescent="0.2">
      <c r="A681" s="79"/>
      <c r="B681" s="75"/>
      <c r="C681" s="112"/>
      <c r="D681" s="113"/>
      <c r="E681" s="361" t="str">
        <f>E671</f>
        <v>LS(%): 148,42</v>
      </c>
      <c r="F681" s="361"/>
      <c r="G681" s="361"/>
      <c r="H681" s="77">
        <f>H680*L681</f>
        <v>3.9984348000000003E-2</v>
      </c>
      <c r="I681" s="82"/>
      <c r="J681" s="85"/>
      <c r="K681" s="99">
        <v>0.27079999999999999</v>
      </c>
      <c r="L681" s="107">
        <f t="shared" si="25"/>
        <v>1.4842</v>
      </c>
    </row>
    <row r="682" spans="1:14" s="88" customFormat="1" x14ac:dyDescent="0.2">
      <c r="A682" s="79"/>
      <c r="B682" s="75"/>
      <c r="C682" s="112"/>
      <c r="D682" s="113"/>
      <c r="E682" s="361" t="str">
        <f>E672</f>
        <v>BDI (%): 27,08</v>
      </c>
      <c r="F682" s="361"/>
      <c r="G682" s="361"/>
      <c r="H682" s="362">
        <f>(H680+I680+H681)*K682</f>
        <v>1.8108191134383997</v>
      </c>
      <c r="I682" s="362"/>
      <c r="J682" s="85"/>
      <c r="K682" s="99">
        <v>0.27079999999999999</v>
      </c>
      <c r="L682" s="107">
        <f t="shared" si="25"/>
        <v>1.4842</v>
      </c>
    </row>
    <row r="683" spans="1:14" s="88" customFormat="1" x14ac:dyDescent="0.2">
      <c r="A683" s="79"/>
      <c r="B683" s="75"/>
      <c r="C683" s="112"/>
      <c r="D683" s="113"/>
      <c r="E683" s="361" t="str">
        <f>E673</f>
        <v>Valor Total c/ Taxas</v>
      </c>
      <c r="F683" s="361"/>
      <c r="G683" s="361"/>
      <c r="H683" s="77"/>
      <c r="I683" s="114">
        <f>(H680+I680+H681+H682)</f>
        <v>8.4977434614384002</v>
      </c>
      <c r="J683" s="85"/>
      <c r="K683" s="99">
        <v>0.27079999999999999</v>
      </c>
      <c r="L683" s="107">
        <f>L682</f>
        <v>1.4842</v>
      </c>
      <c r="N683" s="330">
        <v>8.5</v>
      </c>
    </row>
    <row r="684" spans="1:14" s="88" customFormat="1" x14ac:dyDescent="0.2">
      <c r="A684" s="79"/>
      <c r="B684" s="75"/>
      <c r="C684" s="112"/>
      <c r="D684" s="113"/>
      <c r="E684" s="76"/>
      <c r="F684" s="76"/>
      <c r="G684" s="76"/>
      <c r="H684" s="77"/>
      <c r="I684" s="114"/>
      <c r="J684" s="85"/>
      <c r="K684" s="99">
        <v>0.27079999999999999</v>
      </c>
      <c r="L684" s="107">
        <f t="shared" si="25"/>
        <v>1.4842</v>
      </c>
    </row>
    <row r="685" spans="1:14" s="79" customFormat="1" ht="38.25" x14ac:dyDescent="0.2">
      <c r="A685" s="151"/>
      <c r="B685" s="125" t="str">
        <f>ORÇAMENTO!A124</f>
        <v>10.1.1</v>
      </c>
      <c r="C685" s="96" t="str">
        <f>ORÇAMENTO!B124</f>
        <v>Pintura sobre paredes,com lixamento,aplicação de 01 demão de selador acrilico,02 demãos de massa acrilica e 02 demãos de tinta acrilica</v>
      </c>
      <c r="D685" s="97" t="s">
        <v>349</v>
      </c>
      <c r="E685" s="76"/>
      <c r="F685" s="71"/>
      <c r="G685" s="98"/>
      <c r="H685" s="76"/>
      <c r="I685" s="76"/>
      <c r="J685" s="90"/>
      <c r="K685" s="99">
        <v>0.27079999999999999</v>
      </c>
      <c r="L685" s="107">
        <f t="shared" si="25"/>
        <v>1.4842</v>
      </c>
    </row>
    <row r="686" spans="1:14" s="88" customFormat="1" ht="38.25" x14ac:dyDescent="0.2">
      <c r="A686" s="79"/>
      <c r="B686" s="153"/>
      <c r="C686" s="112" t="str">
        <f>C685</f>
        <v>Pintura sobre paredes,com lixamento,aplicação de 01 demão de selador acrilico,02 demãos de massa acrilica e 02 demãos de tinta acrilica</v>
      </c>
      <c r="D686" s="113" t="str">
        <f>D685</f>
        <v>M²</v>
      </c>
      <c r="E686" s="77">
        <f>8.64*N12</f>
        <v>8.64</v>
      </c>
      <c r="F686" s="71">
        <v>230</v>
      </c>
      <c r="G686" s="98">
        <v>1</v>
      </c>
      <c r="H686" s="77"/>
      <c r="I686" s="77">
        <f>E686*G686</f>
        <v>8.64</v>
      </c>
      <c r="J686" s="85"/>
      <c r="K686" s="99">
        <v>0.27079999999999999</v>
      </c>
      <c r="L686" s="107">
        <f t="shared" si="25"/>
        <v>1.4842</v>
      </c>
    </row>
    <row r="687" spans="1:14" s="88" customFormat="1" x14ac:dyDescent="0.2">
      <c r="A687" s="79"/>
      <c r="B687" s="75"/>
      <c r="C687" s="112" t="s">
        <v>364</v>
      </c>
      <c r="D687" s="113" t="s">
        <v>336</v>
      </c>
      <c r="E687" s="77">
        <f>5.21*N12</f>
        <v>5.21</v>
      </c>
      <c r="F687" s="71"/>
      <c r="G687" s="84">
        <v>0.09</v>
      </c>
      <c r="H687" s="77">
        <f>E687*G687</f>
        <v>0.46889999999999998</v>
      </c>
      <c r="I687" s="144"/>
      <c r="J687" s="85"/>
      <c r="K687" s="99">
        <v>0.27079999999999999</v>
      </c>
      <c r="L687" s="107">
        <f t="shared" si="25"/>
        <v>1.4842</v>
      </c>
    </row>
    <row r="688" spans="1:14" s="88" customFormat="1" x14ac:dyDescent="0.2">
      <c r="A688" s="79"/>
      <c r="B688" s="75"/>
      <c r="C688" s="112" t="s">
        <v>345</v>
      </c>
      <c r="D688" s="113" t="s">
        <v>336</v>
      </c>
      <c r="E688" s="77">
        <f>3.77*N12</f>
        <v>3.77</v>
      </c>
      <c r="F688" s="71"/>
      <c r="G688" s="84">
        <v>0.09</v>
      </c>
      <c r="H688" s="77">
        <f>E688*G688</f>
        <v>0.33929999999999999</v>
      </c>
      <c r="I688" s="144"/>
      <c r="J688" s="85"/>
      <c r="K688" s="99">
        <v>0.27079999999999999</v>
      </c>
      <c r="L688" s="107">
        <f t="shared" si="25"/>
        <v>1.4842</v>
      </c>
    </row>
    <row r="689" spans="1:14" s="88" customFormat="1" x14ac:dyDescent="0.2">
      <c r="A689" s="79"/>
      <c r="B689" s="75"/>
      <c r="C689" s="112"/>
      <c r="D689" s="113"/>
      <c r="E689" s="77"/>
      <c r="F689" s="71"/>
      <c r="G689" s="98"/>
      <c r="H689" s="77"/>
      <c r="I689" s="77"/>
      <c r="J689" s="85"/>
      <c r="K689" s="99">
        <v>0.27079999999999999</v>
      </c>
      <c r="L689" s="107">
        <f t="shared" si="25"/>
        <v>1.4842</v>
      </c>
    </row>
    <row r="690" spans="1:14" s="88" customFormat="1" x14ac:dyDescent="0.2">
      <c r="A690" s="79"/>
      <c r="B690" s="75"/>
      <c r="C690" s="112"/>
      <c r="D690" s="113"/>
      <c r="E690" s="361" t="str">
        <f>E680</f>
        <v>Custo Direto</v>
      </c>
      <c r="F690" s="361"/>
      <c r="G690" s="361"/>
      <c r="H690" s="114">
        <f>SUM(H686:H689)</f>
        <v>0.80820000000000003</v>
      </c>
      <c r="I690" s="114">
        <f>SUM(I686:I689)</f>
        <v>8.64</v>
      </c>
      <c r="J690" s="85"/>
      <c r="K690" s="99">
        <v>0.27079999999999999</v>
      </c>
      <c r="L690" s="107">
        <f t="shared" si="25"/>
        <v>1.4842</v>
      </c>
    </row>
    <row r="691" spans="1:14" s="88" customFormat="1" x14ac:dyDescent="0.2">
      <c r="A691" s="79"/>
      <c r="B691" s="75"/>
      <c r="C691" s="112"/>
      <c r="D691" s="113"/>
      <c r="E691" s="361" t="str">
        <f>E681</f>
        <v>LS(%): 148,42</v>
      </c>
      <c r="F691" s="361"/>
      <c r="G691" s="361"/>
      <c r="H691" s="77">
        <f>H690*L691</f>
        <v>1.19953044</v>
      </c>
      <c r="I691" s="82"/>
      <c r="J691" s="85"/>
      <c r="K691" s="99">
        <v>0.27079999999999999</v>
      </c>
      <c r="L691" s="107">
        <f t="shared" si="25"/>
        <v>1.4842</v>
      </c>
    </row>
    <row r="692" spans="1:14" s="88" customFormat="1" x14ac:dyDescent="0.2">
      <c r="A692" s="79"/>
      <c r="B692" s="75"/>
      <c r="C692" s="112"/>
      <c r="D692" s="113"/>
      <c r="E692" s="361" t="str">
        <f>E682</f>
        <v>BDI (%): 27,08</v>
      </c>
      <c r="F692" s="361"/>
      <c r="G692" s="361"/>
      <c r="H692" s="362">
        <f>(H690+I690+H691)*K692</f>
        <v>2.883405403152</v>
      </c>
      <c r="I692" s="362"/>
      <c r="J692" s="85"/>
      <c r="K692" s="99">
        <v>0.27079999999999999</v>
      </c>
      <c r="L692" s="107">
        <f t="shared" si="25"/>
        <v>1.4842</v>
      </c>
    </row>
    <row r="693" spans="1:14" s="88" customFormat="1" x14ac:dyDescent="0.2">
      <c r="A693" s="79"/>
      <c r="B693" s="75"/>
      <c r="C693" s="112"/>
      <c r="D693" s="113"/>
      <c r="E693" s="361" t="str">
        <f>E683</f>
        <v>Valor Total c/ Taxas</v>
      </c>
      <c r="F693" s="361"/>
      <c r="G693" s="361"/>
      <c r="H693" s="77"/>
      <c r="I693" s="114">
        <f>(H690+I690+H691+H692)</f>
        <v>13.531135843152001</v>
      </c>
      <c r="J693" s="85"/>
      <c r="K693" s="99">
        <v>0.27079999999999999</v>
      </c>
      <c r="L693" s="107">
        <f>L692</f>
        <v>1.4842</v>
      </c>
      <c r="N693" s="330">
        <v>13.53</v>
      </c>
    </row>
    <row r="694" spans="1:14" s="88" customFormat="1" x14ac:dyDescent="0.2">
      <c r="A694" s="79"/>
      <c r="B694" s="75"/>
      <c r="C694" s="112"/>
      <c r="D694" s="113"/>
      <c r="E694" s="76"/>
      <c r="F694" s="76"/>
      <c r="G694" s="76"/>
      <c r="H694" s="77"/>
      <c r="I694" s="114"/>
      <c r="J694" s="85"/>
      <c r="K694" s="99">
        <v>0.27079999999999999</v>
      </c>
      <c r="L694" s="107">
        <f t="shared" si="25"/>
        <v>1.4842</v>
      </c>
    </row>
    <row r="695" spans="1:14" s="79" customFormat="1" ht="38.25" x14ac:dyDescent="0.2">
      <c r="A695" s="151"/>
      <c r="B695" s="125" t="str">
        <f>ORÇAMENTO!A125</f>
        <v>10.1.2</v>
      </c>
      <c r="C695" s="96" t="str">
        <f>ORÇAMENTO!B125</f>
        <v>Pintura sobre teto,com lixamento,aplicação de 01 demão de selador acrilico,02 demaõs de massa acrilica e 02 demãos de tinta acrilica</v>
      </c>
      <c r="D695" s="97" t="s">
        <v>349</v>
      </c>
      <c r="E695" s="76"/>
      <c r="F695" s="71"/>
      <c r="G695" s="98"/>
      <c r="H695" s="76"/>
      <c r="I695" s="76"/>
      <c r="J695" s="90"/>
      <c r="K695" s="99">
        <v>0.27079999999999999</v>
      </c>
      <c r="L695" s="107">
        <f t="shared" si="25"/>
        <v>1.4842</v>
      </c>
    </row>
    <row r="696" spans="1:14" s="156" customFormat="1" ht="38.25" x14ac:dyDescent="0.2">
      <c r="A696" s="154"/>
      <c r="B696" s="155"/>
      <c r="C696" s="112" t="str">
        <f>C695</f>
        <v>Pintura sobre teto,com lixamento,aplicação de 01 demão de selador acrilico,02 demaõs de massa acrilica e 02 demãos de tinta acrilica</v>
      </c>
      <c r="D696" s="113" t="str">
        <f>D695</f>
        <v>M²</v>
      </c>
      <c r="E696" s="76">
        <f>8.64*N12</f>
        <v>8.64</v>
      </c>
      <c r="F696" s="71">
        <v>230</v>
      </c>
      <c r="G696" s="98">
        <v>1</v>
      </c>
      <c r="H696" s="76"/>
      <c r="I696" s="76">
        <f>E696*G696</f>
        <v>8.64</v>
      </c>
      <c r="J696" s="90"/>
      <c r="K696" s="99">
        <v>0.27079999999999999</v>
      </c>
      <c r="L696" s="107">
        <f t="shared" si="25"/>
        <v>1.4842</v>
      </c>
    </row>
    <row r="697" spans="1:14" s="88" customFormat="1" x14ac:dyDescent="0.2">
      <c r="A697" s="79"/>
      <c r="B697" s="75"/>
      <c r="C697" s="112" t="s">
        <v>364</v>
      </c>
      <c r="D697" s="113" t="s">
        <v>336</v>
      </c>
      <c r="E697" s="77">
        <f>5.21*N12</f>
        <v>5.21</v>
      </c>
      <c r="F697" s="71"/>
      <c r="G697" s="84">
        <v>0.09</v>
      </c>
      <c r="H697" s="77">
        <f>E697*G697</f>
        <v>0.46889999999999998</v>
      </c>
      <c r="I697" s="144"/>
      <c r="J697" s="85"/>
      <c r="K697" s="99">
        <v>0.27079999999999999</v>
      </c>
      <c r="L697" s="107">
        <f t="shared" si="25"/>
        <v>1.4842</v>
      </c>
    </row>
    <row r="698" spans="1:14" s="88" customFormat="1" x14ac:dyDescent="0.2">
      <c r="A698" s="79"/>
      <c r="B698" s="75"/>
      <c r="C698" s="112" t="s">
        <v>345</v>
      </c>
      <c r="D698" s="113" t="s">
        <v>336</v>
      </c>
      <c r="E698" s="77">
        <f>3.77*N12</f>
        <v>3.77</v>
      </c>
      <c r="F698" s="71"/>
      <c r="G698" s="84">
        <v>0.09</v>
      </c>
      <c r="H698" s="77">
        <f>E698*G698</f>
        <v>0.33929999999999999</v>
      </c>
      <c r="I698" s="144"/>
      <c r="J698" s="85"/>
      <c r="K698" s="99">
        <v>0.27079999999999999</v>
      </c>
      <c r="L698" s="107">
        <f t="shared" si="25"/>
        <v>1.4842</v>
      </c>
    </row>
    <row r="699" spans="1:14" s="88" customFormat="1" x14ac:dyDescent="0.2">
      <c r="A699" s="79"/>
      <c r="B699" s="75"/>
      <c r="C699" s="112"/>
      <c r="D699" s="113"/>
      <c r="E699" s="77"/>
      <c r="F699" s="71"/>
      <c r="G699" s="98"/>
      <c r="H699" s="77"/>
      <c r="I699" s="77"/>
      <c r="J699" s="85"/>
      <c r="K699" s="99">
        <v>0.27079999999999999</v>
      </c>
      <c r="L699" s="107">
        <f t="shared" si="25"/>
        <v>1.4842</v>
      </c>
    </row>
    <row r="700" spans="1:14" s="88" customFormat="1" x14ac:dyDescent="0.2">
      <c r="A700" s="79"/>
      <c r="B700" s="75"/>
      <c r="C700" s="112"/>
      <c r="D700" s="113"/>
      <c r="E700" s="361" t="str">
        <f>E690</f>
        <v>Custo Direto</v>
      </c>
      <c r="F700" s="361"/>
      <c r="G700" s="361"/>
      <c r="H700" s="114">
        <f>SUM(H696:H699)</f>
        <v>0.80820000000000003</v>
      </c>
      <c r="I700" s="114">
        <f>SUM(I696:I699)</f>
        <v>8.64</v>
      </c>
      <c r="J700" s="85"/>
      <c r="K700" s="99">
        <v>0.27079999999999999</v>
      </c>
      <c r="L700" s="107">
        <f t="shared" si="25"/>
        <v>1.4842</v>
      </c>
    </row>
    <row r="701" spans="1:14" s="88" customFormat="1" x14ac:dyDescent="0.2">
      <c r="A701" s="79"/>
      <c r="B701" s="75"/>
      <c r="C701" s="112"/>
      <c r="D701" s="113"/>
      <c r="E701" s="361" t="str">
        <f>E691</f>
        <v>LS(%): 148,42</v>
      </c>
      <c r="F701" s="361"/>
      <c r="G701" s="361"/>
      <c r="H701" s="77">
        <f>H700*L701</f>
        <v>1.19953044</v>
      </c>
      <c r="I701" s="82"/>
      <c r="J701" s="85"/>
      <c r="K701" s="99">
        <v>0.27079999999999999</v>
      </c>
      <c r="L701" s="107">
        <f t="shared" si="25"/>
        <v>1.4842</v>
      </c>
    </row>
    <row r="702" spans="1:14" s="88" customFormat="1" x14ac:dyDescent="0.2">
      <c r="A702" s="79"/>
      <c r="B702" s="75"/>
      <c r="C702" s="112"/>
      <c r="D702" s="113"/>
      <c r="E702" s="361" t="str">
        <f>E692</f>
        <v>BDI (%): 27,08</v>
      </c>
      <c r="F702" s="361"/>
      <c r="G702" s="361"/>
      <c r="H702" s="362">
        <f>(H700+I700+H701)*K702</f>
        <v>2.883405403152</v>
      </c>
      <c r="I702" s="362"/>
      <c r="J702" s="85"/>
      <c r="K702" s="99">
        <v>0.27079999999999999</v>
      </c>
      <c r="L702" s="107">
        <f t="shared" si="25"/>
        <v>1.4842</v>
      </c>
    </row>
    <row r="703" spans="1:14" s="88" customFormat="1" x14ac:dyDescent="0.2">
      <c r="A703" s="79"/>
      <c r="B703" s="75"/>
      <c r="C703" s="112"/>
      <c r="D703" s="113"/>
      <c r="E703" s="361" t="str">
        <f>E693</f>
        <v>Valor Total c/ Taxas</v>
      </c>
      <c r="F703" s="361"/>
      <c r="G703" s="361"/>
      <c r="H703" s="77"/>
      <c r="I703" s="114">
        <f>(H700+I700+H701+H702)</f>
        <v>13.531135843152001</v>
      </c>
      <c r="J703" s="85"/>
      <c r="K703" s="99">
        <v>0.27079999999999999</v>
      </c>
      <c r="L703" s="107">
        <f>L702</f>
        <v>1.4842</v>
      </c>
      <c r="N703" s="330">
        <v>13.53</v>
      </c>
    </row>
    <row r="704" spans="1:14" s="88" customFormat="1" x14ac:dyDescent="0.2">
      <c r="A704" s="79"/>
      <c r="B704" s="75"/>
      <c r="C704" s="112"/>
      <c r="D704" s="113"/>
      <c r="E704" s="77"/>
      <c r="F704" s="71"/>
      <c r="G704" s="98"/>
      <c r="H704" s="77"/>
      <c r="I704" s="114"/>
      <c r="J704" s="85"/>
      <c r="K704" s="99">
        <v>0.27079999999999999</v>
      </c>
      <c r="L704" s="107">
        <f t="shared" ref="L704:L767" si="26">L703</f>
        <v>1.4842</v>
      </c>
    </row>
    <row r="705" spans="1:14" s="88" customFormat="1" ht="25.5" x14ac:dyDescent="0.2">
      <c r="A705" s="157"/>
      <c r="B705" s="131" t="str">
        <f>ORÇAMENTO!A127</f>
        <v>10.2.1</v>
      </c>
      <c r="C705" s="96" t="str">
        <f>ORÇAMENTO!B127</f>
        <v>Pintura de acabamento com aplicação de 02 demãos de esmalte sobre esquadrias de madeira</v>
      </c>
      <c r="D705" s="113" t="s">
        <v>349</v>
      </c>
      <c r="E705" s="77"/>
      <c r="F705" s="71"/>
      <c r="G705" s="98"/>
      <c r="H705" s="77"/>
      <c r="I705" s="77"/>
      <c r="J705" s="85"/>
      <c r="K705" s="99">
        <v>0.27079999999999999</v>
      </c>
      <c r="L705" s="107">
        <f t="shared" si="26"/>
        <v>1.4842</v>
      </c>
    </row>
    <row r="706" spans="1:14" s="88" customFormat="1" ht="25.5" x14ac:dyDescent="0.2">
      <c r="A706" s="79"/>
      <c r="B706" s="75"/>
      <c r="C706" s="112" t="str">
        <f>C705</f>
        <v>Pintura de acabamento com aplicação de 02 demãos de esmalte sobre esquadrias de madeira</v>
      </c>
      <c r="D706" s="113" t="s">
        <v>349</v>
      </c>
      <c r="E706" s="77">
        <f>5.83*N12</f>
        <v>5.83</v>
      </c>
      <c r="F706" s="71">
        <v>41</v>
      </c>
      <c r="G706" s="98">
        <v>1</v>
      </c>
      <c r="H706" s="77"/>
      <c r="I706" s="77">
        <f>E706*G706</f>
        <v>5.83</v>
      </c>
      <c r="J706" s="85"/>
      <c r="K706" s="99">
        <v>0.27079999999999999</v>
      </c>
      <c r="L706" s="107">
        <f t="shared" si="26"/>
        <v>1.4842</v>
      </c>
    </row>
    <row r="707" spans="1:14" s="88" customFormat="1" x14ac:dyDescent="0.2">
      <c r="A707" s="79"/>
      <c r="B707" s="75"/>
      <c r="C707" s="112" t="s">
        <v>364</v>
      </c>
      <c r="D707" s="113" t="s">
        <v>336</v>
      </c>
      <c r="E707" s="77">
        <f>5.21*N12</f>
        <v>5.21</v>
      </c>
      <c r="F707" s="71"/>
      <c r="G707" s="98">
        <v>0.09</v>
      </c>
      <c r="H707" s="77">
        <f>E707*G707</f>
        <v>0.46889999999999998</v>
      </c>
      <c r="I707" s="77"/>
      <c r="J707" s="85"/>
      <c r="K707" s="99">
        <v>0.27079999999999999</v>
      </c>
      <c r="L707" s="107">
        <f t="shared" si="26"/>
        <v>1.4842</v>
      </c>
    </row>
    <row r="708" spans="1:14" s="88" customFormat="1" x14ac:dyDescent="0.2">
      <c r="A708" s="79"/>
      <c r="B708" s="75"/>
      <c r="C708" s="112" t="s">
        <v>345</v>
      </c>
      <c r="D708" s="113" t="s">
        <v>336</v>
      </c>
      <c r="E708" s="77">
        <f>3.77*N12</f>
        <v>3.77</v>
      </c>
      <c r="F708" s="71"/>
      <c r="G708" s="98">
        <v>0.09</v>
      </c>
      <c r="H708" s="77">
        <f>E708*G708</f>
        <v>0.33929999999999999</v>
      </c>
      <c r="I708" s="77"/>
      <c r="J708" s="85"/>
      <c r="K708" s="99">
        <v>0.27079999999999999</v>
      </c>
      <c r="L708" s="107">
        <f t="shared" si="26"/>
        <v>1.4842</v>
      </c>
    </row>
    <row r="709" spans="1:14" s="88" customFormat="1" hidden="1" x14ac:dyDescent="0.2">
      <c r="A709" s="79"/>
      <c r="B709" s="75"/>
      <c r="C709" s="112"/>
      <c r="D709" s="113"/>
      <c r="E709" s="77"/>
      <c r="F709" s="71"/>
      <c r="G709" s="98"/>
      <c r="H709" s="77"/>
      <c r="I709" s="77"/>
      <c r="J709" s="85"/>
      <c r="K709" s="99">
        <v>0.27079999999999999</v>
      </c>
      <c r="L709" s="107">
        <f t="shared" si="26"/>
        <v>1.4842</v>
      </c>
    </row>
    <row r="710" spans="1:14" s="88" customFormat="1" x14ac:dyDescent="0.2">
      <c r="A710" s="79"/>
      <c r="B710" s="75"/>
      <c r="C710" s="112"/>
      <c r="D710" s="113"/>
      <c r="E710" s="77"/>
      <c r="F710" s="71"/>
      <c r="G710" s="98"/>
      <c r="H710" s="77"/>
      <c r="I710" s="77"/>
      <c r="J710" s="85"/>
      <c r="K710" s="99">
        <v>0.27079999999999999</v>
      </c>
      <c r="L710" s="107">
        <f t="shared" si="26"/>
        <v>1.4842</v>
      </c>
    </row>
    <row r="711" spans="1:14" s="88" customFormat="1" x14ac:dyDescent="0.2">
      <c r="A711" s="79"/>
      <c r="B711" s="75"/>
      <c r="C711" s="112"/>
      <c r="D711" s="113"/>
      <c r="E711" s="361" t="str">
        <f>E569</f>
        <v>Custo Direto</v>
      </c>
      <c r="F711" s="361"/>
      <c r="G711" s="361"/>
      <c r="H711" s="114">
        <f>SUM(H705:H709)</f>
        <v>0.80820000000000003</v>
      </c>
      <c r="I711" s="114">
        <f>SUM(I705:I709)</f>
        <v>5.83</v>
      </c>
      <c r="J711" s="85"/>
      <c r="K711" s="99">
        <v>0.27079999999999999</v>
      </c>
      <c r="L711" s="107">
        <f t="shared" si="26"/>
        <v>1.4842</v>
      </c>
    </row>
    <row r="712" spans="1:14" s="88" customFormat="1" x14ac:dyDescent="0.2">
      <c r="A712" s="79"/>
      <c r="B712" s="75"/>
      <c r="C712" s="112"/>
      <c r="D712" s="113"/>
      <c r="E712" s="361" t="str">
        <f>E570</f>
        <v>LS(%): 148,42</v>
      </c>
      <c r="F712" s="361"/>
      <c r="G712" s="361"/>
      <c r="H712" s="77">
        <f>H711*L712</f>
        <v>1.19953044</v>
      </c>
      <c r="I712" s="82"/>
      <c r="J712" s="85"/>
      <c r="K712" s="99">
        <v>0.27079999999999999</v>
      </c>
      <c r="L712" s="107">
        <f t="shared" si="26"/>
        <v>1.4842</v>
      </c>
    </row>
    <row r="713" spans="1:14" s="88" customFormat="1" x14ac:dyDescent="0.2">
      <c r="A713" s="79"/>
      <c r="B713" s="75"/>
      <c r="C713" s="112"/>
      <c r="D713" s="113"/>
      <c r="E713" s="361" t="str">
        <f>E571</f>
        <v>BDI (%): 27,08</v>
      </c>
      <c r="F713" s="361"/>
      <c r="G713" s="361"/>
      <c r="H713" s="362">
        <f>(H711+I711+H712)*K713</f>
        <v>2.122457403152</v>
      </c>
      <c r="I713" s="362"/>
      <c r="J713" s="85"/>
      <c r="K713" s="99">
        <v>0.27079999999999999</v>
      </c>
      <c r="L713" s="107">
        <f t="shared" si="26"/>
        <v>1.4842</v>
      </c>
    </row>
    <row r="714" spans="1:14" s="88" customFormat="1" x14ac:dyDescent="0.2">
      <c r="A714" s="79"/>
      <c r="B714" s="75"/>
      <c r="C714" s="112"/>
      <c r="D714" s="113"/>
      <c r="E714" s="361" t="str">
        <f>E572</f>
        <v>Valor Total c/ Taxas</v>
      </c>
      <c r="F714" s="361"/>
      <c r="G714" s="361"/>
      <c r="H714" s="77"/>
      <c r="I714" s="114">
        <f>(H711+I711+H712+H713)</f>
        <v>9.960187843152001</v>
      </c>
      <c r="J714" s="85"/>
      <c r="K714" s="99">
        <v>0.27079999999999999</v>
      </c>
      <c r="L714" s="107">
        <f t="shared" si="26"/>
        <v>1.4842</v>
      </c>
      <c r="N714" s="330">
        <v>9.9600000000000009</v>
      </c>
    </row>
    <row r="715" spans="1:14" s="88" customFormat="1" x14ac:dyDescent="0.2">
      <c r="A715" s="79"/>
      <c r="B715" s="75"/>
      <c r="C715" s="112"/>
      <c r="D715" s="113"/>
      <c r="E715" s="77"/>
      <c r="F715" s="71"/>
      <c r="G715" s="98"/>
      <c r="H715" s="77"/>
      <c r="I715" s="77"/>
      <c r="J715" s="85"/>
      <c r="K715" s="99">
        <v>0.27079999999999999</v>
      </c>
      <c r="L715" s="107">
        <f t="shared" si="26"/>
        <v>1.4842</v>
      </c>
    </row>
    <row r="716" spans="1:14" s="88" customFormat="1" ht="25.5" x14ac:dyDescent="0.2">
      <c r="A716" s="157"/>
      <c r="B716" s="131" t="str">
        <f>ORÇAMENTO!A128</f>
        <v>10.2.2</v>
      </c>
      <c r="C716" s="96" t="str">
        <f>ORÇAMENTO!B128</f>
        <v>Pintura de acabamento com aplicação de 01 demão de esmalte sintético sobre madeiramento do telhado</v>
      </c>
      <c r="D716" s="113" t="s">
        <v>349</v>
      </c>
      <c r="E716" s="77"/>
      <c r="F716" s="71"/>
      <c r="G716" s="98"/>
      <c r="H716" s="77"/>
      <c r="I716" s="77"/>
      <c r="J716" s="85"/>
      <c r="K716" s="99">
        <v>0.27079999999999999</v>
      </c>
      <c r="L716" s="107">
        <f t="shared" si="26"/>
        <v>1.4842</v>
      </c>
    </row>
    <row r="717" spans="1:14" s="88" customFormat="1" ht="25.5" x14ac:dyDescent="0.2">
      <c r="A717" s="79"/>
      <c r="B717" s="75"/>
      <c r="C717" s="112" t="str">
        <f>C716</f>
        <v>Pintura de acabamento com aplicação de 01 demão de esmalte sintético sobre madeiramento do telhado</v>
      </c>
      <c r="D717" s="113" t="s">
        <v>349</v>
      </c>
      <c r="E717" s="77">
        <f>5.83*N12</f>
        <v>5.83</v>
      </c>
      <c r="F717" s="71">
        <v>25</v>
      </c>
      <c r="G717" s="98">
        <v>1</v>
      </c>
      <c r="H717" s="77"/>
      <c r="I717" s="77">
        <f>E717*G717</f>
        <v>5.83</v>
      </c>
      <c r="J717" s="85"/>
      <c r="K717" s="99">
        <v>0.27079999999999999</v>
      </c>
      <c r="L717" s="107">
        <f t="shared" si="26"/>
        <v>1.4842</v>
      </c>
    </row>
    <row r="718" spans="1:14" s="88" customFormat="1" x14ac:dyDescent="0.2">
      <c r="A718" s="79"/>
      <c r="B718" s="75"/>
      <c r="C718" s="112" t="s">
        <v>364</v>
      </c>
      <c r="D718" s="113" t="s">
        <v>336</v>
      </c>
      <c r="E718" s="77">
        <f>5.21*N12</f>
        <v>5.21</v>
      </c>
      <c r="F718" s="71"/>
      <c r="G718" s="98">
        <v>0.09</v>
      </c>
      <c r="H718" s="77">
        <f>E718*G718</f>
        <v>0.46889999999999998</v>
      </c>
      <c r="I718" s="77"/>
      <c r="J718" s="85"/>
      <c r="K718" s="99">
        <v>0.27079999999999999</v>
      </c>
      <c r="L718" s="107">
        <f t="shared" si="26"/>
        <v>1.4842</v>
      </c>
    </row>
    <row r="719" spans="1:14" s="88" customFormat="1" x14ac:dyDescent="0.2">
      <c r="A719" s="79"/>
      <c r="B719" s="75"/>
      <c r="C719" s="112" t="s">
        <v>345</v>
      </c>
      <c r="D719" s="113" t="s">
        <v>336</v>
      </c>
      <c r="E719" s="77">
        <f>3.77*N12</f>
        <v>3.77</v>
      </c>
      <c r="F719" s="71"/>
      <c r="G719" s="98">
        <v>0.09</v>
      </c>
      <c r="H719" s="77">
        <f>E719*G719</f>
        <v>0.33929999999999999</v>
      </c>
      <c r="I719" s="77"/>
      <c r="J719" s="85"/>
      <c r="K719" s="99">
        <v>0.27079999999999999</v>
      </c>
      <c r="L719" s="107">
        <f t="shared" si="26"/>
        <v>1.4842</v>
      </c>
    </row>
    <row r="720" spans="1:14" s="88" customFormat="1" x14ac:dyDescent="0.2">
      <c r="A720" s="79"/>
      <c r="B720" s="75"/>
      <c r="C720" s="112"/>
      <c r="D720" s="113"/>
      <c r="E720" s="77"/>
      <c r="F720" s="71"/>
      <c r="G720" s="98"/>
      <c r="H720" s="77"/>
      <c r="I720" s="77"/>
      <c r="J720" s="85"/>
      <c r="K720" s="99">
        <v>0.27079999999999999</v>
      </c>
      <c r="L720" s="107">
        <f t="shared" si="26"/>
        <v>1.4842</v>
      </c>
    </row>
    <row r="721" spans="1:14" s="88" customFormat="1" x14ac:dyDescent="0.2">
      <c r="A721" s="79"/>
      <c r="B721" s="75"/>
      <c r="C721" s="112"/>
      <c r="D721" s="113"/>
      <c r="E721" s="361" t="str">
        <f>E711</f>
        <v>Custo Direto</v>
      </c>
      <c r="F721" s="361"/>
      <c r="G721" s="361"/>
      <c r="H721" s="114">
        <f>SUM(H717:H720)</f>
        <v>0.80820000000000003</v>
      </c>
      <c r="I721" s="114">
        <f>SUM(I717:I720)</f>
        <v>5.83</v>
      </c>
      <c r="J721" s="85"/>
      <c r="K721" s="99">
        <v>0.27079999999999999</v>
      </c>
      <c r="L721" s="107">
        <f t="shared" si="26"/>
        <v>1.4842</v>
      </c>
    </row>
    <row r="722" spans="1:14" s="88" customFormat="1" x14ac:dyDescent="0.2">
      <c r="A722" s="79"/>
      <c r="B722" s="75"/>
      <c r="C722" s="112"/>
      <c r="D722" s="113"/>
      <c r="E722" s="361" t="str">
        <f t="shared" ref="E722:E724" si="27">E712</f>
        <v>LS(%): 148,42</v>
      </c>
      <c r="F722" s="361"/>
      <c r="G722" s="361"/>
      <c r="H722" s="77">
        <f>H721*L722</f>
        <v>1.19953044</v>
      </c>
      <c r="I722" s="82"/>
      <c r="J722" s="85"/>
      <c r="K722" s="99">
        <v>0.27079999999999999</v>
      </c>
      <c r="L722" s="107">
        <f t="shared" si="26"/>
        <v>1.4842</v>
      </c>
    </row>
    <row r="723" spans="1:14" s="88" customFormat="1" x14ac:dyDescent="0.2">
      <c r="A723" s="79"/>
      <c r="B723" s="75"/>
      <c r="C723" s="112"/>
      <c r="D723" s="113"/>
      <c r="E723" s="361" t="str">
        <f t="shared" si="27"/>
        <v>BDI (%): 27,08</v>
      </c>
      <c r="F723" s="361"/>
      <c r="G723" s="361"/>
      <c r="H723" s="362">
        <f>(H721+I721+H722)*K723</f>
        <v>2.122457403152</v>
      </c>
      <c r="I723" s="362"/>
      <c r="J723" s="85"/>
      <c r="K723" s="99">
        <v>0.27079999999999999</v>
      </c>
      <c r="L723" s="107">
        <f t="shared" si="26"/>
        <v>1.4842</v>
      </c>
    </row>
    <row r="724" spans="1:14" s="88" customFormat="1" x14ac:dyDescent="0.2">
      <c r="A724" s="79"/>
      <c r="B724" s="75"/>
      <c r="C724" s="112"/>
      <c r="D724" s="113"/>
      <c r="E724" s="361" t="str">
        <f t="shared" si="27"/>
        <v>Valor Total c/ Taxas</v>
      </c>
      <c r="F724" s="361"/>
      <c r="G724" s="361"/>
      <c r="H724" s="77"/>
      <c r="I724" s="114">
        <f>(H721+I721+H722+H723)</f>
        <v>9.960187843152001</v>
      </c>
      <c r="J724" s="85"/>
      <c r="K724" s="99">
        <v>0.27079999999999999</v>
      </c>
      <c r="L724" s="107">
        <f t="shared" si="26"/>
        <v>1.4842</v>
      </c>
      <c r="N724" s="330">
        <v>9.9600000000000009</v>
      </c>
    </row>
    <row r="725" spans="1:14" s="88" customFormat="1" x14ac:dyDescent="0.2">
      <c r="A725" s="79"/>
      <c r="B725" s="75"/>
      <c r="C725" s="112"/>
      <c r="D725" s="113"/>
      <c r="E725" s="77"/>
      <c r="F725" s="72"/>
      <c r="G725" s="77"/>
      <c r="H725" s="77"/>
      <c r="I725" s="114"/>
      <c r="J725" s="85"/>
      <c r="K725" s="99">
        <v>0.27079999999999999</v>
      </c>
      <c r="L725" s="107">
        <f t="shared" si="26"/>
        <v>1.4842</v>
      </c>
    </row>
    <row r="726" spans="1:14" s="88" customFormat="1" ht="25.5" x14ac:dyDescent="0.2">
      <c r="A726" s="119"/>
      <c r="B726" s="163" t="str">
        <f>ORÇAMENTO!A129</f>
        <v>10.2.3</v>
      </c>
      <c r="C726" s="96" t="str">
        <f>ORÇAMENTO!B129</f>
        <v>Pintura sobre esquadrias metálicas,com aplicação de 01 demão de tinta a base de zarcão e 02 demãos de tinta esmalte</v>
      </c>
      <c r="D726" s="97" t="s">
        <v>349</v>
      </c>
      <c r="E726" s="77"/>
      <c r="F726" s="71"/>
      <c r="G726" s="98"/>
      <c r="H726" s="77"/>
      <c r="I726" s="77"/>
      <c r="J726" s="85"/>
      <c r="K726" s="99">
        <v>0.27079999999999999</v>
      </c>
      <c r="L726" s="107">
        <f t="shared" si="26"/>
        <v>1.4842</v>
      </c>
    </row>
    <row r="727" spans="1:14" s="88" customFormat="1" ht="25.5" x14ac:dyDescent="0.2">
      <c r="A727" s="79"/>
      <c r="B727" s="75"/>
      <c r="C727" s="112" t="str">
        <f>C726</f>
        <v>Pintura sobre esquadrias metálicas,com aplicação de 01 demão de tinta a base de zarcão e 02 demãos de tinta esmalte</v>
      </c>
      <c r="D727" s="113" t="str">
        <f>D726</f>
        <v>M²</v>
      </c>
      <c r="E727" s="77">
        <f>14.54*N12</f>
        <v>14.54</v>
      </c>
      <c r="F727" s="71">
        <v>1</v>
      </c>
      <c r="G727" s="98">
        <v>1</v>
      </c>
      <c r="H727" s="77"/>
      <c r="I727" s="77">
        <f>E727*G727</f>
        <v>14.54</v>
      </c>
      <c r="J727" s="85"/>
      <c r="K727" s="99">
        <v>0.27079999999999999</v>
      </c>
      <c r="L727" s="107">
        <f t="shared" si="26"/>
        <v>1.4842</v>
      </c>
    </row>
    <row r="728" spans="1:14" s="88" customFormat="1" x14ac:dyDescent="0.2">
      <c r="A728" s="79"/>
      <c r="B728" s="75"/>
      <c r="C728" s="112" t="s">
        <v>364</v>
      </c>
      <c r="D728" s="113" t="s">
        <v>336</v>
      </c>
      <c r="E728" s="77">
        <f>5.21*N12</f>
        <v>5.21</v>
      </c>
      <c r="F728" s="71"/>
      <c r="G728" s="98">
        <v>0.09</v>
      </c>
      <c r="H728" s="77">
        <f>E728*G728</f>
        <v>0.46889999999999998</v>
      </c>
      <c r="I728" s="144"/>
      <c r="J728" s="85"/>
      <c r="K728" s="99">
        <v>0.27079999999999999</v>
      </c>
      <c r="L728" s="107">
        <f t="shared" si="26"/>
        <v>1.4842</v>
      </c>
    </row>
    <row r="729" spans="1:14" s="88" customFormat="1" x14ac:dyDescent="0.2">
      <c r="A729" s="79"/>
      <c r="B729" s="75"/>
      <c r="C729" s="112" t="s">
        <v>345</v>
      </c>
      <c r="D729" s="113" t="s">
        <v>336</v>
      </c>
      <c r="E729" s="77">
        <f>3.77*N12</f>
        <v>3.77</v>
      </c>
      <c r="F729" s="71"/>
      <c r="G729" s="98">
        <v>0.09</v>
      </c>
      <c r="H729" s="77">
        <f>E729*G729</f>
        <v>0.33929999999999999</v>
      </c>
      <c r="I729" s="144"/>
      <c r="J729" s="85"/>
      <c r="K729" s="99">
        <v>0.27079999999999999</v>
      </c>
      <c r="L729" s="107">
        <f t="shared" si="26"/>
        <v>1.4842</v>
      </c>
    </row>
    <row r="730" spans="1:14" s="88" customFormat="1" x14ac:dyDescent="0.2">
      <c r="A730" s="79"/>
      <c r="B730" s="75"/>
      <c r="C730" s="112"/>
      <c r="D730" s="113"/>
      <c r="E730" s="77"/>
      <c r="F730" s="71"/>
      <c r="G730" s="98"/>
      <c r="H730" s="77"/>
      <c r="I730" s="77"/>
      <c r="J730" s="85"/>
      <c r="K730" s="99">
        <v>0.27079999999999999</v>
      </c>
      <c r="L730" s="107">
        <f t="shared" si="26"/>
        <v>1.4842</v>
      </c>
    </row>
    <row r="731" spans="1:14" s="88" customFormat="1" x14ac:dyDescent="0.2">
      <c r="A731" s="79"/>
      <c r="B731" s="75"/>
      <c r="C731" s="112"/>
      <c r="D731" s="113"/>
      <c r="E731" s="361" t="str">
        <f>E721</f>
        <v>Custo Direto</v>
      </c>
      <c r="F731" s="361"/>
      <c r="G731" s="361"/>
      <c r="H731" s="114">
        <f>SUM(H728:H730)</f>
        <v>0.80820000000000003</v>
      </c>
      <c r="I731" s="114">
        <f>SUM(I727:I730)</f>
        <v>14.54</v>
      </c>
      <c r="J731" s="85"/>
      <c r="K731" s="99">
        <v>0.27079999999999999</v>
      </c>
      <c r="L731" s="107">
        <f t="shared" si="26"/>
        <v>1.4842</v>
      </c>
    </row>
    <row r="732" spans="1:14" s="88" customFormat="1" x14ac:dyDescent="0.2">
      <c r="A732" s="79"/>
      <c r="B732" s="75"/>
      <c r="C732" s="112"/>
      <c r="D732" s="113"/>
      <c r="E732" s="361" t="str">
        <f>E722</f>
        <v>LS(%): 148,42</v>
      </c>
      <c r="F732" s="361"/>
      <c r="G732" s="361"/>
      <c r="H732" s="77">
        <f>H731*L732</f>
        <v>1.19953044</v>
      </c>
      <c r="I732" s="82"/>
      <c r="J732" s="85"/>
      <c r="K732" s="99">
        <v>0.27079999999999999</v>
      </c>
      <c r="L732" s="107">
        <f t="shared" si="26"/>
        <v>1.4842</v>
      </c>
    </row>
    <row r="733" spans="1:14" s="88" customFormat="1" x14ac:dyDescent="0.2">
      <c r="A733" s="79"/>
      <c r="B733" s="75"/>
      <c r="C733" s="112"/>
      <c r="D733" s="113"/>
      <c r="E733" s="361" t="str">
        <f>E723</f>
        <v>BDI (%): 27,08</v>
      </c>
      <c r="F733" s="361"/>
      <c r="G733" s="361"/>
      <c r="H733" s="362">
        <f>(H731+I731+H732)*K733</f>
        <v>4.4811254031519994</v>
      </c>
      <c r="I733" s="362"/>
      <c r="J733" s="85"/>
      <c r="K733" s="99">
        <v>0.27079999999999999</v>
      </c>
      <c r="L733" s="107">
        <f t="shared" si="26"/>
        <v>1.4842</v>
      </c>
    </row>
    <row r="734" spans="1:14" s="88" customFormat="1" x14ac:dyDescent="0.2">
      <c r="A734" s="79"/>
      <c r="B734" s="75"/>
      <c r="C734" s="112"/>
      <c r="D734" s="113"/>
      <c r="E734" s="361" t="str">
        <f>E724</f>
        <v>Valor Total c/ Taxas</v>
      </c>
      <c r="F734" s="361"/>
      <c r="G734" s="361"/>
      <c r="H734" s="77"/>
      <c r="I734" s="114">
        <f>(H731+I731+H732+H733)</f>
        <v>21.028855843151998</v>
      </c>
      <c r="J734" s="85"/>
      <c r="K734" s="99">
        <v>0.27079999999999999</v>
      </c>
      <c r="L734" s="107">
        <f t="shared" si="26"/>
        <v>1.4842</v>
      </c>
      <c r="N734" s="330">
        <v>21.03</v>
      </c>
    </row>
    <row r="735" spans="1:14" s="88" customFormat="1" x14ac:dyDescent="0.2">
      <c r="A735" s="79"/>
      <c r="B735" s="75"/>
      <c r="C735" s="112"/>
      <c r="D735" s="113"/>
      <c r="E735" s="77"/>
      <c r="F735" s="71"/>
      <c r="G735" s="98"/>
      <c r="H735" s="77"/>
      <c r="I735" s="77"/>
      <c r="J735" s="85"/>
      <c r="K735" s="99">
        <v>0.27079999999999999</v>
      </c>
      <c r="L735" s="107">
        <f t="shared" si="26"/>
        <v>1.4842</v>
      </c>
    </row>
    <row r="736" spans="1:14" s="88" customFormat="1" ht="51" x14ac:dyDescent="0.2">
      <c r="A736" s="94"/>
      <c r="B736" s="95" t="str">
        <f>ORÇAMENTO!A133</f>
        <v>11.1.1</v>
      </c>
      <c r="C736" s="96" t="str">
        <f>ORÇAMENTO!B133</f>
        <v>Banco de concreto em alvenaria de tijolo,assento em concreto armado,sem encosto,pintado com tinta acrílica,2 demãos(dimensões,detalhes e nos ambientes conforme projeto)</v>
      </c>
      <c r="D736" s="158" t="str">
        <f>D726</f>
        <v>M²</v>
      </c>
      <c r="E736" s="77"/>
      <c r="F736" s="71"/>
      <c r="G736" s="98"/>
      <c r="H736" s="77"/>
      <c r="I736" s="77"/>
      <c r="J736" s="85"/>
      <c r="K736" s="99">
        <v>0.27079999999999999</v>
      </c>
      <c r="L736" s="107">
        <f t="shared" si="26"/>
        <v>1.4842</v>
      </c>
    </row>
    <row r="737" spans="1:14" s="88" customFormat="1" ht="38.25" x14ac:dyDescent="0.2">
      <c r="A737" s="79"/>
      <c r="B737" s="75"/>
      <c r="C737" s="112" t="str">
        <f>C736</f>
        <v>Banco de concreto em alvenaria de tijolo,assento em concreto armado,sem encosto,pintado com tinta acrílica,2 demãos(dimensões,detalhes e nos ambientes conforme projeto)</v>
      </c>
      <c r="D737" s="113" t="str">
        <f>D736</f>
        <v>M²</v>
      </c>
      <c r="E737" s="77">
        <f>96.8*N12</f>
        <v>96.8</v>
      </c>
      <c r="F737" s="71">
        <v>18</v>
      </c>
      <c r="G737" s="98">
        <v>1</v>
      </c>
      <c r="H737" s="77"/>
      <c r="I737" s="77">
        <f>E737*G737</f>
        <v>96.8</v>
      </c>
      <c r="J737" s="85"/>
      <c r="K737" s="99">
        <v>0.27079999999999999</v>
      </c>
      <c r="L737" s="107">
        <f t="shared" si="26"/>
        <v>1.4842</v>
      </c>
    </row>
    <row r="738" spans="1:14" s="88" customFormat="1" x14ac:dyDescent="0.2">
      <c r="A738" s="79"/>
      <c r="B738" s="75"/>
      <c r="C738" s="112" t="s">
        <v>361</v>
      </c>
      <c r="D738" s="113" t="s">
        <v>336</v>
      </c>
      <c r="E738" s="77">
        <f>5.21*N12</f>
        <v>5.21</v>
      </c>
      <c r="F738" s="71"/>
      <c r="G738" s="98">
        <v>1</v>
      </c>
      <c r="H738" s="77">
        <f>E738*G738</f>
        <v>5.21</v>
      </c>
      <c r="I738" s="144"/>
      <c r="J738" s="85"/>
      <c r="K738" s="99">
        <v>0.27079999999999999</v>
      </c>
      <c r="L738" s="107">
        <f t="shared" si="26"/>
        <v>1.4842</v>
      </c>
    </row>
    <row r="739" spans="1:14" s="88" customFormat="1" x14ac:dyDescent="0.2">
      <c r="A739" s="79"/>
      <c r="B739" s="75"/>
      <c r="C739" s="112" t="s">
        <v>345</v>
      </c>
      <c r="D739" s="113" t="s">
        <v>336</v>
      </c>
      <c r="E739" s="77">
        <f>3.77*N12</f>
        <v>3.77</v>
      </c>
      <c r="F739" s="71"/>
      <c r="G739" s="98">
        <v>1</v>
      </c>
      <c r="H739" s="77">
        <f>E739*G739</f>
        <v>3.77</v>
      </c>
      <c r="I739" s="144"/>
      <c r="J739" s="85"/>
      <c r="K739" s="99">
        <v>0.27079999999999999</v>
      </c>
      <c r="L739" s="107">
        <f t="shared" si="26"/>
        <v>1.4842</v>
      </c>
    </row>
    <row r="740" spans="1:14" s="88" customFormat="1" x14ac:dyDescent="0.2">
      <c r="A740" s="79"/>
      <c r="B740" s="75"/>
      <c r="C740" s="112"/>
      <c r="D740" s="113"/>
      <c r="E740" s="77"/>
      <c r="F740" s="71"/>
      <c r="G740" s="98"/>
      <c r="H740" s="77"/>
      <c r="I740" s="77"/>
      <c r="J740" s="85"/>
      <c r="K740" s="99">
        <v>0.27079999999999999</v>
      </c>
      <c r="L740" s="107">
        <f t="shared" si="26"/>
        <v>1.4842</v>
      </c>
    </row>
    <row r="741" spans="1:14" s="88" customFormat="1" x14ac:dyDescent="0.2">
      <c r="A741" s="79"/>
      <c r="B741" s="75"/>
      <c r="C741" s="112"/>
      <c r="D741" s="113"/>
      <c r="E741" s="361" t="str">
        <f>E731</f>
        <v>Custo Direto</v>
      </c>
      <c r="F741" s="361"/>
      <c r="G741" s="361"/>
      <c r="H741" s="114">
        <f>SUM(H737:H740)</f>
        <v>8.98</v>
      </c>
      <c r="I741" s="114">
        <f>SUM(I737:I740)</f>
        <v>96.8</v>
      </c>
      <c r="J741" s="85"/>
      <c r="K741" s="99">
        <v>0.27079999999999999</v>
      </c>
      <c r="L741" s="107">
        <f t="shared" si="26"/>
        <v>1.4842</v>
      </c>
    </row>
    <row r="742" spans="1:14" s="88" customFormat="1" x14ac:dyDescent="0.2">
      <c r="A742" s="79"/>
      <c r="B742" s="75"/>
      <c r="C742" s="112"/>
      <c r="D742" s="113"/>
      <c r="E742" s="361" t="str">
        <f>E732</f>
        <v>LS(%): 148,42</v>
      </c>
      <c r="F742" s="361"/>
      <c r="G742" s="361"/>
      <c r="H742" s="77">
        <f>H741*L742</f>
        <v>13.328116</v>
      </c>
      <c r="I742" s="82"/>
      <c r="J742" s="85"/>
      <c r="K742" s="99">
        <v>0.27079999999999999</v>
      </c>
      <c r="L742" s="107">
        <f t="shared" si="26"/>
        <v>1.4842</v>
      </c>
    </row>
    <row r="743" spans="1:14" s="88" customFormat="1" x14ac:dyDescent="0.2">
      <c r="A743" s="79"/>
      <c r="B743" s="75"/>
      <c r="C743" s="112"/>
      <c r="D743" s="113"/>
      <c r="E743" s="361" t="str">
        <f>E733</f>
        <v>BDI (%): 27,08</v>
      </c>
      <c r="F743" s="361"/>
      <c r="G743" s="361"/>
      <c r="H743" s="362">
        <f>(H741+I741+H742)*K743</f>
        <v>32.254477812799998</v>
      </c>
      <c r="I743" s="362"/>
      <c r="J743" s="85"/>
      <c r="K743" s="99">
        <v>0.27079999999999999</v>
      </c>
      <c r="L743" s="107">
        <f t="shared" si="26"/>
        <v>1.4842</v>
      </c>
    </row>
    <row r="744" spans="1:14" s="88" customFormat="1" x14ac:dyDescent="0.2">
      <c r="A744" s="79"/>
      <c r="B744" s="75"/>
      <c r="C744" s="112"/>
      <c r="D744" s="113"/>
      <c r="E744" s="361" t="str">
        <f>E734</f>
        <v>Valor Total c/ Taxas</v>
      </c>
      <c r="F744" s="361"/>
      <c r="G744" s="361"/>
      <c r="H744" s="77"/>
      <c r="I744" s="114">
        <f>(H741+I741+H742+H743)</f>
        <v>151.36259381279999</v>
      </c>
      <c r="J744" s="85"/>
      <c r="K744" s="99">
        <v>0.27079999999999999</v>
      </c>
      <c r="L744" s="107">
        <f t="shared" si="26"/>
        <v>1.4842</v>
      </c>
      <c r="N744" s="330">
        <v>151.36259381279999</v>
      </c>
    </row>
    <row r="745" spans="1:14" s="88" customFormat="1" x14ac:dyDescent="0.2">
      <c r="A745" s="79"/>
      <c r="B745" s="75"/>
      <c r="C745" s="112"/>
      <c r="D745" s="113"/>
      <c r="E745" s="77"/>
      <c r="F745" s="71"/>
      <c r="G745" s="98"/>
      <c r="H745" s="77"/>
      <c r="I745" s="77"/>
      <c r="J745" s="85"/>
      <c r="K745" s="99">
        <v>0.27079999999999999</v>
      </c>
      <c r="L745" s="107">
        <f t="shared" si="26"/>
        <v>1.4842</v>
      </c>
    </row>
    <row r="746" spans="1:14" s="88" customFormat="1" ht="51" x14ac:dyDescent="0.2">
      <c r="A746" s="129"/>
      <c r="B746" s="95" t="str">
        <f>ORÇAMENTO!A135</f>
        <v>11.2.1</v>
      </c>
      <c r="C746" s="96" t="str">
        <f>ORÇAMENTO!B135</f>
        <v>Bancada em granito cinza andorinha de 3cm de espessura,dim 2.85 x 0,60m, com testeita 7 cm,com instalação de 3 cubas(ver item 5.10.5) e um corte circular,polido,para lixeira conforme projeto</v>
      </c>
      <c r="D746" s="158" t="s">
        <v>365</v>
      </c>
      <c r="E746" s="77"/>
      <c r="F746" s="71"/>
      <c r="G746" s="98"/>
      <c r="H746" s="77"/>
      <c r="I746" s="77"/>
      <c r="J746" s="85"/>
      <c r="K746" s="99">
        <v>0.27079999999999999</v>
      </c>
      <c r="L746" s="107">
        <f t="shared" si="26"/>
        <v>1.4842</v>
      </c>
    </row>
    <row r="747" spans="1:14" s="88" customFormat="1" ht="51" x14ac:dyDescent="0.2">
      <c r="A747" s="79"/>
      <c r="B747" s="75"/>
      <c r="C747" s="112" t="str">
        <f>C746</f>
        <v>Bancada em granito cinza andorinha de 3cm de espessura,dim 2.85 x 0,60m, com testeita 7 cm,com instalação de 3 cubas(ver item 5.10.5) e um corte circular,polido,para lixeira conforme projeto</v>
      </c>
      <c r="D747" s="113" t="str">
        <f>D746</f>
        <v xml:space="preserve">U N </v>
      </c>
      <c r="E747" s="77">
        <f>875.133*N12</f>
        <v>875.13300000000004</v>
      </c>
      <c r="F747" s="71">
        <v>13.43</v>
      </c>
      <c r="G747" s="98">
        <v>1</v>
      </c>
      <c r="H747" s="77"/>
      <c r="I747" s="77">
        <f>E747*G747</f>
        <v>875.13300000000004</v>
      </c>
      <c r="J747" s="85"/>
      <c r="K747" s="99">
        <v>0.27079999999999999</v>
      </c>
      <c r="L747" s="107">
        <f t="shared" si="26"/>
        <v>1.4842</v>
      </c>
    </row>
    <row r="748" spans="1:14" s="88" customFormat="1" x14ac:dyDescent="0.2">
      <c r="A748" s="79"/>
      <c r="B748" s="75"/>
      <c r="C748" s="112" t="s">
        <v>361</v>
      </c>
      <c r="D748" s="113" t="s">
        <v>336</v>
      </c>
      <c r="E748" s="77">
        <f>5.21*N12</f>
        <v>5.21</v>
      </c>
      <c r="F748" s="71"/>
      <c r="G748" s="98">
        <v>1</v>
      </c>
      <c r="H748" s="77">
        <f>E748*G748</f>
        <v>5.21</v>
      </c>
      <c r="I748" s="144"/>
      <c r="J748" s="85"/>
      <c r="K748" s="99">
        <v>0.27079999999999999</v>
      </c>
      <c r="L748" s="107">
        <f t="shared" si="26"/>
        <v>1.4842</v>
      </c>
    </row>
    <row r="749" spans="1:14" s="88" customFormat="1" x14ac:dyDescent="0.2">
      <c r="A749" s="79"/>
      <c r="B749" s="75"/>
      <c r="C749" s="112" t="s">
        <v>345</v>
      </c>
      <c r="D749" s="113" t="s">
        <v>336</v>
      </c>
      <c r="E749" s="77">
        <f>3.77*N12</f>
        <v>3.77</v>
      </c>
      <c r="F749" s="71"/>
      <c r="G749" s="98">
        <v>1</v>
      </c>
      <c r="H749" s="77">
        <f>E749*G749</f>
        <v>3.77</v>
      </c>
      <c r="I749" s="144"/>
      <c r="J749" s="85"/>
      <c r="K749" s="99">
        <v>0.27079999999999999</v>
      </c>
      <c r="L749" s="107">
        <f t="shared" si="26"/>
        <v>1.4842</v>
      </c>
    </row>
    <row r="750" spans="1:14" s="88" customFormat="1" x14ac:dyDescent="0.2">
      <c r="A750" s="79"/>
      <c r="B750" s="75"/>
      <c r="C750" s="112"/>
      <c r="D750" s="113"/>
      <c r="E750" s="77"/>
      <c r="F750" s="71"/>
      <c r="G750" s="98"/>
      <c r="H750" s="77"/>
      <c r="I750" s="77"/>
      <c r="J750" s="85"/>
      <c r="K750" s="99">
        <v>0.27079999999999999</v>
      </c>
      <c r="L750" s="107">
        <f t="shared" si="26"/>
        <v>1.4842</v>
      </c>
    </row>
    <row r="751" spans="1:14" s="88" customFormat="1" x14ac:dyDescent="0.2">
      <c r="A751" s="79"/>
      <c r="B751" s="75"/>
      <c r="C751" s="112"/>
      <c r="D751" s="113"/>
      <c r="E751" s="361" t="str">
        <f>E741</f>
        <v>Custo Direto</v>
      </c>
      <c r="F751" s="361"/>
      <c r="G751" s="361"/>
      <c r="H751" s="114">
        <f>SUM(H747:H750)</f>
        <v>8.98</v>
      </c>
      <c r="I751" s="114">
        <f>SUM(I747:I750)</f>
        <v>875.13300000000004</v>
      </c>
      <c r="J751" s="85"/>
      <c r="K751" s="99">
        <v>0.27079999999999999</v>
      </c>
      <c r="L751" s="107">
        <f t="shared" si="26"/>
        <v>1.4842</v>
      </c>
    </row>
    <row r="752" spans="1:14" s="88" customFormat="1" x14ac:dyDescent="0.2">
      <c r="A752" s="79"/>
      <c r="B752" s="75"/>
      <c r="C752" s="112"/>
      <c r="D752" s="113"/>
      <c r="E752" s="361" t="str">
        <f>E742</f>
        <v>LS(%): 148,42</v>
      </c>
      <c r="F752" s="361"/>
      <c r="G752" s="361"/>
      <c r="H752" s="77">
        <f>H751*L752</f>
        <v>13.328116</v>
      </c>
      <c r="I752" s="82"/>
      <c r="J752" s="85"/>
      <c r="K752" s="99">
        <v>0.27079999999999999</v>
      </c>
      <c r="L752" s="107">
        <f t="shared" si="26"/>
        <v>1.4842</v>
      </c>
    </row>
    <row r="753" spans="1:14" s="88" customFormat="1" x14ac:dyDescent="0.2">
      <c r="A753" s="79"/>
      <c r="B753" s="75"/>
      <c r="C753" s="112"/>
      <c r="D753" s="113"/>
      <c r="E753" s="361" t="str">
        <f>E743</f>
        <v>BDI (%): 27,08</v>
      </c>
      <c r="F753" s="361"/>
      <c r="G753" s="361"/>
      <c r="H753" s="362">
        <f>(H751+I751+H752)*K753</f>
        <v>243.02705421280001</v>
      </c>
      <c r="I753" s="362"/>
      <c r="J753" s="85"/>
      <c r="K753" s="99">
        <v>0.27079999999999999</v>
      </c>
      <c r="L753" s="107">
        <f t="shared" si="26"/>
        <v>1.4842</v>
      </c>
    </row>
    <row r="754" spans="1:14" s="88" customFormat="1" x14ac:dyDescent="0.2">
      <c r="A754" s="79"/>
      <c r="B754" s="75"/>
      <c r="C754" s="112"/>
      <c r="D754" s="113"/>
      <c r="E754" s="361" t="str">
        <f>E744</f>
        <v>Valor Total c/ Taxas</v>
      </c>
      <c r="F754" s="361"/>
      <c r="G754" s="361"/>
      <c r="H754" s="77"/>
      <c r="I754" s="114">
        <f>(H751+I751+H752+H753)</f>
        <v>1140.4681702128</v>
      </c>
      <c r="J754" s="85"/>
      <c r="K754" s="99">
        <v>0.27079999999999999</v>
      </c>
      <c r="L754" s="107">
        <f t="shared" si="26"/>
        <v>1.4842</v>
      </c>
      <c r="N754" s="330">
        <v>1140.47</v>
      </c>
    </row>
    <row r="755" spans="1:14" s="88" customFormat="1" x14ac:dyDescent="0.2">
      <c r="A755" s="79"/>
      <c r="B755" s="75"/>
      <c r="C755" s="112"/>
      <c r="D755" s="113"/>
      <c r="E755" s="77"/>
      <c r="F755" s="71"/>
      <c r="G755" s="98"/>
      <c r="H755" s="77"/>
      <c r="I755" s="77"/>
      <c r="J755" s="85"/>
      <c r="K755" s="99">
        <v>0.27079999999999999</v>
      </c>
      <c r="L755" s="107">
        <f t="shared" si="26"/>
        <v>1.4842</v>
      </c>
    </row>
    <row r="756" spans="1:14" s="88" customFormat="1" ht="25.5" x14ac:dyDescent="0.2">
      <c r="A756" s="94"/>
      <c r="B756" s="95" t="str">
        <f>ORÇAMENTO!A136</f>
        <v>11.2.2</v>
      </c>
      <c r="C756" s="96" t="str">
        <f>ORÇAMENTO!B136</f>
        <v>Bancada em granito cinza andorinha de 3 cm espessura ,dim 3.65 x 0.60m, inclusive rodopia 7 cm,assentada</v>
      </c>
      <c r="D756" s="97" t="str">
        <f>D746</f>
        <v xml:space="preserve">U N </v>
      </c>
      <c r="E756" s="76"/>
      <c r="F756" s="71"/>
      <c r="G756" s="98"/>
      <c r="H756" s="76"/>
      <c r="I756" s="76"/>
      <c r="J756" s="85"/>
      <c r="K756" s="99">
        <v>0.27079999999999999</v>
      </c>
      <c r="L756" s="107">
        <f t="shared" si="26"/>
        <v>1.4842</v>
      </c>
    </row>
    <row r="757" spans="1:14" s="88" customFormat="1" ht="25.5" x14ac:dyDescent="0.2">
      <c r="A757" s="79"/>
      <c r="B757" s="75"/>
      <c r="C757" s="112" t="str">
        <f>C756</f>
        <v>Bancada em granito cinza andorinha de 3 cm espessura ,dim 3.65 x 0.60m, inclusive rodopia 7 cm,assentada</v>
      </c>
      <c r="D757" s="113" t="str">
        <f>D756</f>
        <v xml:space="preserve">U N </v>
      </c>
      <c r="E757" s="77">
        <f>875.133*N12</f>
        <v>875.13300000000004</v>
      </c>
      <c r="F757" s="71">
        <v>71.12</v>
      </c>
      <c r="G757" s="98">
        <v>1</v>
      </c>
      <c r="H757" s="77"/>
      <c r="I757" s="77">
        <f>E757*G757</f>
        <v>875.13300000000004</v>
      </c>
      <c r="J757" s="85"/>
      <c r="K757" s="99">
        <v>0.27079999999999999</v>
      </c>
      <c r="L757" s="107">
        <f t="shared" si="26"/>
        <v>1.4842</v>
      </c>
    </row>
    <row r="758" spans="1:14" s="88" customFormat="1" x14ac:dyDescent="0.2">
      <c r="A758" s="79"/>
      <c r="B758" s="75"/>
      <c r="C758" s="112" t="s">
        <v>348</v>
      </c>
      <c r="D758" s="113" t="s">
        <v>336</v>
      </c>
      <c r="E758" s="77">
        <f>5.21*N12</f>
        <v>5.21</v>
      </c>
      <c r="F758" s="71"/>
      <c r="G758" s="98">
        <v>1</v>
      </c>
      <c r="H758" s="77">
        <f>E758*G758</f>
        <v>5.21</v>
      </c>
      <c r="I758" s="144"/>
      <c r="J758" s="85"/>
      <c r="K758" s="99">
        <v>0.27079999999999999</v>
      </c>
      <c r="L758" s="107">
        <f t="shared" si="26"/>
        <v>1.4842</v>
      </c>
    </row>
    <row r="759" spans="1:14" s="88" customFormat="1" x14ac:dyDescent="0.2">
      <c r="A759" s="79"/>
      <c r="B759" s="75"/>
      <c r="C759" s="112" t="s">
        <v>345</v>
      </c>
      <c r="D759" s="113" t="s">
        <v>336</v>
      </c>
      <c r="E759" s="77">
        <f>3.77*N12</f>
        <v>3.77</v>
      </c>
      <c r="F759" s="71"/>
      <c r="G759" s="98">
        <v>1</v>
      </c>
      <c r="H759" s="77">
        <f>E759*G759</f>
        <v>3.77</v>
      </c>
      <c r="I759" s="144"/>
      <c r="J759" s="85"/>
      <c r="K759" s="99">
        <v>0.27079999999999999</v>
      </c>
      <c r="L759" s="107">
        <f t="shared" si="26"/>
        <v>1.4842</v>
      </c>
    </row>
    <row r="760" spans="1:14" s="88" customFormat="1" x14ac:dyDescent="0.2">
      <c r="A760" s="79"/>
      <c r="B760" s="75"/>
      <c r="C760" s="112"/>
      <c r="D760" s="113"/>
      <c r="E760" s="77"/>
      <c r="F760" s="71"/>
      <c r="G760" s="98"/>
      <c r="H760" s="77"/>
      <c r="I760" s="77"/>
      <c r="J760" s="85"/>
      <c r="K760" s="99">
        <v>0.27079999999999999</v>
      </c>
      <c r="L760" s="107">
        <f t="shared" si="26"/>
        <v>1.4842</v>
      </c>
    </row>
    <row r="761" spans="1:14" s="88" customFormat="1" x14ac:dyDescent="0.2">
      <c r="A761" s="79"/>
      <c r="B761" s="75"/>
      <c r="C761" s="112"/>
      <c r="D761" s="113"/>
      <c r="E761" s="361" t="str">
        <f>E751</f>
        <v>Custo Direto</v>
      </c>
      <c r="F761" s="361"/>
      <c r="G761" s="361"/>
      <c r="H761" s="114">
        <f>SUM(H757:H760)</f>
        <v>8.98</v>
      </c>
      <c r="I761" s="114">
        <f>SUM(I757:I760)</f>
        <v>875.13300000000004</v>
      </c>
      <c r="J761" s="85"/>
      <c r="K761" s="99">
        <v>0.27079999999999999</v>
      </c>
      <c r="L761" s="107">
        <f t="shared" si="26"/>
        <v>1.4842</v>
      </c>
    </row>
    <row r="762" spans="1:14" s="88" customFormat="1" x14ac:dyDescent="0.2">
      <c r="A762" s="79"/>
      <c r="B762" s="75"/>
      <c r="C762" s="112"/>
      <c r="D762" s="113"/>
      <c r="E762" s="361" t="str">
        <f>E752</f>
        <v>LS(%): 148,42</v>
      </c>
      <c r="F762" s="361"/>
      <c r="G762" s="361"/>
      <c r="H762" s="77">
        <f>H761*L762</f>
        <v>13.328116</v>
      </c>
      <c r="I762" s="82"/>
      <c r="J762" s="85"/>
      <c r="K762" s="99">
        <v>0.27079999999999999</v>
      </c>
      <c r="L762" s="107">
        <f t="shared" si="26"/>
        <v>1.4842</v>
      </c>
    </row>
    <row r="763" spans="1:14" s="88" customFormat="1" x14ac:dyDescent="0.2">
      <c r="A763" s="79"/>
      <c r="B763" s="75"/>
      <c r="C763" s="112"/>
      <c r="D763" s="113"/>
      <c r="E763" s="361" t="str">
        <f>E753</f>
        <v>BDI (%): 27,08</v>
      </c>
      <c r="F763" s="361"/>
      <c r="G763" s="361"/>
      <c r="H763" s="362">
        <f>(H761+I761+H762)*K763</f>
        <v>243.02705421280001</v>
      </c>
      <c r="I763" s="362"/>
      <c r="J763" s="85"/>
      <c r="K763" s="99">
        <v>0.27079999999999999</v>
      </c>
      <c r="L763" s="107">
        <f t="shared" si="26"/>
        <v>1.4842</v>
      </c>
    </row>
    <row r="764" spans="1:14" s="88" customFormat="1" x14ac:dyDescent="0.2">
      <c r="A764" s="79"/>
      <c r="B764" s="75"/>
      <c r="C764" s="112"/>
      <c r="D764" s="113"/>
      <c r="E764" s="361" t="str">
        <f>E754</f>
        <v>Valor Total c/ Taxas</v>
      </c>
      <c r="F764" s="361"/>
      <c r="G764" s="361"/>
      <c r="H764" s="77"/>
      <c r="I764" s="114">
        <f>(H761+I761+H762+H763)</f>
        <v>1140.4681702128</v>
      </c>
      <c r="J764" s="85"/>
      <c r="K764" s="99">
        <v>0.27079999999999999</v>
      </c>
      <c r="L764" s="107">
        <f t="shared" si="26"/>
        <v>1.4842</v>
      </c>
      <c r="N764" s="330">
        <v>1140.4681702128</v>
      </c>
    </row>
    <row r="765" spans="1:14" s="88" customFormat="1" x14ac:dyDescent="0.2">
      <c r="A765" s="79"/>
      <c r="B765" s="75"/>
      <c r="C765" s="112"/>
      <c r="D765" s="113"/>
      <c r="E765" s="77"/>
      <c r="F765" s="71"/>
      <c r="G765" s="98"/>
      <c r="H765" s="77"/>
      <c r="I765" s="77"/>
      <c r="J765" s="85"/>
      <c r="K765" s="99">
        <v>0.27079999999999999</v>
      </c>
      <c r="L765" s="107">
        <f t="shared" si="26"/>
        <v>1.4842</v>
      </c>
    </row>
    <row r="766" spans="1:14" s="88" customFormat="1" ht="38.25" x14ac:dyDescent="0.2">
      <c r="A766" s="119"/>
      <c r="B766" s="131" t="str">
        <f>ORÇAMENTO!A137</f>
        <v>11.2.3</v>
      </c>
      <c r="C766" s="96" t="str">
        <f>ORÇAMENTO!B137</f>
        <v>Bancada em granito cinza andorinha de 3 cm espessura ,dim 3.65 x 0.60m, com duas cubas de cozinha,inclusive rodopia 7 cm,e pingadeira 2 cm assentada</v>
      </c>
      <c r="D766" s="97" t="str">
        <f>D756</f>
        <v xml:space="preserve">U N </v>
      </c>
      <c r="E766" s="77"/>
      <c r="F766" s="71"/>
      <c r="G766" s="98"/>
      <c r="H766" s="77"/>
      <c r="I766" s="77"/>
      <c r="J766" s="85"/>
      <c r="K766" s="99">
        <v>0.27079999999999999</v>
      </c>
      <c r="L766" s="107">
        <f t="shared" si="26"/>
        <v>1.4842</v>
      </c>
    </row>
    <row r="767" spans="1:14" s="88" customFormat="1" ht="38.25" x14ac:dyDescent="0.2">
      <c r="A767" s="79"/>
      <c r="B767" s="75"/>
      <c r="C767" s="112" t="str">
        <f>C766</f>
        <v>Bancada em granito cinza andorinha de 3 cm espessura ,dim 3.65 x 0.60m, com duas cubas de cozinha,inclusive rodopia 7 cm,e pingadeira 2 cm assentada</v>
      </c>
      <c r="D767" s="113" t="str">
        <f>D766</f>
        <v xml:space="preserve">U N </v>
      </c>
      <c r="E767" s="77">
        <f>875.133*N12</f>
        <v>875.13300000000004</v>
      </c>
      <c r="F767" s="71">
        <v>6.9</v>
      </c>
      <c r="G767" s="98">
        <v>1</v>
      </c>
      <c r="H767" s="77"/>
      <c r="I767" s="77">
        <f>E767*G767</f>
        <v>875.13300000000004</v>
      </c>
      <c r="J767" s="85"/>
      <c r="K767" s="99">
        <v>0.27079999999999999</v>
      </c>
      <c r="L767" s="107">
        <f t="shared" si="26"/>
        <v>1.4842</v>
      </c>
    </row>
    <row r="768" spans="1:14" s="88" customFormat="1" x14ac:dyDescent="0.2">
      <c r="A768" s="79"/>
      <c r="B768" s="75"/>
      <c r="C768" s="112" t="s">
        <v>348</v>
      </c>
      <c r="D768" s="113" t="s">
        <v>336</v>
      </c>
      <c r="E768" s="77">
        <f>5.21*N12</f>
        <v>5.21</v>
      </c>
      <c r="F768" s="71"/>
      <c r="G768" s="98">
        <v>1</v>
      </c>
      <c r="H768" s="77">
        <f>E768*G768</f>
        <v>5.21</v>
      </c>
      <c r="I768" s="144"/>
      <c r="J768" s="85"/>
      <c r="K768" s="99">
        <v>0.27079999999999999</v>
      </c>
      <c r="L768" s="107">
        <f t="shared" ref="L768:L831" si="28">L767</f>
        <v>1.4842</v>
      </c>
    </row>
    <row r="769" spans="1:14" s="88" customFormat="1" x14ac:dyDescent="0.2">
      <c r="A769" s="79"/>
      <c r="B769" s="75"/>
      <c r="C769" s="112" t="s">
        <v>339</v>
      </c>
      <c r="D769" s="113" t="s">
        <v>336</v>
      </c>
      <c r="E769" s="77">
        <f>3.77*N12</f>
        <v>3.77</v>
      </c>
      <c r="F769" s="71"/>
      <c r="G769" s="98">
        <v>1</v>
      </c>
      <c r="H769" s="77">
        <f>E769*G769</f>
        <v>3.77</v>
      </c>
      <c r="I769" s="77"/>
      <c r="J769" s="85"/>
      <c r="K769" s="99">
        <v>0.27079999999999999</v>
      </c>
      <c r="L769" s="107">
        <f>L767</f>
        <v>1.4842</v>
      </c>
    </row>
    <row r="770" spans="1:14" s="88" customFormat="1" x14ac:dyDescent="0.2">
      <c r="A770" s="79"/>
      <c r="B770" s="75"/>
      <c r="C770" s="112"/>
      <c r="D770" s="113"/>
      <c r="E770" s="77"/>
      <c r="F770" s="71"/>
      <c r="G770" s="98"/>
      <c r="H770" s="77"/>
      <c r="I770" s="77"/>
      <c r="J770" s="85"/>
      <c r="K770" s="99">
        <v>0.27079999999999999</v>
      </c>
      <c r="L770" s="107">
        <f t="shared" si="28"/>
        <v>1.4842</v>
      </c>
    </row>
    <row r="771" spans="1:14" s="88" customFormat="1" x14ac:dyDescent="0.2">
      <c r="A771" s="79"/>
      <c r="B771" s="75"/>
      <c r="C771" s="112"/>
      <c r="D771" s="113"/>
      <c r="E771" s="361" t="str">
        <f>E761</f>
        <v>Custo Direto</v>
      </c>
      <c r="F771" s="361"/>
      <c r="G771" s="361"/>
      <c r="H771" s="114">
        <f>SUM(H767:H770)</f>
        <v>8.98</v>
      </c>
      <c r="I771" s="114">
        <f>SUM(I767:I770)</f>
        <v>875.13300000000004</v>
      </c>
      <c r="J771" s="85"/>
      <c r="K771" s="99">
        <v>0.27079999999999999</v>
      </c>
      <c r="L771" s="107">
        <f t="shared" si="28"/>
        <v>1.4842</v>
      </c>
    </row>
    <row r="772" spans="1:14" s="88" customFormat="1" x14ac:dyDescent="0.2">
      <c r="A772" s="79"/>
      <c r="B772" s="75"/>
      <c r="C772" s="112"/>
      <c r="D772" s="113"/>
      <c r="E772" s="361" t="str">
        <f>E762</f>
        <v>LS(%): 148,42</v>
      </c>
      <c r="F772" s="361"/>
      <c r="G772" s="361"/>
      <c r="H772" s="77">
        <f>H771*L772</f>
        <v>13.328116</v>
      </c>
      <c r="I772" s="82"/>
      <c r="J772" s="85"/>
      <c r="K772" s="99">
        <v>0.27079999999999999</v>
      </c>
      <c r="L772" s="107">
        <f t="shared" si="28"/>
        <v>1.4842</v>
      </c>
    </row>
    <row r="773" spans="1:14" s="88" customFormat="1" x14ac:dyDescent="0.2">
      <c r="A773" s="79"/>
      <c r="B773" s="75"/>
      <c r="C773" s="112"/>
      <c r="D773" s="113"/>
      <c r="E773" s="361" t="str">
        <f>E763</f>
        <v>BDI (%): 27,08</v>
      </c>
      <c r="F773" s="361"/>
      <c r="G773" s="361"/>
      <c r="H773" s="362">
        <f>(H771+I771+H772)*K773</f>
        <v>243.02705421280001</v>
      </c>
      <c r="I773" s="362"/>
      <c r="J773" s="85"/>
      <c r="K773" s="99">
        <v>0.27079999999999999</v>
      </c>
      <c r="L773" s="107">
        <f t="shared" si="28"/>
        <v>1.4842</v>
      </c>
    </row>
    <row r="774" spans="1:14" s="88" customFormat="1" x14ac:dyDescent="0.2">
      <c r="A774" s="79"/>
      <c r="B774" s="75"/>
      <c r="C774" s="112"/>
      <c r="D774" s="113"/>
      <c r="E774" s="361" t="str">
        <f>E764</f>
        <v>Valor Total c/ Taxas</v>
      </c>
      <c r="F774" s="361"/>
      <c r="G774" s="361"/>
      <c r="H774" s="77"/>
      <c r="I774" s="114">
        <f>(H771+I771+H772+H773)</f>
        <v>1140.4681702128</v>
      </c>
      <c r="J774" s="85"/>
      <c r="K774" s="99">
        <v>0.27079999999999999</v>
      </c>
      <c r="L774" s="107">
        <f t="shared" si="28"/>
        <v>1.4842</v>
      </c>
      <c r="N774" s="330">
        <v>1140.47</v>
      </c>
    </row>
    <row r="775" spans="1:14" s="88" customFormat="1" x14ac:dyDescent="0.2">
      <c r="A775" s="79"/>
      <c r="B775" s="75"/>
      <c r="C775" s="112"/>
      <c r="D775" s="113"/>
      <c r="E775" s="77"/>
      <c r="F775" s="71"/>
      <c r="G775" s="98"/>
      <c r="H775" s="77"/>
      <c r="I775" s="77"/>
      <c r="J775" s="85"/>
      <c r="K775" s="99">
        <v>0.27079999999999999</v>
      </c>
      <c r="L775" s="107">
        <f t="shared" si="28"/>
        <v>1.4842</v>
      </c>
    </row>
    <row r="776" spans="1:14" s="88" customFormat="1" ht="25.5" x14ac:dyDescent="0.2">
      <c r="A776" s="94"/>
      <c r="B776" s="125" t="str">
        <f>ORÇAMENTO!A138</f>
        <v>11.2.4</v>
      </c>
      <c r="C776" s="96" t="str">
        <f>ORÇAMENTO!B138</f>
        <v>Bancada em alvenarai,com portas em madeira com revestimento melaminico,tampo em granito cinza andorinha,conforme projeto</v>
      </c>
      <c r="D776" s="97" t="str">
        <f>D766</f>
        <v xml:space="preserve">U N </v>
      </c>
      <c r="E776" s="77"/>
      <c r="F776" s="71"/>
      <c r="G776" s="98"/>
      <c r="H776" s="77"/>
      <c r="I776" s="77"/>
      <c r="J776" s="85"/>
      <c r="K776" s="99">
        <v>0.27079999999999999</v>
      </c>
      <c r="L776" s="107">
        <f t="shared" si="28"/>
        <v>1.4842</v>
      </c>
    </row>
    <row r="777" spans="1:14" s="88" customFormat="1" ht="31.5" customHeight="1" x14ac:dyDescent="0.2">
      <c r="A777" s="79"/>
      <c r="B777" s="75"/>
      <c r="C777" s="112" t="str">
        <f>C776</f>
        <v>Bancada em alvenarai,com portas em madeira com revestimento melaminico,tampo em granito cinza andorinha,conforme projeto</v>
      </c>
      <c r="D777" s="113" t="str">
        <f>D776</f>
        <v xml:space="preserve">U N </v>
      </c>
      <c r="E777" s="77">
        <f>200.45*N12</f>
        <v>200.45</v>
      </c>
      <c r="F777" s="71">
        <v>375.23</v>
      </c>
      <c r="G777" s="98">
        <v>1.5</v>
      </c>
      <c r="H777" s="77"/>
      <c r="I777" s="77">
        <f>E777*G777</f>
        <v>300.67499999999995</v>
      </c>
      <c r="J777" s="85"/>
      <c r="K777" s="99">
        <v>0.27079999999999999</v>
      </c>
      <c r="L777" s="107">
        <f t="shared" si="28"/>
        <v>1.4842</v>
      </c>
    </row>
    <row r="778" spans="1:14" s="88" customFormat="1" x14ac:dyDescent="0.2">
      <c r="A778" s="79"/>
      <c r="B778" s="75"/>
      <c r="C778" s="112" t="s">
        <v>348</v>
      </c>
      <c r="D778" s="113" t="s">
        <v>336</v>
      </c>
      <c r="E778" s="77">
        <f>5.21*N12</f>
        <v>5.21</v>
      </c>
      <c r="F778" s="71"/>
      <c r="G778" s="98">
        <v>1</v>
      </c>
      <c r="H778" s="77">
        <f>E778*G778</f>
        <v>5.21</v>
      </c>
      <c r="I778" s="144"/>
      <c r="J778" s="85"/>
      <c r="K778" s="99">
        <v>0.27079999999999999</v>
      </c>
      <c r="L778" s="107">
        <f t="shared" si="28"/>
        <v>1.4842</v>
      </c>
    </row>
    <row r="779" spans="1:14" s="88" customFormat="1" x14ac:dyDescent="0.2">
      <c r="A779" s="79"/>
      <c r="B779" s="75"/>
      <c r="C779" s="112" t="s">
        <v>345</v>
      </c>
      <c r="D779" s="113" t="s">
        <v>336</v>
      </c>
      <c r="E779" s="77">
        <f>3.77*N12</f>
        <v>3.77</v>
      </c>
      <c r="F779" s="71"/>
      <c r="G779" s="98">
        <v>1</v>
      </c>
      <c r="H779" s="77">
        <f>E779*G779</f>
        <v>3.77</v>
      </c>
      <c r="I779" s="144"/>
      <c r="J779" s="85"/>
      <c r="K779" s="99">
        <v>0.27079999999999999</v>
      </c>
      <c r="L779" s="107">
        <f t="shared" si="28"/>
        <v>1.4842</v>
      </c>
    </row>
    <row r="780" spans="1:14" s="88" customFormat="1" x14ac:dyDescent="0.2">
      <c r="A780" s="79"/>
      <c r="B780" s="75"/>
      <c r="C780" s="112"/>
      <c r="D780" s="113"/>
      <c r="E780" s="77"/>
      <c r="F780" s="71"/>
      <c r="G780" s="98"/>
      <c r="H780" s="77"/>
      <c r="I780" s="77"/>
      <c r="J780" s="85"/>
      <c r="K780" s="99">
        <v>0.27079999999999999</v>
      </c>
      <c r="L780" s="107">
        <f t="shared" si="28"/>
        <v>1.4842</v>
      </c>
    </row>
    <row r="781" spans="1:14" s="88" customFormat="1" x14ac:dyDescent="0.2">
      <c r="A781" s="79"/>
      <c r="B781" s="75"/>
      <c r="C781" s="112"/>
      <c r="D781" s="113"/>
      <c r="E781" s="361" t="str">
        <f>E771</f>
        <v>Custo Direto</v>
      </c>
      <c r="F781" s="361"/>
      <c r="G781" s="361"/>
      <c r="H781" s="114">
        <f>SUM(H777:H779)</f>
        <v>8.98</v>
      </c>
      <c r="I781" s="114">
        <f>SUM(I777:I779)</f>
        <v>300.67499999999995</v>
      </c>
      <c r="J781" s="85"/>
      <c r="K781" s="99">
        <v>0.27079999999999999</v>
      </c>
      <c r="L781" s="107">
        <f t="shared" si="28"/>
        <v>1.4842</v>
      </c>
    </row>
    <row r="782" spans="1:14" s="88" customFormat="1" x14ac:dyDescent="0.2">
      <c r="A782" s="79"/>
      <c r="B782" s="75"/>
      <c r="C782" s="112"/>
      <c r="D782" s="113"/>
      <c r="E782" s="361" t="str">
        <f t="shared" ref="E782:E784" si="29">E772</f>
        <v>LS(%): 148,42</v>
      </c>
      <c r="F782" s="361"/>
      <c r="G782" s="361"/>
      <c r="H782" s="77">
        <f>SUM(H778:H780)*L782</f>
        <v>13.328116</v>
      </c>
      <c r="I782" s="82"/>
      <c r="J782" s="85"/>
      <c r="K782" s="99">
        <v>0.27079999999999999</v>
      </c>
      <c r="L782" s="107">
        <f t="shared" si="28"/>
        <v>1.4842</v>
      </c>
    </row>
    <row r="783" spans="1:14" s="88" customFormat="1" x14ac:dyDescent="0.2">
      <c r="A783" s="79"/>
      <c r="B783" s="75"/>
      <c r="C783" s="112"/>
      <c r="D783" s="113"/>
      <c r="E783" s="361" t="str">
        <f t="shared" si="29"/>
        <v>BDI (%): 27,08</v>
      </c>
      <c r="F783" s="361"/>
      <c r="G783" s="361"/>
      <c r="H783" s="362">
        <f>(H781+I781+H782)*K783</f>
        <v>87.463827812799991</v>
      </c>
      <c r="I783" s="362"/>
      <c r="J783" s="85"/>
      <c r="K783" s="99">
        <v>0.27079999999999999</v>
      </c>
      <c r="L783" s="107">
        <f t="shared" si="28"/>
        <v>1.4842</v>
      </c>
    </row>
    <row r="784" spans="1:14" s="88" customFormat="1" x14ac:dyDescent="0.2">
      <c r="A784" s="79"/>
      <c r="B784" s="75"/>
      <c r="C784" s="112"/>
      <c r="D784" s="113"/>
      <c r="E784" s="361" t="str">
        <f t="shared" si="29"/>
        <v>Valor Total c/ Taxas</v>
      </c>
      <c r="F784" s="361"/>
      <c r="G784" s="361"/>
      <c r="H784" s="77"/>
      <c r="I784" s="114">
        <f>(H781+I781+H782+H783)</f>
        <v>410.44694381279999</v>
      </c>
      <c r="J784" s="85"/>
      <c r="K784" s="99">
        <v>0.27079999999999999</v>
      </c>
      <c r="L784" s="107">
        <f t="shared" si="28"/>
        <v>1.4842</v>
      </c>
      <c r="N784" s="330">
        <v>410.45</v>
      </c>
    </row>
    <row r="785" spans="1:14" s="88" customFormat="1" x14ac:dyDescent="0.2">
      <c r="A785" s="79"/>
      <c r="B785" s="75"/>
      <c r="C785" s="112"/>
      <c r="D785" s="113"/>
      <c r="E785" s="77"/>
      <c r="F785" s="71"/>
      <c r="G785" s="98"/>
      <c r="H785" s="77"/>
      <c r="I785" s="77"/>
      <c r="J785" s="85"/>
      <c r="K785" s="99">
        <v>0.27079999999999999</v>
      </c>
      <c r="L785" s="107">
        <f t="shared" si="28"/>
        <v>1.4842</v>
      </c>
    </row>
    <row r="786" spans="1:14" s="88" customFormat="1" ht="38.25" x14ac:dyDescent="0.2">
      <c r="A786" s="94"/>
      <c r="B786" s="125" t="str">
        <f>ORÇAMENTO!A139</f>
        <v>11.2.5</v>
      </c>
      <c r="C786" s="96" t="str">
        <f>ORÇAMENTO!B139</f>
        <v>Bancada com tampo de madeira com revestimento melaminico branco(dim 0.80 x 6.00 m) e base em alvenaria revestida em cerâmica,conforme projeto</v>
      </c>
      <c r="D786" s="97" t="s">
        <v>346</v>
      </c>
      <c r="E786" s="77"/>
      <c r="F786" s="71"/>
      <c r="G786" s="98"/>
      <c r="H786" s="77"/>
      <c r="I786" s="77"/>
      <c r="J786" s="85"/>
      <c r="K786" s="99">
        <v>0.27079999999999999</v>
      </c>
      <c r="L786" s="107">
        <f t="shared" si="28"/>
        <v>1.4842</v>
      </c>
    </row>
    <row r="787" spans="1:14" s="88" customFormat="1" ht="38.25" x14ac:dyDescent="0.2">
      <c r="A787" s="79"/>
      <c r="B787" s="75"/>
      <c r="C787" s="112" t="str">
        <f>C786</f>
        <v>Bancada com tampo de madeira com revestimento melaminico branco(dim 0.80 x 6.00 m) e base em alvenaria revestida em cerâmica,conforme projeto</v>
      </c>
      <c r="D787" s="113" t="str">
        <f>D786</f>
        <v>U N</v>
      </c>
      <c r="E787" s="77">
        <f>194.993*N12</f>
        <v>194.99299999999999</v>
      </c>
      <c r="F787" s="71">
        <v>170</v>
      </c>
      <c r="G787" s="98">
        <v>1</v>
      </c>
      <c r="H787" s="77"/>
      <c r="I787" s="77">
        <f>E787*G787</f>
        <v>194.99299999999999</v>
      </c>
      <c r="J787" s="85"/>
      <c r="K787" s="99">
        <v>0.27079999999999999</v>
      </c>
      <c r="L787" s="107">
        <f t="shared" si="28"/>
        <v>1.4842</v>
      </c>
    </row>
    <row r="788" spans="1:14" s="88" customFormat="1" x14ac:dyDescent="0.2">
      <c r="A788" s="79"/>
      <c r="B788" s="75"/>
      <c r="C788" s="112" t="s">
        <v>348</v>
      </c>
      <c r="D788" s="113" t="s">
        <v>336</v>
      </c>
      <c r="E788" s="77">
        <f>5.21*N12</f>
        <v>5.21</v>
      </c>
      <c r="F788" s="71"/>
      <c r="G788" s="98">
        <v>1</v>
      </c>
      <c r="H788" s="77">
        <f>E788*G788</f>
        <v>5.21</v>
      </c>
      <c r="I788" s="144"/>
      <c r="J788" s="85"/>
      <c r="K788" s="99">
        <v>0.27079999999999999</v>
      </c>
      <c r="L788" s="107">
        <f t="shared" si="28"/>
        <v>1.4842</v>
      </c>
    </row>
    <row r="789" spans="1:14" s="88" customFormat="1" x14ac:dyDescent="0.2">
      <c r="A789" s="79"/>
      <c r="B789" s="75"/>
      <c r="C789" s="112" t="s">
        <v>345</v>
      </c>
      <c r="D789" s="113" t="s">
        <v>336</v>
      </c>
      <c r="E789" s="77">
        <f>3.77*N12</f>
        <v>3.77</v>
      </c>
      <c r="F789" s="71"/>
      <c r="G789" s="98">
        <v>1</v>
      </c>
      <c r="H789" s="77">
        <f>E789*G789</f>
        <v>3.77</v>
      </c>
      <c r="I789" s="144"/>
      <c r="J789" s="85"/>
      <c r="K789" s="99">
        <v>0.27079999999999999</v>
      </c>
      <c r="L789" s="107">
        <f t="shared" si="28"/>
        <v>1.4842</v>
      </c>
    </row>
    <row r="790" spans="1:14" s="88" customFormat="1" x14ac:dyDescent="0.2">
      <c r="A790" s="79"/>
      <c r="B790" s="75"/>
      <c r="C790" s="112"/>
      <c r="D790" s="113"/>
      <c r="E790" s="77"/>
      <c r="F790" s="71"/>
      <c r="G790" s="98"/>
      <c r="H790" s="77"/>
      <c r="I790" s="77"/>
      <c r="J790" s="85"/>
      <c r="K790" s="99">
        <v>0.27079999999999999</v>
      </c>
      <c r="L790" s="107">
        <f t="shared" si="28"/>
        <v>1.4842</v>
      </c>
    </row>
    <row r="791" spans="1:14" s="88" customFormat="1" x14ac:dyDescent="0.2">
      <c r="A791" s="79"/>
      <c r="B791" s="75"/>
      <c r="C791" s="112"/>
      <c r="D791" s="113"/>
      <c r="E791" s="361" t="str">
        <f>E781</f>
        <v>Custo Direto</v>
      </c>
      <c r="F791" s="361"/>
      <c r="G791" s="361"/>
      <c r="H791" s="114">
        <f>SUM(H787:H789)</f>
        <v>8.98</v>
      </c>
      <c r="I791" s="114">
        <f>SUM(I787:I789)</f>
        <v>194.99299999999999</v>
      </c>
      <c r="J791" s="85"/>
      <c r="K791" s="99">
        <v>0.27079999999999999</v>
      </c>
      <c r="L791" s="107">
        <f t="shared" si="28"/>
        <v>1.4842</v>
      </c>
    </row>
    <row r="792" spans="1:14" s="88" customFormat="1" x14ac:dyDescent="0.2">
      <c r="A792" s="79"/>
      <c r="B792" s="75"/>
      <c r="C792" s="112"/>
      <c r="D792" s="113"/>
      <c r="E792" s="361" t="str">
        <f t="shared" ref="E792:E794" si="30">E782</f>
        <v>LS(%): 148,42</v>
      </c>
      <c r="F792" s="361"/>
      <c r="G792" s="361"/>
      <c r="H792" s="77">
        <f>SUM(H788:H790)*L792</f>
        <v>13.328116</v>
      </c>
      <c r="I792" s="82"/>
      <c r="J792" s="85"/>
      <c r="K792" s="99">
        <v>0.27079999999999999</v>
      </c>
      <c r="L792" s="107">
        <f t="shared" si="28"/>
        <v>1.4842</v>
      </c>
    </row>
    <row r="793" spans="1:14" s="88" customFormat="1" x14ac:dyDescent="0.2">
      <c r="A793" s="79"/>
      <c r="B793" s="75"/>
      <c r="C793" s="112"/>
      <c r="D793" s="113"/>
      <c r="E793" s="361" t="str">
        <f t="shared" si="30"/>
        <v>BDI (%): 27,08</v>
      </c>
      <c r="F793" s="361"/>
      <c r="G793" s="361"/>
      <c r="H793" s="362">
        <f>(H791+I791+H792)*K793</f>
        <v>58.845142212799992</v>
      </c>
      <c r="I793" s="362"/>
      <c r="J793" s="85"/>
      <c r="K793" s="99">
        <v>0.27079999999999999</v>
      </c>
      <c r="L793" s="107">
        <f t="shared" si="28"/>
        <v>1.4842</v>
      </c>
    </row>
    <row r="794" spans="1:14" s="88" customFormat="1" x14ac:dyDescent="0.2">
      <c r="A794" s="79"/>
      <c r="B794" s="75"/>
      <c r="C794" s="112"/>
      <c r="D794" s="113"/>
      <c r="E794" s="361" t="str">
        <f t="shared" si="30"/>
        <v>Valor Total c/ Taxas</v>
      </c>
      <c r="F794" s="361"/>
      <c r="G794" s="361"/>
      <c r="H794" s="77"/>
      <c r="I794" s="114">
        <f>(H791+I791+H792+H793)</f>
        <v>276.14625821279998</v>
      </c>
      <c r="J794" s="85"/>
      <c r="K794" s="99">
        <v>0.27079999999999999</v>
      </c>
      <c r="L794" s="107">
        <f t="shared" si="28"/>
        <v>1.4842</v>
      </c>
      <c r="N794" s="330">
        <v>276.14999999999998</v>
      </c>
    </row>
    <row r="795" spans="1:14" s="88" customFormat="1" x14ac:dyDescent="0.2">
      <c r="A795" s="79"/>
      <c r="B795" s="75"/>
      <c r="C795" s="112"/>
      <c r="D795" s="113"/>
      <c r="E795" s="77"/>
      <c r="F795" s="71"/>
      <c r="G795" s="98"/>
      <c r="H795" s="77"/>
      <c r="I795" s="77"/>
      <c r="J795" s="85"/>
      <c r="K795" s="99">
        <v>0.27079999999999999</v>
      </c>
      <c r="L795" s="107">
        <f t="shared" si="28"/>
        <v>1.4842</v>
      </c>
    </row>
    <row r="796" spans="1:14" s="88" customFormat="1" ht="25.5" x14ac:dyDescent="0.2">
      <c r="A796" s="129"/>
      <c r="B796" s="125" t="str">
        <f>ORÇAMENTO!A141</f>
        <v>11.3.1</v>
      </c>
      <c r="C796" s="96" t="str">
        <f>ORÇAMENTO!B141</f>
        <v>Quadro escolar verde e branco,com moldura de madeira e porta giz e pincel atômico,confome especificações</v>
      </c>
      <c r="D796" s="158" t="s">
        <v>349</v>
      </c>
      <c r="E796" s="77"/>
      <c r="F796" s="71"/>
      <c r="G796" s="98"/>
      <c r="H796" s="77"/>
      <c r="I796" s="77"/>
      <c r="J796" s="85"/>
      <c r="K796" s="99">
        <v>0.27079999999999999</v>
      </c>
      <c r="L796" s="107">
        <f t="shared" si="28"/>
        <v>1.4842</v>
      </c>
    </row>
    <row r="797" spans="1:14" s="88" customFormat="1" ht="25.5" x14ac:dyDescent="0.2">
      <c r="A797" s="79"/>
      <c r="B797" s="75"/>
      <c r="C797" s="112" t="str">
        <f>C796</f>
        <v>Quadro escolar verde e branco,com moldura de madeira e porta giz e pincel atômico,confome especificações</v>
      </c>
      <c r="D797" s="113" t="str">
        <f>D796</f>
        <v>M²</v>
      </c>
      <c r="E797" s="77">
        <f>287.993*N12</f>
        <v>287.99299999999999</v>
      </c>
      <c r="F797" s="71">
        <f>F787</f>
        <v>170</v>
      </c>
      <c r="G797" s="98">
        <v>2</v>
      </c>
      <c r="H797" s="77"/>
      <c r="I797" s="77">
        <f>E797*G797</f>
        <v>575.98599999999999</v>
      </c>
      <c r="J797" s="85"/>
      <c r="K797" s="99">
        <v>0.27079999999999999</v>
      </c>
      <c r="L797" s="107">
        <f t="shared" si="28"/>
        <v>1.4842</v>
      </c>
    </row>
    <row r="798" spans="1:14" s="88" customFormat="1" x14ac:dyDescent="0.2">
      <c r="A798" s="79"/>
      <c r="B798" s="75"/>
      <c r="C798" s="112" t="s">
        <v>348</v>
      </c>
      <c r="D798" s="113" t="s">
        <v>336</v>
      </c>
      <c r="E798" s="77">
        <f>5.21*N12</f>
        <v>5.21</v>
      </c>
      <c r="F798" s="71"/>
      <c r="G798" s="98">
        <v>1</v>
      </c>
      <c r="H798" s="77">
        <f>E798*G798</f>
        <v>5.21</v>
      </c>
      <c r="I798" s="144"/>
      <c r="J798" s="85"/>
      <c r="K798" s="99">
        <v>0.27079999999999999</v>
      </c>
      <c r="L798" s="107">
        <f t="shared" si="28"/>
        <v>1.4842</v>
      </c>
    </row>
    <row r="799" spans="1:14" s="88" customFormat="1" x14ac:dyDescent="0.2">
      <c r="A799" s="79"/>
      <c r="B799" s="75"/>
      <c r="C799" s="112" t="s">
        <v>345</v>
      </c>
      <c r="D799" s="113" t="s">
        <v>336</v>
      </c>
      <c r="E799" s="77">
        <f>3.77*N12</f>
        <v>3.77</v>
      </c>
      <c r="F799" s="71"/>
      <c r="G799" s="98">
        <v>1</v>
      </c>
      <c r="H799" s="77">
        <f>E799*G799</f>
        <v>3.77</v>
      </c>
      <c r="I799" s="144"/>
      <c r="J799" s="85"/>
      <c r="K799" s="99">
        <v>0.27079999999999999</v>
      </c>
      <c r="L799" s="107">
        <f t="shared" si="28"/>
        <v>1.4842</v>
      </c>
    </row>
    <row r="800" spans="1:14" s="88" customFormat="1" x14ac:dyDescent="0.2">
      <c r="A800" s="79"/>
      <c r="B800" s="75"/>
      <c r="C800" s="112"/>
      <c r="D800" s="113"/>
      <c r="E800" s="77"/>
      <c r="F800" s="71"/>
      <c r="G800" s="98"/>
      <c r="H800" s="77"/>
      <c r="I800" s="77"/>
      <c r="J800" s="85"/>
      <c r="K800" s="99">
        <v>0.27079999999999999</v>
      </c>
      <c r="L800" s="107">
        <f t="shared" si="28"/>
        <v>1.4842</v>
      </c>
    </row>
    <row r="801" spans="1:14" s="88" customFormat="1" x14ac:dyDescent="0.2">
      <c r="A801" s="79"/>
      <c r="B801" s="75"/>
      <c r="C801" s="112"/>
      <c r="D801" s="113"/>
      <c r="E801" s="361" t="str">
        <f>E791</f>
        <v>Custo Direto</v>
      </c>
      <c r="F801" s="361"/>
      <c r="G801" s="361"/>
      <c r="H801" s="114">
        <f>SUM(H797:H799)</f>
        <v>8.98</v>
      </c>
      <c r="I801" s="114">
        <f>SUM(I797:I799)</f>
        <v>575.98599999999999</v>
      </c>
      <c r="J801" s="85"/>
      <c r="K801" s="99">
        <v>0.27079999999999999</v>
      </c>
      <c r="L801" s="107">
        <f t="shared" si="28"/>
        <v>1.4842</v>
      </c>
    </row>
    <row r="802" spans="1:14" s="88" customFormat="1" x14ac:dyDescent="0.2">
      <c r="A802" s="79"/>
      <c r="B802" s="75"/>
      <c r="C802" s="112"/>
      <c r="D802" s="113"/>
      <c r="E802" s="361" t="str">
        <f t="shared" ref="E802:E804" si="31">E792</f>
        <v>LS(%): 148,42</v>
      </c>
      <c r="F802" s="361"/>
      <c r="G802" s="361"/>
      <c r="H802" s="77">
        <f>SUM(H798:H800)*L802</f>
        <v>13.328116</v>
      </c>
      <c r="I802" s="82"/>
      <c r="J802" s="85"/>
      <c r="K802" s="99">
        <v>0.27079999999999999</v>
      </c>
      <c r="L802" s="107">
        <f t="shared" si="28"/>
        <v>1.4842</v>
      </c>
    </row>
    <row r="803" spans="1:14" s="88" customFormat="1" x14ac:dyDescent="0.2">
      <c r="A803" s="79"/>
      <c r="B803" s="75"/>
      <c r="C803" s="112"/>
      <c r="D803" s="113"/>
      <c r="E803" s="361" t="str">
        <f t="shared" si="31"/>
        <v>BDI (%): 27,08</v>
      </c>
      <c r="F803" s="361"/>
      <c r="G803" s="361"/>
      <c r="H803" s="362">
        <f>(H801+I801+H802)*K803</f>
        <v>162.01804661279999</v>
      </c>
      <c r="I803" s="362"/>
      <c r="J803" s="85"/>
      <c r="K803" s="99">
        <v>0.27079999999999999</v>
      </c>
      <c r="L803" s="107">
        <f t="shared" si="28"/>
        <v>1.4842</v>
      </c>
    </row>
    <row r="804" spans="1:14" s="88" customFormat="1" x14ac:dyDescent="0.2">
      <c r="A804" s="79"/>
      <c r="B804" s="75"/>
      <c r="C804" s="112"/>
      <c r="D804" s="113"/>
      <c r="E804" s="361" t="str">
        <f t="shared" si="31"/>
        <v>Valor Total c/ Taxas</v>
      </c>
      <c r="F804" s="361"/>
      <c r="G804" s="361"/>
      <c r="H804" s="77"/>
      <c r="I804" s="114">
        <f>(H801+I801+H802+H803)</f>
        <v>760.31216261279997</v>
      </c>
      <c r="J804" s="85"/>
      <c r="K804" s="99">
        <v>0.27079999999999999</v>
      </c>
      <c r="L804" s="107">
        <f t="shared" si="28"/>
        <v>1.4842</v>
      </c>
      <c r="N804" s="330">
        <v>760.31</v>
      </c>
    </row>
    <row r="805" spans="1:14" s="88" customFormat="1" x14ac:dyDescent="0.2">
      <c r="A805" s="79"/>
      <c r="B805" s="75"/>
      <c r="C805" s="112"/>
      <c r="D805" s="113"/>
      <c r="E805" s="77"/>
      <c r="F805" s="71"/>
      <c r="G805" s="98"/>
      <c r="H805" s="77"/>
      <c r="I805" s="77"/>
      <c r="J805" s="85"/>
      <c r="K805" s="99">
        <v>0.27079999999999999</v>
      </c>
      <c r="L805" s="107">
        <f t="shared" si="28"/>
        <v>1.4842</v>
      </c>
    </row>
    <row r="806" spans="1:14" s="88" customFormat="1" ht="25.5" x14ac:dyDescent="0.2">
      <c r="A806" s="129"/>
      <c r="B806" s="125" t="str">
        <f>ORÇAMENTO!A142</f>
        <v>11.3.2</v>
      </c>
      <c r="C806" s="96" t="str">
        <f>ORÇAMENTO!B142</f>
        <v>Quadro escolar branco,com moldura,instalado ma sala de informática</v>
      </c>
      <c r="D806" s="158" t="str">
        <f>D796</f>
        <v>M²</v>
      </c>
      <c r="E806" s="77"/>
      <c r="F806" s="71"/>
      <c r="G806" s="98"/>
      <c r="H806" s="77"/>
      <c r="I806" s="77"/>
      <c r="J806" s="85"/>
      <c r="K806" s="99">
        <v>0.27079999999999999</v>
      </c>
      <c r="L806" s="107">
        <f t="shared" si="28"/>
        <v>1.4842</v>
      </c>
    </row>
    <row r="807" spans="1:14" s="88" customFormat="1" ht="25.5" x14ac:dyDescent="0.2">
      <c r="A807" s="79"/>
      <c r="B807" s="75"/>
      <c r="C807" s="112" t="str">
        <f>C806</f>
        <v>Quadro escolar branco,com moldura,instalado ma sala de informática</v>
      </c>
      <c r="D807" s="113" t="str">
        <f>D806</f>
        <v>M²</v>
      </c>
      <c r="E807" s="77">
        <f>287.993*N12</f>
        <v>287.99299999999999</v>
      </c>
      <c r="F807" s="71">
        <v>10</v>
      </c>
      <c r="G807" s="98">
        <v>2</v>
      </c>
      <c r="H807" s="77"/>
      <c r="I807" s="77">
        <f>E807*G807</f>
        <v>575.98599999999999</v>
      </c>
      <c r="J807" s="85"/>
      <c r="K807" s="99">
        <v>0.27079999999999999</v>
      </c>
      <c r="L807" s="107">
        <f t="shared" si="28"/>
        <v>1.4842</v>
      </c>
    </row>
    <row r="808" spans="1:14" s="88" customFormat="1" x14ac:dyDescent="0.2">
      <c r="A808" s="79"/>
      <c r="B808" s="75"/>
      <c r="C808" s="112" t="s">
        <v>363</v>
      </c>
      <c r="D808" s="113" t="s">
        <v>336</v>
      </c>
      <c r="E808" s="77">
        <f>5.21*N12</f>
        <v>5.21</v>
      </c>
      <c r="F808" s="71"/>
      <c r="G808" s="98">
        <v>1</v>
      </c>
      <c r="H808" s="77">
        <f>E808*G808</f>
        <v>5.21</v>
      </c>
      <c r="I808" s="144"/>
      <c r="J808" s="85"/>
      <c r="K808" s="99">
        <v>0.27079999999999999</v>
      </c>
      <c r="L808" s="107">
        <f t="shared" si="28"/>
        <v>1.4842</v>
      </c>
    </row>
    <row r="809" spans="1:14" s="88" customFormat="1" x14ac:dyDescent="0.2">
      <c r="A809" s="79"/>
      <c r="B809" s="75"/>
      <c r="C809" s="112" t="s">
        <v>339</v>
      </c>
      <c r="D809" s="113" t="s">
        <v>336</v>
      </c>
      <c r="E809" s="77">
        <f>3.77*N12</f>
        <v>3.77</v>
      </c>
      <c r="F809" s="71"/>
      <c r="G809" s="98">
        <v>1</v>
      </c>
      <c r="H809" s="77">
        <f>E809*G809</f>
        <v>3.77</v>
      </c>
      <c r="I809" s="144"/>
      <c r="J809" s="85"/>
      <c r="K809" s="99">
        <v>0.27079999999999999</v>
      </c>
      <c r="L809" s="107">
        <f t="shared" si="28"/>
        <v>1.4842</v>
      </c>
    </row>
    <row r="810" spans="1:14" s="88" customFormat="1" x14ac:dyDescent="0.2">
      <c r="A810" s="79"/>
      <c r="B810" s="75"/>
      <c r="C810" s="112"/>
      <c r="D810" s="113"/>
      <c r="E810" s="77"/>
      <c r="F810" s="71"/>
      <c r="G810" s="98"/>
      <c r="H810" s="77"/>
      <c r="I810" s="77"/>
      <c r="J810" s="85"/>
      <c r="K810" s="99">
        <v>0.27079999999999999</v>
      </c>
      <c r="L810" s="107">
        <f t="shared" si="28"/>
        <v>1.4842</v>
      </c>
    </row>
    <row r="811" spans="1:14" s="88" customFormat="1" x14ac:dyDescent="0.2">
      <c r="A811" s="79"/>
      <c r="B811" s="75"/>
      <c r="C811" s="112"/>
      <c r="D811" s="113"/>
      <c r="E811" s="361" t="str">
        <f>E801</f>
        <v>Custo Direto</v>
      </c>
      <c r="F811" s="361"/>
      <c r="G811" s="361"/>
      <c r="H811" s="114">
        <f>SUM(H807:H809)</f>
        <v>8.98</v>
      </c>
      <c r="I811" s="114">
        <f>SUM(I807:I809)</f>
        <v>575.98599999999999</v>
      </c>
      <c r="J811" s="85"/>
      <c r="K811" s="99">
        <v>0.27079999999999999</v>
      </c>
      <c r="L811" s="107">
        <f t="shared" si="28"/>
        <v>1.4842</v>
      </c>
    </row>
    <row r="812" spans="1:14" s="88" customFormat="1" x14ac:dyDescent="0.2">
      <c r="A812" s="79"/>
      <c r="B812" s="75"/>
      <c r="C812" s="112"/>
      <c r="D812" s="113"/>
      <c r="E812" s="361" t="str">
        <f t="shared" ref="E812:E814" si="32">E802</f>
        <v>LS(%): 148,42</v>
      </c>
      <c r="F812" s="361"/>
      <c r="G812" s="361"/>
      <c r="H812" s="77">
        <f>SUM(H808:H810)*L812</f>
        <v>13.328116</v>
      </c>
      <c r="I812" s="82"/>
      <c r="J812" s="85"/>
      <c r="K812" s="99">
        <v>0.27079999999999999</v>
      </c>
      <c r="L812" s="107">
        <f t="shared" si="28"/>
        <v>1.4842</v>
      </c>
    </row>
    <row r="813" spans="1:14" s="88" customFormat="1" x14ac:dyDescent="0.2">
      <c r="A813" s="79"/>
      <c r="B813" s="75"/>
      <c r="C813" s="112"/>
      <c r="D813" s="113"/>
      <c r="E813" s="361" t="str">
        <f t="shared" si="32"/>
        <v>BDI (%): 27,08</v>
      </c>
      <c r="F813" s="361"/>
      <c r="G813" s="361"/>
      <c r="H813" s="362">
        <f>(H811+I811+H812)*K813</f>
        <v>162.01804661279999</v>
      </c>
      <c r="I813" s="362"/>
      <c r="J813" s="85"/>
      <c r="K813" s="99">
        <v>0.27079999999999999</v>
      </c>
      <c r="L813" s="107">
        <f t="shared" si="28"/>
        <v>1.4842</v>
      </c>
    </row>
    <row r="814" spans="1:14" s="88" customFormat="1" x14ac:dyDescent="0.2">
      <c r="A814" s="79"/>
      <c r="B814" s="75"/>
      <c r="C814" s="112"/>
      <c r="D814" s="113"/>
      <c r="E814" s="361" t="str">
        <f t="shared" si="32"/>
        <v>Valor Total c/ Taxas</v>
      </c>
      <c r="F814" s="361"/>
      <c r="G814" s="361"/>
      <c r="H814" s="77"/>
      <c r="I814" s="114">
        <f>(H811+I811+H812+H813)</f>
        <v>760.31216261279997</v>
      </c>
      <c r="J814" s="85"/>
      <c r="K814" s="99">
        <v>0.27079999999999999</v>
      </c>
      <c r="L814" s="107">
        <f t="shared" si="28"/>
        <v>1.4842</v>
      </c>
      <c r="N814" s="330">
        <v>760.31</v>
      </c>
    </row>
    <row r="815" spans="1:14" s="88" customFormat="1" x14ac:dyDescent="0.2">
      <c r="A815" s="79"/>
      <c r="B815" s="75"/>
      <c r="C815" s="112"/>
      <c r="D815" s="113"/>
      <c r="E815" s="77"/>
      <c r="F815" s="71"/>
      <c r="G815" s="98"/>
      <c r="H815" s="77"/>
      <c r="I815" s="77"/>
      <c r="J815" s="85"/>
      <c r="K815" s="99">
        <v>0.27079999999999999</v>
      </c>
      <c r="L815" s="107">
        <f t="shared" si="28"/>
        <v>1.4842</v>
      </c>
    </row>
    <row r="816" spans="1:14" s="88" customFormat="1" ht="38.25" x14ac:dyDescent="0.2">
      <c r="A816" s="129"/>
      <c r="B816" s="341" t="str">
        <f>ORÇAMENTO!A143</f>
        <v>11.3.3</v>
      </c>
      <c r="C816" s="96" t="str">
        <f>ORÇAMENTO!B143</f>
        <v>Prateleira em compensado naval 18mm, com revestimento melaminico,inclusive suporte com mão francesa,conforme projeto</v>
      </c>
      <c r="D816" s="158" t="s">
        <v>355</v>
      </c>
      <c r="E816" s="77"/>
      <c r="F816" s="71"/>
      <c r="G816" s="98"/>
      <c r="H816" s="77"/>
      <c r="I816" s="77"/>
      <c r="J816" s="85"/>
      <c r="K816" s="99">
        <v>0.27079999999999999</v>
      </c>
      <c r="L816" s="107">
        <f t="shared" si="28"/>
        <v>1.4842</v>
      </c>
    </row>
    <row r="817" spans="1:14" s="88" customFormat="1" ht="38.25" x14ac:dyDescent="0.2">
      <c r="A817" s="79"/>
      <c r="B817" s="75"/>
      <c r="C817" s="112" t="str">
        <f>C816</f>
        <v>Prateleira em compensado naval 18mm, com revestimento melaminico,inclusive suporte com mão francesa,conforme projeto</v>
      </c>
      <c r="D817" s="113" t="str">
        <f>D816</f>
        <v>M</v>
      </c>
      <c r="E817" s="77">
        <f>139.993*N12</f>
        <v>139.99299999999999</v>
      </c>
      <c r="F817" s="71">
        <v>14</v>
      </c>
      <c r="G817" s="98">
        <v>1.3</v>
      </c>
      <c r="H817" s="77"/>
      <c r="I817" s="77">
        <f>E817*G817</f>
        <v>181.99090000000001</v>
      </c>
      <c r="J817" s="85"/>
      <c r="K817" s="99">
        <v>0.27079999999999999</v>
      </c>
      <c r="L817" s="107">
        <f t="shared" si="28"/>
        <v>1.4842</v>
      </c>
    </row>
    <row r="818" spans="1:14" s="88" customFormat="1" x14ac:dyDescent="0.2">
      <c r="A818" s="79"/>
      <c r="B818" s="75"/>
      <c r="C818" s="112" t="s">
        <v>348</v>
      </c>
      <c r="D818" s="113" t="s">
        <v>336</v>
      </c>
      <c r="E818" s="77">
        <f>5.21*N12</f>
        <v>5.21</v>
      </c>
      <c r="F818" s="71"/>
      <c r="G818" s="98">
        <v>0.3</v>
      </c>
      <c r="H818" s="77">
        <f>E818*G818</f>
        <v>1.5629999999999999</v>
      </c>
      <c r="I818" s="144"/>
      <c r="J818" s="85"/>
      <c r="K818" s="99">
        <v>0.27079999999999999</v>
      </c>
      <c r="L818" s="107">
        <f t="shared" si="28"/>
        <v>1.4842</v>
      </c>
    </row>
    <row r="819" spans="1:14" s="88" customFormat="1" x14ac:dyDescent="0.2">
      <c r="A819" s="79"/>
      <c r="B819" s="75"/>
      <c r="C819" s="112" t="s">
        <v>345</v>
      </c>
      <c r="D819" s="113" t="s">
        <v>336</v>
      </c>
      <c r="E819" s="77">
        <f>3.77*N12</f>
        <v>3.77</v>
      </c>
      <c r="F819" s="71"/>
      <c r="G819" s="98">
        <v>0.3</v>
      </c>
      <c r="H819" s="77">
        <f>E819*G819</f>
        <v>1.131</v>
      </c>
      <c r="I819" s="144"/>
      <c r="J819" s="85"/>
      <c r="K819" s="99">
        <v>0.27079999999999999</v>
      </c>
      <c r="L819" s="107">
        <f t="shared" si="28"/>
        <v>1.4842</v>
      </c>
    </row>
    <row r="820" spans="1:14" s="88" customFormat="1" x14ac:dyDescent="0.2">
      <c r="A820" s="79"/>
      <c r="B820" s="75"/>
      <c r="C820" s="112"/>
      <c r="D820" s="113"/>
      <c r="E820" s="77"/>
      <c r="F820" s="71"/>
      <c r="G820" s="98"/>
      <c r="H820" s="77"/>
      <c r="I820" s="77"/>
      <c r="J820" s="85"/>
      <c r="K820" s="99">
        <v>0.27079999999999999</v>
      </c>
      <c r="L820" s="107">
        <f t="shared" si="28"/>
        <v>1.4842</v>
      </c>
    </row>
    <row r="821" spans="1:14" s="88" customFormat="1" x14ac:dyDescent="0.2">
      <c r="A821" s="79"/>
      <c r="B821" s="75"/>
      <c r="C821" s="112"/>
      <c r="D821" s="113"/>
      <c r="E821" s="361" t="str">
        <f>E811</f>
        <v>Custo Direto</v>
      </c>
      <c r="F821" s="361"/>
      <c r="G821" s="361"/>
      <c r="H821" s="114">
        <f>SUM(H817:H819)</f>
        <v>2.694</v>
      </c>
      <c r="I821" s="114">
        <f>SUM(I817:I819)</f>
        <v>181.99090000000001</v>
      </c>
      <c r="J821" s="85"/>
      <c r="K821" s="99">
        <v>0.27079999999999999</v>
      </c>
      <c r="L821" s="107">
        <f t="shared" si="28"/>
        <v>1.4842</v>
      </c>
    </row>
    <row r="822" spans="1:14" s="88" customFormat="1" x14ac:dyDescent="0.2">
      <c r="A822" s="79"/>
      <c r="B822" s="75"/>
      <c r="C822" s="112"/>
      <c r="D822" s="113"/>
      <c r="E822" s="361" t="str">
        <f>E812</f>
        <v>LS(%): 148,42</v>
      </c>
      <c r="F822" s="361"/>
      <c r="G822" s="361"/>
      <c r="H822" s="77">
        <f>SUM(H818:H820)*L822</f>
        <v>3.9984347999999996</v>
      </c>
      <c r="I822" s="82"/>
      <c r="J822" s="85"/>
      <c r="K822" s="99">
        <v>0.27079999999999999</v>
      </c>
      <c r="L822" s="107">
        <f t="shared" si="28"/>
        <v>1.4842</v>
      </c>
    </row>
    <row r="823" spans="1:14" s="88" customFormat="1" x14ac:dyDescent="0.2">
      <c r="A823" s="79"/>
      <c r="B823" s="75"/>
      <c r="C823" s="112"/>
      <c r="D823" s="113"/>
      <c r="E823" s="361" t="str">
        <f>E813</f>
        <v>BDI (%): 27,08</v>
      </c>
      <c r="F823" s="361"/>
      <c r="G823" s="361"/>
      <c r="H823" s="362">
        <f>(H821+I821+H822)*K823</f>
        <v>51.095447063839998</v>
      </c>
      <c r="I823" s="362"/>
      <c r="J823" s="85"/>
      <c r="K823" s="99">
        <v>0.27079999999999999</v>
      </c>
      <c r="L823" s="107">
        <f t="shared" si="28"/>
        <v>1.4842</v>
      </c>
    </row>
    <row r="824" spans="1:14" s="88" customFormat="1" x14ac:dyDescent="0.2">
      <c r="A824" s="79"/>
      <c r="B824" s="75"/>
      <c r="C824" s="112"/>
      <c r="D824" s="113"/>
      <c r="E824" s="361" t="str">
        <f>E814</f>
        <v>Valor Total c/ Taxas</v>
      </c>
      <c r="F824" s="361"/>
      <c r="G824" s="361"/>
      <c r="H824" s="77"/>
      <c r="I824" s="114">
        <f>(H821+I821+H822+H823)</f>
        <v>239.77878186384001</v>
      </c>
      <c r="J824" s="85"/>
      <c r="K824" s="99">
        <v>0.27079999999999999</v>
      </c>
      <c r="L824" s="107">
        <f t="shared" si="28"/>
        <v>1.4842</v>
      </c>
      <c r="N824" s="330">
        <v>239.78</v>
      </c>
    </row>
    <row r="825" spans="1:14" s="88" customFormat="1" x14ac:dyDescent="0.2">
      <c r="A825" s="79"/>
      <c r="B825" s="75"/>
      <c r="C825" s="112"/>
      <c r="D825" s="113"/>
      <c r="E825" s="77"/>
      <c r="F825" s="71"/>
      <c r="G825" s="98"/>
      <c r="H825" s="77"/>
      <c r="I825" s="77"/>
      <c r="J825" s="85"/>
      <c r="K825" s="99">
        <v>0.27079999999999999</v>
      </c>
      <c r="L825" s="107">
        <f t="shared" si="28"/>
        <v>1.4842</v>
      </c>
    </row>
    <row r="826" spans="1:14" s="88" customFormat="1" ht="25.5" x14ac:dyDescent="0.2">
      <c r="A826" s="159"/>
      <c r="B826" s="125" t="str">
        <f>ORÇAMENTO!A145</f>
        <v>11.4.1</v>
      </c>
      <c r="C826" s="96" t="str">
        <f>ORÇAMENTO!B145</f>
        <v>Extintor de pó quimico ABC,capacidade 6 Kg,alcance médio de jato 5m,tempo de descarga 16s,NBR 9443,9444,10721</v>
      </c>
      <c r="D826" s="113" t="str">
        <f>D816</f>
        <v>M</v>
      </c>
      <c r="E826" s="77"/>
      <c r="F826" s="71"/>
      <c r="G826" s="98"/>
      <c r="H826" s="77"/>
      <c r="I826" s="77"/>
      <c r="J826" s="85"/>
      <c r="K826" s="99">
        <v>0.27079999999999999</v>
      </c>
      <c r="L826" s="107">
        <f t="shared" si="28"/>
        <v>1.4842</v>
      </c>
    </row>
    <row r="827" spans="1:14" s="88" customFormat="1" ht="25.5" x14ac:dyDescent="0.2">
      <c r="A827" s="79"/>
      <c r="B827" s="75"/>
      <c r="C827" s="112" t="str">
        <f>C826</f>
        <v>Extintor de pó quimico ABC,capacidade 6 Kg,alcance médio de jato 5m,tempo de descarga 16s,NBR 9443,9444,10721</v>
      </c>
      <c r="D827" s="113" t="str">
        <f>D826</f>
        <v>M</v>
      </c>
      <c r="E827" s="77">
        <f>194.653*N12</f>
        <v>194.65299999999999</v>
      </c>
      <c r="F827" s="71">
        <v>10.1</v>
      </c>
      <c r="G827" s="98">
        <v>2</v>
      </c>
      <c r="H827" s="77"/>
      <c r="I827" s="77">
        <f>E827*G827</f>
        <v>389.30599999999998</v>
      </c>
      <c r="J827" s="85"/>
      <c r="K827" s="99">
        <v>0.27079999999999999</v>
      </c>
      <c r="L827" s="107">
        <f t="shared" si="28"/>
        <v>1.4842</v>
      </c>
    </row>
    <row r="828" spans="1:14" s="88" customFormat="1" x14ac:dyDescent="0.2">
      <c r="A828" s="79"/>
      <c r="B828" s="75"/>
      <c r="C828" s="112" t="s">
        <v>348</v>
      </c>
      <c r="D828" s="113" t="s">
        <v>336</v>
      </c>
      <c r="E828" s="77">
        <f>5.21*N12</f>
        <v>5.21</v>
      </c>
      <c r="F828" s="71"/>
      <c r="G828" s="98">
        <v>1</v>
      </c>
      <c r="H828" s="77">
        <f>E828*G828</f>
        <v>5.21</v>
      </c>
      <c r="I828" s="144"/>
      <c r="J828" s="85"/>
      <c r="K828" s="99">
        <v>0.27079999999999999</v>
      </c>
      <c r="L828" s="107">
        <f t="shared" si="28"/>
        <v>1.4842</v>
      </c>
    </row>
    <row r="829" spans="1:14" s="88" customFormat="1" x14ac:dyDescent="0.2">
      <c r="A829" s="79"/>
      <c r="B829" s="75"/>
      <c r="C829" s="112" t="s">
        <v>345</v>
      </c>
      <c r="D829" s="113" t="s">
        <v>336</v>
      </c>
      <c r="E829" s="77">
        <f>3.77*N12</f>
        <v>3.77</v>
      </c>
      <c r="F829" s="71"/>
      <c r="G829" s="98">
        <v>1</v>
      </c>
      <c r="H829" s="77">
        <f>E829*G829</f>
        <v>3.77</v>
      </c>
      <c r="I829" s="144"/>
      <c r="J829" s="85"/>
      <c r="K829" s="99">
        <v>0.27079999999999999</v>
      </c>
      <c r="L829" s="107">
        <f t="shared" si="28"/>
        <v>1.4842</v>
      </c>
    </row>
    <row r="830" spans="1:14" s="88" customFormat="1" x14ac:dyDescent="0.2">
      <c r="A830" s="79"/>
      <c r="B830" s="75"/>
      <c r="C830" s="112"/>
      <c r="D830" s="113"/>
      <c r="E830" s="77"/>
      <c r="F830" s="71"/>
      <c r="G830" s="98"/>
      <c r="H830" s="77"/>
      <c r="I830" s="77"/>
      <c r="J830" s="85"/>
      <c r="K830" s="99">
        <v>0.27079999999999999</v>
      </c>
      <c r="L830" s="107">
        <f t="shared" si="28"/>
        <v>1.4842</v>
      </c>
    </row>
    <row r="831" spans="1:14" s="88" customFormat="1" x14ac:dyDescent="0.2">
      <c r="A831" s="79"/>
      <c r="B831" s="75"/>
      <c r="C831" s="112"/>
      <c r="D831" s="113"/>
      <c r="E831" s="361" t="str">
        <f>E821</f>
        <v>Custo Direto</v>
      </c>
      <c r="F831" s="361"/>
      <c r="G831" s="361"/>
      <c r="H831" s="114">
        <f>SUM(H827:H829)</f>
        <v>8.98</v>
      </c>
      <c r="I831" s="114">
        <f>SUM(I827:I829)</f>
        <v>389.30599999999998</v>
      </c>
      <c r="J831" s="85"/>
      <c r="K831" s="99">
        <v>0.27079999999999999</v>
      </c>
      <c r="L831" s="107">
        <f t="shared" si="28"/>
        <v>1.4842</v>
      </c>
    </row>
    <row r="832" spans="1:14" s="88" customFormat="1" x14ac:dyDescent="0.2">
      <c r="A832" s="79"/>
      <c r="B832" s="75"/>
      <c r="C832" s="112"/>
      <c r="D832" s="113"/>
      <c r="E832" s="361" t="str">
        <f>E822</f>
        <v>LS(%): 148,42</v>
      </c>
      <c r="F832" s="361"/>
      <c r="G832" s="361"/>
      <c r="H832" s="77">
        <f>SUM(H828:H830)*L832</f>
        <v>13.328116</v>
      </c>
      <c r="I832" s="82"/>
      <c r="J832" s="85"/>
      <c r="K832" s="99">
        <v>0.27079999999999999</v>
      </c>
      <c r="L832" s="107">
        <f t="shared" ref="L832:L848" si="33">L831</f>
        <v>1.4842</v>
      </c>
    </row>
    <row r="833" spans="1:14" s="88" customFormat="1" x14ac:dyDescent="0.2">
      <c r="A833" s="79"/>
      <c r="B833" s="75"/>
      <c r="C833" s="112"/>
      <c r="D833" s="113"/>
      <c r="E833" s="361" t="str">
        <f>E823</f>
        <v>BDI (%): 27,08</v>
      </c>
      <c r="F833" s="361"/>
      <c r="G833" s="361"/>
      <c r="H833" s="362">
        <f>(H831+I831+H832)*K833</f>
        <v>111.4651026128</v>
      </c>
      <c r="I833" s="362"/>
      <c r="J833" s="85"/>
      <c r="K833" s="99">
        <v>0.27079999999999999</v>
      </c>
      <c r="L833" s="107">
        <f t="shared" si="33"/>
        <v>1.4842</v>
      </c>
    </row>
    <row r="834" spans="1:14" s="88" customFormat="1" x14ac:dyDescent="0.2">
      <c r="A834" s="79"/>
      <c r="B834" s="75"/>
      <c r="C834" s="112"/>
      <c r="D834" s="113"/>
      <c r="E834" s="361" t="str">
        <f>E824</f>
        <v>Valor Total c/ Taxas</v>
      </c>
      <c r="F834" s="361"/>
      <c r="G834" s="361"/>
      <c r="H834" s="77"/>
      <c r="I834" s="114">
        <f>(H831+I831+H832+H833)</f>
        <v>523.07921861279999</v>
      </c>
      <c r="J834" s="85"/>
      <c r="K834" s="99">
        <v>0.27079999999999999</v>
      </c>
      <c r="L834" s="107">
        <f t="shared" si="33"/>
        <v>1.4842</v>
      </c>
      <c r="N834" s="330">
        <v>523.08000000000004</v>
      </c>
    </row>
    <row r="835" spans="1:14" s="88" customFormat="1" x14ac:dyDescent="0.2">
      <c r="A835" s="79"/>
      <c r="B835" s="75"/>
      <c r="C835" s="112"/>
      <c r="D835" s="113"/>
      <c r="E835" s="77"/>
      <c r="F835" s="71"/>
      <c r="G835" s="98"/>
      <c r="H835" s="77"/>
      <c r="I835" s="77"/>
      <c r="J835" s="85"/>
      <c r="K835" s="99">
        <v>0.27079999999999999</v>
      </c>
      <c r="L835" s="107">
        <f t="shared" si="33"/>
        <v>1.4842</v>
      </c>
      <c r="M835" s="160"/>
    </row>
    <row r="836" spans="1:14" s="88" customFormat="1" x14ac:dyDescent="0.2">
      <c r="A836" s="79"/>
      <c r="B836" s="75"/>
      <c r="C836" s="112"/>
      <c r="D836" s="113"/>
      <c r="E836" s="76"/>
      <c r="F836" s="71"/>
      <c r="G836" s="123"/>
      <c r="H836" s="77"/>
      <c r="I836" s="114"/>
      <c r="J836" s="85"/>
      <c r="K836" s="99">
        <v>0.27079999999999999</v>
      </c>
      <c r="L836" s="107">
        <f t="shared" si="33"/>
        <v>1.4842</v>
      </c>
    </row>
    <row r="837" spans="1:14" s="88" customFormat="1" x14ac:dyDescent="0.2">
      <c r="A837" s="129"/>
      <c r="B837" s="125" t="str">
        <f>ORÇAMENTO!A147</f>
        <v>11.5.1</v>
      </c>
      <c r="C837" s="96" t="str">
        <f>ORÇAMENTO!B147</f>
        <v>Tubo de aço sem constura SCH 40 ø 3/4''</v>
      </c>
      <c r="D837" s="158" t="s">
        <v>355</v>
      </c>
      <c r="E837" s="77"/>
      <c r="F837" s="71"/>
      <c r="G837" s="98"/>
      <c r="H837" s="77"/>
      <c r="I837" s="77"/>
      <c r="J837" s="85"/>
      <c r="K837" s="99">
        <v>0.27079999999999999</v>
      </c>
      <c r="L837" s="107">
        <f t="shared" si="33"/>
        <v>1.4842</v>
      </c>
    </row>
    <row r="838" spans="1:14" s="88" customFormat="1" x14ac:dyDescent="0.2">
      <c r="A838" s="79"/>
      <c r="B838" s="75"/>
      <c r="C838" s="112" t="str">
        <f>C837</f>
        <v>Tubo de aço sem constura SCH 40 ø 3/4''</v>
      </c>
      <c r="D838" s="113" t="str">
        <f>D837</f>
        <v>M</v>
      </c>
      <c r="E838" s="77">
        <f>6.863*N12</f>
        <v>6.8630000000000004</v>
      </c>
      <c r="F838" s="71">
        <v>39</v>
      </c>
      <c r="G838" s="98">
        <v>1</v>
      </c>
      <c r="H838" s="77"/>
      <c r="I838" s="77">
        <f>E838*G838</f>
        <v>6.8630000000000004</v>
      </c>
      <c r="J838" s="85"/>
      <c r="K838" s="99">
        <v>0.27079999999999999</v>
      </c>
      <c r="L838" s="107">
        <f t="shared" si="33"/>
        <v>1.4842</v>
      </c>
      <c r="N838" s="133"/>
    </row>
    <row r="839" spans="1:14" s="88" customFormat="1" x14ac:dyDescent="0.2">
      <c r="A839" s="79"/>
      <c r="B839" s="75"/>
      <c r="C839" s="112" t="s">
        <v>348</v>
      </c>
      <c r="D839" s="113" t="s">
        <v>336</v>
      </c>
      <c r="E839" s="77">
        <f>5.21*N12</f>
        <v>5.21</v>
      </c>
      <c r="F839" s="71"/>
      <c r="G839" s="98">
        <v>0.5</v>
      </c>
      <c r="H839" s="77">
        <f>E839*G839</f>
        <v>2.605</v>
      </c>
      <c r="I839" s="144"/>
      <c r="J839" s="85"/>
      <c r="K839" s="99">
        <v>0.27079999999999999</v>
      </c>
      <c r="L839" s="107">
        <f t="shared" si="33"/>
        <v>1.4842</v>
      </c>
    </row>
    <row r="840" spans="1:14" s="88" customFormat="1" x14ac:dyDescent="0.2">
      <c r="A840" s="79"/>
      <c r="B840" s="75"/>
      <c r="C840" s="112" t="s">
        <v>345</v>
      </c>
      <c r="D840" s="113" t="s">
        <v>336</v>
      </c>
      <c r="E840" s="77">
        <f>3.77*N12</f>
        <v>3.77</v>
      </c>
      <c r="F840" s="71"/>
      <c r="G840" s="98">
        <v>0.5</v>
      </c>
      <c r="H840" s="77">
        <f>E840*G840</f>
        <v>1.885</v>
      </c>
      <c r="I840" s="144"/>
      <c r="J840" s="85"/>
      <c r="K840" s="99">
        <v>0.27079999999999999</v>
      </c>
      <c r="L840" s="107">
        <f t="shared" si="33"/>
        <v>1.4842</v>
      </c>
    </row>
    <row r="841" spans="1:14" s="88" customFormat="1" x14ac:dyDescent="0.2">
      <c r="A841" s="79"/>
      <c r="B841" s="75"/>
      <c r="C841" s="112"/>
      <c r="D841" s="113"/>
      <c r="E841" s="77"/>
      <c r="F841" s="71"/>
      <c r="G841" s="98"/>
      <c r="H841" s="77"/>
      <c r="I841" s="77"/>
      <c r="J841" s="85"/>
      <c r="K841" s="99">
        <v>0.27079999999999999</v>
      </c>
      <c r="L841" s="107">
        <f t="shared" si="33"/>
        <v>1.4842</v>
      </c>
    </row>
    <row r="842" spans="1:14" s="88" customFormat="1" x14ac:dyDescent="0.2">
      <c r="A842" s="79"/>
      <c r="B842" s="75"/>
      <c r="C842" s="112"/>
      <c r="D842" s="113"/>
      <c r="E842" s="361" t="str">
        <f>E831</f>
        <v>Custo Direto</v>
      </c>
      <c r="F842" s="361"/>
      <c r="G842" s="361"/>
      <c r="H842" s="114">
        <f>SUM(H838:H841)</f>
        <v>4.49</v>
      </c>
      <c r="I842" s="164">
        <f>SUM(I838:I841)+0.01</f>
        <v>6.8730000000000002</v>
      </c>
      <c r="J842" s="85"/>
      <c r="K842" s="99">
        <v>0.27079999999999999</v>
      </c>
      <c r="L842" s="107">
        <f t="shared" si="33"/>
        <v>1.4842</v>
      </c>
    </row>
    <row r="843" spans="1:14" s="88" customFormat="1" x14ac:dyDescent="0.2">
      <c r="A843" s="79"/>
      <c r="B843" s="75"/>
      <c r="C843" s="112"/>
      <c r="D843" s="113"/>
      <c r="E843" s="361" t="str">
        <f>E832</f>
        <v>LS(%): 148,42</v>
      </c>
      <c r="F843" s="361"/>
      <c r="G843" s="361"/>
      <c r="H843" s="77">
        <f>H842*L843</f>
        <v>6.6640579999999998</v>
      </c>
      <c r="I843" s="82"/>
      <c r="J843" s="85"/>
      <c r="K843" s="99">
        <v>0.27079999999999999</v>
      </c>
      <c r="L843" s="107">
        <f t="shared" si="33"/>
        <v>1.4842</v>
      </c>
    </row>
    <row r="844" spans="1:14" s="88" customFormat="1" x14ac:dyDescent="0.2">
      <c r="A844" s="79"/>
      <c r="B844" s="75"/>
      <c r="C844" s="112"/>
      <c r="D844" s="113"/>
      <c r="E844" s="361" t="str">
        <f>E833</f>
        <v>BDI (%): 27,08</v>
      </c>
      <c r="F844" s="361"/>
      <c r="G844" s="361"/>
      <c r="H844" s="362">
        <f>(H842+I842+H843)*K844</f>
        <v>4.8817273064000002</v>
      </c>
      <c r="I844" s="362"/>
      <c r="J844" s="85"/>
      <c r="K844" s="99">
        <v>0.27079999999999999</v>
      </c>
      <c r="L844" s="107">
        <f t="shared" si="33"/>
        <v>1.4842</v>
      </c>
    </row>
    <row r="845" spans="1:14" s="88" customFormat="1" x14ac:dyDescent="0.2">
      <c r="A845" s="79"/>
      <c r="B845" s="75"/>
      <c r="C845" s="112"/>
      <c r="D845" s="113"/>
      <c r="E845" s="361" t="str">
        <f>E834</f>
        <v>Valor Total c/ Taxas</v>
      </c>
      <c r="F845" s="361"/>
      <c r="G845" s="361"/>
      <c r="H845" s="77"/>
      <c r="I845" s="114">
        <f>(H842+I842+H843+H844)</f>
        <v>22.908785306399999</v>
      </c>
      <c r="J845" s="85"/>
      <c r="K845" s="99">
        <v>0.27079999999999999</v>
      </c>
      <c r="L845" s="107">
        <f t="shared" si="33"/>
        <v>1.4842</v>
      </c>
      <c r="N845" s="330">
        <v>22.908785306399999</v>
      </c>
    </row>
    <row r="846" spans="1:14" s="88" customFormat="1" x14ac:dyDescent="0.2">
      <c r="A846" s="79"/>
      <c r="B846" s="75"/>
      <c r="C846" s="112"/>
      <c r="D846" s="113"/>
      <c r="E846" s="76"/>
      <c r="F846" s="71"/>
      <c r="G846" s="123"/>
      <c r="H846" s="77"/>
      <c r="I846" s="114"/>
      <c r="J846" s="85"/>
      <c r="K846" s="99">
        <v>0.27079999999999999</v>
      </c>
      <c r="L846" s="107">
        <f t="shared" si="33"/>
        <v>1.4842</v>
      </c>
    </row>
    <row r="847" spans="1:14" s="88" customFormat="1" x14ac:dyDescent="0.2">
      <c r="A847" s="162"/>
      <c r="B847" s="95" t="str">
        <f>ORÇAMENTO!A148</f>
        <v>11.5.2</v>
      </c>
      <c r="C847" s="96" t="str">
        <f>ORÇAMENTO!B148</f>
        <v>Cotovelo em aço forjado classe 10 ø  3/4'' x 90º</v>
      </c>
      <c r="D847" s="158" t="str">
        <f>D837</f>
        <v>M</v>
      </c>
      <c r="E847" s="77"/>
      <c r="F847" s="71"/>
      <c r="G847" s="98"/>
      <c r="H847" s="77"/>
      <c r="I847" s="77"/>
      <c r="J847" s="85"/>
      <c r="K847" s="99">
        <v>0.27079999999999999</v>
      </c>
      <c r="L847" s="107">
        <f t="shared" si="33"/>
        <v>1.4842</v>
      </c>
    </row>
    <row r="848" spans="1:14" s="88" customFormat="1" x14ac:dyDescent="0.2">
      <c r="A848" s="79"/>
      <c r="B848" s="75"/>
      <c r="C848" s="112" t="str">
        <f>C847</f>
        <v>Cotovelo em aço forjado classe 10 ø  3/4'' x 90º</v>
      </c>
      <c r="D848" s="113" t="str">
        <f>D847</f>
        <v>M</v>
      </c>
      <c r="E848" s="77">
        <f>9.973*N12</f>
        <v>9.9730000000000008</v>
      </c>
      <c r="F848" s="71">
        <v>25</v>
      </c>
      <c r="G848" s="98">
        <v>1</v>
      </c>
      <c r="H848" s="77"/>
      <c r="I848" s="77">
        <f>E848*G848</f>
        <v>9.9730000000000008</v>
      </c>
      <c r="J848" s="85"/>
      <c r="K848" s="99">
        <v>0.27079999999999999</v>
      </c>
      <c r="L848" s="107">
        <f t="shared" si="33"/>
        <v>1.4842</v>
      </c>
    </row>
    <row r="849" spans="1:14" s="88" customFormat="1" x14ac:dyDescent="0.2">
      <c r="A849" s="79"/>
      <c r="B849" s="75"/>
      <c r="C849" s="112" t="s">
        <v>348</v>
      </c>
      <c r="D849" s="113" t="s">
        <v>336</v>
      </c>
      <c r="E849" s="77">
        <f>5.21*N12</f>
        <v>5.21</v>
      </c>
      <c r="F849" s="71"/>
      <c r="G849" s="98">
        <v>0.5</v>
      </c>
      <c r="H849" s="77">
        <f>E849*G849</f>
        <v>2.605</v>
      </c>
      <c r="I849" s="144"/>
      <c r="J849" s="85"/>
      <c r="K849" s="99">
        <v>0.27079999999999999</v>
      </c>
      <c r="L849" s="107">
        <f t="shared" ref="L849:L874" si="34">L848</f>
        <v>1.4842</v>
      </c>
    </row>
    <row r="850" spans="1:14" s="88" customFormat="1" x14ac:dyDescent="0.2">
      <c r="A850" s="79"/>
      <c r="B850" s="75"/>
      <c r="C850" s="112" t="s">
        <v>345</v>
      </c>
      <c r="D850" s="113" t="s">
        <v>336</v>
      </c>
      <c r="E850" s="77">
        <f>3.77*N12</f>
        <v>3.77</v>
      </c>
      <c r="F850" s="71"/>
      <c r="G850" s="98">
        <v>0.5</v>
      </c>
      <c r="H850" s="77">
        <f>E850*G850</f>
        <v>1.885</v>
      </c>
      <c r="I850" s="144"/>
      <c r="J850" s="85"/>
      <c r="K850" s="99">
        <v>0.27079999999999999</v>
      </c>
      <c r="L850" s="107">
        <f t="shared" si="34"/>
        <v>1.4842</v>
      </c>
    </row>
    <row r="851" spans="1:14" s="88" customFormat="1" x14ac:dyDescent="0.2">
      <c r="A851" s="79"/>
      <c r="B851" s="75"/>
      <c r="C851" s="112"/>
      <c r="D851" s="113"/>
      <c r="E851" s="77"/>
      <c r="F851" s="71"/>
      <c r="G851" s="98"/>
      <c r="H851" s="77"/>
      <c r="I851" s="77"/>
      <c r="J851" s="85"/>
      <c r="K851" s="99">
        <v>0.27079999999999999</v>
      </c>
      <c r="L851" s="107">
        <f t="shared" si="34"/>
        <v>1.4842</v>
      </c>
    </row>
    <row r="852" spans="1:14" s="88" customFormat="1" x14ac:dyDescent="0.2">
      <c r="A852" s="79"/>
      <c r="B852" s="75"/>
      <c r="C852" s="112"/>
      <c r="D852" s="113"/>
      <c r="E852" s="361" t="str">
        <f>E842</f>
        <v>Custo Direto</v>
      </c>
      <c r="F852" s="361"/>
      <c r="G852" s="361"/>
      <c r="H852" s="114">
        <f>SUM(H848:H851)</f>
        <v>4.49</v>
      </c>
      <c r="I852" s="114">
        <f>SUM(I848:I851)</f>
        <v>9.9730000000000008</v>
      </c>
      <c r="J852" s="85"/>
      <c r="K852" s="99">
        <v>0.27079999999999999</v>
      </c>
      <c r="L852" s="107">
        <f t="shared" si="34"/>
        <v>1.4842</v>
      </c>
    </row>
    <row r="853" spans="1:14" s="88" customFormat="1" x14ac:dyDescent="0.2">
      <c r="A853" s="79"/>
      <c r="B853" s="75"/>
      <c r="C853" s="112"/>
      <c r="D853" s="113"/>
      <c r="E853" s="361" t="str">
        <f>E843</f>
        <v>LS(%): 148,42</v>
      </c>
      <c r="F853" s="361"/>
      <c r="G853" s="361"/>
      <c r="H853" s="77">
        <f>H852*L853</f>
        <v>6.6640579999999998</v>
      </c>
      <c r="I853" s="82"/>
      <c r="J853" s="85"/>
      <c r="K853" s="99">
        <v>0.27079999999999999</v>
      </c>
      <c r="L853" s="107">
        <f t="shared" si="34"/>
        <v>1.4842</v>
      </c>
    </row>
    <row r="854" spans="1:14" s="88" customFormat="1" x14ac:dyDescent="0.2">
      <c r="A854" s="79"/>
      <c r="B854" s="75"/>
      <c r="C854" s="112"/>
      <c r="D854" s="113"/>
      <c r="E854" s="361" t="str">
        <f>E844</f>
        <v>BDI (%): 27,08</v>
      </c>
      <c r="F854" s="361"/>
      <c r="G854" s="361"/>
      <c r="H854" s="362">
        <f>(H852+I852+H853)*K854</f>
        <v>5.7212073064000002</v>
      </c>
      <c r="I854" s="362"/>
      <c r="J854" s="85"/>
      <c r="K854" s="99">
        <v>0.27079999999999999</v>
      </c>
      <c r="L854" s="107">
        <f t="shared" si="34"/>
        <v>1.4842</v>
      </c>
    </row>
    <row r="855" spans="1:14" s="88" customFormat="1" x14ac:dyDescent="0.2">
      <c r="A855" s="79"/>
      <c r="B855" s="75"/>
      <c r="C855" s="112"/>
      <c r="D855" s="113"/>
      <c r="E855" s="361" t="str">
        <f>E845</f>
        <v>Valor Total c/ Taxas</v>
      </c>
      <c r="F855" s="361"/>
      <c r="G855" s="361"/>
      <c r="H855" s="77"/>
      <c r="I855" s="114">
        <f>(H852+I852+H853+H854)</f>
        <v>26.848265306400002</v>
      </c>
      <c r="J855" s="85"/>
      <c r="K855" s="99">
        <v>0.27079999999999999</v>
      </c>
      <c r="L855" s="107">
        <f t="shared" si="34"/>
        <v>1.4842</v>
      </c>
      <c r="N855" s="330">
        <v>26.85</v>
      </c>
    </row>
    <row r="856" spans="1:14" s="88" customFormat="1" x14ac:dyDescent="0.2">
      <c r="A856" s="79"/>
      <c r="B856" s="75"/>
      <c r="C856" s="112"/>
      <c r="D856" s="113"/>
      <c r="E856" s="76"/>
      <c r="F856" s="71"/>
      <c r="G856" s="123"/>
      <c r="H856" s="77"/>
      <c r="I856" s="114"/>
      <c r="J856" s="85"/>
      <c r="K856" s="99">
        <v>0.27079999999999999</v>
      </c>
      <c r="L856" s="107">
        <f t="shared" si="34"/>
        <v>1.4842</v>
      </c>
    </row>
    <row r="857" spans="1:14" s="88" customFormat="1" x14ac:dyDescent="0.2">
      <c r="A857" s="129"/>
      <c r="B857" s="125" t="str">
        <f>ORÇAMENTO!A149</f>
        <v>11.5.3</v>
      </c>
      <c r="C857" s="96" t="str">
        <f>ORÇAMENTO!B149</f>
        <v>Te em aço forjado classe 10 ø  3/4''</v>
      </c>
      <c r="D857" s="158" t="str">
        <f>D847</f>
        <v>M</v>
      </c>
      <c r="E857" s="77"/>
      <c r="F857" s="71"/>
      <c r="G857" s="98"/>
      <c r="H857" s="77"/>
      <c r="I857" s="77"/>
      <c r="J857" s="85"/>
      <c r="K857" s="99">
        <v>0.27079999999999999</v>
      </c>
      <c r="L857" s="107">
        <f t="shared" si="34"/>
        <v>1.4842</v>
      </c>
    </row>
    <row r="858" spans="1:14" s="88" customFormat="1" x14ac:dyDescent="0.2">
      <c r="A858" s="79"/>
      <c r="B858" s="75"/>
      <c r="C858" s="112" t="str">
        <f>C857</f>
        <v>Te em aço forjado classe 10 ø  3/4''</v>
      </c>
      <c r="D858" s="113" t="str">
        <f>D857</f>
        <v>M</v>
      </c>
      <c r="E858" s="77">
        <f>18.39*N12</f>
        <v>18.39</v>
      </c>
      <c r="F858" s="71">
        <v>37.24</v>
      </c>
      <c r="G858" s="98">
        <v>1</v>
      </c>
      <c r="H858" s="77"/>
      <c r="I858" s="77">
        <f>E858*G858</f>
        <v>18.39</v>
      </c>
      <c r="J858" s="85"/>
      <c r="K858" s="99">
        <v>0.27079999999999999</v>
      </c>
      <c r="L858" s="107">
        <f t="shared" si="34"/>
        <v>1.4842</v>
      </c>
    </row>
    <row r="859" spans="1:14" s="88" customFormat="1" x14ac:dyDescent="0.2">
      <c r="A859" s="79"/>
      <c r="B859" s="75"/>
      <c r="C859" s="112" t="s">
        <v>348</v>
      </c>
      <c r="D859" s="113" t="s">
        <v>336</v>
      </c>
      <c r="E859" s="77">
        <f>5.21*N12</f>
        <v>5.21</v>
      </c>
      <c r="F859" s="71"/>
      <c r="G859" s="98">
        <v>0.5</v>
      </c>
      <c r="H859" s="77">
        <f>E859*G859</f>
        <v>2.605</v>
      </c>
      <c r="I859" s="144"/>
      <c r="J859" s="85"/>
      <c r="K859" s="99">
        <v>0.27079999999999999</v>
      </c>
      <c r="L859" s="107">
        <f t="shared" si="34"/>
        <v>1.4842</v>
      </c>
    </row>
    <row r="860" spans="1:14" s="88" customFormat="1" x14ac:dyDescent="0.2">
      <c r="A860" s="79"/>
      <c r="B860" s="75"/>
      <c r="C860" s="112" t="s">
        <v>345</v>
      </c>
      <c r="D860" s="113" t="s">
        <v>336</v>
      </c>
      <c r="E860" s="77">
        <f>3.77*N12</f>
        <v>3.77</v>
      </c>
      <c r="F860" s="71"/>
      <c r="G860" s="98">
        <v>0.5</v>
      </c>
      <c r="H860" s="77">
        <f>E860*G860</f>
        <v>1.885</v>
      </c>
      <c r="I860" s="144"/>
      <c r="J860" s="85"/>
      <c r="K860" s="99">
        <v>0.27079999999999999</v>
      </c>
      <c r="L860" s="107">
        <f t="shared" si="34"/>
        <v>1.4842</v>
      </c>
    </row>
    <row r="861" spans="1:14" s="88" customFormat="1" x14ac:dyDescent="0.2">
      <c r="A861" s="79"/>
      <c r="B861" s="75"/>
      <c r="C861" s="112"/>
      <c r="D861" s="113"/>
      <c r="E861" s="77"/>
      <c r="F861" s="71"/>
      <c r="G861" s="98"/>
      <c r="H861" s="77"/>
      <c r="I861" s="77"/>
      <c r="J861" s="85"/>
      <c r="K861" s="99">
        <v>0.27079999999999999</v>
      </c>
      <c r="L861" s="107">
        <f t="shared" si="34"/>
        <v>1.4842</v>
      </c>
    </row>
    <row r="862" spans="1:14" s="88" customFormat="1" x14ac:dyDescent="0.2">
      <c r="A862" s="79"/>
      <c r="B862" s="75"/>
      <c r="C862" s="112"/>
      <c r="D862" s="113"/>
      <c r="E862" s="361" t="str">
        <f>E852</f>
        <v>Custo Direto</v>
      </c>
      <c r="F862" s="361"/>
      <c r="G862" s="361"/>
      <c r="H862" s="114">
        <f>SUM(H858:H861)</f>
        <v>4.49</v>
      </c>
      <c r="I862" s="114">
        <f>SUM(I858:I861)</f>
        <v>18.39</v>
      </c>
      <c r="J862" s="85"/>
      <c r="K862" s="99">
        <v>0.27079999999999999</v>
      </c>
      <c r="L862" s="107">
        <f t="shared" si="34"/>
        <v>1.4842</v>
      </c>
    </row>
    <row r="863" spans="1:14" s="88" customFormat="1" x14ac:dyDescent="0.2">
      <c r="A863" s="79"/>
      <c r="B863" s="75"/>
      <c r="C863" s="112"/>
      <c r="D863" s="113"/>
      <c r="E863" s="361" t="str">
        <f>E853</f>
        <v>LS(%): 148,42</v>
      </c>
      <c r="F863" s="361"/>
      <c r="G863" s="361"/>
      <c r="H863" s="77">
        <f>H862*L863</f>
        <v>6.6640579999999998</v>
      </c>
      <c r="I863" s="82"/>
      <c r="J863" s="85"/>
      <c r="K863" s="99">
        <v>0.27079999999999999</v>
      </c>
      <c r="L863" s="107">
        <f t="shared" si="34"/>
        <v>1.4842</v>
      </c>
    </row>
    <row r="864" spans="1:14" s="88" customFormat="1" x14ac:dyDescent="0.2">
      <c r="A864" s="79"/>
      <c r="B864" s="75"/>
      <c r="C864" s="112"/>
      <c r="D864" s="113"/>
      <c r="E864" s="361" t="str">
        <f>E854</f>
        <v>BDI (%): 27,08</v>
      </c>
      <c r="F864" s="361"/>
      <c r="G864" s="361"/>
      <c r="H864" s="362">
        <f>(H862+I862+H863)*K864</f>
        <v>8.0005309063999999</v>
      </c>
      <c r="I864" s="362"/>
      <c r="J864" s="85"/>
      <c r="K864" s="99">
        <v>0.27079999999999999</v>
      </c>
      <c r="L864" s="107">
        <f t="shared" si="34"/>
        <v>1.4842</v>
      </c>
    </row>
    <row r="865" spans="1:14" s="88" customFormat="1" x14ac:dyDescent="0.2">
      <c r="A865" s="79"/>
      <c r="B865" s="75"/>
      <c r="C865" s="112"/>
      <c r="D865" s="113"/>
      <c r="E865" s="361" t="str">
        <f>E855</f>
        <v>Valor Total c/ Taxas</v>
      </c>
      <c r="F865" s="361"/>
      <c r="G865" s="361"/>
      <c r="H865" s="77"/>
      <c r="I865" s="114">
        <f>(H862+I862+H863+H864)</f>
        <v>37.544588906400001</v>
      </c>
      <c r="J865" s="85"/>
      <c r="K865" s="99">
        <v>0.27079999999999999</v>
      </c>
      <c r="L865" s="107">
        <f t="shared" si="34"/>
        <v>1.4842</v>
      </c>
      <c r="N865" s="330">
        <v>37.54</v>
      </c>
    </row>
    <row r="866" spans="1:14" s="88" customFormat="1" x14ac:dyDescent="0.2">
      <c r="A866" s="79"/>
      <c r="B866" s="75"/>
      <c r="C866" s="112"/>
      <c r="D866" s="113"/>
      <c r="E866" s="76"/>
      <c r="F866" s="71"/>
      <c r="G866" s="123"/>
      <c r="H866" s="77"/>
      <c r="I866" s="114"/>
      <c r="J866" s="85"/>
      <c r="K866" s="99">
        <v>0.27079999999999999</v>
      </c>
      <c r="L866" s="107">
        <f t="shared" si="34"/>
        <v>1.4842</v>
      </c>
    </row>
    <row r="867" spans="1:14" s="88" customFormat="1" x14ac:dyDescent="0.2">
      <c r="A867" s="129"/>
      <c r="B867" s="95" t="str">
        <f>ORÇAMENTO!A150</f>
        <v>11.5.4</v>
      </c>
      <c r="C867" s="96" t="str">
        <f>ORÇAMENTO!B150</f>
        <v>União em aço forjado classe 10 ø 3/4''</v>
      </c>
      <c r="D867" s="158" t="str">
        <f>D857</f>
        <v>M</v>
      </c>
      <c r="E867" s="77"/>
      <c r="F867" s="71"/>
      <c r="G867" s="98"/>
      <c r="H867" s="77"/>
      <c r="I867" s="77"/>
      <c r="J867" s="85"/>
      <c r="K867" s="99">
        <v>0.27079999999999999</v>
      </c>
      <c r="L867" s="107">
        <f t="shared" si="34"/>
        <v>1.4842</v>
      </c>
    </row>
    <row r="868" spans="1:14" s="88" customFormat="1" x14ac:dyDescent="0.2">
      <c r="A868" s="79"/>
      <c r="B868" s="75"/>
      <c r="C868" s="112" t="str">
        <f>C867</f>
        <v>União em aço forjado classe 10 ø 3/4''</v>
      </c>
      <c r="D868" s="113" t="str">
        <f>D867</f>
        <v>M</v>
      </c>
      <c r="E868" s="77">
        <f>41.23*N12</f>
        <v>41.23</v>
      </c>
      <c r="F868" s="71">
        <v>45</v>
      </c>
      <c r="G868" s="98">
        <v>1</v>
      </c>
      <c r="H868" s="77"/>
      <c r="I868" s="77">
        <f>E868*G868</f>
        <v>41.23</v>
      </c>
      <c r="J868" s="85"/>
      <c r="K868" s="99">
        <v>0.27079999999999999</v>
      </c>
      <c r="L868" s="107">
        <f t="shared" si="34"/>
        <v>1.4842</v>
      </c>
    </row>
    <row r="869" spans="1:14" s="88" customFormat="1" x14ac:dyDescent="0.2">
      <c r="A869" s="79"/>
      <c r="B869" s="75"/>
      <c r="C869" s="112" t="s">
        <v>348</v>
      </c>
      <c r="D869" s="113" t="s">
        <v>336</v>
      </c>
      <c r="E869" s="77">
        <f>5.21*N12</f>
        <v>5.21</v>
      </c>
      <c r="F869" s="71"/>
      <c r="G869" s="98">
        <v>0.5</v>
      </c>
      <c r="H869" s="77">
        <f>E869*G869</f>
        <v>2.605</v>
      </c>
      <c r="I869" s="144"/>
      <c r="J869" s="85"/>
      <c r="K869" s="99">
        <v>0.27079999999999999</v>
      </c>
      <c r="L869" s="107">
        <f t="shared" si="34"/>
        <v>1.4842</v>
      </c>
    </row>
    <row r="870" spans="1:14" s="88" customFormat="1" x14ac:dyDescent="0.2">
      <c r="A870" s="79"/>
      <c r="B870" s="75"/>
      <c r="C870" s="112" t="s">
        <v>345</v>
      </c>
      <c r="D870" s="113" t="s">
        <v>336</v>
      </c>
      <c r="E870" s="77">
        <f>3.77*N12</f>
        <v>3.77</v>
      </c>
      <c r="F870" s="71"/>
      <c r="G870" s="98">
        <v>0.5</v>
      </c>
      <c r="H870" s="77">
        <f>E870*G870</f>
        <v>1.885</v>
      </c>
      <c r="I870" s="144"/>
      <c r="J870" s="85"/>
      <c r="K870" s="99">
        <v>0.27079999999999999</v>
      </c>
      <c r="L870" s="107">
        <f>L868</f>
        <v>1.4842</v>
      </c>
    </row>
    <row r="871" spans="1:14" s="88" customFormat="1" x14ac:dyDescent="0.2">
      <c r="A871" s="79"/>
      <c r="B871" s="75"/>
      <c r="C871" s="112"/>
      <c r="D871" s="113"/>
      <c r="E871" s="77"/>
      <c r="F871" s="71"/>
      <c r="G871" s="98"/>
      <c r="H871" s="77"/>
      <c r="I871" s="77"/>
      <c r="J871" s="85"/>
      <c r="K871" s="99">
        <v>0.27079999999999999</v>
      </c>
      <c r="L871" s="107">
        <f t="shared" si="34"/>
        <v>1.4842</v>
      </c>
    </row>
    <row r="872" spans="1:14" s="88" customFormat="1" x14ac:dyDescent="0.2">
      <c r="A872" s="79"/>
      <c r="B872" s="75"/>
      <c r="C872" s="112"/>
      <c r="D872" s="113"/>
      <c r="E872" s="361" t="str">
        <f>E862</f>
        <v>Custo Direto</v>
      </c>
      <c r="F872" s="361"/>
      <c r="G872" s="361"/>
      <c r="H872" s="114">
        <f>SUM(H868:H871)</f>
        <v>4.49</v>
      </c>
      <c r="I872" s="114">
        <f>SUM(I868:I871)</f>
        <v>41.23</v>
      </c>
      <c r="J872" s="85"/>
      <c r="K872" s="99">
        <v>0.27079999999999999</v>
      </c>
      <c r="L872" s="107">
        <f t="shared" si="34"/>
        <v>1.4842</v>
      </c>
    </row>
    <row r="873" spans="1:14" s="88" customFormat="1" x14ac:dyDescent="0.2">
      <c r="A873" s="79"/>
      <c r="B873" s="75"/>
      <c r="C873" s="112"/>
      <c r="D873" s="113"/>
      <c r="E873" s="361" t="str">
        <f>E863</f>
        <v>LS(%): 148,42</v>
      </c>
      <c r="F873" s="361"/>
      <c r="G873" s="361"/>
      <c r="H873" s="77">
        <f>H872*L873</f>
        <v>6.6640579999999998</v>
      </c>
      <c r="I873" s="82"/>
      <c r="J873" s="85"/>
      <c r="K873" s="99">
        <v>0.27079999999999999</v>
      </c>
      <c r="L873" s="107">
        <f t="shared" si="34"/>
        <v>1.4842</v>
      </c>
    </row>
    <row r="874" spans="1:14" s="88" customFormat="1" x14ac:dyDescent="0.2">
      <c r="A874" s="79"/>
      <c r="B874" s="75"/>
      <c r="C874" s="112"/>
      <c r="D874" s="113"/>
      <c r="E874" s="361" t="str">
        <f>E864</f>
        <v>BDI (%): 27,08</v>
      </c>
      <c r="F874" s="361"/>
      <c r="G874" s="361"/>
      <c r="H874" s="362">
        <f>(H872+I872+H873)*K874</f>
        <v>14.185602906399998</v>
      </c>
      <c r="I874" s="362"/>
      <c r="J874" s="85"/>
      <c r="K874" s="99">
        <v>0.27079999999999999</v>
      </c>
      <c r="L874" s="107">
        <f t="shared" si="34"/>
        <v>1.4842</v>
      </c>
    </row>
    <row r="875" spans="1:14" s="88" customFormat="1" x14ac:dyDescent="0.2">
      <c r="A875" s="79"/>
      <c r="B875" s="75"/>
      <c r="C875" s="112"/>
      <c r="D875" s="113"/>
      <c r="E875" s="361" t="str">
        <f>E865</f>
        <v>Valor Total c/ Taxas</v>
      </c>
      <c r="F875" s="361"/>
      <c r="G875" s="361"/>
      <c r="H875" s="77"/>
      <c r="I875" s="114">
        <f>(H872+I872+H873+H874)</f>
        <v>66.569660906399989</v>
      </c>
      <c r="J875" s="85"/>
      <c r="K875" s="99">
        <v>0.27079999999999999</v>
      </c>
      <c r="L875" s="107">
        <f t="shared" ref="L875:L938" si="35">L874</f>
        <v>1.4842</v>
      </c>
      <c r="N875" s="330">
        <v>66.569999999999993</v>
      </c>
    </row>
    <row r="876" spans="1:14" s="88" customFormat="1" x14ac:dyDescent="0.2">
      <c r="A876" s="79"/>
      <c r="B876" s="75"/>
      <c r="C876" s="112"/>
      <c r="D876" s="113"/>
      <c r="E876" s="77"/>
      <c r="F876" s="71"/>
      <c r="G876" s="98"/>
      <c r="H876" s="77"/>
      <c r="I876" s="77"/>
      <c r="J876" s="85"/>
      <c r="K876" s="99">
        <v>0.27079999999999999</v>
      </c>
      <c r="L876" s="107">
        <f t="shared" si="35"/>
        <v>1.4842</v>
      </c>
    </row>
    <row r="877" spans="1:14" s="88" customFormat="1" x14ac:dyDescent="0.2">
      <c r="A877" s="129"/>
      <c r="B877" s="95" t="str">
        <f>ORÇAMENTO!A151</f>
        <v>11.5.5</v>
      </c>
      <c r="C877" s="96" t="str">
        <f>ORÇAMENTO!B151</f>
        <v>Registro esfera ø  3/4''</v>
      </c>
      <c r="D877" s="158" t="str">
        <f>D867</f>
        <v>M</v>
      </c>
      <c r="E877" s="77"/>
      <c r="F877" s="71"/>
      <c r="G877" s="98"/>
      <c r="H877" s="77"/>
      <c r="I877" s="77"/>
      <c r="J877" s="85"/>
      <c r="K877" s="99">
        <v>0.27079999999999999</v>
      </c>
      <c r="L877" s="107">
        <f t="shared" si="35"/>
        <v>1.4842</v>
      </c>
    </row>
    <row r="878" spans="1:14" s="88" customFormat="1" x14ac:dyDescent="0.2">
      <c r="A878" s="79"/>
      <c r="B878" s="75"/>
      <c r="C878" s="112" t="str">
        <f>C877</f>
        <v>Registro esfera ø  3/4''</v>
      </c>
      <c r="D878" s="113" t="str">
        <f>D877</f>
        <v>M</v>
      </c>
      <c r="E878" s="77">
        <f>82.83*N12</f>
        <v>82.83</v>
      </c>
      <c r="F878" s="71">
        <v>85</v>
      </c>
      <c r="G878" s="98">
        <v>1</v>
      </c>
      <c r="H878" s="77"/>
      <c r="I878" s="77">
        <f>E878*G878</f>
        <v>82.83</v>
      </c>
      <c r="J878" s="85"/>
      <c r="K878" s="99">
        <v>0.27079999999999999</v>
      </c>
      <c r="L878" s="107">
        <f t="shared" si="35"/>
        <v>1.4842</v>
      </c>
    </row>
    <row r="879" spans="1:14" s="88" customFormat="1" x14ac:dyDescent="0.2">
      <c r="A879" s="79"/>
      <c r="B879" s="75"/>
      <c r="C879" s="112" t="s">
        <v>348</v>
      </c>
      <c r="D879" s="113" t="s">
        <v>336</v>
      </c>
      <c r="E879" s="77">
        <f>5.21*N12</f>
        <v>5.21</v>
      </c>
      <c r="F879" s="71"/>
      <c r="G879" s="98">
        <v>0.5</v>
      </c>
      <c r="H879" s="77">
        <f>E879*G879</f>
        <v>2.605</v>
      </c>
      <c r="I879" s="144"/>
      <c r="J879" s="85"/>
      <c r="K879" s="99">
        <v>0.27079999999999999</v>
      </c>
      <c r="L879" s="107">
        <f t="shared" si="35"/>
        <v>1.4842</v>
      </c>
    </row>
    <row r="880" spans="1:14" s="88" customFormat="1" x14ac:dyDescent="0.2">
      <c r="A880" s="79"/>
      <c r="B880" s="75"/>
      <c r="C880" s="112" t="s">
        <v>345</v>
      </c>
      <c r="D880" s="113" t="s">
        <v>336</v>
      </c>
      <c r="E880" s="77">
        <f>3.77*N12</f>
        <v>3.77</v>
      </c>
      <c r="F880" s="71"/>
      <c r="G880" s="98">
        <v>0.5</v>
      </c>
      <c r="H880" s="77">
        <f>E880*G880</f>
        <v>1.885</v>
      </c>
      <c r="I880" s="144"/>
      <c r="J880" s="85"/>
      <c r="K880" s="99">
        <v>0.27079999999999999</v>
      </c>
      <c r="L880" s="107">
        <f>L878</f>
        <v>1.4842</v>
      </c>
    </row>
    <row r="881" spans="1:14" s="88" customFormat="1" x14ac:dyDescent="0.2">
      <c r="A881" s="79"/>
      <c r="B881" s="75"/>
      <c r="C881" s="112"/>
      <c r="D881" s="113"/>
      <c r="E881" s="77"/>
      <c r="F881" s="71"/>
      <c r="G881" s="98"/>
      <c r="H881" s="77"/>
      <c r="I881" s="77"/>
      <c r="J881" s="85"/>
      <c r="K881" s="99">
        <v>0.27079999999999999</v>
      </c>
      <c r="L881" s="107">
        <f t="shared" si="35"/>
        <v>1.4842</v>
      </c>
    </row>
    <row r="882" spans="1:14" s="88" customFormat="1" x14ac:dyDescent="0.2">
      <c r="A882" s="79"/>
      <c r="B882" s="75"/>
      <c r="C882" s="112"/>
      <c r="D882" s="113"/>
      <c r="E882" s="361" t="str">
        <f>E872</f>
        <v>Custo Direto</v>
      </c>
      <c r="F882" s="361"/>
      <c r="G882" s="361"/>
      <c r="H882" s="114">
        <f>SUM(H878:H881)</f>
        <v>4.49</v>
      </c>
      <c r="I882" s="114">
        <f>SUM(I878:I881)</f>
        <v>82.83</v>
      </c>
      <c r="J882" s="85"/>
      <c r="K882" s="99">
        <v>0.27079999999999999</v>
      </c>
      <c r="L882" s="107">
        <f t="shared" si="35"/>
        <v>1.4842</v>
      </c>
    </row>
    <row r="883" spans="1:14" s="88" customFormat="1" x14ac:dyDescent="0.2">
      <c r="A883" s="79"/>
      <c r="B883" s="75"/>
      <c r="C883" s="112"/>
      <c r="D883" s="113"/>
      <c r="E883" s="361" t="str">
        <f>E873</f>
        <v>LS(%): 148,42</v>
      </c>
      <c r="F883" s="361"/>
      <c r="G883" s="361"/>
      <c r="H883" s="77">
        <f>H882*L883</f>
        <v>6.6640579999999998</v>
      </c>
      <c r="I883" s="82"/>
      <c r="J883" s="85"/>
      <c r="K883" s="99">
        <v>0.27079999999999999</v>
      </c>
      <c r="L883" s="107">
        <f t="shared" si="35"/>
        <v>1.4842</v>
      </c>
    </row>
    <row r="884" spans="1:14" s="88" customFormat="1" x14ac:dyDescent="0.2">
      <c r="A884" s="79"/>
      <c r="B884" s="75"/>
      <c r="C884" s="112"/>
      <c r="D884" s="113"/>
      <c r="E884" s="361" t="str">
        <f>E874</f>
        <v>BDI (%): 27,08</v>
      </c>
      <c r="F884" s="361"/>
      <c r="G884" s="361"/>
      <c r="H884" s="362">
        <f>(H882+I882+H883)*K884</f>
        <v>25.450882906399997</v>
      </c>
      <c r="I884" s="362"/>
      <c r="J884" s="85"/>
      <c r="K884" s="99">
        <v>0.27079999999999999</v>
      </c>
      <c r="L884" s="107">
        <f t="shared" si="35"/>
        <v>1.4842</v>
      </c>
    </row>
    <row r="885" spans="1:14" s="88" customFormat="1" x14ac:dyDescent="0.2">
      <c r="A885" s="79"/>
      <c r="B885" s="75"/>
      <c r="C885" s="112"/>
      <c r="D885" s="113"/>
      <c r="E885" s="361" t="str">
        <f>E875</f>
        <v>Valor Total c/ Taxas</v>
      </c>
      <c r="F885" s="361"/>
      <c r="G885" s="361"/>
      <c r="H885" s="77"/>
      <c r="I885" s="114">
        <f>(H882+I882+H883+H884)</f>
        <v>119.43494090639999</v>
      </c>
      <c r="J885" s="85"/>
      <c r="K885" s="99">
        <v>0.27079999999999999</v>
      </c>
      <c r="L885" s="107">
        <f t="shared" si="35"/>
        <v>1.4842</v>
      </c>
      <c r="N885" s="330">
        <v>119.43</v>
      </c>
    </row>
    <row r="886" spans="1:14" s="88" customFormat="1" x14ac:dyDescent="0.2">
      <c r="A886" s="79"/>
      <c r="B886" s="75"/>
      <c r="C886" s="112"/>
      <c r="D886" s="113"/>
      <c r="E886" s="76"/>
      <c r="F886" s="71"/>
      <c r="G886" s="123"/>
      <c r="H886" s="77"/>
      <c r="I886" s="114"/>
      <c r="J886" s="85"/>
      <c r="K886" s="99">
        <v>0.27079999999999999</v>
      </c>
      <c r="L886" s="107">
        <f t="shared" si="35"/>
        <v>1.4842</v>
      </c>
    </row>
    <row r="887" spans="1:14" s="88" customFormat="1" x14ac:dyDescent="0.2">
      <c r="A887" s="165"/>
      <c r="B887" s="163" t="str">
        <f>ORÇAMENTO!A152</f>
        <v>11.5.6</v>
      </c>
      <c r="C887" s="96" t="str">
        <f>ORÇAMENTO!B152</f>
        <v>Luva em aço forjado classe 10  ø 3/4''</v>
      </c>
      <c r="D887" s="97" t="str">
        <f>D877</f>
        <v>M</v>
      </c>
      <c r="E887" s="77"/>
      <c r="F887" s="71"/>
      <c r="G887" s="98"/>
      <c r="H887" s="77"/>
      <c r="I887" s="77"/>
      <c r="J887" s="85"/>
      <c r="K887" s="99">
        <v>0.27079999999999999</v>
      </c>
      <c r="L887" s="107">
        <f t="shared" si="35"/>
        <v>1.4842</v>
      </c>
    </row>
    <row r="888" spans="1:14" s="88" customFormat="1" ht="11.25" customHeight="1" x14ac:dyDescent="0.2">
      <c r="A888" s="79"/>
      <c r="B888" s="75"/>
      <c r="C888" s="112" t="str">
        <f>C887</f>
        <v>Luva em aço forjado classe 10  ø 3/4''</v>
      </c>
      <c r="D888" s="113" t="str">
        <f>D887</f>
        <v>M</v>
      </c>
      <c r="E888" s="77">
        <f>9.59*N12</f>
        <v>9.59</v>
      </c>
      <c r="F888" s="71">
        <v>16.21</v>
      </c>
      <c r="G888" s="98">
        <v>1</v>
      </c>
      <c r="H888" s="77"/>
      <c r="I888" s="77">
        <f>E888*G888</f>
        <v>9.59</v>
      </c>
      <c r="J888" s="85"/>
      <c r="K888" s="99">
        <v>0.27079999999999999</v>
      </c>
      <c r="L888" s="107">
        <f t="shared" si="35"/>
        <v>1.4842</v>
      </c>
    </row>
    <row r="889" spans="1:14" s="88" customFormat="1" x14ac:dyDescent="0.2">
      <c r="A889" s="79"/>
      <c r="B889" s="75"/>
      <c r="C889" s="112" t="s">
        <v>348</v>
      </c>
      <c r="D889" s="113" t="s">
        <v>336</v>
      </c>
      <c r="E889" s="77">
        <f>5.21*N12</f>
        <v>5.21</v>
      </c>
      <c r="F889" s="71"/>
      <c r="G889" s="98">
        <v>0.1</v>
      </c>
      <c r="H889" s="166">
        <f>E889*G889</f>
        <v>0.52100000000000002</v>
      </c>
      <c r="I889" s="144"/>
      <c r="J889" s="85"/>
      <c r="K889" s="99">
        <v>0.27079999999999999</v>
      </c>
      <c r="L889" s="107">
        <f t="shared" si="35"/>
        <v>1.4842</v>
      </c>
    </row>
    <row r="890" spans="1:14" s="88" customFormat="1" x14ac:dyDescent="0.2">
      <c r="A890" s="79"/>
      <c r="B890" s="75"/>
      <c r="C890" s="112" t="s">
        <v>345</v>
      </c>
      <c r="D890" s="113" t="s">
        <v>336</v>
      </c>
      <c r="E890" s="77">
        <f>3.77*N12</f>
        <v>3.77</v>
      </c>
      <c r="F890" s="71"/>
      <c r="G890" s="98">
        <v>0.1</v>
      </c>
      <c r="H890" s="166">
        <f>E890*G890</f>
        <v>0.377</v>
      </c>
      <c r="I890" s="144"/>
      <c r="J890" s="85"/>
      <c r="K890" s="99">
        <v>0.27079999999999999</v>
      </c>
      <c r="L890" s="107">
        <f t="shared" si="35"/>
        <v>1.4842</v>
      </c>
    </row>
    <row r="891" spans="1:14" s="88" customFormat="1" x14ac:dyDescent="0.2">
      <c r="A891" s="79"/>
      <c r="B891" s="75"/>
      <c r="C891" s="112"/>
      <c r="D891" s="113"/>
      <c r="E891" s="77"/>
      <c r="F891" s="71"/>
      <c r="G891" s="98"/>
      <c r="H891" s="77"/>
      <c r="I891" s="77"/>
      <c r="J891" s="85"/>
      <c r="K891" s="99">
        <v>0.27079999999999999</v>
      </c>
      <c r="L891" s="107">
        <f t="shared" si="35"/>
        <v>1.4842</v>
      </c>
    </row>
    <row r="892" spans="1:14" s="88" customFormat="1" x14ac:dyDescent="0.2">
      <c r="A892" s="79"/>
      <c r="B892" s="75"/>
      <c r="C892" s="112"/>
      <c r="D892" s="113"/>
      <c r="E892" s="361" t="str">
        <f>E882</f>
        <v>Custo Direto</v>
      </c>
      <c r="F892" s="361"/>
      <c r="G892" s="361"/>
      <c r="H892" s="114">
        <f>SUM(H888:H891)</f>
        <v>0.89800000000000002</v>
      </c>
      <c r="I892" s="114">
        <f>SUM(I888:I891)</f>
        <v>9.59</v>
      </c>
      <c r="J892" s="85"/>
      <c r="K892" s="99">
        <v>0.27079999999999999</v>
      </c>
      <c r="L892" s="107">
        <f t="shared" si="35"/>
        <v>1.4842</v>
      </c>
    </row>
    <row r="893" spans="1:14" s="88" customFormat="1" x14ac:dyDescent="0.2">
      <c r="A893" s="79"/>
      <c r="B893" s="75"/>
      <c r="C893" s="112"/>
      <c r="D893" s="113"/>
      <c r="E893" s="361" t="str">
        <f t="shared" ref="E893:E895" si="36">E883</f>
        <v>LS(%): 148,42</v>
      </c>
      <c r="F893" s="361"/>
      <c r="G893" s="361"/>
      <c r="H893" s="77">
        <f>H892*L893</f>
        <v>1.3328116000000001</v>
      </c>
      <c r="I893" s="82"/>
      <c r="J893" s="85"/>
      <c r="K893" s="99">
        <v>0.27079999999999999</v>
      </c>
      <c r="L893" s="107">
        <f t="shared" si="35"/>
        <v>1.4842</v>
      </c>
    </row>
    <row r="894" spans="1:14" s="88" customFormat="1" x14ac:dyDescent="0.2">
      <c r="A894" s="79"/>
      <c r="B894" s="75"/>
      <c r="C894" s="112"/>
      <c r="D894" s="113"/>
      <c r="E894" s="361" t="str">
        <f t="shared" si="36"/>
        <v>BDI (%): 27,08</v>
      </c>
      <c r="F894" s="361"/>
      <c r="G894" s="361"/>
      <c r="H894" s="362">
        <f>(H892+I892+H893)*K894</f>
        <v>3.2010757812799997</v>
      </c>
      <c r="I894" s="362"/>
      <c r="J894" s="85"/>
      <c r="K894" s="99">
        <v>0.27079999999999999</v>
      </c>
      <c r="L894" s="107">
        <f t="shared" si="35"/>
        <v>1.4842</v>
      </c>
    </row>
    <row r="895" spans="1:14" s="88" customFormat="1" x14ac:dyDescent="0.2">
      <c r="A895" s="79"/>
      <c r="B895" s="75"/>
      <c r="C895" s="112"/>
      <c r="D895" s="113"/>
      <c r="E895" s="361" t="str">
        <f t="shared" si="36"/>
        <v>Valor Total c/ Taxas</v>
      </c>
      <c r="F895" s="361"/>
      <c r="G895" s="361"/>
      <c r="H895" s="77"/>
      <c r="I895" s="114">
        <f>(H892+I892+H893+H894)</f>
        <v>15.021887381279999</v>
      </c>
      <c r="J895" s="85"/>
      <c r="K895" s="99">
        <v>0.27079999999999999</v>
      </c>
      <c r="L895" s="107">
        <f t="shared" si="35"/>
        <v>1.4842</v>
      </c>
      <c r="N895" s="330">
        <v>15.02</v>
      </c>
    </row>
    <row r="896" spans="1:14" s="88" customFormat="1" x14ac:dyDescent="0.2">
      <c r="A896" s="79"/>
      <c r="B896" s="75"/>
      <c r="C896" s="112"/>
      <c r="D896" s="113"/>
      <c r="E896" s="77"/>
      <c r="F896" s="71"/>
      <c r="G896" s="98"/>
      <c r="H896" s="77"/>
      <c r="I896" s="77"/>
      <c r="J896" s="85"/>
      <c r="K896" s="99">
        <v>0.27079999999999999</v>
      </c>
      <c r="L896" s="107">
        <f t="shared" si="35"/>
        <v>1.4842</v>
      </c>
    </row>
    <row r="897" spans="1:14" s="147" customFormat="1" x14ac:dyDescent="0.2">
      <c r="A897" s="167"/>
      <c r="B897" s="163" t="str">
        <f>ORÇAMENTO!A154</f>
        <v>11.6.1</v>
      </c>
      <c r="C897" s="96" t="str">
        <f>ORÇAMENTO!B154</f>
        <v>Vidro liso incolor 4mm</v>
      </c>
      <c r="D897" s="97" t="s">
        <v>349</v>
      </c>
      <c r="E897" s="77"/>
      <c r="F897" s="71"/>
      <c r="G897" s="98"/>
      <c r="H897" s="77"/>
      <c r="I897" s="77"/>
      <c r="J897" s="146"/>
      <c r="K897" s="99">
        <v>0.27079999999999999</v>
      </c>
      <c r="L897" s="107">
        <f t="shared" si="35"/>
        <v>1.4842</v>
      </c>
    </row>
    <row r="898" spans="1:14" s="88" customFormat="1" x14ac:dyDescent="0.2">
      <c r="A898" s="79"/>
      <c r="B898" s="75"/>
      <c r="C898" s="112" t="str">
        <f>C897</f>
        <v>Vidro liso incolor 4mm</v>
      </c>
      <c r="D898" s="113" t="str">
        <f>D897</f>
        <v>M²</v>
      </c>
      <c r="E898" s="77">
        <f>46.09*N12</f>
        <v>46.09</v>
      </c>
      <c r="F898" s="71">
        <v>18.11</v>
      </c>
      <c r="G898" s="98">
        <v>1</v>
      </c>
      <c r="H898" s="77"/>
      <c r="I898" s="77">
        <f>E898*G898</f>
        <v>46.09</v>
      </c>
      <c r="J898" s="85"/>
      <c r="K898" s="99">
        <v>0.27079999999999999</v>
      </c>
      <c r="L898" s="107">
        <f t="shared" si="35"/>
        <v>1.4842</v>
      </c>
    </row>
    <row r="899" spans="1:14" s="88" customFormat="1" x14ac:dyDescent="0.2">
      <c r="A899" s="79"/>
      <c r="B899" s="75"/>
      <c r="C899" s="112" t="s">
        <v>366</v>
      </c>
      <c r="D899" s="113" t="s">
        <v>336</v>
      </c>
      <c r="E899" s="77">
        <f>5.21*N12</f>
        <v>5.21</v>
      </c>
      <c r="F899" s="71"/>
      <c r="G899" s="98">
        <v>1</v>
      </c>
      <c r="H899" s="77">
        <f>E899*G899</f>
        <v>5.21</v>
      </c>
      <c r="I899" s="144"/>
      <c r="J899" s="85"/>
      <c r="K899" s="99">
        <v>0.27079999999999999</v>
      </c>
      <c r="L899" s="107">
        <f t="shared" si="35"/>
        <v>1.4842</v>
      </c>
    </row>
    <row r="900" spans="1:14" s="88" customFormat="1" x14ac:dyDescent="0.2">
      <c r="A900" s="79"/>
      <c r="B900" s="75"/>
      <c r="C900" s="112" t="s">
        <v>345</v>
      </c>
      <c r="D900" s="113" t="s">
        <v>336</v>
      </c>
      <c r="E900" s="77">
        <f>3.77*N12</f>
        <v>3.77</v>
      </c>
      <c r="F900" s="71"/>
      <c r="G900" s="98">
        <v>1</v>
      </c>
      <c r="H900" s="77">
        <f>E900*G900</f>
        <v>3.77</v>
      </c>
      <c r="I900" s="144"/>
      <c r="J900" s="85"/>
      <c r="K900" s="99">
        <v>0.27079999999999999</v>
      </c>
      <c r="L900" s="107">
        <f t="shared" si="35"/>
        <v>1.4842</v>
      </c>
    </row>
    <row r="901" spans="1:14" s="88" customFormat="1" x14ac:dyDescent="0.2">
      <c r="A901" s="79"/>
      <c r="B901" s="75"/>
      <c r="C901" s="112"/>
      <c r="D901" s="113"/>
      <c r="E901" s="77"/>
      <c r="F901" s="71"/>
      <c r="G901" s="98"/>
      <c r="H901" s="77"/>
      <c r="I901" s="77"/>
      <c r="J901" s="85"/>
      <c r="K901" s="99">
        <v>0.27079999999999999</v>
      </c>
      <c r="L901" s="107">
        <f t="shared" si="35"/>
        <v>1.4842</v>
      </c>
    </row>
    <row r="902" spans="1:14" s="88" customFormat="1" x14ac:dyDescent="0.2">
      <c r="A902" s="79"/>
      <c r="B902" s="75"/>
      <c r="C902" s="112"/>
      <c r="D902" s="113"/>
      <c r="E902" s="361" t="str">
        <f>E892</f>
        <v>Custo Direto</v>
      </c>
      <c r="F902" s="361"/>
      <c r="G902" s="361"/>
      <c r="H902" s="114">
        <f>SUM(H898:H901)</f>
        <v>8.98</v>
      </c>
      <c r="I902" s="114">
        <f>SUM(I898:I901)</f>
        <v>46.09</v>
      </c>
      <c r="J902" s="85"/>
      <c r="K902" s="99">
        <v>0.27079999999999999</v>
      </c>
      <c r="L902" s="107">
        <f t="shared" si="35"/>
        <v>1.4842</v>
      </c>
    </row>
    <row r="903" spans="1:14" s="88" customFormat="1" x14ac:dyDescent="0.2">
      <c r="A903" s="79"/>
      <c r="B903" s="75"/>
      <c r="C903" s="112"/>
      <c r="D903" s="113"/>
      <c r="E903" s="361" t="str">
        <f t="shared" ref="E903:E905" si="37">E893</f>
        <v>LS(%): 148,42</v>
      </c>
      <c r="F903" s="361"/>
      <c r="G903" s="361"/>
      <c r="H903" s="77">
        <f>H902*L903</f>
        <v>13.328116</v>
      </c>
      <c r="I903" s="82"/>
      <c r="J903" s="85"/>
      <c r="K903" s="99">
        <v>0.27079999999999999</v>
      </c>
      <c r="L903" s="107">
        <f t="shared" si="35"/>
        <v>1.4842</v>
      </c>
    </row>
    <row r="904" spans="1:14" s="88" customFormat="1" x14ac:dyDescent="0.2">
      <c r="A904" s="79"/>
      <c r="B904" s="75"/>
      <c r="C904" s="112"/>
      <c r="D904" s="113"/>
      <c r="E904" s="361" t="str">
        <f t="shared" si="37"/>
        <v>BDI (%): 27,08</v>
      </c>
      <c r="F904" s="361"/>
      <c r="G904" s="361"/>
      <c r="H904" s="362">
        <f>(H902+I902+H903)*K904</f>
        <v>18.5222098128</v>
      </c>
      <c r="I904" s="362"/>
      <c r="J904" s="85"/>
      <c r="K904" s="99">
        <v>0.27079999999999999</v>
      </c>
      <c r="L904" s="107">
        <f t="shared" si="35"/>
        <v>1.4842</v>
      </c>
    </row>
    <row r="905" spans="1:14" s="88" customFormat="1" x14ac:dyDescent="0.2">
      <c r="A905" s="79"/>
      <c r="B905" s="75"/>
      <c r="C905" s="112"/>
      <c r="D905" s="113"/>
      <c r="E905" s="361" t="str">
        <f t="shared" si="37"/>
        <v>Valor Total c/ Taxas</v>
      </c>
      <c r="F905" s="361"/>
      <c r="G905" s="361"/>
      <c r="H905" s="77"/>
      <c r="I905" s="114">
        <f>(H902+I902+H903+H904)</f>
        <v>86.920325812800002</v>
      </c>
      <c r="J905" s="85"/>
      <c r="K905" s="99">
        <v>0.27079999999999999</v>
      </c>
      <c r="L905" s="107">
        <f t="shared" si="35"/>
        <v>1.4842</v>
      </c>
      <c r="N905" s="330">
        <v>86.92</v>
      </c>
    </row>
    <row r="906" spans="1:14" s="88" customFormat="1" x14ac:dyDescent="0.2">
      <c r="A906" s="79"/>
      <c r="B906" s="75"/>
      <c r="C906" s="112"/>
      <c r="D906" s="113"/>
      <c r="E906" s="77"/>
      <c r="F906" s="71"/>
      <c r="G906" s="98"/>
      <c r="H906" s="77"/>
      <c r="I906" s="77"/>
      <c r="J906" s="85"/>
      <c r="K906" s="99">
        <v>0.27079999999999999</v>
      </c>
      <c r="L906" s="107">
        <f t="shared" si="35"/>
        <v>1.4842</v>
      </c>
    </row>
    <row r="907" spans="1:14" s="88" customFormat="1" x14ac:dyDescent="0.2">
      <c r="A907" s="168"/>
      <c r="B907" s="131" t="str">
        <f>ORÇAMENTO!A155</f>
        <v>11.6.2</v>
      </c>
      <c r="C907" s="96" t="str">
        <f>ORÇAMENTO!B155</f>
        <v>Vidro canelado incolor 4mm</v>
      </c>
      <c r="D907" s="97" t="str">
        <f>D897</f>
        <v>M²</v>
      </c>
      <c r="E907" s="77"/>
      <c r="F907" s="71"/>
      <c r="G907" s="98"/>
      <c r="H907" s="77"/>
      <c r="I907" s="77"/>
      <c r="J907" s="85"/>
      <c r="K907" s="99">
        <v>0.27079999999999999</v>
      </c>
      <c r="L907" s="107">
        <f t="shared" si="35"/>
        <v>1.4842</v>
      </c>
    </row>
    <row r="908" spans="1:14" s="88" customFormat="1" x14ac:dyDescent="0.2">
      <c r="A908" s="79"/>
      <c r="B908" s="75"/>
      <c r="C908" s="112" t="str">
        <f>C907</f>
        <v>Vidro canelado incolor 4mm</v>
      </c>
      <c r="D908" s="113" t="str">
        <f>D907</f>
        <v>M²</v>
      </c>
      <c r="E908" s="77">
        <f>31.51*N12</f>
        <v>31.51</v>
      </c>
      <c r="F908" s="71">
        <v>14.87</v>
      </c>
      <c r="G908" s="98">
        <v>1</v>
      </c>
      <c r="H908" s="77"/>
      <c r="I908" s="77">
        <f>E908*G908</f>
        <v>31.51</v>
      </c>
      <c r="J908" s="85"/>
      <c r="K908" s="99">
        <v>0.27079999999999999</v>
      </c>
      <c r="L908" s="107">
        <f t="shared" si="35"/>
        <v>1.4842</v>
      </c>
    </row>
    <row r="909" spans="1:14" s="88" customFormat="1" x14ac:dyDescent="0.2">
      <c r="A909" s="79"/>
      <c r="B909" s="75"/>
      <c r="C909" s="112" t="s">
        <v>366</v>
      </c>
      <c r="D909" s="113" t="s">
        <v>336</v>
      </c>
      <c r="E909" s="77">
        <f>5.21*N12</f>
        <v>5.21</v>
      </c>
      <c r="F909" s="71"/>
      <c r="G909" s="98">
        <v>1</v>
      </c>
      <c r="H909" s="77">
        <f>E909*G909</f>
        <v>5.21</v>
      </c>
      <c r="I909" s="144"/>
      <c r="J909" s="85"/>
      <c r="K909" s="99">
        <v>0.27079999999999999</v>
      </c>
      <c r="L909" s="107">
        <f t="shared" si="35"/>
        <v>1.4842</v>
      </c>
    </row>
    <row r="910" spans="1:14" s="88" customFormat="1" x14ac:dyDescent="0.2">
      <c r="A910" s="79"/>
      <c r="B910" s="75"/>
      <c r="C910" s="112" t="s">
        <v>345</v>
      </c>
      <c r="D910" s="113" t="s">
        <v>336</v>
      </c>
      <c r="E910" s="77">
        <f>3.77*N12</f>
        <v>3.77</v>
      </c>
      <c r="F910" s="71"/>
      <c r="G910" s="98">
        <v>1</v>
      </c>
      <c r="H910" s="77">
        <f>E910*G910</f>
        <v>3.77</v>
      </c>
      <c r="I910" s="144"/>
      <c r="J910" s="85"/>
      <c r="K910" s="99">
        <v>0.27079999999999999</v>
      </c>
      <c r="L910" s="107">
        <f t="shared" si="35"/>
        <v>1.4842</v>
      </c>
    </row>
    <row r="911" spans="1:14" s="88" customFormat="1" x14ac:dyDescent="0.2">
      <c r="A911" s="79"/>
      <c r="B911" s="75"/>
      <c r="C911" s="112"/>
      <c r="D911" s="113"/>
      <c r="E911" s="77"/>
      <c r="F911" s="71"/>
      <c r="G911" s="98"/>
      <c r="H911" s="77"/>
      <c r="I911" s="77"/>
      <c r="J911" s="85"/>
      <c r="K911" s="99">
        <v>0.27079999999999999</v>
      </c>
      <c r="L911" s="107">
        <f t="shared" si="35"/>
        <v>1.4842</v>
      </c>
    </row>
    <row r="912" spans="1:14" s="88" customFormat="1" x14ac:dyDescent="0.2">
      <c r="A912" s="79"/>
      <c r="B912" s="75"/>
      <c r="C912" s="112"/>
      <c r="D912" s="113"/>
      <c r="E912" s="361" t="str">
        <f>E902</f>
        <v>Custo Direto</v>
      </c>
      <c r="F912" s="361"/>
      <c r="G912" s="361"/>
      <c r="H912" s="114">
        <f>SUM(H908:H911)</f>
        <v>8.98</v>
      </c>
      <c r="I912" s="114">
        <f>SUM(I908:I911)</f>
        <v>31.51</v>
      </c>
      <c r="J912" s="85"/>
      <c r="K912" s="99">
        <v>0.27079999999999999</v>
      </c>
      <c r="L912" s="107">
        <f t="shared" si="35"/>
        <v>1.4842</v>
      </c>
    </row>
    <row r="913" spans="1:14" s="88" customFormat="1" x14ac:dyDescent="0.2">
      <c r="A913" s="79"/>
      <c r="B913" s="75"/>
      <c r="C913" s="112"/>
      <c r="D913" s="113"/>
      <c r="E913" s="361" t="str">
        <f t="shared" ref="E913:E915" si="38">E903</f>
        <v>LS(%): 148,42</v>
      </c>
      <c r="F913" s="361"/>
      <c r="G913" s="361"/>
      <c r="H913" s="77">
        <f>H912*L913</f>
        <v>13.328116</v>
      </c>
      <c r="I913" s="82"/>
      <c r="J913" s="85"/>
      <c r="K913" s="99">
        <v>0.27079999999999999</v>
      </c>
      <c r="L913" s="107">
        <f t="shared" si="35"/>
        <v>1.4842</v>
      </c>
    </row>
    <row r="914" spans="1:14" s="88" customFormat="1" x14ac:dyDescent="0.2">
      <c r="A914" s="79"/>
      <c r="B914" s="75"/>
      <c r="C914" s="112"/>
      <c r="D914" s="113"/>
      <c r="E914" s="361" t="str">
        <f t="shared" si="38"/>
        <v>BDI (%): 27,08</v>
      </c>
      <c r="F914" s="361"/>
      <c r="G914" s="361"/>
      <c r="H914" s="362">
        <f>(H912+I912+H913)*K914</f>
        <v>14.5739458128</v>
      </c>
      <c r="I914" s="362"/>
      <c r="J914" s="85"/>
      <c r="K914" s="99">
        <v>0.27079999999999999</v>
      </c>
      <c r="L914" s="107">
        <f t="shared" si="35"/>
        <v>1.4842</v>
      </c>
    </row>
    <row r="915" spans="1:14" s="88" customFormat="1" x14ac:dyDescent="0.2">
      <c r="A915" s="79"/>
      <c r="B915" s="75"/>
      <c r="C915" s="112"/>
      <c r="D915" s="113"/>
      <c r="E915" s="361" t="str">
        <f t="shared" si="38"/>
        <v>Valor Total c/ Taxas</v>
      </c>
      <c r="F915" s="361"/>
      <c r="G915" s="361"/>
      <c r="H915" s="77"/>
      <c r="I915" s="114">
        <f>(H912+I912+H913+H914)</f>
        <v>68.392061812800009</v>
      </c>
      <c r="J915" s="85"/>
      <c r="K915" s="99">
        <v>0.27079999999999999</v>
      </c>
      <c r="L915" s="107">
        <f t="shared" si="35"/>
        <v>1.4842</v>
      </c>
      <c r="N915" s="330">
        <v>68.39</v>
      </c>
    </row>
    <row r="916" spans="1:14" s="88" customFormat="1" x14ac:dyDescent="0.2">
      <c r="A916" s="79"/>
      <c r="B916" s="75"/>
      <c r="C916" s="112"/>
      <c r="D916" s="113"/>
      <c r="E916" s="77"/>
      <c r="F916" s="71"/>
      <c r="G916" s="98"/>
      <c r="H916" s="77"/>
      <c r="I916" s="77"/>
      <c r="J916" s="85"/>
      <c r="K916" s="99">
        <v>0.27079999999999999</v>
      </c>
      <c r="L916" s="107">
        <f t="shared" si="35"/>
        <v>1.4842</v>
      </c>
    </row>
    <row r="917" spans="1:14" s="88" customFormat="1" ht="25.5" x14ac:dyDescent="0.2">
      <c r="A917" s="167"/>
      <c r="B917" s="163" t="str">
        <f>ORÇAMENTO!A156</f>
        <v>11.6.3</v>
      </c>
      <c r="C917" s="96" t="str">
        <f>ORÇAMENTO!B156</f>
        <v>Espelho de cristal 4mm,com moldura de aluminio,acabamento em laminado</v>
      </c>
      <c r="D917" s="97" t="str">
        <f>D907</f>
        <v>M²</v>
      </c>
      <c r="E917" s="77"/>
      <c r="F917" s="71"/>
      <c r="G917" s="98"/>
      <c r="H917" s="77"/>
      <c r="I917" s="77"/>
      <c r="J917" s="85"/>
      <c r="K917" s="99">
        <v>0.27079999999999999</v>
      </c>
      <c r="L917" s="107">
        <f t="shared" si="35"/>
        <v>1.4842</v>
      </c>
    </row>
    <row r="918" spans="1:14" s="88" customFormat="1" ht="25.5" x14ac:dyDescent="0.2">
      <c r="A918" s="79"/>
      <c r="B918" s="75"/>
      <c r="C918" s="112" t="str">
        <f>C917</f>
        <v>Espelho de cristal 4mm,com moldura de aluminio,acabamento em laminado</v>
      </c>
      <c r="D918" s="113" t="str">
        <f>D917</f>
        <v>M²</v>
      </c>
      <c r="E918" s="77">
        <f>226.89*N12</f>
        <v>226.89</v>
      </c>
      <c r="F918" s="71">
        <v>0.51</v>
      </c>
      <c r="G918" s="98">
        <v>1</v>
      </c>
      <c r="H918" s="77"/>
      <c r="I918" s="77">
        <f>E918*G918</f>
        <v>226.89</v>
      </c>
      <c r="J918" s="85"/>
      <c r="K918" s="99">
        <v>0.27079999999999999</v>
      </c>
      <c r="L918" s="107">
        <f t="shared" si="35"/>
        <v>1.4842</v>
      </c>
    </row>
    <row r="919" spans="1:14" s="88" customFormat="1" x14ac:dyDescent="0.2">
      <c r="A919" s="79"/>
      <c r="B919" s="75"/>
      <c r="C919" s="112" t="s">
        <v>366</v>
      </c>
      <c r="D919" s="113" t="s">
        <v>336</v>
      </c>
      <c r="E919" s="77">
        <f>5.21*N12</f>
        <v>5.21</v>
      </c>
      <c r="F919" s="71"/>
      <c r="G919" s="98">
        <v>0.5</v>
      </c>
      <c r="H919" s="77">
        <f>E919*G919</f>
        <v>2.605</v>
      </c>
      <c r="I919" s="144"/>
      <c r="J919" s="85"/>
      <c r="K919" s="99">
        <v>0.27079999999999999</v>
      </c>
      <c r="L919" s="107">
        <f t="shared" si="35"/>
        <v>1.4842</v>
      </c>
    </row>
    <row r="920" spans="1:14" s="88" customFormat="1" x14ac:dyDescent="0.2">
      <c r="A920" s="79"/>
      <c r="B920" s="75"/>
      <c r="C920" s="112" t="s">
        <v>345</v>
      </c>
      <c r="D920" s="113" t="s">
        <v>336</v>
      </c>
      <c r="E920" s="77">
        <f>3.77*N12</f>
        <v>3.77</v>
      </c>
      <c r="F920" s="71"/>
      <c r="G920" s="98">
        <v>0.5</v>
      </c>
      <c r="H920" s="77">
        <f>E920*G920</f>
        <v>1.885</v>
      </c>
      <c r="I920" s="144"/>
      <c r="J920" s="85"/>
      <c r="K920" s="99">
        <v>0.27079999999999999</v>
      </c>
      <c r="L920" s="107">
        <f t="shared" si="35"/>
        <v>1.4842</v>
      </c>
    </row>
    <row r="921" spans="1:14" s="88" customFormat="1" x14ac:dyDescent="0.2">
      <c r="A921" s="79"/>
      <c r="B921" s="75"/>
      <c r="C921" s="112"/>
      <c r="D921" s="113"/>
      <c r="E921" s="77"/>
      <c r="F921" s="71"/>
      <c r="G921" s="98"/>
      <c r="H921" s="77"/>
      <c r="I921" s="77"/>
      <c r="J921" s="85"/>
      <c r="K921" s="99">
        <v>0.27079999999999999</v>
      </c>
      <c r="L921" s="107">
        <f t="shared" si="35"/>
        <v>1.4842</v>
      </c>
    </row>
    <row r="922" spans="1:14" s="88" customFormat="1" x14ac:dyDescent="0.2">
      <c r="A922" s="79"/>
      <c r="B922" s="75"/>
      <c r="C922" s="112"/>
      <c r="D922" s="113"/>
      <c r="E922" s="361" t="str">
        <f>E912</f>
        <v>Custo Direto</v>
      </c>
      <c r="F922" s="361"/>
      <c r="G922" s="361"/>
      <c r="H922" s="114">
        <f>SUM(H919:H921)</f>
        <v>4.49</v>
      </c>
      <c r="I922" s="114">
        <f>SUM(I918:I921)</f>
        <v>226.89</v>
      </c>
      <c r="J922" s="85"/>
      <c r="K922" s="99">
        <v>0.27079999999999999</v>
      </c>
      <c r="L922" s="107">
        <f t="shared" si="35"/>
        <v>1.4842</v>
      </c>
    </row>
    <row r="923" spans="1:14" s="88" customFormat="1" x14ac:dyDescent="0.2">
      <c r="A923" s="79"/>
      <c r="B923" s="75"/>
      <c r="C923" s="112"/>
      <c r="D923" s="113"/>
      <c r="E923" s="361" t="str">
        <f>E913</f>
        <v>LS(%): 148,42</v>
      </c>
      <c r="F923" s="361"/>
      <c r="G923" s="361"/>
      <c r="H923" s="77">
        <f>H922*L923</f>
        <v>6.6640579999999998</v>
      </c>
      <c r="I923" s="82"/>
      <c r="J923" s="85"/>
      <c r="K923" s="99">
        <v>0.27079999999999999</v>
      </c>
      <c r="L923" s="107">
        <f t="shared" si="35"/>
        <v>1.4842</v>
      </c>
    </row>
    <row r="924" spans="1:14" s="88" customFormat="1" x14ac:dyDescent="0.2">
      <c r="A924" s="79"/>
      <c r="B924" s="75"/>
      <c r="C924" s="112"/>
      <c r="D924" s="113"/>
      <c r="E924" s="361" t="str">
        <f>E914</f>
        <v>BDI (%): 27,08</v>
      </c>
      <c r="F924" s="361"/>
      <c r="G924" s="361"/>
      <c r="H924" s="362">
        <f>(H922+I922+H923)*K924</f>
        <v>64.462330906399998</v>
      </c>
      <c r="I924" s="362"/>
      <c r="J924" s="85"/>
      <c r="K924" s="99">
        <v>0.27079999999999999</v>
      </c>
      <c r="L924" s="107">
        <f t="shared" si="35"/>
        <v>1.4842</v>
      </c>
    </row>
    <row r="925" spans="1:14" s="88" customFormat="1" x14ac:dyDescent="0.2">
      <c r="A925" s="79"/>
      <c r="B925" s="75"/>
      <c r="C925" s="112"/>
      <c r="D925" s="113"/>
      <c r="E925" s="361" t="str">
        <f>E915</f>
        <v>Valor Total c/ Taxas</v>
      </c>
      <c r="F925" s="361"/>
      <c r="G925" s="361"/>
      <c r="H925" s="77"/>
      <c r="I925" s="114">
        <f>(H922+I922+H923+H924)</f>
        <v>302.50638890639999</v>
      </c>
      <c r="J925" s="85"/>
      <c r="K925" s="99">
        <v>0.27079999999999999</v>
      </c>
      <c r="L925" s="107">
        <f t="shared" si="35"/>
        <v>1.4842</v>
      </c>
      <c r="N925" s="330">
        <v>302.51</v>
      </c>
    </row>
    <row r="926" spans="1:14" s="88" customFormat="1" x14ac:dyDescent="0.2">
      <c r="A926" s="79"/>
      <c r="B926" s="153"/>
      <c r="C926" s="112"/>
      <c r="D926" s="113"/>
      <c r="E926" s="77"/>
      <c r="F926" s="71"/>
      <c r="G926" s="98"/>
      <c r="H926" s="77"/>
      <c r="I926" s="77"/>
      <c r="J926" s="85"/>
      <c r="K926" s="99">
        <v>0.27079999999999999</v>
      </c>
      <c r="L926" s="107">
        <f t="shared" si="35"/>
        <v>1.4842</v>
      </c>
    </row>
    <row r="927" spans="1:14" s="88" customFormat="1" ht="25.5" x14ac:dyDescent="0.2">
      <c r="A927" s="167"/>
      <c r="B927" s="163" t="str">
        <f>ORÇAMENTO!A160</f>
        <v>12.1.1</v>
      </c>
      <c r="C927" s="96" t="str">
        <f>ORÇAMENTO!B160</f>
        <v>Cabo telefonico CCI-50 2 pares (uso interno) - fornecimento e instalações</v>
      </c>
      <c r="D927" s="97" t="s">
        <v>355</v>
      </c>
      <c r="E927" s="77"/>
      <c r="F927" s="71"/>
      <c r="G927" s="98"/>
      <c r="H927" s="77"/>
      <c r="I927" s="77"/>
      <c r="J927" s="85"/>
      <c r="K927" s="99">
        <v>0.27079999999999999</v>
      </c>
      <c r="L927" s="107">
        <f t="shared" si="35"/>
        <v>1.4842</v>
      </c>
    </row>
    <row r="928" spans="1:14" s="88" customFormat="1" ht="25.5" x14ac:dyDescent="0.2">
      <c r="A928" s="79"/>
      <c r="B928" s="75"/>
      <c r="C928" s="112" t="str">
        <f>C927</f>
        <v>Cabo telefonico CCI-50 2 pares (uso interno) - fornecimento e instalações</v>
      </c>
      <c r="D928" s="113" t="str">
        <f>D927</f>
        <v>M</v>
      </c>
      <c r="E928" s="77">
        <f>1.86*N12</f>
        <v>1.86</v>
      </c>
      <c r="F928" s="71">
        <f>F918</f>
        <v>0.51</v>
      </c>
      <c r="G928" s="98">
        <v>0.4</v>
      </c>
      <c r="H928" s="77"/>
      <c r="I928" s="77">
        <f>E928*G928</f>
        <v>0.74400000000000011</v>
      </c>
      <c r="J928" s="85"/>
      <c r="K928" s="99">
        <v>0.27079999999999999</v>
      </c>
      <c r="L928" s="107">
        <f t="shared" si="35"/>
        <v>1.4842</v>
      </c>
    </row>
    <row r="929" spans="1:14" s="88" customFormat="1" x14ac:dyDescent="0.2">
      <c r="A929" s="79"/>
      <c r="B929" s="75"/>
      <c r="C929" s="112" t="s">
        <v>359</v>
      </c>
      <c r="D929" s="113" t="s">
        <v>336</v>
      </c>
      <c r="E929" s="77">
        <f>5.21*N12</f>
        <v>5.21</v>
      </c>
      <c r="F929" s="71"/>
      <c r="G929" s="98">
        <v>5.0000000000000001E-3</v>
      </c>
      <c r="H929" s="77">
        <f>E929*G929</f>
        <v>2.605E-2</v>
      </c>
      <c r="I929" s="144"/>
      <c r="J929" s="85"/>
      <c r="K929" s="99">
        <v>0.27079999999999999</v>
      </c>
      <c r="L929" s="107">
        <f t="shared" si="35"/>
        <v>1.4842</v>
      </c>
    </row>
    <row r="930" spans="1:14" s="88" customFormat="1" x14ac:dyDescent="0.2">
      <c r="A930" s="79"/>
      <c r="B930" s="75"/>
      <c r="C930" s="112" t="s">
        <v>345</v>
      </c>
      <c r="D930" s="113" t="s">
        <v>336</v>
      </c>
      <c r="E930" s="77">
        <f>3.77*N12</f>
        <v>3.77</v>
      </c>
      <c r="F930" s="71"/>
      <c r="G930" s="98">
        <v>5.0000000000000001E-3</v>
      </c>
      <c r="H930" s="77">
        <f>E930*G930</f>
        <v>1.8850000000000002E-2</v>
      </c>
      <c r="I930" s="144"/>
      <c r="J930" s="85"/>
      <c r="K930" s="99">
        <v>0.27079999999999999</v>
      </c>
      <c r="L930" s="107">
        <f t="shared" si="35"/>
        <v>1.4842</v>
      </c>
    </row>
    <row r="931" spans="1:14" s="88" customFormat="1" x14ac:dyDescent="0.2">
      <c r="A931" s="79"/>
      <c r="B931" s="75"/>
      <c r="C931" s="112"/>
      <c r="D931" s="113"/>
      <c r="E931" s="77"/>
      <c r="F931" s="71"/>
      <c r="G931" s="98"/>
      <c r="H931" s="77"/>
      <c r="I931" s="77"/>
      <c r="J931" s="85"/>
      <c r="K931" s="99">
        <v>0.27079999999999999</v>
      </c>
      <c r="L931" s="107">
        <f t="shared" si="35"/>
        <v>1.4842</v>
      </c>
    </row>
    <row r="932" spans="1:14" s="88" customFormat="1" x14ac:dyDescent="0.2">
      <c r="A932" s="79"/>
      <c r="B932" s="75"/>
      <c r="C932" s="112"/>
      <c r="D932" s="113"/>
      <c r="E932" s="361" t="str">
        <f>E922</f>
        <v>Custo Direto</v>
      </c>
      <c r="F932" s="361"/>
      <c r="G932" s="361"/>
      <c r="H932" s="114">
        <f>SUM(H929:H931)</f>
        <v>4.4900000000000002E-2</v>
      </c>
      <c r="I932" s="114">
        <f>SUM(I928:I931)</f>
        <v>0.74400000000000011</v>
      </c>
      <c r="J932" s="85"/>
      <c r="K932" s="99">
        <v>0.27079999999999999</v>
      </c>
      <c r="L932" s="107">
        <f t="shared" si="35"/>
        <v>1.4842</v>
      </c>
    </row>
    <row r="933" spans="1:14" s="88" customFormat="1" x14ac:dyDescent="0.2">
      <c r="A933" s="79"/>
      <c r="B933" s="75"/>
      <c r="C933" s="112"/>
      <c r="D933" s="113"/>
      <c r="E933" s="361" t="str">
        <f>E923</f>
        <v>LS(%): 148,42</v>
      </c>
      <c r="F933" s="361"/>
      <c r="G933" s="361"/>
      <c r="H933" s="77">
        <f>H932*L933</f>
        <v>6.6640580000000005E-2</v>
      </c>
      <c r="I933" s="82"/>
      <c r="J933" s="85"/>
      <c r="K933" s="99">
        <v>0.27079999999999999</v>
      </c>
      <c r="L933" s="107">
        <f t="shared" si="35"/>
        <v>1.4842</v>
      </c>
    </row>
    <row r="934" spans="1:14" s="88" customFormat="1" x14ac:dyDescent="0.2">
      <c r="A934" s="79"/>
      <c r="B934" s="75"/>
      <c r="C934" s="112"/>
      <c r="D934" s="113"/>
      <c r="E934" s="361" t="str">
        <f>E924</f>
        <v>BDI (%): 27,08</v>
      </c>
      <c r="F934" s="361"/>
      <c r="G934" s="361"/>
      <c r="H934" s="362">
        <f>(H932+I932+H933)*K934</f>
        <v>0.23168038906400004</v>
      </c>
      <c r="I934" s="362"/>
      <c r="J934" s="85"/>
      <c r="K934" s="99">
        <v>0.27079999999999999</v>
      </c>
      <c r="L934" s="107">
        <f t="shared" si="35"/>
        <v>1.4842</v>
      </c>
    </row>
    <row r="935" spans="1:14" s="88" customFormat="1" x14ac:dyDescent="0.2">
      <c r="A935" s="79"/>
      <c r="B935" s="75"/>
      <c r="C935" s="112"/>
      <c r="D935" s="113"/>
      <c r="E935" s="361" t="str">
        <f>E925</f>
        <v>Valor Total c/ Taxas</v>
      </c>
      <c r="F935" s="361"/>
      <c r="G935" s="361"/>
      <c r="H935" s="77"/>
      <c r="I935" s="114">
        <f>(H932+I932+H933+H934)</f>
        <v>1.0872209690640002</v>
      </c>
      <c r="J935" s="85"/>
      <c r="K935" s="99">
        <v>0.27079999999999999</v>
      </c>
      <c r="L935" s="107">
        <f t="shared" si="35"/>
        <v>1.4842</v>
      </c>
      <c r="N935" s="330">
        <v>1.0900000000000001</v>
      </c>
    </row>
    <row r="936" spans="1:14" s="88" customFormat="1" x14ac:dyDescent="0.2">
      <c r="A936" s="79"/>
      <c r="B936" s="75"/>
      <c r="C936" s="112"/>
      <c r="D936" s="113"/>
      <c r="E936" s="77"/>
      <c r="F936" s="71"/>
      <c r="G936" s="98"/>
      <c r="H936" s="77"/>
      <c r="I936" s="77"/>
      <c r="J936" s="85"/>
      <c r="K936" s="99">
        <v>0.27079999999999999</v>
      </c>
      <c r="L936" s="107">
        <f t="shared" si="35"/>
        <v>1.4842</v>
      </c>
    </row>
    <row r="937" spans="1:14" s="88" customFormat="1" x14ac:dyDescent="0.2">
      <c r="A937" s="167"/>
      <c r="B937" s="131" t="str">
        <f>ORÇAMENTO!A161</f>
        <v>12.1.2</v>
      </c>
      <c r="C937" s="96" t="str">
        <f>ORÇAMENTO!B161</f>
        <v>Cabo UTP 4 pares categoria 6</v>
      </c>
      <c r="D937" s="97" t="s">
        <v>355</v>
      </c>
      <c r="E937" s="77"/>
      <c r="F937" s="71"/>
      <c r="G937" s="98"/>
      <c r="H937" s="77"/>
      <c r="I937" s="77"/>
      <c r="J937" s="85"/>
      <c r="K937" s="99">
        <v>0.27079999999999999</v>
      </c>
      <c r="L937" s="107">
        <f t="shared" si="35"/>
        <v>1.4842</v>
      </c>
    </row>
    <row r="938" spans="1:14" s="88" customFormat="1" x14ac:dyDescent="0.2">
      <c r="A938" s="79"/>
      <c r="B938" s="75"/>
      <c r="C938" s="112" t="str">
        <f>C937</f>
        <v>Cabo UTP 4 pares categoria 6</v>
      </c>
      <c r="D938" s="113" t="str">
        <f>D937</f>
        <v>M</v>
      </c>
      <c r="E938" s="77">
        <f>6.27*N12</f>
        <v>6.27</v>
      </c>
      <c r="F938" s="71" t="e">
        <f>#REF!</f>
        <v>#REF!</v>
      </c>
      <c r="G938" s="98">
        <v>0.4</v>
      </c>
      <c r="H938" s="77"/>
      <c r="I938" s="77">
        <f>E938*G938</f>
        <v>2.508</v>
      </c>
      <c r="J938" s="85"/>
      <c r="K938" s="99">
        <v>0.27079999999999999</v>
      </c>
      <c r="L938" s="107">
        <f t="shared" si="35"/>
        <v>1.4842</v>
      </c>
    </row>
    <row r="939" spans="1:14" s="88" customFormat="1" x14ac:dyDescent="0.2">
      <c r="A939" s="79"/>
      <c r="B939" s="75"/>
      <c r="C939" s="112" t="s">
        <v>359</v>
      </c>
      <c r="D939" s="113" t="s">
        <v>336</v>
      </c>
      <c r="E939" s="77">
        <f>5.21*N12</f>
        <v>5.21</v>
      </c>
      <c r="F939" s="71"/>
      <c r="G939" s="98">
        <v>5.0000000000000001E-3</v>
      </c>
      <c r="H939" s="77">
        <f>E939*G939</f>
        <v>2.605E-2</v>
      </c>
      <c r="I939" s="144"/>
      <c r="J939" s="85"/>
      <c r="K939" s="99">
        <v>0.27079999999999999</v>
      </c>
      <c r="L939" s="107">
        <f t="shared" ref="L939:L962" si="39">L938</f>
        <v>1.4842</v>
      </c>
    </row>
    <row r="940" spans="1:14" s="88" customFormat="1" x14ac:dyDescent="0.2">
      <c r="A940" s="79"/>
      <c r="B940" s="75"/>
      <c r="C940" s="112" t="s">
        <v>345</v>
      </c>
      <c r="D940" s="113" t="s">
        <v>336</v>
      </c>
      <c r="E940" s="77">
        <f>3.77*N12</f>
        <v>3.77</v>
      </c>
      <c r="F940" s="71"/>
      <c r="G940" s="98">
        <v>5.0000000000000001E-3</v>
      </c>
      <c r="H940" s="77">
        <f>E940*G940</f>
        <v>1.8850000000000002E-2</v>
      </c>
      <c r="I940" s="144"/>
      <c r="J940" s="85"/>
      <c r="K940" s="99">
        <v>0.27079999999999999</v>
      </c>
      <c r="L940" s="107">
        <f t="shared" si="39"/>
        <v>1.4842</v>
      </c>
    </row>
    <row r="941" spans="1:14" s="88" customFormat="1" x14ac:dyDescent="0.2">
      <c r="A941" s="79"/>
      <c r="B941" s="75"/>
      <c r="C941" s="112"/>
      <c r="D941" s="113"/>
      <c r="E941" s="77"/>
      <c r="F941" s="71"/>
      <c r="G941" s="98"/>
      <c r="H941" s="77"/>
      <c r="I941" s="77"/>
      <c r="J941" s="85"/>
      <c r="K941" s="99">
        <v>0.27079999999999999</v>
      </c>
      <c r="L941" s="107">
        <f t="shared" si="39"/>
        <v>1.4842</v>
      </c>
    </row>
    <row r="942" spans="1:14" s="88" customFormat="1" x14ac:dyDescent="0.2">
      <c r="A942" s="79"/>
      <c r="B942" s="75"/>
      <c r="C942" s="112"/>
      <c r="D942" s="113"/>
      <c r="E942" s="361" t="str">
        <f>E932</f>
        <v>Custo Direto</v>
      </c>
      <c r="F942" s="361"/>
      <c r="G942" s="361"/>
      <c r="H942" s="114">
        <f>SUM(H938:H941)</f>
        <v>4.4900000000000002E-2</v>
      </c>
      <c r="I942" s="114">
        <f>SUM(I938:I941)</f>
        <v>2.508</v>
      </c>
      <c r="J942" s="85"/>
      <c r="K942" s="99">
        <v>0.27079999999999999</v>
      </c>
      <c r="L942" s="107">
        <f t="shared" si="39"/>
        <v>1.4842</v>
      </c>
    </row>
    <row r="943" spans="1:14" s="88" customFormat="1" x14ac:dyDescent="0.2">
      <c r="A943" s="79"/>
      <c r="B943" s="75"/>
      <c r="C943" s="112"/>
      <c r="D943" s="113"/>
      <c r="E943" s="361" t="str">
        <f>E933</f>
        <v>LS(%): 148,42</v>
      </c>
      <c r="F943" s="361"/>
      <c r="G943" s="361"/>
      <c r="H943" s="77">
        <f>H942*L943</f>
        <v>6.6640580000000005E-2</v>
      </c>
      <c r="I943" s="82"/>
      <c r="J943" s="85"/>
      <c r="K943" s="99">
        <v>0.27079999999999999</v>
      </c>
      <c r="L943" s="107">
        <f t="shared" si="39"/>
        <v>1.4842</v>
      </c>
    </row>
    <row r="944" spans="1:14" s="88" customFormat="1" x14ac:dyDescent="0.2">
      <c r="A944" s="79"/>
      <c r="B944" s="75"/>
      <c r="C944" s="112"/>
      <c r="D944" s="113"/>
      <c r="E944" s="361" t="str">
        <f>E934</f>
        <v>BDI (%): 27,08</v>
      </c>
      <c r="F944" s="361"/>
      <c r="G944" s="361"/>
      <c r="H944" s="362">
        <f>(H942+I942+H943)*K944</f>
        <v>0.709371589064</v>
      </c>
      <c r="I944" s="362"/>
      <c r="J944" s="85"/>
      <c r="K944" s="99">
        <v>0.27079999999999999</v>
      </c>
      <c r="L944" s="107">
        <f t="shared" si="39"/>
        <v>1.4842</v>
      </c>
    </row>
    <row r="945" spans="1:14" s="88" customFormat="1" x14ac:dyDescent="0.2">
      <c r="A945" s="79"/>
      <c r="B945" s="75"/>
      <c r="C945" s="112"/>
      <c r="D945" s="113"/>
      <c r="E945" s="361" t="str">
        <f>E935</f>
        <v>Valor Total c/ Taxas</v>
      </c>
      <c r="F945" s="361"/>
      <c r="G945" s="361"/>
      <c r="H945" s="77"/>
      <c r="I945" s="114">
        <f>(H942+I942+H943+H944)</f>
        <v>3.328912169064</v>
      </c>
      <c r="J945" s="85"/>
      <c r="K945" s="99">
        <v>0.27079999999999999</v>
      </c>
      <c r="L945" s="107">
        <f t="shared" si="39"/>
        <v>1.4842</v>
      </c>
      <c r="N945" s="330">
        <v>3.33</v>
      </c>
    </row>
    <row r="946" spans="1:14" s="88" customFormat="1" x14ac:dyDescent="0.2">
      <c r="A946" s="79"/>
      <c r="B946" s="75"/>
      <c r="C946" s="112"/>
      <c r="D946" s="113"/>
      <c r="E946" s="77"/>
      <c r="F946" s="71"/>
      <c r="G946" s="98"/>
      <c r="H946" s="77"/>
      <c r="I946" s="77"/>
      <c r="J946" s="85"/>
      <c r="K946" s="99">
        <v>0.27079999999999999</v>
      </c>
      <c r="L946" s="107">
        <f t="shared" si="39"/>
        <v>1.4842</v>
      </c>
    </row>
    <row r="947" spans="1:14" s="88" customFormat="1" x14ac:dyDescent="0.2">
      <c r="A947" s="169"/>
      <c r="B947" s="97" t="str">
        <f>ORÇAMENTO!A162</f>
        <v>12.1.3</v>
      </c>
      <c r="C947" s="161" t="str">
        <f>ORÇAMENTO!B162</f>
        <v>Obturador com haste padrão TELEBRAS</v>
      </c>
      <c r="D947" s="97" t="s">
        <v>365</v>
      </c>
      <c r="E947" s="77"/>
      <c r="F947" s="71"/>
      <c r="G947" s="98"/>
      <c r="H947" s="77"/>
      <c r="I947" s="77"/>
      <c r="J947" s="85"/>
      <c r="K947" s="99">
        <v>0.27079999999999999</v>
      </c>
      <c r="L947" s="107">
        <f t="shared" si="39"/>
        <v>1.4842</v>
      </c>
    </row>
    <row r="948" spans="1:14" s="88" customFormat="1" x14ac:dyDescent="0.2">
      <c r="A948" s="79"/>
      <c r="B948" s="75"/>
      <c r="C948" s="112" t="str">
        <f>C947</f>
        <v>Obturador com haste padrão TELEBRAS</v>
      </c>
      <c r="D948" s="113" t="str">
        <f>D947</f>
        <v xml:space="preserve">U N </v>
      </c>
      <c r="E948" s="77">
        <f>16.95*N12</f>
        <v>16.95</v>
      </c>
      <c r="F948" s="71">
        <v>19.940000000000001</v>
      </c>
      <c r="G948" s="98">
        <v>0.6</v>
      </c>
      <c r="H948" s="77"/>
      <c r="I948" s="77">
        <f>E948*G948</f>
        <v>10.17</v>
      </c>
      <c r="J948" s="85"/>
      <c r="K948" s="99">
        <v>0.27079999999999999</v>
      </c>
      <c r="L948" s="107">
        <f t="shared" si="39"/>
        <v>1.4842</v>
      </c>
    </row>
    <row r="949" spans="1:14" s="88" customFormat="1" x14ac:dyDescent="0.2">
      <c r="A949" s="79"/>
      <c r="B949" s="75"/>
      <c r="C949" s="112" t="s">
        <v>359</v>
      </c>
      <c r="D949" s="113" t="s">
        <v>336</v>
      </c>
      <c r="E949" s="77">
        <f>5.21*N12</f>
        <v>5.21</v>
      </c>
      <c r="F949" s="71"/>
      <c r="G949" s="98">
        <v>5.0000000000000001E-3</v>
      </c>
      <c r="H949" s="77">
        <f>E949*G949</f>
        <v>2.605E-2</v>
      </c>
      <c r="I949" s="144"/>
      <c r="J949" s="85"/>
      <c r="K949" s="99">
        <v>0.27079999999999999</v>
      </c>
      <c r="L949" s="107">
        <f t="shared" si="39"/>
        <v>1.4842</v>
      </c>
    </row>
    <row r="950" spans="1:14" s="88" customFormat="1" x14ac:dyDescent="0.2">
      <c r="A950" s="79"/>
      <c r="B950" s="75"/>
      <c r="C950" s="112" t="s">
        <v>345</v>
      </c>
      <c r="D950" s="113" t="s">
        <v>336</v>
      </c>
      <c r="E950" s="77">
        <f>3.77*N12</f>
        <v>3.77</v>
      </c>
      <c r="F950" s="71"/>
      <c r="G950" s="98">
        <v>5.0000000000000001E-3</v>
      </c>
      <c r="H950" s="77">
        <f>E950*G950</f>
        <v>1.8850000000000002E-2</v>
      </c>
      <c r="I950" s="144"/>
      <c r="J950" s="85"/>
      <c r="K950" s="99">
        <v>0.27079999999999999</v>
      </c>
      <c r="L950" s="107">
        <f t="shared" si="39"/>
        <v>1.4842</v>
      </c>
    </row>
    <row r="951" spans="1:14" s="88" customFormat="1" x14ac:dyDescent="0.2">
      <c r="A951" s="79"/>
      <c r="B951" s="75"/>
      <c r="C951" s="112"/>
      <c r="D951" s="113"/>
      <c r="E951" s="77"/>
      <c r="F951" s="71"/>
      <c r="G951" s="98"/>
      <c r="H951" s="77"/>
      <c r="I951" s="77"/>
      <c r="J951" s="85"/>
      <c r="K951" s="99">
        <v>0.27079999999999999</v>
      </c>
      <c r="L951" s="107">
        <f t="shared" si="39"/>
        <v>1.4842</v>
      </c>
    </row>
    <row r="952" spans="1:14" s="88" customFormat="1" x14ac:dyDescent="0.2">
      <c r="A952" s="79"/>
      <c r="B952" s="75"/>
      <c r="C952" s="112"/>
      <c r="D952" s="113"/>
      <c r="E952" s="361" t="str">
        <f>E942</f>
        <v>Custo Direto</v>
      </c>
      <c r="F952" s="361"/>
      <c r="G952" s="361"/>
      <c r="H952" s="114">
        <f>SUM(H947:H951)</f>
        <v>4.4900000000000002E-2</v>
      </c>
      <c r="I952" s="114">
        <f>SUM(I947:I951)</f>
        <v>10.17</v>
      </c>
      <c r="J952" s="85"/>
      <c r="K952" s="99">
        <v>0.27079999999999999</v>
      </c>
      <c r="L952" s="107">
        <f t="shared" si="39"/>
        <v>1.4842</v>
      </c>
    </row>
    <row r="953" spans="1:14" s="88" customFormat="1" x14ac:dyDescent="0.2">
      <c r="A953" s="79"/>
      <c r="B953" s="75"/>
      <c r="C953" s="112"/>
      <c r="D953" s="113"/>
      <c r="E953" s="361" t="str">
        <f t="shared" ref="E953:E955" si="40">E943</f>
        <v>LS(%): 148,42</v>
      </c>
      <c r="F953" s="361"/>
      <c r="G953" s="361"/>
      <c r="H953" s="77">
        <f>H952*L953</f>
        <v>6.6640580000000005E-2</v>
      </c>
      <c r="I953" s="82"/>
      <c r="J953" s="85"/>
      <c r="K953" s="99">
        <v>0.27079999999999999</v>
      </c>
      <c r="L953" s="107">
        <f t="shared" si="39"/>
        <v>1.4842</v>
      </c>
    </row>
    <row r="954" spans="1:14" s="88" customFormat="1" x14ac:dyDescent="0.2">
      <c r="A954" s="79"/>
      <c r="B954" s="75"/>
      <c r="C954" s="112"/>
      <c r="D954" s="113"/>
      <c r="E954" s="361" t="str">
        <f t="shared" si="40"/>
        <v>BDI (%): 27,08</v>
      </c>
      <c r="F954" s="361"/>
      <c r="G954" s="361"/>
      <c r="H954" s="170">
        <f>(H952+I952+H953)*K954</f>
        <v>2.7842411890639998</v>
      </c>
      <c r="I954" s="170"/>
      <c r="J954" s="85"/>
      <c r="K954" s="99">
        <v>0.27079999999999999</v>
      </c>
      <c r="L954" s="107">
        <f t="shared" si="39"/>
        <v>1.4842</v>
      </c>
    </row>
    <row r="955" spans="1:14" s="88" customFormat="1" x14ac:dyDescent="0.2">
      <c r="A955" s="79"/>
      <c r="B955" s="75"/>
      <c r="C955" s="112"/>
      <c r="D955" s="113"/>
      <c r="E955" s="361" t="str">
        <f t="shared" si="40"/>
        <v>Valor Total c/ Taxas</v>
      </c>
      <c r="F955" s="361"/>
      <c r="G955" s="361"/>
      <c r="H955" s="77"/>
      <c r="I955" s="114">
        <f>(H952+I952+H953+H954)</f>
        <v>13.065781769063999</v>
      </c>
      <c r="J955" s="85"/>
      <c r="K955" s="99">
        <v>0.27079999999999999</v>
      </c>
      <c r="L955" s="107">
        <f t="shared" si="39"/>
        <v>1.4842</v>
      </c>
      <c r="N955" s="330">
        <v>13.07</v>
      </c>
    </row>
    <row r="956" spans="1:14" s="88" customFormat="1" x14ac:dyDescent="0.2">
      <c r="A956" s="79"/>
      <c r="B956" s="75"/>
      <c r="C956" s="112"/>
      <c r="D956" s="113"/>
      <c r="E956" s="77"/>
      <c r="F956" s="71"/>
      <c r="G956" s="98"/>
      <c r="H956" s="77"/>
      <c r="I956" s="77"/>
      <c r="J956" s="85"/>
      <c r="K956" s="99">
        <v>0.27079999999999999</v>
      </c>
      <c r="L956" s="107">
        <f t="shared" si="39"/>
        <v>1.4842</v>
      </c>
    </row>
    <row r="957" spans="1:14" s="88" customFormat="1" x14ac:dyDescent="0.2">
      <c r="A957" s="79"/>
      <c r="B957" s="75"/>
      <c r="C957" s="112"/>
      <c r="D957" s="113"/>
      <c r="E957" s="77"/>
      <c r="F957" s="71"/>
      <c r="G957" s="98"/>
      <c r="H957" s="77"/>
      <c r="I957" s="77"/>
      <c r="J957" s="85"/>
      <c r="K957" s="99">
        <v>0.27079999999999999</v>
      </c>
      <c r="L957" s="107">
        <f t="shared" si="39"/>
        <v>1.4842</v>
      </c>
    </row>
    <row r="958" spans="1:14" s="147" customFormat="1" x14ac:dyDescent="0.2">
      <c r="A958" s="175"/>
      <c r="B958" s="171" t="str">
        <f>ORÇAMENTO!A163</f>
        <v>12.1.4</v>
      </c>
      <c r="C958" s="172" t="str">
        <f>ORÇAMENTO!B163</f>
        <v>Conector RJ45 (fêmea), para lógica</v>
      </c>
      <c r="D958" s="171" t="str">
        <f>D947</f>
        <v xml:space="preserve">U N </v>
      </c>
      <c r="E958" s="77"/>
      <c r="F958" s="71"/>
      <c r="G958" s="98"/>
      <c r="H958" s="77"/>
      <c r="I958" s="77"/>
      <c r="J958" s="146"/>
      <c r="K958" s="99">
        <v>0.27079999999999999</v>
      </c>
      <c r="L958" s="107">
        <f t="shared" si="39"/>
        <v>1.4842</v>
      </c>
    </row>
    <row r="959" spans="1:14" s="88" customFormat="1" x14ac:dyDescent="0.2">
      <c r="A959" s="79"/>
      <c r="B959" s="75"/>
      <c r="C959" s="173" t="str">
        <f>C958</f>
        <v>Conector RJ45 (fêmea), para lógica</v>
      </c>
      <c r="D959" s="174" t="str">
        <f>D958</f>
        <v xml:space="preserve">U N </v>
      </c>
      <c r="E959" s="77">
        <f>8.4*N12</f>
        <v>8.4</v>
      </c>
      <c r="F959" s="71" t="e">
        <f>F938</f>
        <v>#REF!</v>
      </c>
      <c r="G959" s="98">
        <v>1</v>
      </c>
      <c r="H959" s="77"/>
      <c r="I959" s="77">
        <f>E959*G959</f>
        <v>8.4</v>
      </c>
      <c r="J959" s="85"/>
      <c r="K959" s="99">
        <v>0.27079999999999999</v>
      </c>
      <c r="L959" s="107">
        <f t="shared" si="39"/>
        <v>1.4842</v>
      </c>
    </row>
    <row r="960" spans="1:14" s="88" customFormat="1" x14ac:dyDescent="0.2">
      <c r="A960" s="79"/>
      <c r="B960" s="75"/>
      <c r="C960" s="112" t="s">
        <v>359</v>
      </c>
      <c r="D960" s="113" t="s">
        <v>336</v>
      </c>
      <c r="E960" s="77">
        <f>5.21*N12</f>
        <v>5.21</v>
      </c>
      <c r="F960" s="71"/>
      <c r="G960" s="98">
        <v>0.05</v>
      </c>
      <c r="H960" s="77">
        <f>E960*G960</f>
        <v>0.26050000000000001</v>
      </c>
      <c r="I960" s="144"/>
      <c r="J960" s="85"/>
      <c r="K960" s="99">
        <v>0.27079999999999999</v>
      </c>
      <c r="L960" s="107">
        <f t="shared" si="39"/>
        <v>1.4842</v>
      </c>
    </row>
    <row r="961" spans="1:14" s="88" customFormat="1" x14ac:dyDescent="0.2">
      <c r="A961" s="79"/>
      <c r="B961" s="75"/>
      <c r="C961" s="112" t="s">
        <v>345</v>
      </c>
      <c r="D961" s="113" t="s">
        <v>336</v>
      </c>
      <c r="E961" s="77">
        <f>3.77*N12</f>
        <v>3.77</v>
      </c>
      <c r="F961" s="71"/>
      <c r="G961" s="98">
        <v>0.05</v>
      </c>
      <c r="H961" s="77">
        <f>E961*G961</f>
        <v>0.1885</v>
      </c>
      <c r="I961" s="144"/>
      <c r="J961" s="85"/>
      <c r="K961" s="99">
        <v>0.27079999999999999</v>
      </c>
      <c r="L961" s="107">
        <f t="shared" si="39"/>
        <v>1.4842</v>
      </c>
    </row>
    <row r="962" spans="1:14" s="88" customFormat="1" x14ac:dyDescent="0.2">
      <c r="A962" s="79"/>
      <c r="B962" s="75"/>
      <c r="C962" s="112"/>
      <c r="D962" s="113"/>
      <c r="E962" s="77"/>
      <c r="F962" s="71"/>
      <c r="G962" s="98"/>
      <c r="H962" s="77"/>
      <c r="I962" s="77"/>
      <c r="J962" s="85"/>
      <c r="K962" s="99">
        <v>0.27079999999999999</v>
      </c>
      <c r="L962" s="107">
        <f t="shared" si="39"/>
        <v>1.4842</v>
      </c>
    </row>
    <row r="963" spans="1:14" s="88" customFormat="1" x14ac:dyDescent="0.2">
      <c r="A963" s="79"/>
      <c r="B963" s="75"/>
      <c r="C963" s="112"/>
      <c r="D963" s="113"/>
      <c r="E963" s="361" t="str">
        <f>E952</f>
        <v>Custo Direto</v>
      </c>
      <c r="F963" s="361"/>
      <c r="G963" s="361"/>
      <c r="H963" s="114">
        <f>SUM(H959:H962)</f>
        <v>0.44900000000000001</v>
      </c>
      <c r="I963" s="77"/>
      <c r="J963" s="85"/>
      <c r="K963" s="99">
        <v>0.27079999999999999</v>
      </c>
      <c r="L963" s="107"/>
    </row>
    <row r="964" spans="1:14" s="88" customFormat="1" x14ac:dyDescent="0.2">
      <c r="A964" s="79"/>
      <c r="B964" s="75"/>
      <c r="C964" s="112"/>
      <c r="D964" s="113"/>
      <c r="E964" s="361" t="str">
        <f>E953</f>
        <v>LS(%): 148,42</v>
      </c>
      <c r="F964" s="361"/>
      <c r="G964" s="361"/>
      <c r="H964" s="77">
        <f>H963*L964</f>
        <v>0.66640580000000005</v>
      </c>
      <c r="I964" s="114">
        <f>SUM(I959:I962)</f>
        <v>8.4</v>
      </c>
      <c r="J964" s="85"/>
      <c r="K964" s="99">
        <v>0.27079999999999999</v>
      </c>
      <c r="L964" s="107">
        <f t="shared" ref="L964" si="41">L962</f>
        <v>1.4842</v>
      </c>
    </row>
    <row r="965" spans="1:14" s="88" customFormat="1" x14ac:dyDescent="0.2">
      <c r="A965" s="79"/>
      <c r="B965" s="75"/>
      <c r="C965" s="112"/>
      <c r="D965" s="113"/>
      <c r="E965" s="361" t="str">
        <f>E954</f>
        <v>BDI (%): 27,08</v>
      </c>
      <c r="F965" s="361"/>
      <c r="G965" s="361"/>
      <c r="H965" s="77">
        <f>H964*K965</f>
        <v>0.18046269064000001</v>
      </c>
      <c r="I965" s="82"/>
      <c r="J965" s="85"/>
      <c r="K965" s="99">
        <v>0.27079999999999999</v>
      </c>
      <c r="L965" s="107">
        <f t="shared" ref="L965:L1028" si="42">L964</f>
        <v>1.4842</v>
      </c>
    </row>
    <row r="966" spans="1:14" s="88" customFormat="1" x14ac:dyDescent="0.2">
      <c r="A966" s="79"/>
      <c r="B966" s="75"/>
      <c r="C966" s="112"/>
      <c r="D966" s="113"/>
      <c r="E966" s="361" t="str">
        <f>E955</f>
        <v>Valor Total c/ Taxas</v>
      </c>
      <c r="F966" s="361"/>
      <c r="G966" s="361"/>
      <c r="H966" s="373">
        <f>(H963+H964+I964+H965)</f>
        <v>9.6958684906400006</v>
      </c>
      <c r="I966" s="373"/>
      <c r="J966" s="85"/>
      <c r="K966" s="99">
        <v>0.27079999999999999</v>
      </c>
      <c r="L966" s="107">
        <f t="shared" si="42"/>
        <v>1.4842</v>
      </c>
      <c r="N966" s="330">
        <v>9.6999999999999993</v>
      </c>
    </row>
    <row r="967" spans="1:14" s="88" customFormat="1" x14ac:dyDescent="0.2">
      <c r="A967" s="79"/>
      <c r="B967" s="75"/>
      <c r="C967" s="112"/>
      <c r="D967" s="113"/>
      <c r="E967" s="77"/>
      <c r="F967" s="71"/>
      <c r="G967" s="98"/>
      <c r="H967" s="77"/>
      <c r="I967" s="77"/>
      <c r="J967" s="85"/>
      <c r="K967" s="99">
        <v>0.27079999999999999</v>
      </c>
      <c r="L967" s="107">
        <f t="shared" si="42"/>
        <v>1.4842</v>
      </c>
    </row>
    <row r="968" spans="1:14" s="147" customFormat="1" x14ac:dyDescent="0.2">
      <c r="A968" s="175"/>
      <c r="B968" s="171" t="str">
        <f>ORÇAMENTO!A164</f>
        <v>12.1.5</v>
      </c>
      <c r="C968" s="172" t="str">
        <f>ORÇAMENTO!B164</f>
        <v>Espelho plástico RJ 11/ RJ 45 2 X 4'', 2 saidas</v>
      </c>
      <c r="D968" s="171" t="str">
        <f>D958</f>
        <v xml:space="preserve">U N </v>
      </c>
      <c r="E968" s="77"/>
      <c r="F968" s="71"/>
      <c r="G968" s="98"/>
      <c r="H968" s="77"/>
      <c r="I968" s="77"/>
      <c r="J968" s="146"/>
      <c r="K968" s="99">
        <v>0.27079999999999999</v>
      </c>
      <c r="L968" s="107">
        <f t="shared" si="42"/>
        <v>1.4842</v>
      </c>
    </row>
    <row r="969" spans="1:14" s="88" customFormat="1" x14ac:dyDescent="0.2">
      <c r="A969" s="79"/>
      <c r="B969" s="75"/>
      <c r="C969" s="173" t="str">
        <f>C968</f>
        <v>Espelho plástico RJ 11/ RJ 45 2 X 4'', 2 saidas</v>
      </c>
      <c r="D969" s="174" t="str">
        <f>D959</f>
        <v xml:space="preserve">U N </v>
      </c>
      <c r="E969" s="77">
        <f>4.7*N12</f>
        <v>4.7</v>
      </c>
      <c r="F969" s="71" t="e">
        <f>F938</f>
        <v>#REF!</v>
      </c>
      <c r="G969" s="98">
        <v>1</v>
      </c>
      <c r="H969" s="77"/>
      <c r="I969" s="77">
        <f>E969*G969</f>
        <v>4.7</v>
      </c>
      <c r="J969" s="85"/>
      <c r="K969" s="99">
        <v>0.27079999999999999</v>
      </c>
      <c r="L969" s="107">
        <f t="shared" si="42"/>
        <v>1.4842</v>
      </c>
    </row>
    <row r="970" spans="1:14" s="88" customFormat="1" x14ac:dyDescent="0.2">
      <c r="A970" s="79"/>
      <c r="B970" s="75"/>
      <c r="C970" s="112" t="s">
        <v>359</v>
      </c>
      <c r="D970" s="113" t="s">
        <v>336</v>
      </c>
      <c r="E970" s="77">
        <f>5.21*N12</f>
        <v>5.21</v>
      </c>
      <c r="F970" s="71"/>
      <c r="G970" s="98">
        <v>5.0000000000000001E-3</v>
      </c>
      <c r="H970" s="77">
        <f>E970*G970</f>
        <v>2.605E-2</v>
      </c>
      <c r="I970" s="144"/>
      <c r="J970" s="85"/>
      <c r="K970" s="99">
        <v>0.27079999999999999</v>
      </c>
      <c r="L970" s="107">
        <f t="shared" si="42"/>
        <v>1.4842</v>
      </c>
    </row>
    <row r="971" spans="1:14" s="88" customFormat="1" x14ac:dyDescent="0.2">
      <c r="A971" s="79"/>
      <c r="B971" s="75"/>
      <c r="C971" s="112" t="s">
        <v>345</v>
      </c>
      <c r="D971" s="113" t="s">
        <v>336</v>
      </c>
      <c r="E971" s="77">
        <f>3.77*N12</f>
        <v>3.77</v>
      </c>
      <c r="F971" s="71"/>
      <c r="G971" s="98">
        <v>5.0000000000000001E-3</v>
      </c>
      <c r="H971" s="77">
        <f>E971*G971</f>
        <v>1.8850000000000002E-2</v>
      </c>
      <c r="I971" s="144"/>
      <c r="J971" s="85"/>
      <c r="K971" s="99">
        <v>0.27079999999999999</v>
      </c>
      <c r="L971" s="107">
        <f t="shared" si="42"/>
        <v>1.4842</v>
      </c>
    </row>
    <row r="972" spans="1:14" s="88" customFormat="1" x14ac:dyDescent="0.2">
      <c r="A972" s="79"/>
      <c r="B972" s="75"/>
      <c r="C972" s="112"/>
      <c r="D972" s="113"/>
      <c r="E972" s="77"/>
      <c r="F972" s="71"/>
      <c r="G972" s="98"/>
      <c r="H972" s="77"/>
      <c r="I972" s="77"/>
      <c r="J972" s="85"/>
      <c r="K972" s="99">
        <v>0.27079999999999999</v>
      </c>
      <c r="L972" s="107">
        <f t="shared" si="42"/>
        <v>1.4842</v>
      </c>
    </row>
    <row r="973" spans="1:14" s="88" customFormat="1" x14ac:dyDescent="0.2">
      <c r="A973" s="79"/>
      <c r="B973" s="75"/>
      <c r="C973" s="112"/>
      <c r="D973" s="113"/>
      <c r="E973" s="361" t="str">
        <f>E963</f>
        <v>Custo Direto</v>
      </c>
      <c r="F973" s="361"/>
      <c r="G973" s="361"/>
      <c r="H973" s="114">
        <f>SUM(H969:H972)</f>
        <v>4.4900000000000002E-2</v>
      </c>
      <c r="I973" s="77"/>
      <c r="J973" s="85"/>
      <c r="K973" s="99">
        <v>0.27079999999999999</v>
      </c>
      <c r="L973" s="107">
        <f t="shared" si="42"/>
        <v>1.4842</v>
      </c>
    </row>
    <row r="974" spans="1:14" s="88" customFormat="1" x14ac:dyDescent="0.2">
      <c r="A974" s="79"/>
      <c r="B974" s="75"/>
      <c r="C974" s="112"/>
      <c r="D974" s="113"/>
      <c r="E974" s="361" t="str">
        <f>E964</f>
        <v>LS(%): 148,42</v>
      </c>
      <c r="F974" s="361"/>
      <c r="G974" s="361"/>
      <c r="H974" s="77">
        <f>H973*L974</f>
        <v>6.6640580000000005E-2</v>
      </c>
      <c r="I974" s="114">
        <f>SUM(I969:I972)</f>
        <v>4.7</v>
      </c>
      <c r="J974" s="85"/>
      <c r="K974" s="99">
        <v>0.27079999999999999</v>
      </c>
      <c r="L974" s="107">
        <f t="shared" si="42"/>
        <v>1.4842</v>
      </c>
    </row>
    <row r="975" spans="1:14" s="88" customFormat="1" x14ac:dyDescent="0.2">
      <c r="A975" s="79"/>
      <c r="B975" s="75"/>
      <c r="C975" s="112"/>
      <c r="D975" s="113"/>
      <c r="E975" s="361" t="str">
        <f>E965</f>
        <v>BDI (%): 27,08</v>
      </c>
      <c r="F975" s="361"/>
      <c r="G975" s="361"/>
      <c r="H975" s="77">
        <f>H974*K975</f>
        <v>1.8046269064E-2</v>
      </c>
      <c r="I975" s="82"/>
      <c r="J975" s="85"/>
      <c r="K975" s="99">
        <v>0.27079999999999999</v>
      </c>
      <c r="L975" s="107">
        <f t="shared" si="42"/>
        <v>1.4842</v>
      </c>
    </row>
    <row r="976" spans="1:14" s="88" customFormat="1" x14ac:dyDescent="0.2">
      <c r="A976" s="79"/>
      <c r="B976" s="75"/>
      <c r="C976" s="112"/>
      <c r="D976" s="113"/>
      <c r="E976" s="361" t="str">
        <f>E966</f>
        <v>Valor Total c/ Taxas</v>
      </c>
      <c r="F976" s="361"/>
      <c r="G976" s="361"/>
      <c r="H976" s="373">
        <f>(H973+H974+I974+H975)</f>
        <v>4.8295868490640004</v>
      </c>
      <c r="I976" s="373"/>
      <c r="J976" s="85"/>
      <c r="K976" s="99">
        <v>0.27079999999999999</v>
      </c>
      <c r="L976" s="107">
        <f t="shared" si="42"/>
        <v>1.4842</v>
      </c>
      <c r="N976" s="330">
        <v>4.83</v>
      </c>
    </row>
    <row r="977" spans="1:14" s="88" customFormat="1" x14ac:dyDescent="0.2">
      <c r="A977" s="79"/>
      <c r="B977" s="75"/>
      <c r="C977" s="112"/>
      <c r="D977" s="113"/>
      <c r="E977" s="77"/>
      <c r="F977" s="71"/>
      <c r="G977" s="98"/>
      <c r="H977" s="77"/>
      <c r="I977" s="77"/>
      <c r="J977" s="85"/>
      <c r="K977" s="99">
        <v>0.27079999999999999</v>
      </c>
      <c r="L977" s="107">
        <f t="shared" si="42"/>
        <v>1.4842</v>
      </c>
    </row>
    <row r="978" spans="1:14" s="88" customFormat="1" ht="25.5" x14ac:dyDescent="0.2">
      <c r="A978" s="157"/>
      <c r="B978" s="163" t="str">
        <f>ORÇAMENTO!A165</f>
        <v>12.1.6</v>
      </c>
      <c r="C978" s="96" t="str">
        <f>ORÇAMENTO!B165</f>
        <v>Tomada para telefone de 4 pólos padrão Telebras - fornecimento e instalação</v>
      </c>
      <c r="D978" s="171" t="str">
        <f>D968</f>
        <v xml:space="preserve">U N </v>
      </c>
      <c r="E978" s="77"/>
      <c r="F978" s="71"/>
      <c r="G978" s="98"/>
      <c r="H978" s="77"/>
      <c r="I978" s="77"/>
      <c r="J978" s="85"/>
      <c r="K978" s="99">
        <v>0.27079999999999999</v>
      </c>
      <c r="L978" s="107">
        <f t="shared" si="42"/>
        <v>1.4842</v>
      </c>
    </row>
    <row r="979" spans="1:14" s="88" customFormat="1" ht="25.5" x14ac:dyDescent="0.2">
      <c r="A979" s="79"/>
      <c r="B979" s="75"/>
      <c r="C979" s="112" t="str">
        <f>C978</f>
        <v>Tomada para telefone de 4 pólos padrão Telebras - fornecimento e instalação</v>
      </c>
      <c r="D979" s="113" t="s">
        <v>346</v>
      </c>
      <c r="E979" s="77">
        <f>6.81*N12</f>
        <v>6.81</v>
      </c>
      <c r="F979" s="71">
        <v>2.23</v>
      </c>
      <c r="G979" s="98">
        <v>1</v>
      </c>
      <c r="H979" s="77"/>
      <c r="I979" s="77">
        <f>E979*G979</f>
        <v>6.81</v>
      </c>
      <c r="J979" s="85"/>
      <c r="K979" s="99">
        <v>0.27079999999999999</v>
      </c>
      <c r="L979" s="107">
        <f t="shared" si="42"/>
        <v>1.4842</v>
      </c>
    </row>
    <row r="980" spans="1:14" s="88" customFormat="1" x14ac:dyDescent="0.2">
      <c r="A980" s="79"/>
      <c r="B980" s="75"/>
      <c r="C980" s="112" t="s">
        <v>359</v>
      </c>
      <c r="D980" s="113" t="s">
        <v>336</v>
      </c>
      <c r="E980" s="77">
        <f>5.21*N12</f>
        <v>5.21</v>
      </c>
      <c r="F980" s="176"/>
      <c r="G980" s="98">
        <v>0.1</v>
      </c>
      <c r="H980" s="77">
        <f>E980*G980</f>
        <v>0.52100000000000002</v>
      </c>
      <c r="I980" s="144"/>
      <c r="J980" s="85"/>
      <c r="K980" s="99">
        <v>0.27079999999999999</v>
      </c>
      <c r="L980" s="107">
        <f t="shared" si="42"/>
        <v>1.4842</v>
      </c>
    </row>
    <row r="981" spans="1:14" s="88" customFormat="1" x14ac:dyDescent="0.2">
      <c r="A981" s="79"/>
      <c r="B981" s="75"/>
      <c r="C981" s="112" t="s">
        <v>345</v>
      </c>
      <c r="D981" s="113" t="s">
        <v>336</v>
      </c>
      <c r="E981" s="77">
        <f>3.77*N12</f>
        <v>3.77</v>
      </c>
      <c r="F981" s="176"/>
      <c r="G981" s="98">
        <v>0.1</v>
      </c>
      <c r="H981" s="77">
        <f>E981*G981</f>
        <v>0.377</v>
      </c>
      <c r="I981" s="144"/>
      <c r="J981" s="85"/>
      <c r="K981" s="99">
        <v>0.27079999999999999</v>
      </c>
      <c r="L981" s="107">
        <f t="shared" si="42"/>
        <v>1.4842</v>
      </c>
    </row>
    <row r="982" spans="1:14" s="88" customFormat="1" x14ac:dyDescent="0.2">
      <c r="A982" s="79"/>
      <c r="B982" s="75"/>
      <c r="C982" s="112"/>
      <c r="D982" s="113"/>
      <c r="E982" s="77"/>
      <c r="F982" s="71"/>
      <c r="G982" s="98"/>
      <c r="H982" s="77"/>
      <c r="I982" s="77"/>
      <c r="J982" s="85"/>
      <c r="K982" s="99">
        <v>0.27079999999999999</v>
      </c>
      <c r="L982" s="107">
        <f t="shared" si="42"/>
        <v>1.4842</v>
      </c>
    </row>
    <row r="983" spans="1:14" s="88" customFormat="1" x14ac:dyDescent="0.2">
      <c r="A983" s="79"/>
      <c r="B983" s="75"/>
      <c r="C983" s="112"/>
      <c r="D983" s="113"/>
      <c r="E983" s="361" t="str">
        <f>E942</f>
        <v>Custo Direto</v>
      </c>
      <c r="F983" s="361"/>
      <c r="G983" s="361"/>
      <c r="H983" s="114">
        <f>SUM(H978:H982)</f>
        <v>0.89800000000000002</v>
      </c>
      <c r="I983" s="114">
        <f>SUM(I979:I982)</f>
        <v>6.81</v>
      </c>
      <c r="J983" s="85"/>
      <c r="K983" s="99">
        <v>0.27079999999999999</v>
      </c>
      <c r="L983" s="107">
        <f t="shared" si="42"/>
        <v>1.4842</v>
      </c>
    </row>
    <row r="984" spans="1:14" s="88" customFormat="1" x14ac:dyDescent="0.2">
      <c r="A984" s="79"/>
      <c r="B984" s="75"/>
      <c r="C984" s="112"/>
      <c r="D984" s="113"/>
      <c r="E984" s="361" t="str">
        <f>E943</f>
        <v>LS(%): 148,42</v>
      </c>
      <c r="F984" s="361"/>
      <c r="G984" s="361"/>
      <c r="H984" s="77">
        <f>SUM(H983)*L984</f>
        <v>1.3328116000000001</v>
      </c>
      <c r="I984" s="82"/>
      <c r="J984" s="85"/>
      <c r="K984" s="99">
        <v>0.27079999999999999</v>
      </c>
      <c r="L984" s="107">
        <f t="shared" si="42"/>
        <v>1.4842</v>
      </c>
    </row>
    <row r="985" spans="1:14" s="88" customFormat="1" x14ac:dyDescent="0.2">
      <c r="A985" s="79"/>
      <c r="B985" s="75"/>
      <c r="C985" s="112"/>
      <c r="D985" s="113"/>
      <c r="E985" s="361" t="str">
        <f>E944</f>
        <v>BDI (%): 27,08</v>
      </c>
      <c r="F985" s="361"/>
      <c r="G985" s="361"/>
      <c r="H985" s="362">
        <f>(H983+I983+H984)*K985</f>
        <v>2.4482517812799998</v>
      </c>
      <c r="I985" s="362"/>
      <c r="J985" s="85"/>
      <c r="K985" s="99">
        <v>0.27079999999999999</v>
      </c>
      <c r="L985" s="107">
        <f t="shared" si="42"/>
        <v>1.4842</v>
      </c>
    </row>
    <row r="986" spans="1:14" s="88" customFormat="1" x14ac:dyDescent="0.2">
      <c r="A986" s="79"/>
      <c r="B986" s="75"/>
      <c r="C986" s="112"/>
      <c r="D986" s="113"/>
      <c r="E986" s="361" t="str">
        <f>E945</f>
        <v>Valor Total c/ Taxas</v>
      </c>
      <c r="F986" s="361"/>
      <c r="G986" s="361"/>
      <c r="H986" s="77"/>
      <c r="I986" s="114">
        <f>(H983+I983+H984+H985)</f>
        <v>11.489063381279999</v>
      </c>
      <c r="J986" s="85"/>
      <c r="K986" s="99">
        <v>0.27079999999999999</v>
      </c>
      <c r="L986" s="107">
        <f t="shared" si="42"/>
        <v>1.4842</v>
      </c>
      <c r="N986" s="330">
        <v>11.49</v>
      </c>
    </row>
    <row r="987" spans="1:14" s="88" customFormat="1" x14ac:dyDescent="0.2">
      <c r="A987" s="79"/>
      <c r="B987" s="75"/>
      <c r="C987" s="112"/>
      <c r="D987" s="113"/>
      <c r="E987" s="77"/>
      <c r="F987" s="71"/>
      <c r="G987" s="98"/>
      <c r="H987" s="77"/>
      <c r="I987" s="77"/>
      <c r="J987" s="85"/>
      <c r="K987" s="99">
        <v>0.27079999999999999</v>
      </c>
      <c r="L987" s="107">
        <f t="shared" si="42"/>
        <v>1.4842</v>
      </c>
    </row>
    <row r="988" spans="1:14" s="88" customFormat="1" x14ac:dyDescent="0.2">
      <c r="A988" s="119"/>
      <c r="B988" s="131" t="str">
        <f>ORÇAMENTO!A169</f>
        <v>13.1.1</v>
      </c>
      <c r="C988" s="96" t="str">
        <f>ORÇAMENTO!B169</f>
        <v>Muro em cobogó h=1,80m -Padrão FNDE</v>
      </c>
      <c r="D988" s="97" t="s">
        <v>355</v>
      </c>
      <c r="E988" s="77"/>
      <c r="F988" s="71"/>
      <c r="G988" s="98"/>
      <c r="H988" s="77"/>
      <c r="I988" s="77"/>
      <c r="J988" s="85"/>
      <c r="K988" s="99">
        <v>0.27079999999999999</v>
      </c>
      <c r="L988" s="107">
        <f t="shared" si="42"/>
        <v>1.4842</v>
      </c>
    </row>
    <row r="989" spans="1:14" s="88" customFormat="1" x14ac:dyDescent="0.2">
      <c r="A989" s="79"/>
      <c r="B989" s="75"/>
      <c r="C989" s="112" t="str">
        <f>C988</f>
        <v>Muro em cobogó h=1,80m -Padrão FNDE</v>
      </c>
      <c r="D989" s="113" t="s">
        <v>355</v>
      </c>
      <c r="E989" s="77">
        <f>35.95*N12</f>
        <v>35.950000000000003</v>
      </c>
      <c r="F989" s="71">
        <v>2.37</v>
      </c>
      <c r="G989" s="98">
        <v>1</v>
      </c>
      <c r="H989" s="77"/>
      <c r="I989" s="77">
        <f>E989*G989</f>
        <v>35.950000000000003</v>
      </c>
      <c r="J989" s="85"/>
      <c r="K989" s="99">
        <v>0.27079999999999999</v>
      </c>
      <c r="L989" s="107">
        <f t="shared" si="42"/>
        <v>1.4842</v>
      </c>
    </row>
    <row r="990" spans="1:14" s="88" customFormat="1" x14ac:dyDescent="0.2">
      <c r="A990" s="79"/>
      <c r="B990" s="75"/>
      <c r="C990" s="112" t="s">
        <v>361</v>
      </c>
      <c r="D990" s="113" t="s">
        <v>336</v>
      </c>
      <c r="E990" s="77">
        <f>5.21*N12</f>
        <v>5.21</v>
      </c>
      <c r="F990" s="176"/>
      <c r="G990" s="98">
        <v>1</v>
      </c>
      <c r="H990" s="77">
        <f>E990*G990</f>
        <v>5.21</v>
      </c>
      <c r="I990" s="144"/>
      <c r="J990" s="85"/>
      <c r="K990" s="99">
        <v>0.27079999999999999</v>
      </c>
      <c r="L990" s="107">
        <f t="shared" si="42"/>
        <v>1.4842</v>
      </c>
    </row>
    <row r="991" spans="1:14" s="88" customFormat="1" x14ac:dyDescent="0.2">
      <c r="A991" s="79"/>
      <c r="B991" s="75"/>
      <c r="C991" s="112" t="s">
        <v>345</v>
      </c>
      <c r="D991" s="113" t="s">
        <v>336</v>
      </c>
      <c r="E991" s="77">
        <f>3.77*N12</f>
        <v>3.77</v>
      </c>
      <c r="F991" s="176"/>
      <c r="G991" s="98">
        <v>1</v>
      </c>
      <c r="H991" s="77">
        <f>E991*G991</f>
        <v>3.77</v>
      </c>
      <c r="I991" s="144"/>
      <c r="J991" s="85"/>
      <c r="K991" s="99">
        <v>0.27079999999999999</v>
      </c>
      <c r="L991" s="107">
        <f t="shared" si="42"/>
        <v>1.4842</v>
      </c>
    </row>
    <row r="992" spans="1:14" s="88" customFormat="1" x14ac:dyDescent="0.2">
      <c r="A992" s="79"/>
      <c r="B992" s="75"/>
      <c r="C992" s="112"/>
      <c r="D992" s="113"/>
      <c r="E992" s="77"/>
      <c r="F992" s="71"/>
      <c r="G992" s="98"/>
      <c r="H992" s="77"/>
      <c r="I992" s="77"/>
      <c r="J992" s="85"/>
      <c r="K992" s="99">
        <v>0.27079999999999999</v>
      </c>
      <c r="L992" s="107">
        <f t="shared" si="42"/>
        <v>1.4842</v>
      </c>
    </row>
    <row r="993" spans="1:14" s="88" customFormat="1" x14ac:dyDescent="0.2">
      <c r="A993" s="79"/>
      <c r="B993" s="75"/>
      <c r="C993" s="112"/>
      <c r="D993" s="113"/>
      <c r="E993" s="361" t="str">
        <f>E983</f>
        <v>Custo Direto</v>
      </c>
      <c r="F993" s="361"/>
      <c r="G993" s="361"/>
      <c r="H993" s="114">
        <f>SUM(H989:H992)</f>
        <v>8.98</v>
      </c>
      <c r="I993" s="114">
        <f>SUM(I989:I992)</f>
        <v>35.950000000000003</v>
      </c>
      <c r="J993" s="85"/>
      <c r="K993" s="99">
        <v>0.27079999999999999</v>
      </c>
      <c r="L993" s="107">
        <f t="shared" si="42"/>
        <v>1.4842</v>
      </c>
    </row>
    <row r="994" spans="1:14" s="88" customFormat="1" x14ac:dyDescent="0.2">
      <c r="A994" s="79"/>
      <c r="B994" s="75"/>
      <c r="C994" s="112"/>
      <c r="D994" s="113"/>
      <c r="E994" s="361" t="str">
        <f>E984</f>
        <v>LS(%): 148,42</v>
      </c>
      <c r="F994" s="361"/>
      <c r="G994" s="361"/>
      <c r="H994" s="77">
        <f>SUM(H993)*L994</f>
        <v>13.328116</v>
      </c>
      <c r="I994" s="82"/>
      <c r="J994" s="85"/>
      <c r="K994" s="99">
        <v>0.27079999999999999</v>
      </c>
      <c r="L994" s="107">
        <f t="shared" si="42"/>
        <v>1.4842</v>
      </c>
    </row>
    <row r="995" spans="1:14" s="88" customFormat="1" x14ac:dyDescent="0.2">
      <c r="A995" s="79"/>
      <c r="B995" s="75"/>
      <c r="C995" s="112"/>
      <c r="D995" s="113"/>
      <c r="E995" s="361" t="str">
        <f>E985</f>
        <v>BDI (%): 27,08</v>
      </c>
      <c r="F995" s="361"/>
      <c r="G995" s="361"/>
      <c r="H995" s="362">
        <f>(H993+I993+H994)*K995</f>
        <v>15.776297812800001</v>
      </c>
      <c r="I995" s="362"/>
      <c r="J995" s="85"/>
      <c r="K995" s="99">
        <v>0.27079999999999999</v>
      </c>
      <c r="L995" s="107">
        <f t="shared" si="42"/>
        <v>1.4842</v>
      </c>
    </row>
    <row r="996" spans="1:14" s="88" customFormat="1" x14ac:dyDescent="0.2">
      <c r="A996" s="79"/>
      <c r="B996" s="75"/>
      <c r="C996" s="112"/>
      <c r="D996" s="113"/>
      <c r="E996" s="361" t="str">
        <f>E986</f>
        <v>Valor Total c/ Taxas</v>
      </c>
      <c r="F996" s="361"/>
      <c r="G996" s="361"/>
      <c r="H996" s="77"/>
      <c r="I996" s="114">
        <f>(H993+I993+H994+H995)</f>
        <v>74.034413812800011</v>
      </c>
      <c r="J996" s="85"/>
      <c r="K996" s="99">
        <v>0.27079999999999999</v>
      </c>
      <c r="L996" s="107">
        <f t="shared" si="42"/>
        <v>1.4842</v>
      </c>
      <c r="N996" s="330">
        <v>74.03</v>
      </c>
    </row>
    <row r="997" spans="1:14" s="88" customFormat="1" x14ac:dyDescent="0.2">
      <c r="A997" s="79"/>
      <c r="B997" s="75"/>
      <c r="C997" s="112"/>
      <c r="D997" s="113"/>
      <c r="E997" s="77"/>
      <c r="F997" s="71"/>
      <c r="G997" s="98"/>
      <c r="H997" s="77"/>
      <c r="I997" s="77"/>
      <c r="J997" s="85"/>
      <c r="K997" s="99">
        <v>0.27079999999999999</v>
      </c>
      <c r="L997" s="107">
        <f t="shared" si="42"/>
        <v>1.4842</v>
      </c>
    </row>
    <row r="998" spans="1:14" s="88" customFormat="1" x14ac:dyDescent="0.2">
      <c r="A998" s="177"/>
      <c r="B998" s="131" t="str">
        <f>ORÇAMENTO!A170</f>
        <v>13.1.2</v>
      </c>
      <c r="C998" s="96" t="str">
        <f>ORÇAMENTO!B170</f>
        <v>Portão deabrie em metalon 40 x 40mm c/10cm 2fts</v>
      </c>
      <c r="D998" s="97" t="s">
        <v>349</v>
      </c>
      <c r="E998" s="77"/>
      <c r="F998" s="71"/>
      <c r="G998" s="98"/>
      <c r="H998" s="77"/>
      <c r="I998" s="77"/>
      <c r="J998" s="85"/>
      <c r="K998" s="99">
        <v>0.27079999999999999</v>
      </c>
      <c r="L998" s="107">
        <f t="shared" si="42"/>
        <v>1.4842</v>
      </c>
    </row>
    <row r="999" spans="1:14" s="88" customFormat="1" x14ac:dyDescent="0.2">
      <c r="A999" s="79"/>
      <c r="B999" s="75"/>
      <c r="C999" s="112" t="str">
        <f>C998</f>
        <v>Portão deabrie em metalon 40 x 40mm c/10cm 2fts</v>
      </c>
      <c r="D999" s="113" t="str">
        <f>D998</f>
        <v>M²</v>
      </c>
      <c r="E999" s="77">
        <f>268.47*N12</f>
        <v>268.47000000000003</v>
      </c>
      <c r="F999" s="71">
        <v>5.3</v>
      </c>
      <c r="G999" s="98">
        <v>1.5</v>
      </c>
      <c r="H999" s="77"/>
      <c r="I999" s="77">
        <f>E999*G999</f>
        <v>402.70500000000004</v>
      </c>
      <c r="J999" s="85"/>
      <c r="K999" s="99">
        <v>0.27079999999999999</v>
      </c>
      <c r="L999" s="107">
        <f t="shared" si="42"/>
        <v>1.4842</v>
      </c>
    </row>
    <row r="1000" spans="1:14" s="88" customFormat="1" x14ac:dyDescent="0.2">
      <c r="A1000" s="79"/>
      <c r="B1000" s="75"/>
      <c r="C1000" s="112" t="s">
        <v>360</v>
      </c>
      <c r="D1000" s="113" t="s">
        <v>336</v>
      </c>
      <c r="E1000" s="77">
        <f>5.21*N12</f>
        <v>5.21</v>
      </c>
      <c r="F1000" s="176"/>
      <c r="G1000" s="98">
        <v>1</v>
      </c>
      <c r="H1000" s="77">
        <f>E1000*G1000</f>
        <v>5.21</v>
      </c>
      <c r="I1000" s="144"/>
      <c r="J1000" s="85"/>
      <c r="K1000" s="99">
        <v>0.27079999999999999</v>
      </c>
      <c r="L1000" s="107">
        <f t="shared" si="42"/>
        <v>1.4842</v>
      </c>
    </row>
    <row r="1001" spans="1:14" s="88" customFormat="1" x14ac:dyDescent="0.2">
      <c r="A1001" s="79"/>
      <c r="B1001" s="75"/>
      <c r="C1001" s="112" t="s">
        <v>345</v>
      </c>
      <c r="D1001" s="113" t="s">
        <v>336</v>
      </c>
      <c r="E1001" s="77">
        <f>3.77*N12</f>
        <v>3.77</v>
      </c>
      <c r="F1001" s="176"/>
      <c r="G1001" s="98">
        <v>1</v>
      </c>
      <c r="H1001" s="77">
        <f>E1001*G1001</f>
        <v>3.77</v>
      </c>
      <c r="I1001" s="144"/>
      <c r="J1001" s="85"/>
      <c r="K1001" s="99">
        <v>0.27079999999999999</v>
      </c>
      <c r="L1001" s="107">
        <f t="shared" si="42"/>
        <v>1.4842</v>
      </c>
    </row>
    <row r="1002" spans="1:14" s="88" customFormat="1" x14ac:dyDescent="0.2">
      <c r="A1002" s="79"/>
      <c r="B1002" s="75"/>
      <c r="C1002" s="112"/>
      <c r="D1002" s="113"/>
      <c r="E1002" s="77"/>
      <c r="F1002" s="71"/>
      <c r="G1002" s="98"/>
      <c r="H1002" s="77"/>
      <c r="I1002" s="77"/>
      <c r="J1002" s="85"/>
      <c r="K1002" s="99">
        <v>0.27079999999999999</v>
      </c>
      <c r="L1002" s="107">
        <f t="shared" si="42"/>
        <v>1.4842</v>
      </c>
    </row>
    <row r="1003" spans="1:14" s="88" customFormat="1" x14ac:dyDescent="0.2">
      <c r="A1003" s="79"/>
      <c r="B1003" s="75"/>
      <c r="C1003" s="112"/>
      <c r="D1003" s="113"/>
      <c r="E1003" s="361" t="str">
        <f>E993</f>
        <v>Custo Direto</v>
      </c>
      <c r="F1003" s="361"/>
      <c r="G1003" s="361"/>
      <c r="H1003" s="114">
        <f>SUM(H999:H1002)</f>
        <v>8.98</v>
      </c>
      <c r="I1003" s="114">
        <f>SUM(I999:I1002)</f>
        <v>402.70500000000004</v>
      </c>
      <c r="J1003" s="85"/>
      <c r="K1003" s="99">
        <v>0.27079999999999999</v>
      </c>
      <c r="L1003" s="107">
        <f t="shared" si="42"/>
        <v>1.4842</v>
      </c>
    </row>
    <row r="1004" spans="1:14" s="88" customFormat="1" x14ac:dyDescent="0.2">
      <c r="A1004" s="79"/>
      <c r="B1004" s="75"/>
      <c r="C1004" s="112"/>
      <c r="D1004" s="113"/>
      <c r="E1004" s="361" t="str">
        <f>E994</f>
        <v>LS(%): 148,42</v>
      </c>
      <c r="F1004" s="361"/>
      <c r="G1004" s="361"/>
      <c r="H1004" s="77">
        <f>SUM(H1003)*L1004</f>
        <v>13.328116</v>
      </c>
      <c r="I1004" s="82"/>
      <c r="J1004" s="85"/>
      <c r="K1004" s="99">
        <v>0.27079999999999999</v>
      </c>
      <c r="L1004" s="107">
        <f t="shared" si="42"/>
        <v>1.4842</v>
      </c>
    </row>
    <row r="1005" spans="1:14" s="88" customFormat="1" x14ac:dyDescent="0.2">
      <c r="A1005" s="79"/>
      <c r="B1005" s="75"/>
      <c r="C1005" s="112"/>
      <c r="D1005" s="113"/>
      <c r="E1005" s="361" t="str">
        <f>E995</f>
        <v>BDI (%): 27,08</v>
      </c>
      <c r="F1005" s="361"/>
      <c r="G1005" s="361"/>
      <c r="H1005" s="362">
        <f>(H1003+I1003+H1004)*K1005</f>
        <v>115.09355181280002</v>
      </c>
      <c r="I1005" s="362"/>
      <c r="J1005" s="85"/>
      <c r="K1005" s="99">
        <v>0.27079999999999999</v>
      </c>
      <c r="L1005" s="107">
        <f t="shared" si="42"/>
        <v>1.4842</v>
      </c>
    </row>
    <row r="1006" spans="1:14" s="88" customFormat="1" x14ac:dyDescent="0.2">
      <c r="A1006" s="79"/>
      <c r="B1006" s="75"/>
      <c r="C1006" s="112"/>
      <c r="D1006" s="113"/>
      <c r="E1006" s="361" t="str">
        <f>E996</f>
        <v>Valor Total c/ Taxas</v>
      </c>
      <c r="F1006" s="361"/>
      <c r="G1006" s="361"/>
      <c r="H1006" s="77"/>
      <c r="I1006" s="114">
        <f>(H1003+I1003+H1004+H1005)</f>
        <v>540.10666781280008</v>
      </c>
      <c r="J1006" s="85"/>
      <c r="K1006" s="99">
        <v>0.27079999999999999</v>
      </c>
      <c r="L1006" s="107">
        <f t="shared" si="42"/>
        <v>1.4842</v>
      </c>
      <c r="N1006" s="330">
        <v>540.11</v>
      </c>
    </row>
    <row r="1007" spans="1:14" s="88" customFormat="1" x14ac:dyDescent="0.2">
      <c r="A1007" s="79"/>
      <c r="B1007" s="75"/>
      <c r="C1007" s="112"/>
      <c r="D1007" s="113"/>
      <c r="E1007" s="77"/>
      <c r="F1007" s="71"/>
      <c r="G1007" s="98"/>
      <c r="H1007" s="77"/>
      <c r="I1007" s="77"/>
      <c r="J1007" s="85"/>
      <c r="K1007" s="99">
        <v>0.27079999999999999</v>
      </c>
      <c r="L1007" s="107">
        <f t="shared" si="42"/>
        <v>1.4842</v>
      </c>
    </row>
    <row r="1008" spans="1:14" s="88" customFormat="1" ht="25.5" x14ac:dyDescent="0.2">
      <c r="A1008" s="177"/>
      <c r="B1008" s="131" t="str">
        <f>ORÇAMENTO!A171</f>
        <v>13.1.3</v>
      </c>
      <c r="C1008" s="96" t="str">
        <f>ORÇAMENTO!B171</f>
        <v>Tirante com rosca total,ref. DP-48,  ø 1 1/4'' x 600mm,fabricação REAL PERFIL ou similar</v>
      </c>
      <c r="D1008" s="97" t="s">
        <v>367</v>
      </c>
      <c r="E1008" s="77"/>
      <c r="F1008" s="71"/>
      <c r="G1008" s="98"/>
      <c r="H1008" s="77"/>
      <c r="I1008" s="77"/>
      <c r="J1008" s="85"/>
      <c r="K1008" s="99">
        <v>0.27079999999999999</v>
      </c>
      <c r="L1008" s="107">
        <f t="shared" si="42"/>
        <v>1.4842</v>
      </c>
    </row>
    <row r="1009" spans="1:14" s="88" customFormat="1" ht="25.5" x14ac:dyDescent="0.2">
      <c r="A1009" s="79"/>
      <c r="B1009" s="153"/>
      <c r="C1009" s="112" t="str">
        <f>C1008</f>
        <v>Tirante com rosca total,ref. DP-48,  ø 1 1/4'' x 600mm,fabricação REAL PERFIL ou similar</v>
      </c>
      <c r="D1009" s="113" t="str">
        <f>D1008</f>
        <v>PÇ</v>
      </c>
      <c r="E1009" s="77">
        <f>10.83*N12</f>
        <v>10.83</v>
      </c>
      <c r="F1009" s="71">
        <v>22</v>
      </c>
      <c r="G1009" s="98">
        <v>1</v>
      </c>
      <c r="H1009" s="77"/>
      <c r="I1009" s="77">
        <f>E1009*G1009</f>
        <v>10.83</v>
      </c>
      <c r="J1009" s="85"/>
      <c r="K1009" s="99">
        <v>0.27079999999999999</v>
      </c>
      <c r="L1009" s="107">
        <f t="shared" si="42"/>
        <v>1.4842</v>
      </c>
    </row>
    <row r="1010" spans="1:14" s="88" customFormat="1" x14ac:dyDescent="0.2">
      <c r="A1010" s="79"/>
      <c r="B1010" s="75"/>
      <c r="C1010" s="112" t="s">
        <v>359</v>
      </c>
      <c r="D1010" s="113" t="s">
        <v>336</v>
      </c>
      <c r="E1010" s="77">
        <f>5.21*N12</f>
        <v>5.21</v>
      </c>
      <c r="F1010" s="176"/>
      <c r="G1010" s="98">
        <v>0.15</v>
      </c>
      <c r="H1010" s="77">
        <f>E1010*G1010</f>
        <v>0.78149999999999997</v>
      </c>
      <c r="I1010" s="144"/>
      <c r="J1010" s="85"/>
      <c r="K1010" s="99">
        <v>0.27079999999999999</v>
      </c>
      <c r="L1010" s="107">
        <f t="shared" si="42"/>
        <v>1.4842</v>
      </c>
    </row>
    <row r="1011" spans="1:14" s="88" customFormat="1" x14ac:dyDescent="0.2">
      <c r="A1011" s="79"/>
      <c r="B1011" s="75"/>
      <c r="C1011" s="112" t="s">
        <v>345</v>
      </c>
      <c r="D1011" s="113" t="s">
        <v>336</v>
      </c>
      <c r="E1011" s="77">
        <f>3.77*N12</f>
        <v>3.77</v>
      </c>
      <c r="F1011" s="176"/>
      <c r="G1011" s="98">
        <v>0.05</v>
      </c>
      <c r="H1011" s="77">
        <f>E1011*G1011</f>
        <v>0.1885</v>
      </c>
      <c r="I1011" s="144"/>
      <c r="J1011" s="85"/>
      <c r="K1011" s="99">
        <v>0.27079999999999999</v>
      </c>
      <c r="L1011" s="107">
        <f t="shared" si="42"/>
        <v>1.4842</v>
      </c>
    </row>
    <row r="1012" spans="1:14" s="88" customFormat="1" x14ac:dyDescent="0.2">
      <c r="A1012" s="79"/>
      <c r="B1012" s="75"/>
      <c r="C1012" s="112"/>
      <c r="D1012" s="113"/>
      <c r="E1012" s="77"/>
      <c r="F1012" s="71"/>
      <c r="G1012" s="98"/>
      <c r="H1012" s="77"/>
      <c r="I1012" s="77"/>
      <c r="J1012" s="85"/>
      <c r="K1012" s="99">
        <v>0.27079999999999999</v>
      </c>
      <c r="L1012" s="107">
        <f t="shared" si="42"/>
        <v>1.4842</v>
      </c>
    </row>
    <row r="1013" spans="1:14" s="88" customFormat="1" x14ac:dyDescent="0.2">
      <c r="A1013" s="79"/>
      <c r="B1013" s="75"/>
      <c r="C1013" s="112"/>
      <c r="D1013" s="113"/>
      <c r="E1013" s="361" t="str">
        <f>E1003</f>
        <v>Custo Direto</v>
      </c>
      <c r="F1013" s="361"/>
      <c r="G1013" s="361"/>
      <c r="H1013" s="114">
        <f>SUM(H1009:H1012)</f>
        <v>0.97</v>
      </c>
      <c r="I1013" s="114">
        <f>SUM(I1009:I1012)</f>
        <v>10.83</v>
      </c>
      <c r="J1013" s="85"/>
      <c r="K1013" s="99">
        <v>0.27079999999999999</v>
      </c>
      <c r="L1013" s="107">
        <f t="shared" si="42"/>
        <v>1.4842</v>
      </c>
    </row>
    <row r="1014" spans="1:14" s="88" customFormat="1" x14ac:dyDescent="0.2">
      <c r="A1014" s="79"/>
      <c r="B1014" s="75"/>
      <c r="C1014" s="112"/>
      <c r="D1014" s="113"/>
      <c r="E1014" s="361" t="str">
        <f>E1004</f>
        <v>LS(%): 148,42</v>
      </c>
      <c r="F1014" s="361"/>
      <c r="G1014" s="361"/>
      <c r="H1014" s="77">
        <f>SUM(H1013)*L1014</f>
        <v>1.4396739999999999</v>
      </c>
      <c r="I1014" s="82"/>
      <c r="J1014" s="85"/>
      <c r="K1014" s="99">
        <v>0.27079999999999999</v>
      </c>
      <c r="L1014" s="107">
        <f t="shared" si="42"/>
        <v>1.4842</v>
      </c>
    </row>
    <row r="1015" spans="1:14" s="88" customFormat="1" x14ac:dyDescent="0.2">
      <c r="A1015" s="79"/>
      <c r="B1015" s="75"/>
      <c r="C1015" s="112"/>
      <c r="D1015" s="113"/>
      <c r="E1015" s="361" t="str">
        <f>E1005</f>
        <v>BDI (%): 27,08</v>
      </c>
      <c r="F1015" s="361"/>
      <c r="G1015" s="361"/>
      <c r="H1015" s="362">
        <f>(H1013+I1013+H1014)*K1015</f>
        <v>3.5853037192000001</v>
      </c>
      <c r="I1015" s="362"/>
      <c r="J1015" s="85"/>
      <c r="K1015" s="99">
        <v>0.27079999999999999</v>
      </c>
      <c r="L1015" s="107">
        <f t="shared" si="42"/>
        <v>1.4842</v>
      </c>
    </row>
    <row r="1016" spans="1:14" s="88" customFormat="1" x14ac:dyDescent="0.2">
      <c r="A1016" s="79"/>
      <c r="B1016" s="75"/>
      <c r="C1016" s="112"/>
      <c r="D1016" s="113"/>
      <c r="E1016" s="361" t="str">
        <f>E1006</f>
        <v>Valor Total c/ Taxas</v>
      </c>
      <c r="F1016" s="361"/>
      <c r="G1016" s="361"/>
      <c r="H1016" s="77"/>
      <c r="I1016" s="114">
        <f>(H1013+I1013+H1014+H1015)</f>
        <v>16.8249777192</v>
      </c>
      <c r="J1016" s="85"/>
      <c r="K1016" s="99">
        <v>0.27079999999999999</v>
      </c>
      <c r="L1016" s="107">
        <f t="shared" si="42"/>
        <v>1.4842</v>
      </c>
      <c r="N1016" s="330">
        <v>16.82</v>
      </c>
    </row>
    <row r="1017" spans="1:14" s="88" customFormat="1" ht="27" customHeight="1" x14ac:dyDescent="0.2">
      <c r="A1017" s="79"/>
      <c r="B1017" s="75"/>
      <c r="C1017" s="112"/>
      <c r="D1017" s="113"/>
      <c r="E1017" s="77"/>
      <c r="F1017" s="71"/>
      <c r="G1017" s="98"/>
      <c r="H1017" s="77"/>
      <c r="I1017" s="77"/>
      <c r="J1017" s="85"/>
      <c r="K1017" s="99">
        <v>0.27079999999999999</v>
      </c>
      <c r="L1017" s="107">
        <f t="shared" si="42"/>
        <v>1.4842</v>
      </c>
    </row>
    <row r="1018" spans="1:14" s="88" customFormat="1" x14ac:dyDescent="0.2">
      <c r="A1018" s="178"/>
      <c r="B1018" s="163" t="str">
        <f>ORÇAMENTO!A173</f>
        <v>13.2.1</v>
      </c>
      <c r="C1018" s="96" t="str">
        <f>ORÇAMENTO!B173</f>
        <v>Estrutura para telha cerâmica tipim PLAN,em madeira aparelahada,apoiada em parede</v>
      </c>
      <c r="D1018" s="97" t="s">
        <v>349</v>
      </c>
      <c r="E1018" s="77"/>
      <c r="F1018" s="71"/>
      <c r="G1018" s="98"/>
      <c r="H1018" s="77"/>
      <c r="I1018" s="77"/>
      <c r="J1018" s="85"/>
      <c r="K1018" s="99">
        <v>0.27079999999999999</v>
      </c>
      <c r="L1018" s="107">
        <f t="shared" si="42"/>
        <v>1.4842</v>
      </c>
    </row>
    <row r="1019" spans="1:14" s="88" customFormat="1" ht="25.5" x14ac:dyDescent="0.2">
      <c r="A1019" s="79"/>
      <c r="B1019" s="75"/>
      <c r="C1019" s="112" t="str">
        <f>C1018</f>
        <v>Estrutura para telha cerâmica tipim PLAN,em madeira aparelahada,apoiada em parede</v>
      </c>
      <c r="D1019" s="113" t="str">
        <f>D1018</f>
        <v>M²</v>
      </c>
      <c r="E1019" s="77">
        <f>16.64*N12</f>
        <v>16.64</v>
      </c>
      <c r="F1019" s="71">
        <v>38.840000000000003</v>
      </c>
      <c r="G1019" s="98">
        <v>1</v>
      </c>
      <c r="H1019" s="77"/>
      <c r="I1019" s="77">
        <f>E1019*G1019</f>
        <v>16.64</v>
      </c>
      <c r="J1019" s="85"/>
      <c r="K1019" s="99">
        <v>0.27079999999999999</v>
      </c>
      <c r="L1019" s="107">
        <f t="shared" si="42"/>
        <v>1.4842</v>
      </c>
    </row>
    <row r="1020" spans="1:14" s="88" customFormat="1" x14ac:dyDescent="0.2">
      <c r="A1020" s="79"/>
      <c r="B1020" s="75"/>
      <c r="C1020" s="112" t="s">
        <v>368</v>
      </c>
      <c r="D1020" s="113" t="s">
        <v>336</v>
      </c>
      <c r="E1020" s="77">
        <f>5.21*N12</f>
        <v>5.21</v>
      </c>
      <c r="F1020" s="176"/>
      <c r="G1020" s="98">
        <v>1</v>
      </c>
      <c r="H1020" s="77">
        <f>E1020*G1020</f>
        <v>5.21</v>
      </c>
      <c r="I1020" s="144"/>
      <c r="J1020" s="85"/>
      <c r="K1020" s="99">
        <v>0.27079999999999999</v>
      </c>
      <c r="L1020" s="107">
        <f t="shared" si="42"/>
        <v>1.4842</v>
      </c>
    </row>
    <row r="1021" spans="1:14" s="88" customFormat="1" x14ac:dyDescent="0.2">
      <c r="A1021" s="79"/>
      <c r="B1021" s="75"/>
      <c r="C1021" s="112" t="s">
        <v>345</v>
      </c>
      <c r="D1021" s="113" t="s">
        <v>336</v>
      </c>
      <c r="E1021" s="77">
        <f>3.77*N12</f>
        <v>3.77</v>
      </c>
      <c r="F1021" s="176"/>
      <c r="G1021" s="98">
        <v>1</v>
      </c>
      <c r="H1021" s="77">
        <f>E1021*G1021</f>
        <v>3.77</v>
      </c>
      <c r="I1021" s="144"/>
      <c r="J1021" s="85"/>
      <c r="K1021" s="99">
        <v>0.27079999999999999</v>
      </c>
      <c r="L1021" s="107">
        <f t="shared" si="42"/>
        <v>1.4842</v>
      </c>
    </row>
    <row r="1022" spans="1:14" s="88" customFormat="1" hidden="1" x14ac:dyDescent="0.2">
      <c r="A1022" s="79"/>
      <c r="B1022" s="75"/>
      <c r="C1022" s="112"/>
      <c r="D1022" s="113"/>
      <c r="E1022" s="77"/>
      <c r="F1022" s="71"/>
      <c r="G1022" s="98"/>
      <c r="H1022" s="77"/>
      <c r="I1022" s="77"/>
      <c r="J1022" s="85"/>
      <c r="K1022" s="99">
        <v>0.27079999999999999</v>
      </c>
      <c r="L1022" s="107">
        <f t="shared" si="42"/>
        <v>1.4842</v>
      </c>
    </row>
    <row r="1023" spans="1:14" s="88" customFormat="1" x14ac:dyDescent="0.2">
      <c r="A1023" s="79"/>
      <c r="B1023" s="75"/>
      <c r="C1023" s="112"/>
      <c r="D1023" s="113"/>
      <c r="E1023" s="361" t="str">
        <f>E1013</f>
        <v>Custo Direto</v>
      </c>
      <c r="F1023" s="361"/>
      <c r="G1023" s="361"/>
      <c r="H1023" s="114">
        <f>SUM(H1019:H1022)</f>
        <v>8.98</v>
      </c>
      <c r="I1023" s="114">
        <f>SUM(I1019:I1022)</f>
        <v>16.64</v>
      </c>
      <c r="J1023" s="85"/>
      <c r="K1023" s="99">
        <v>0.27079999999999999</v>
      </c>
      <c r="L1023" s="107">
        <f t="shared" si="42"/>
        <v>1.4842</v>
      </c>
    </row>
    <row r="1024" spans="1:14" s="88" customFormat="1" x14ac:dyDescent="0.2">
      <c r="A1024" s="79"/>
      <c r="B1024" s="75"/>
      <c r="C1024" s="112"/>
      <c r="D1024" s="113"/>
      <c r="E1024" s="361" t="str">
        <f>E1014</f>
        <v>LS(%): 148,42</v>
      </c>
      <c r="F1024" s="361"/>
      <c r="G1024" s="361"/>
      <c r="H1024" s="77">
        <f>SUM(H1023)*L1024</f>
        <v>13.328116</v>
      </c>
      <c r="I1024" s="82"/>
      <c r="J1024" s="85"/>
      <c r="K1024" s="99">
        <v>0.27079999999999999</v>
      </c>
      <c r="L1024" s="107">
        <f t="shared" si="42"/>
        <v>1.4842</v>
      </c>
    </row>
    <row r="1025" spans="1:14" s="88" customFormat="1" x14ac:dyDescent="0.2">
      <c r="A1025" s="79"/>
      <c r="B1025" s="75"/>
      <c r="C1025" s="112"/>
      <c r="D1025" s="113"/>
      <c r="E1025" s="361" t="str">
        <f>E1015</f>
        <v>BDI (%): 27,08</v>
      </c>
      <c r="F1025" s="361"/>
      <c r="G1025" s="361"/>
      <c r="H1025" s="362">
        <f>(H1023+I1023+H1024)*K1025</f>
        <v>10.547149812799999</v>
      </c>
      <c r="I1025" s="362"/>
      <c r="J1025" s="85"/>
      <c r="K1025" s="99">
        <v>0.27079999999999999</v>
      </c>
      <c r="L1025" s="107">
        <f t="shared" si="42"/>
        <v>1.4842</v>
      </c>
    </row>
    <row r="1026" spans="1:14" s="88" customFormat="1" x14ac:dyDescent="0.2">
      <c r="A1026" s="79"/>
      <c r="B1026" s="75"/>
      <c r="C1026" s="112"/>
      <c r="D1026" s="113"/>
      <c r="E1026" s="361" t="str">
        <f>E1016</f>
        <v>Valor Total c/ Taxas</v>
      </c>
      <c r="F1026" s="361"/>
      <c r="G1026" s="361"/>
      <c r="H1026" s="77"/>
      <c r="I1026" s="114">
        <f>(H1023+I1023+H1024+H1025)</f>
        <v>49.4952658128</v>
      </c>
      <c r="J1026" s="85"/>
      <c r="K1026" s="99">
        <v>0.27079999999999999</v>
      </c>
      <c r="L1026" s="107">
        <f t="shared" si="42"/>
        <v>1.4842</v>
      </c>
      <c r="N1026" s="330">
        <v>49.5</v>
      </c>
    </row>
    <row r="1027" spans="1:14" s="88" customFormat="1" x14ac:dyDescent="0.2">
      <c r="A1027" s="79"/>
      <c r="B1027" s="75"/>
      <c r="C1027" s="112"/>
      <c r="D1027" s="113"/>
      <c r="E1027" s="77"/>
      <c r="F1027" s="71"/>
      <c r="G1027" s="98"/>
      <c r="H1027" s="77"/>
      <c r="I1027" s="77"/>
      <c r="J1027" s="85"/>
      <c r="K1027" s="99">
        <v>0.27079999999999999</v>
      </c>
      <c r="L1027" s="107">
        <f t="shared" si="42"/>
        <v>1.4842</v>
      </c>
    </row>
    <row r="1028" spans="1:14" s="88" customFormat="1" ht="25.5" x14ac:dyDescent="0.2">
      <c r="A1028" s="179"/>
      <c r="B1028" s="163" t="str">
        <f>ORÇAMENTO!A174</f>
        <v>13.2.2</v>
      </c>
      <c r="C1028" s="96" t="str">
        <f>ORÇAMENTO!B174</f>
        <v>Cobertura em telha cerâmica tipo PLAN com argamassa traço 1:3 (cimento e areia) e arame recozido</v>
      </c>
      <c r="D1028" s="97" t="str">
        <f>D1018</f>
        <v>M²</v>
      </c>
      <c r="E1028" s="77"/>
      <c r="F1028" s="71"/>
      <c r="G1028" s="98"/>
      <c r="H1028" s="77"/>
      <c r="I1028" s="77"/>
      <c r="J1028" s="85"/>
      <c r="K1028" s="99">
        <v>0.27079999999999999</v>
      </c>
      <c r="L1028" s="107">
        <f t="shared" si="42"/>
        <v>1.4842</v>
      </c>
    </row>
    <row r="1029" spans="1:14" s="88" customFormat="1" ht="25.5" x14ac:dyDescent="0.2">
      <c r="A1029" s="79"/>
      <c r="B1029" s="75"/>
      <c r="C1029" s="112" t="str">
        <f>C1028</f>
        <v>Cobertura em telha cerâmica tipo PLAN com argamassa traço 1:3 (cimento e areia) e arame recozido</v>
      </c>
      <c r="D1029" s="113" t="str">
        <f>D1028</f>
        <v>M²</v>
      </c>
      <c r="E1029" s="77">
        <f>27.05*N12</f>
        <v>27.05</v>
      </c>
      <c r="F1029" s="71">
        <v>1.5</v>
      </c>
      <c r="G1029" s="98">
        <v>1</v>
      </c>
      <c r="H1029" s="77"/>
      <c r="I1029" s="77">
        <f>E1029*G1029</f>
        <v>27.05</v>
      </c>
      <c r="J1029" s="85"/>
      <c r="K1029" s="99">
        <v>0.27079999999999999</v>
      </c>
      <c r="L1029" s="107">
        <f t="shared" ref="L1029:L1056" si="43">L1028</f>
        <v>1.4842</v>
      </c>
    </row>
    <row r="1030" spans="1:14" s="88" customFormat="1" x14ac:dyDescent="0.2">
      <c r="A1030" s="79"/>
      <c r="B1030" s="75"/>
      <c r="C1030" s="112" t="s">
        <v>361</v>
      </c>
      <c r="D1030" s="113" t="s">
        <v>336</v>
      </c>
      <c r="E1030" s="77">
        <f>5.21*N12</f>
        <v>5.21</v>
      </c>
      <c r="F1030" s="176"/>
      <c r="G1030" s="98">
        <v>0.5</v>
      </c>
      <c r="H1030" s="77">
        <f>E1030*G1030</f>
        <v>2.605</v>
      </c>
      <c r="I1030" s="144"/>
      <c r="J1030" s="85"/>
      <c r="K1030" s="99">
        <v>0.27079999999999999</v>
      </c>
      <c r="L1030" s="107">
        <f t="shared" si="43"/>
        <v>1.4842</v>
      </c>
    </row>
    <row r="1031" spans="1:14" s="88" customFormat="1" x14ac:dyDescent="0.2">
      <c r="A1031" s="79"/>
      <c r="B1031" s="75"/>
      <c r="C1031" s="112" t="s">
        <v>345</v>
      </c>
      <c r="D1031" s="113" t="s">
        <v>336</v>
      </c>
      <c r="E1031" s="77">
        <f>3.77*N12</f>
        <v>3.77</v>
      </c>
      <c r="F1031" s="176"/>
      <c r="G1031" s="98">
        <v>0.5</v>
      </c>
      <c r="H1031" s="77">
        <f>E1031*G1031</f>
        <v>1.885</v>
      </c>
      <c r="I1031" s="144"/>
      <c r="J1031" s="85"/>
      <c r="K1031" s="99">
        <v>0.27079999999999999</v>
      </c>
      <c r="L1031" s="107">
        <f t="shared" si="43"/>
        <v>1.4842</v>
      </c>
    </row>
    <row r="1032" spans="1:14" s="88" customFormat="1" x14ac:dyDescent="0.2">
      <c r="A1032" s="79"/>
      <c r="B1032" s="75"/>
      <c r="C1032" s="112"/>
      <c r="D1032" s="113"/>
      <c r="E1032" s="77"/>
      <c r="F1032" s="71"/>
      <c r="G1032" s="98"/>
      <c r="H1032" s="77"/>
      <c r="I1032" s="77"/>
      <c r="J1032" s="85"/>
      <c r="K1032" s="99">
        <v>0.27079999999999999</v>
      </c>
      <c r="L1032" s="107">
        <f t="shared" si="43"/>
        <v>1.4842</v>
      </c>
    </row>
    <row r="1033" spans="1:14" s="88" customFormat="1" x14ac:dyDescent="0.2">
      <c r="A1033" s="79"/>
      <c r="B1033" s="75"/>
      <c r="C1033" s="112"/>
      <c r="D1033" s="113"/>
      <c r="E1033" s="361" t="str">
        <f>E1023</f>
        <v>Custo Direto</v>
      </c>
      <c r="F1033" s="361"/>
      <c r="G1033" s="361"/>
      <c r="H1033" s="114">
        <f>SUM(H1029:H1032)</f>
        <v>4.49</v>
      </c>
      <c r="I1033" s="114">
        <f>SUM(I1029:I1032)</f>
        <v>27.05</v>
      </c>
      <c r="J1033" s="85"/>
      <c r="K1033" s="99">
        <v>0.27079999999999999</v>
      </c>
      <c r="L1033" s="107">
        <f t="shared" si="43"/>
        <v>1.4842</v>
      </c>
    </row>
    <row r="1034" spans="1:14" s="88" customFormat="1" x14ac:dyDescent="0.2">
      <c r="A1034" s="79"/>
      <c r="B1034" s="75"/>
      <c r="C1034" s="112"/>
      <c r="D1034" s="113"/>
      <c r="E1034" s="361" t="str">
        <f>E1024</f>
        <v>LS(%): 148,42</v>
      </c>
      <c r="F1034" s="361"/>
      <c r="G1034" s="361"/>
      <c r="H1034" s="77">
        <f>SUM(H1033)*L1034</f>
        <v>6.6640579999999998</v>
      </c>
      <c r="I1034" s="82"/>
      <c r="J1034" s="85"/>
      <c r="K1034" s="99">
        <v>0.27079999999999999</v>
      </c>
      <c r="L1034" s="107">
        <f t="shared" si="43"/>
        <v>1.4842</v>
      </c>
    </row>
    <row r="1035" spans="1:14" s="88" customFormat="1" x14ac:dyDescent="0.2">
      <c r="A1035" s="79"/>
      <c r="B1035" s="75"/>
      <c r="C1035" s="112"/>
      <c r="D1035" s="113"/>
      <c r="E1035" s="361" t="str">
        <f>E1025</f>
        <v>BDI (%): 27,08</v>
      </c>
      <c r="F1035" s="361"/>
      <c r="G1035" s="361"/>
      <c r="H1035" s="362">
        <f>(H1033+I1033+H1034)*K1035</f>
        <v>10.345658906399999</v>
      </c>
      <c r="I1035" s="362"/>
      <c r="J1035" s="85"/>
      <c r="K1035" s="99">
        <v>0.27079999999999999</v>
      </c>
      <c r="L1035" s="107">
        <f t="shared" si="43"/>
        <v>1.4842</v>
      </c>
    </row>
    <row r="1036" spans="1:14" s="88" customFormat="1" x14ac:dyDescent="0.2">
      <c r="A1036" s="79"/>
      <c r="B1036" s="75"/>
      <c r="C1036" s="112"/>
      <c r="D1036" s="113"/>
      <c r="E1036" s="361" t="str">
        <f>E1026</f>
        <v>Valor Total c/ Taxas</v>
      </c>
      <c r="F1036" s="361"/>
      <c r="G1036" s="361"/>
      <c r="H1036" s="77"/>
      <c r="I1036" s="140">
        <f>(H1033+I1033+H1034+H1035)</f>
        <v>48.549716906399993</v>
      </c>
      <c r="J1036" s="85"/>
      <c r="K1036" s="99">
        <v>0.27079999999999999</v>
      </c>
      <c r="L1036" s="107">
        <f t="shared" si="43"/>
        <v>1.4842</v>
      </c>
      <c r="N1036" s="330">
        <v>48.55</v>
      </c>
    </row>
    <row r="1037" spans="1:14" s="88" customFormat="1" x14ac:dyDescent="0.2">
      <c r="A1037" s="79"/>
      <c r="B1037" s="75"/>
      <c r="C1037" s="112"/>
      <c r="D1037" s="113"/>
      <c r="E1037" s="77"/>
      <c r="F1037" s="71"/>
      <c r="G1037" s="98"/>
      <c r="H1037" s="77"/>
      <c r="I1037" s="77"/>
      <c r="J1037" s="85"/>
      <c r="K1037" s="99">
        <v>0.27079999999999999</v>
      </c>
      <c r="L1037" s="107">
        <f t="shared" si="43"/>
        <v>1.4842</v>
      </c>
    </row>
    <row r="1038" spans="1:14" s="88" customFormat="1" ht="25.5" x14ac:dyDescent="0.2">
      <c r="A1038" s="178"/>
      <c r="B1038" s="131" t="str">
        <f>ORÇAMENTO!A175</f>
        <v>13.2.3</v>
      </c>
      <c r="C1038" s="96" t="str">
        <f>ORÇAMENTO!B175</f>
        <v>Cumeeira com telha cerâmica tipo PLAN embocada com argamassa traço 1:2:8 (cimento,cal hidratada e areia)</v>
      </c>
      <c r="D1038" s="97" t="s">
        <v>355</v>
      </c>
      <c r="E1038" s="77"/>
      <c r="F1038" s="71"/>
      <c r="G1038" s="98"/>
      <c r="H1038" s="77"/>
      <c r="I1038" s="77"/>
      <c r="J1038" s="85"/>
      <c r="K1038" s="99">
        <v>0.27079999999999999</v>
      </c>
      <c r="L1038" s="107">
        <f t="shared" si="43"/>
        <v>1.4842</v>
      </c>
    </row>
    <row r="1039" spans="1:14" s="88" customFormat="1" ht="29.25" customHeight="1" x14ac:dyDescent="0.2">
      <c r="A1039" s="79"/>
      <c r="B1039" s="75"/>
      <c r="C1039" s="112" t="str">
        <f>C1038</f>
        <v>Cumeeira com telha cerâmica tipo PLAN embocada com argamassa traço 1:2:8 (cimento,cal hidratada e areia)</v>
      </c>
      <c r="D1039" s="113" t="s">
        <v>355</v>
      </c>
      <c r="E1039" s="77">
        <f>6.47*N12</f>
        <v>6.47</v>
      </c>
      <c r="F1039" s="71">
        <v>98.99</v>
      </c>
      <c r="G1039" s="98">
        <v>1</v>
      </c>
      <c r="H1039" s="77"/>
      <c r="I1039" s="77">
        <f>E1039*G1039</f>
        <v>6.47</v>
      </c>
      <c r="J1039" s="85"/>
      <c r="K1039" s="99">
        <v>0.27079999999999999</v>
      </c>
      <c r="L1039" s="107">
        <f t="shared" si="43"/>
        <v>1.4842</v>
      </c>
    </row>
    <row r="1040" spans="1:14" s="88" customFormat="1" x14ac:dyDescent="0.2">
      <c r="A1040" s="79"/>
      <c r="B1040" s="75"/>
      <c r="C1040" s="112" t="s">
        <v>369</v>
      </c>
      <c r="D1040" s="113" t="s">
        <v>336</v>
      </c>
      <c r="E1040" s="77">
        <f>5.21*N12</f>
        <v>5.21</v>
      </c>
      <c r="F1040" s="176"/>
      <c r="G1040" s="98">
        <v>0.14399999999999999</v>
      </c>
      <c r="H1040" s="77">
        <f>E1040*G1040</f>
        <v>0.75023999999999991</v>
      </c>
      <c r="I1040" s="144"/>
      <c r="J1040" s="85"/>
      <c r="K1040" s="99">
        <v>0.27079999999999999</v>
      </c>
      <c r="L1040" s="107">
        <f t="shared" si="43"/>
        <v>1.4842</v>
      </c>
    </row>
    <row r="1041" spans="1:14" s="88" customFormat="1" x14ac:dyDescent="0.2">
      <c r="A1041" s="79"/>
      <c r="B1041" s="75"/>
      <c r="C1041" s="112" t="s">
        <v>345</v>
      </c>
      <c r="D1041" s="113" t="s">
        <v>336</v>
      </c>
      <c r="E1041" s="77">
        <f>3.77*N12</f>
        <v>3.77</v>
      </c>
      <c r="F1041" s="176"/>
      <c r="G1041" s="98">
        <v>0.14399999999999999</v>
      </c>
      <c r="H1041" s="77">
        <f>E1041*G1041</f>
        <v>0.54287999999999992</v>
      </c>
      <c r="I1041" s="144"/>
      <c r="J1041" s="85"/>
      <c r="K1041" s="99">
        <v>0.27079999999999999</v>
      </c>
      <c r="L1041" s="107">
        <f t="shared" si="43"/>
        <v>1.4842</v>
      </c>
    </row>
    <row r="1042" spans="1:14" s="88" customFormat="1" x14ac:dyDescent="0.2">
      <c r="A1042" s="79"/>
      <c r="B1042" s="75"/>
      <c r="C1042" s="112"/>
      <c r="D1042" s="113"/>
      <c r="E1042" s="77"/>
      <c r="F1042" s="71"/>
      <c r="G1042" s="98"/>
      <c r="H1042" s="77"/>
      <c r="I1042" s="77"/>
      <c r="J1042" s="85"/>
      <c r="K1042" s="99">
        <v>0.27079999999999999</v>
      </c>
      <c r="L1042" s="107">
        <f t="shared" si="43"/>
        <v>1.4842</v>
      </c>
    </row>
    <row r="1043" spans="1:14" s="88" customFormat="1" x14ac:dyDescent="0.2">
      <c r="A1043" s="79"/>
      <c r="B1043" s="75"/>
      <c r="C1043" s="112"/>
      <c r="D1043" s="113"/>
      <c r="E1043" s="361" t="str">
        <f>E1033</f>
        <v>Custo Direto</v>
      </c>
      <c r="F1043" s="361"/>
      <c r="G1043" s="361"/>
      <c r="H1043" s="114">
        <f>SUM(H1039:H1042)</f>
        <v>1.2931199999999998</v>
      </c>
      <c r="I1043" s="114">
        <f>SUM(I1039:I1042)</f>
        <v>6.47</v>
      </c>
      <c r="J1043" s="85"/>
      <c r="K1043" s="99">
        <v>0.27079999999999999</v>
      </c>
      <c r="L1043" s="107">
        <f t="shared" si="43"/>
        <v>1.4842</v>
      </c>
    </row>
    <row r="1044" spans="1:14" s="88" customFormat="1" x14ac:dyDescent="0.2">
      <c r="A1044" s="79"/>
      <c r="B1044" s="75"/>
      <c r="C1044" s="112"/>
      <c r="D1044" s="113"/>
      <c r="E1044" s="361" t="str">
        <f>E1034</f>
        <v>LS(%): 148,42</v>
      </c>
      <c r="F1044" s="361"/>
      <c r="G1044" s="361"/>
      <c r="H1044" s="77">
        <f>SUM(H1043)*L1044</f>
        <v>1.9192487039999997</v>
      </c>
      <c r="I1044" s="82"/>
      <c r="J1044" s="85"/>
      <c r="K1044" s="99">
        <v>0.27079999999999999</v>
      </c>
      <c r="L1044" s="107">
        <f t="shared" si="43"/>
        <v>1.4842</v>
      </c>
    </row>
    <row r="1045" spans="1:14" s="88" customFormat="1" x14ac:dyDescent="0.2">
      <c r="A1045" s="79"/>
      <c r="B1045" s="75"/>
      <c r="C1045" s="112"/>
      <c r="D1045" s="113"/>
      <c r="E1045" s="361" t="str">
        <f>E1035</f>
        <v>BDI (%): 27,08</v>
      </c>
      <c r="F1045" s="361"/>
      <c r="G1045" s="361"/>
      <c r="H1045" s="362">
        <f>(H1043+I1043+H1044)*K1045</f>
        <v>2.6219854450431996</v>
      </c>
      <c r="I1045" s="362"/>
      <c r="J1045" s="85"/>
      <c r="K1045" s="99">
        <v>0.27079999999999999</v>
      </c>
      <c r="L1045" s="107">
        <f t="shared" si="43"/>
        <v>1.4842</v>
      </c>
    </row>
    <row r="1046" spans="1:14" s="88" customFormat="1" x14ac:dyDescent="0.2">
      <c r="A1046" s="79"/>
      <c r="B1046" s="75"/>
      <c r="C1046" s="112"/>
      <c r="D1046" s="113"/>
      <c r="E1046" s="361" t="str">
        <f>E1036</f>
        <v>Valor Total c/ Taxas</v>
      </c>
      <c r="F1046" s="361"/>
      <c r="G1046" s="361"/>
      <c r="H1046" s="77"/>
      <c r="I1046" s="114">
        <f>(H1043+I1043+H1044+H1045)</f>
        <v>12.304354149043199</v>
      </c>
      <c r="J1046" s="85"/>
      <c r="K1046" s="99">
        <v>0.27079999999999999</v>
      </c>
      <c r="L1046" s="107">
        <f t="shared" si="43"/>
        <v>1.4842</v>
      </c>
      <c r="N1046" s="330">
        <v>12.3</v>
      </c>
    </row>
    <row r="1047" spans="1:14" s="88" customFormat="1" x14ac:dyDescent="0.2">
      <c r="A1047" s="79"/>
      <c r="B1047" s="75"/>
      <c r="C1047" s="112"/>
      <c r="D1047" s="113"/>
      <c r="E1047" s="77"/>
      <c r="F1047" s="71"/>
      <c r="G1047" s="98"/>
      <c r="H1047" s="77"/>
      <c r="I1047" s="77"/>
      <c r="J1047" s="85"/>
      <c r="K1047" s="99">
        <v>0.27079999999999999</v>
      </c>
      <c r="L1047" s="107">
        <f t="shared" si="43"/>
        <v>1.4842</v>
      </c>
    </row>
    <row r="1048" spans="1:14" s="88" customFormat="1" x14ac:dyDescent="0.2">
      <c r="A1048" s="178"/>
      <c r="B1048" s="131" t="str">
        <f>ORÇAMENTO!A179</f>
        <v>14.1.1</v>
      </c>
      <c r="C1048" s="96" t="str">
        <f>ORÇAMENTO!B179</f>
        <v>Limpeza geral</v>
      </c>
      <c r="D1048" s="97" t="s">
        <v>349</v>
      </c>
      <c r="E1048" s="77"/>
      <c r="F1048" s="71"/>
      <c r="G1048" s="98"/>
      <c r="H1048" s="77"/>
      <c r="I1048" s="77"/>
      <c r="J1048" s="85"/>
      <c r="K1048" s="99">
        <v>0.27079999999999999</v>
      </c>
      <c r="L1048" s="107">
        <f t="shared" si="43"/>
        <v>1.4842</v>
      </c>
    </row>
    <row r="1049" spans="1:14" s="88" customFormat="1" x14ac:dyDescent="0.2">
      <c r="A1049" s="79"/>
      <c r="B1049" s="75"/>
      <c r="C1049" s="112" t="str">
        <f>C1048</f>
        <v>Limpeza geral</v>
      </c>
      <c r="D1049" s="113" t="s">
        <v>349</v>
      </c>
      <c r="E1049" s="77">
        <f>1.21*N12</f>
        <v>1.21</v>
      </c>
      <c r="F1049" s="71">
        <v>76</v>
      </c>
      <c r="G1049" s="98">
        <v>0.8</v>
      </c>
      <c r="H1049" s="77"/>
      <c r="I1049" s="77">
        <f>E1049*G1049</f>
        <v>0.96799999999999997</v>
      </c>
      <c r="J1049" s="85"/>
      <c r="K1049" s="99">
        <v>0.27079999999999999</v>
      </c>
      <c r="L1049" s="107">
        <f t="shared" si="43"/>
        <v>1.4842</v>
      </c>
    </row>
    <row r="1050" spans="1:14" s="88" customFormat="1" x14ac:dyDescent="0.2">
      <c r="A1050" s="79"/>
      <c r="B1050" s="75"/>
      <c r="C1050" s="112" t="s">
        <v>345</v>
      </c>
      <c r="D1050" s="113" t="s">
        <v>336</v>
      </c>
      <c r="E1050" s="77">
        <f>3.77*N12</f>
        <v>3.77</v>
      </c>
      <c r="F1050" s="176"/>
      <c r="G1050" s="98">
        <v>3.0000000000000001E-3</v>
      </c>
      <c r="H1050" s="77">
        <f>E1050*G1050</f>
        <v>1.1310000000000001E-2</v>
      </c>
      <c r="I1050" s="144"/>
      <c r="J1050" s="85"/>
      <c r="K1050" s="99">
        <v>0.27079999999999999</v>
      </c>
      <c r="L1050" s="107">
        <f t="shared" si="43"/>
        <v>1.4842</v>
      </c>
    </row>
    <row r="1051" spans="1:14" s="88" customFormat="1" x14ac:dyDescent="0.2">
      <c r="A1051" s="79"/>
      <c r="B1051" s="75"/>
      <c r="C1051" s="112"/>
      <c r="D1051" s="113"/>
      <c r="E1051" s="77"/>
      <c r="F1051" s="71"/>
      <c r="G1051" s="98"/>
      <c r="H1051" s="77"/>
      <c r="I1051" s="77"/>
      <c r="J1051" s="85"/>
      <c r="K1051" s="99">
        <v>0.27079999999999999</v>
      </c>
      <c r="L1051" s="107">
        <f t="shared" si="43"/>
        <v>1.4842</v>
      </c>
    </row>
    <row r="1052" spans="1:14" s="88" customFormat="1" x14ac:dyDescent="0.2">
      <c r="A1052" s="79"/>
      <c r="B1052" s="75"/>
      <c r="C1052" s="112"/>
      <c r="D1052" s="113"/>
      <c r="E1052" s="361" t="str">
        <f>E1043</f>
        <v>Custo Direto</v>
      </c>
      <c r="F1052" s="361"/>
      <c r="G1052" s="361"/>
      <c r="H1052" s="114">
        <f>SUM(H1049:H1051)</f>
        <v>1.1310000000000001E-2</v>
      </c>
      <c r="I1052" s="114">
        <f>SUM(I1049:I1051)</f>
        <v>0.96799999999999997</v>
      </c>
      <c r="J1052" s="85"/>
      <c r="K1052" s="99">
        <v>0.27079999999999999</v>
      </c>
      <c r="L1052" s="107">
        <f t="shared" si="43"/>
        <v>1.4842</v>
      </c>
    </row>
    <row r="1053" spans="1:14" s="88" customFormat="1" x14ac:dyDescent="0.2">
      <c r="A1053" s="79"/>
      <c r="B1053" s="75"/>
      <c r="C1053" s="112"/>
      <c r="D1053" s="113"/>
      <c r="E1053" s="361" t="str">
        <f>E1044</f>
        <v>LS(%): 148,42</v>
      </c>
      <c r="F1053" s="361"/>
      <c r="G1053" s="361"/>
      <c r="H1053" s="77">
        <f>SUM(H1052)*L1053</f>
        <v>1.6786301999999999E-2</v>
      </c>
      <c r="I1053" s="82"/>
      <c r="J1053" s="85"/>
      <c r="K1053" s="99">
        <v>0.27079999999999999</v>
      </c>
      <c r="L1053" s="107">
        <f t="shared" si="43"/>
        <v>1.4842</v>
      </c>
    </row>
    <row r="1054" spans="1:14" s="88" customFormat="1" x14ac:dyDescent="0.2">
      <c r="A1054" s="79"/>
      <c r="B1054" s="75"/>
      <c r="C1054" s="112"/>
      <c r="D1054" s="113"/>
      <c r="E1054" s="361" t="str">
        <f>E1045</f>
        <v>BDI (%): 27,08</v>
      </c>
      <c r="F1054" s="361"/>
      <c r="G1054" s="361"/>
      <c r="H1054" s="362">
        <f>(H1052+I1052+H1053)*K1054</f>
        <v>0.26974287858160001</v>
      </c>
      <c r="I1054" s="362"/>
      <c r="J1054" s="85"/>
      <c r="K1054" s="99">
        <v>0.27079999999999999</v>
      </c>
      <c r="L1054" s="107">
        <f t="shared" si="43"/>
        <v>1.4842</v>
      </c>
    </row>
    <row r="1055" spans="1:14" s="88" customFormat="1" x14ac:dyDescent="0.2">
      <c r="A1055" s="79"/>
      <c r="B1055" s="75"/>
      <c r="C1055" s="112"/>
      <c r="D1055" s="113"/>
      <c r="E1055" s="361" t="str">
        <f>E1046</f>
        <v>Valor Total c/ Taxas</v>
      </c>
      <c r="F1055" s="361"/>
      <c r="G1055" s="361"/>
      <c r="H1055" s="77"/>
      <c r="I1055" s="114">
        <f>(H1052+I1052+H1053+H1054)</f>
        <v>1.2658391805816001</v>
      </c>
      <c r="J1055" s="85"/>
      <c r="K1055" s="99">
        <v>0.27079999999999999</v>
      </c>
      <c r="L1055" s="107">
        <f t="shared" si="43"/>
        <v>1.4842</v>
      </c>
      <c r="N1055" s="330">
        <v>1.27</v>
      </c>
    </row>
    <row r="1056" spans="1:14" s="88" customFormat="1" x14ac:dyDescent="0.2">
      <c r="A1056" s="79"/>
      <c r="B1056" s="75"/>
      <c r="C1056" s="112"/>
      <c r="D1056" s="113"/>
      <c r="E1056" s="77"/>
      <c r="F1056" s="71"/>
      <c r="G1056" s="98"/>
      <c r="H1056" s="77"/>
      <c r="I1056" s="77"/>
      <c r="J1056" s="85"/>
      <c r="K1056" s="99">
        <v>0.27079999999999999</v>
      </c>
      <c r="L1056" s="107">
        <f t="shared" si="43"/>
        <v>1.4842</v>
      </c>
    </row>
    <row r="1057" spans="1:12" s="88" customFormat="1" x14ac:dyDescent="0.2">
      <c r="A1057" s="79"/>
      <c r="B1057" s="75"/>
      <c r="C1057" s="112"/>
      <c r="D1057" s="113"/>
      <c r="E1057" s="77"/>
      <c r="F1057" s="180"/>
      <c r="G1057" s="98"/>
      <c r="H1057" s="77"/>
      <c r="I1057" s="144"/>
      <c r="J1057" s="85"/>
      <c r="K1057" s="99"/>
      <c r="L1057" s="107"/>
    </row>
    <row r="1058" spans="1:12" s="88" customFormat="1" x14ac:dyDescent="0.2">
      <c r="A1058" s="79"/>
      <c r="B1058" s="75"/>
      <c r="C1058" s="112"/>
      <c r="D1058" s="113"/>
      <c r="E1058" s="77"/>
      <c r="F1058" s="71"/>
      <c r="G1058" s="98"/>
      <c r="H1058" s="77"/>
      <c r="I1058" s="77"/>
      <c r="J1058" s="85"/>
      <c r="K1058" s="99"/>
      <c r="L1058" s="107"/>
    </row>
    <row r="1059" spans="1:12" s="88" customFormat="1" x14ac:dyDescent="0.2">
      <c r="A1059" s="79"/>
      <c r="B1059" s="75"/>
      <c r="C1059" s="112"/>
      <c r="D1059" s="113"/>
      <c r="E1059" s="77"/>
      <c r="F1059" s="71"/>
      <c r="G1059" s="98"/>
      <c r="H1059" s="114"/>
      <c r="I1059" s="114"/>
      <c r="J1059" s="85"/>
      <c r="K1059" s="99"/>
      <c r="L1059" s="107"/>
    </row>
    <row r="1060" spans="1:12" s="88" customFormat="1" x14ac:dyDescent="0.2">
      <c r="A1060" s="79"/>
      <c r="B1060" s="75"/>
      <c r="C1060" s="112"/>
      <c r="D1060" s="113"/>
      <c r="E1060" s="361"/>
      <c r="F1060" s="361"/>
      <c r="G1060" s="361"/>
      <c r="H1060" s="77"/>
      <c r="I1060" s="82"/>
      <c r="J1060" s="85"/>
      <c r="K1060" s="99"/>
      <c r="L1060" s="107"/>
    </row>
    <row r="1061" spans="1:12" s="88" customFormat="1" x14ac:dyDescent="0.2">
      <c r="A1061" s="79"/>
      <c r="B1061" s="75"/>
      <c r="C1061" s="112"/>
      <c r="D1061" s="113"/>
      <c r="E1061" s="361"/>
      <c r="F1061" s="361"/>
      <c r="G1061" s="361"/>
      <c r="H1061" s="362"/>
      <c r="I1061" s="362"/>
      <c r="J1061" s="85"/>
      <c r="K1061" s="99"/>
      <c r="L1061" s="107"/>
    </row>
    <row r="1062" spans="1:12" s="88" customFormat="1" x14ac:dyDescent="0.2">
      <c r="A1062" s="79"/>
      <c r="B1062" s="75"/>
      <c r="C1062" s="112"/>
      <c r="D1062" s="113"/>
      <c r="E1062" s="361"/>
      <c r="F1062" s="361"/>
      <c r="G1062" s="361"/>
      <c r="H1062" s="77"/>
      <c r="I1062" s="114"/>
      <c r="J1062" s="85"/>
      <c r="K1062" s="99"/>
      <c r="L1062" s="107"/>
    </row>
    <row r="1063" spans="1:12" s="88" customFormat="1" x14ac:dyDescent="0.2">
      <c r="A1063" s="79"/>
      <c r="B1063" s="75"/>
      <c r="C1063" s="112"/>
      <c r="D1063" s="113"/>
      <c r="E1063" s="361"/>
      <c r="F1063" s="361"/>
      <c r="G1063" s="361"/>
      <c r="H1063" s="77"/>
      <c r="I1063" s="77"/>
      <c r="J1063" s="85"/>
      <c r="K1063" s="99"/>
      <c r="L1063" s="107"/>
    </row>
    <row r="1064" spans="1:12" s="88" customFormat="1" x14ac:dyDescent="0.2">
      <c r="A1064" s="79"/>
      <c r="B1064" s="75"/>
      <c r="C1064" s="112"/>
      <c r="D1064" s="113"/>
      <c r="E1064" s="77"/>
      <c r="F1064" s="71"/>
      <c r="G1064" s="98"/>
      <c r="H1064" s="77"/>
      <c r="I1064" s="114"/>
      <c r="J1064" s="85"/>
      <c r="K1064" s="99"/>
      <c r="L1064" s="107"/>
    </row>
    <row r="1065" spans="1:12" s="88" customFormat="1" x14ac:dyDescent="0.2">
      <c r="A1065" s="79"/>
      <c r="B1065" s="75"/>
      <c r="C1065" s="112"/>
      <c r="D1065" s="113"/>
      <c r="E1065" s="77"/>
      <c r="F1065" s="71"/>
      <c r="G1065" s="98"/>
      <c r="H1065" s="77"/>
      <c r="I1065" s="114"/>
      <c r="J1065" s="85"/>
      <c r="K1065" s="99"/>
      <c r="L1065" s="107"/>
    </row>
    <row r="1066" spans="1:12" s="88" customFormat="1" x14ac:dyDescent="0.2">
      <c r="A1066" s="79"/>
      <c r="B1066" s="75"/>
      <c r="C1066" s="112"/>
      <c r="D1066" s="113"/>
      <c r="E1066" s="77"/>
      <c r="F1066" s="71"/>
      <c r="G1066" s="98"/>
      <c r="H1066" s="77"/>
      <c r="I1066" s="114"/>
      <c r="J1066" s="85"/>
      <c r="K1066" s="99"/>
      <c r="L1066" s="107"/>
    </row>
    <row r="1067" spans="1:12" s="88" customFormat="1" ht="16.5" customHeight="1" x14ac:dyDescent="0.2">
      <c r="A1067" s="79"/>
      <c r="B1067" s="75"/>
      <c r="C1067" s="112"/>
      <c r="D1067" s="113"/>
      <c r="E1067" s="77"/>
      <c r="F1067" s="71"/>
      <c r="G1067" s="98"/>
      <c r="H1067" s="77"/>
      <c r="I1067" s="114"/>
      <c r="J1067" s="85"/>
      <c r="K1067" s="99"/>
      <c r="L1067" s="107"/>
    </row>
    <row r="1068" spans="1:12" x14ac:dyDescent="0.25">
      <c r="C1068" s="110"/>
      <c r="D1068" s="109"/>
      <c r="E1068" s="181"/>
      <c r="F1068" s="104"/>
      <c r="G1068" s="105"/>
      <c r="H1068" s="181"/>
      <c r="I1068" s="181"/>
    </row>
    <row r="1069" spans="1:12" x14ac:dyDescent="0.25">
      <c r="C1069" s="110"/>
      <c r="D1069" s="109"/>
      <c r="E1069" s="181"/>
      <c r="F1069" s="104"/>
      <c r="G1069" s="105"/>
      <c r="H1069" s="181"/>
      <c r="I1069" s="181"/>
    </row>
  </sheetData>
  <dataConsolidate/>
  <mergeCells count="531">
    <mergeCell ref="E1061:G1061"/>
    <mergeCell ref="H1061:I1061"/>
    <mergeCell ref="E1062:G1062"/>
    <mergeCell ref="E1063:G1063"/>
    <mergeCell ref="E1052:G1052"/>
    <mergeCell ref="E1053:G1053"/>
    <mergeCell ref="E1054:G1054"/>
    <mergeCell ref="H1054:I1054"/>
    <mergeCell ref="E1055:G1055"/>
    <mergeCell ref="E1060:G1060"/>
    <mergeCell ref="E1036:G1036"/>
    <mergeCell ref="E1043:G1043"/>
    <mergeCell ref="E1044:G1044"/>
    <mergeCell ref="E1045:G1045"/>
    <mergeCell ref="H1045:I1045"/>
    <mergeCell ref="E1046:G1046"/>
    <mergeCell ref="E1025:G1025"/>
    <mergeCell ref="H1025:I1025"/>
    <mergeCell ref="E1026:G1026"/>
    <mergeCell ref="E1033:G1033"/>
    <mergeCell ref="E1034:G1034"/>
    <mergeCell ref="E1035:G1035"/>
    <mergeCell ref="H1035:I1035"/>
    <mergeCell ref="E1014:G1014"/>
    <mergeCell ref="E1015:G1015"/>
    <mergeCell ref="H1015:I1015"/>
    <mergeCell ref="E1016:G1016"/>
    <mergeCell ref="E1023:G1023"/>
    <mergeCell ref="E1024:G1024"/>
    <mergeCell ref="E1003:G1003"/>
    <mergeCell ref="E1004:G1004"/>
    <mergeCell ref="E1005:G1005"/>
    <mergeCell ref="H1005:I1005"/>
    <mergeCell ref="E1006:G1006"/>
    <mergeCell ref="E1013:G1013"/>
    <mergeCell ref="E986:G986"/>
    <mergeCell ref="E993:G993"/>
    <mergeCell ref="E994:G994"/>
    <mergeCell ref="E995:G995"/>
    <mergeCell ref="H995:I995"/>
    <mergeCell ref="E996:G996"/>
    <mergeCell ref="E976:G976"/>
    <mergeCell ref="H976:I976"/>
    <mergeCell ref="E983:G983"/>
    <mergeCell ref="E984:G984"/>
    <mergeCell ref="E985:G985"/>
    <mergeCell ref="H985:I985"/>
    <mergeCell ref="E965:G965"/>
    <mergeCell ref="E966:G966"/>
    <mergeCell ref="H966:I966"/>
    <mergeCell ref="E973:G973"/>
    <mergeCell ref="E974:G974"/>
    <mergeCell ref="E975:G975"/>
    <mergeCell ref="E963:G963"/>
    <mergeCell ref="E964:G964"/>
    <mergeCell ref="E945:G945"/>
    <mergeCell ref="E952:G952"/>
    <mergeCell ref="E953:G953"/>
    <mergeCell ref="E954:G954"/>
    <mergeCell ref="E955:G955"/>
    <mergeCell ref="E934:G934"/>
    <mergeCell ref="H934:I934"/>
    <mergeCell ref="E935:G935"/>
    <mergeCell ref="E942:G942"/>
    <mergeCell ref="E943:G943"/>
    <mergeCell ref="E944:G944"/>
    <mergeCell ref="H944:I944"/>
    <mergeCell ref="E923:G923"/>
    <mergeCell ref="E924:G924"/>
    <mergeCell ref="H924:I924"/>
    <mergeCell ref="E925:G925"/>
    <mergeCell ref="E932:G932"/>
    <mergeCell ref="E933:G933"/>
    <mergeCell ref="E912:G912"/>
    <mergeCell ref="E913:G913"/>
    <mergeCell ref="E914:G914"/>
    <mergeCell ref="H914:I914"/>
    <mergeCell ref="E915:G915"/>
    <mergeCell ref="E922:G922"/>
    <mergeCell ref="E895:G895"/>
    <mergeCell ref="E902:G902"/>
    <mergeCell ref="E903:G903"/>
    <mergeCell ref="E904:G904"/>
    <mergeCell ref="H904:I904"/>
    <mergeCell ref="E905:G905"/>
    <mergeCell ref="E884:G884"/>
    <mergeCell ref="H884:I884"/>
    <mergeCell ref="E885:G885"/>
    <mergeCell ref="E892:G892"/>
    <mergeCell ref="E893:G893"/>
    <mergeCell ref="E894:G894"/>
    <mergeCell ref="H894:I894"/>
    <mergeCell ref="E873:G873"/>
    <mergeCell ref="E874:G874"/>
    <mergeCell ref="H874:I874"/>
    <mergeCell ref="E875:G875"/>
    <mergeCell ref="E882:G882"/>
    <mergeCell ref="E883:G883"/>
    <mergeCell ref="E862:G862"/>
    <mergeCell ref="E863:G863"/>
    <mergeCell ref="E864:G864"/>
    <mergeCell ref="H864:I864"/>
    <mergeCell ref="E865:G865"/>
    <mergeCell ref="E872:G872"/>
    <mergeCell ref="E845:G845"/>
    <mergeCell ref="E852:G852"/>
    <mergeCell ref="E853:G853"/>
    <mergeCell ref="E854:G854"/>
    <mergeCell ref="H854:I854"/>
    <mergeCell ref="E855:G855"/>
    <mergeCell ref="E842:G842"/>
    <mergeCell ref="E843:G843"/>
    <mergeCell ref="E844:G844"/>
    <mergeCell ref="H844:I844"/>
    <mergeCell ref="E833:G833"/>
    <mergeCell ref="H833:I833"/>
    <mergeCell ref="E834:G834"/>
    <mergeCell ref="E822:G822"/>
    <mergeCell ref="E823:G823"/>
    <mergeCell ref="H823:I823"/>
    <mergeCell ref="E824:G824"/>
    <mergeCell ref="E831:G831"/>
    <mergeCell ref="E832:G832"/>
    <mergeCell ref="E811:G811"/>
    <mergeCell ref="E812:G812"/>
    <mergeCell ref="E813:G813"/>
    <mergeCell ref="H813:I813"/>
    <mergeCell ref="E814:G814"/>
    <mergeCell ref="E821:G821"/>
    <mergeCell ref="E794:G794"/>
    <mergeCell ref="E801:G801"/>
    <mergeCell ref="E802:G802"/>
    <mergeCell ref="E803:G803"/>
    <mergeCell ref="H803:I803"/>
    <mergeCell ref="E804:G804"/>
    <mergeCell ref="E783:G783"/>
    <mergeCell ref="H783:I783"/>
    <mergeCell ref="E784:G784"/>
    <mergeCell ref="E791:G791"/>
    <mergeCell ref="E792:G792"/>
    <mergeCell ref="E793:G793"/>
    <mergeCell ref="H793:I793"/>
    <mergeCell ref="E772:G772"/>
    <mergeCell ref="E773:G773"/>
    <mergeCell ref="H773:I773"/>
    <mergeCell ref="E774:G774"/>
    <mergeCell ref="E781:G781"/>
    <mergeCell ref="E782:G782"/>
    <mergeCell ref="E761:G761"/>
    <mergeCell ref="E762:G762"/>
    <mergeCell ref="E763:G763"/>
    <mergeCell ref="H763:I763"/>
    <mergeCell ref="E764:G764"/>
    <mergeCell ref="E771:G771"/>
    <mergeCell ref="E744:G744"/>
    <mergeCell ref="E751:G751"/>
    <mergeCell ref="E752:G752"/>
    <mergeCell ref="E753:G753"/>
    <mergeCell ref="H753:I753"/>
    <mergeCell ref="E754:G754"/>
    <mergeCell ref="E733:G733"/>
    <mergeCell ref="H733:I733"/>
    <mergeCell ref="E734:G734"/>
    <mergeCell ref="E741:G741"/>
    <mergeCell ref="E742:G742"/>
    <mergeCell ref="E743:G743"/>
    <mergeCell ref="H743:I743"/>
    <mergeCell ref="E722:G722"/>
    <mergeCell ref="E723:G723"/>
    <mergeCell ref="H723:I723"/>
    <mergeCell ref="E724:G724"/>
    <mergeCell ref="E731:G731"/>
    <mergeCell ref="E732:G732"/>
    <mergeCell ref="E711:G711"/>
    <mergeCell ref="E712:G712"/>
    <mergeCell ref="E713:G713"/>
    <mergeCell ref="H713:I713"/>
    <mergeCell ref="E714:G714"/>
    <mergeCell ref="E721:G721"/>
    <mergeCell ref="E693:G693"/>
    <mergeCell ref="E700:G700"/>
    <mergeCell ref="E701:G701"/>
    <mergeCell ref="E702:G702"/>
    <mergeCell ref="H702:I702"/>
    <mergeCell ref="E703:G703"/>
    <mergeCell ref="E682:G682"/>
    <mergeCell ref="H682:I682"/>
    <mergeCell ref="E683:G683"/>
    <mergeCell ref="E690:G690"/>
    <mergeCell ref="E691:G691"/>
    <mergeCell ref="E692:G692"/>
    <mergeCell ref="H692:I692"/>
    <mergeCell ref="E671:G671"/>
    <mergeCell ref="E672:G672"/>
    <mergeCell ref="H672:I672"/>
    <mergeCell ref="E673:G673"/>
    <mergeCell ref="E680:G680"/>
    <mergeCell ref="E681:G681"/>
    <mergeCell ref="E660:G660"/>
    <mergeCell ref="E661:G661"/>
    <mergeCell ref="E662:G662"/>
    <mergeCell ref="H662:I662"/>
    <mergeCell ref="E663:G663"/>
    <mergeCell ref="E670:G670"/>
    <mergeCell ref="E642:G642"/>
    <mergeCell ref="E650:G650"/>
    <mergeCell ref="E651:G651"/>
    <mergeCell ref="E652:G652"/>
    <mergeCell ref="H652:I652"/>
    <mergeCell ref="E653:G653"/>
    <mergeCell ref="E631:G631"/>
    <mergeCell ref="H631:I631"/>
    <mergeCell ref="E632:G632"/>
    <mergeCell ref="E639:G639"/>
    <mergeCell ref="E640:G640"/>
    <mergeCell ref="E641:G641"/>
    <mergeCell ref="H641:I641"/>
    <mergeCell ref="E620:G620"/>
    <mergeCell ref="E621:G621"/>
    <mergeCell ref="H621:I621"/>
    <mergeCell ref="E622:G622"/>
    <mergeCell ref="E629:G629"/>
    <mergeCell ref="E630:G630"/>
    <mergeCell ref="E609:G609"/>
    <mergeCell ref="E610:G610"/>
    <mergeCell ref="E611:G611"/>
    <mergeCell ref="H611:I611"/>
    <mergeCell ref="E612:G612"/>
    <mergeCell ref="E619:G619"/>
    <mergeCell ref="E592:G592"/>
    <mergeCell ref="E599:G599"/>
    <mergeCell ref="E600:G600"/>
    <mergeCell ref="E601:G601"/>
    <mergeCell ref="H601:I601"/>
    <mergeCell ref="E602:G602"/>
    <mergeCell ref="E581:G581"/>
    <mergeCell ref="H581:I581"/>
    <mergeCell ref="E582:G582"/>
    <mergeCell ref="E589:G589"/>
    <mergeCell ref="E590:G590"/>
    <mergeCell ref="E591:G591"/>
    <mergeCell ref="H591:I591"/>
    <mergeCell ref="E570:G570"/>
    <mergeCell ref="E571:G571"/>
    <mergeCell ref="H571:I571"/>
    <mergeCell ref="E572:G572"/>
    <mergeCell ref="E579:G579"/>
    <mergeCell ref="E580:G580"/>
    <mergeCell ref="E559:G559"/>
    <mergeCell ref="E560:G560"/>
    <mergeCell ref="E561:G561"/>
    <mergeCell ref="H561:I561"/>
    <mergeCell ref="E562:G562"/>
    <mergeCell ref="E569:G569"/>
    <mergeCell ref="E542:G542"/>
    <mergeCell ref="E549:G549"/>
    <mergeCell ref="E550:G550"/>
    <mergeCell ref="E551:G551"/>
    <mergeCell ref="H551:I551"/>
    <mergeCell ref="E552:G552"/>
    <mergeCell ref="E531:G531"/>
    <mergeCell ref="H531:I531"/>
    <mergeCell ref="E532:G532"/>
    <mergeCell ref="E539:G539"/>
    <mergeCell ref="E540:G540"/>
    <mergeCell ref="E541:G541"/>
    <mergeCell ref="H541:I541"/>
    <mergeCell ref="E520:G520"/>
    <mergeCell ref="E521:G521"/>
    <mergeCell ref="H521:I521"/>
    <mergeCell ref="E522:G522"/>
    <mergeCell ref="E529:G529"/>
    <mergeCell ref="E530:G530"/>
    <mergeCell ref="E509:G509"/>
    <mergeCell ref="E510:G510"/>
    <mergeCell ref="E511:G511"/>
    <mergeCell ref="H511:I511"/>
    <mergeCell ref="E512:G512"/>
    <mergeCell ref="E519:G519"/>
    <mergeCell ref="E492:G492"/>
    <mergeCell ref="E499:G499"/>
    <mergeCell ref="E500:G500"/>
    <mergeCell ref="E501:G501"/>
    <mergeCell ref="H501:I501"/>
    <mergeCell ref="E502:G502"/>
    <mergeCell ref="E481:G481"/>
    <mergeCell ref="H481:I481"/>
    <mergeCell ref="E482:G482"/>
    <mergeCell ref="E489:G489"/>
    <mergeCell ref="E490:G490"/>
    <mergeCell ref="E491:G491"/>
    <mergeCell ref="H491:I491"/>
    <mergeCell ref="E470:G470"/>
    <mergeCell ref="E471:G471"/>
    <mergeCell ref="H471:I471"/>
    <mergeCell ref="E472:G472"/>
    <mergeCell ref="E479:G479"/>
    <mergeCell ref="E480:G480"/>
    <mergeCell ref="E459:G459"/>
    <mergeCell ref="E460:G460"/>
    <mergeCell ref="E461:G461"/>
    <mergeCell ref="H461:I461"/>
    <mergeCell ref="E462:G462"/>
    <mergeCell ref="E469:G469"/>
    <mergeCell ref="E442:G442"/>
    <mergeCell ref="E449:G449"/>
    <mergeCell ref="E450:G450"/>
    <mergeCell ref="E451:G451"/>
    <mergeCell ref="H451:I451"/>
    <mergeCell ref="E452:G452"/>
    <mergeCell ref="E431:G431"/>
    <mergeCell ref="H431:I431"/>
    <mergeCell ref="E432:G432"/>
    <mergeCell ref="E439:G439"/>
    <mergeCell ref="E440:G440"/>
    <mergeCell ref="E441:G441"/>
    <mergeCell ref="H441:I441"/>
    <mergeCell ref="E420:G420"/>
    <mergeCell ref="E421:G421"/>
    <mergeCell ref="H421:I421"/>
    <mergeCell ref="E422:G422"/>
    <mergeCell ref="E429:G429"/>
    <mergeCell ref="E430:G430"/>
    <mergeCell ref="E408:G408"/>
    <mergeCell ref="E409:G409"/>
    <mergeCell ref="E410:G410"/>
    <mergeCell ref="H410:I410"/>
    <mergeCell ref="E411:G411"/>
    <mergeCell ref="E419:G419"/>
    <mergeCell ref="E397:G397"/>
    <mergeCell ref="E398:G398"/>
    <mergeCell ref="E399:G399"/>
    <mergeCell ref="E400:G400"/>
    <mergeCell ref="H400:I400"/>
    <mergeCell ref="E401:G401"/>
    <mergeCell ref="E380:G380"/>
    <mergeCell ref="E387:G387"/>
    <mergeCell ref="E388:G388"/>
    <mergeCell ref="E389:G389"/>
    <mergeCell ref="H389:I389"/>
    <mergeCell ref="E390:G390"/>
    <mergeCell ref="E369:G369"/>
    <mergeCell ref="H369:I369"/>
    <mergeCell ref="E370:G370"/>
    <mergeCell ref="E377:G377"/>
    <mergeCell ref="E378:G378"/>
    <mergeCell ref="E379:G379"/>
    <mergeCell ref="H379:I379"/>
    <mergeCell ref="E357:G357"/>
    <mergeCell ref="E358:G358"/>
    <mergeCell ref="H358:I358"/>
    <mergeCell ref="E359:G359"/>
    <mergeCell ref="E367:G367"/>
    <mergeCell ref="E368:G368"/>
    <mergeCell ref="E345:G345"/>
    <mergeCell ref="E346:G346"/>
    <mergeCell ref="E347:G347"/>
    <mergeCell ref="H347:I347"/>
    <mergeCell ref="E348:G348"/>
    <mergeCell ref="E356:G356"/>
    <mergeCell ref="E328:G328"/>
    <mergeCell ref="E335:G335"/>
    <mergeCell ref="E336:G336"/>
    <mergeCell ref="E337:G337"/>
    <mergeCell ref="H337:I337"/>
    <mergeCell ref="E338:G338"/>
    <mergeCell ref="E316:G316"/>
    <mergeCell ref="H316:I316"/>
    <mergeCell ref="E317:G317"/>
    <mergeCell ref="E325:G325"/>
    <mergeCell ref="E326:G326"/>
    <mergeCell ref="E327:G327"/>
    <mergeCell ref="H327:I327"/>
    <mergeCell ref="E305:G305"/>
    <mergeCell ref="E306:G306"/>
    <mergeCell ref="H306:I306"/>
    <mergeCell ref="E307:G307"/>
    <mergeCell ref="E314:G314"/>
    <mergeCell ref="E315:G315"/>
    <mergeCell ref="E294:G294"/>
    <mergeCell ref="E295:G295"/>
    <mergeCell ref="E296:G296"/>
    <mergeCell ref="H296:I296"/>
    <mergeCell ref="E297:G297"/>
    <mergeCell ref="E304:G304"/>
    <mergeCell ref="E275:G275"/>
    <mergeCell ref="E284:G284"/>
    <mergeCell ref="E285:G285"/>
    <mergeCell ref="E286:G286"/>
    <mergeCell ref="H286:I286"/>
    <mergeCell ref="E287:G287"/>
    <mergeCell ref="E265:G265"/>
    <mergeCell ref="E266:G266"/>
    <mergeCell ref="E272:G272"/>
    <mergeCell ref="E273:G273"/>
    <mergeCell ref="E274:G274"/>
    <mergeCell ref="H274:I274"/>
    <mergeCell ref="E254:G254"/>
    <mergeCell ref="H254:I254"/>
    <mergeCell ref="E255:G255"/>
    <mergeCell ref="E262:G262"/>
    <mergeCell ref="E263:G263"/>
    <mergeCell ref="E264:G264"/>
    <mergeCell ref="H264:I264"/>
    <mergeCell ref="E243:G243"/>
    <mergeCell ref="E244:G244"/>
    <mergeCell ref="H244:I244"/>
    <mergeCell ref="E245:G245"/>
    <mergeCell ref="E252:G252"/>
    <mergeCell ref="E253:G253"/>
    <mergeCell ref="E232:G232"/>
    <mergeCell ref="E233:G233"/>
    <mergeCell ref="E234:G234"/>
    <mergeCell ref="H234:I234"/>
    <mergeCell ref="E235:G235"/>
    <mergeCell ref="E242:G242"/>
    <mergeCell ref="E212:G212"/>
    <mergeCell ref="E222:G222"/>
    <mergeCell ref="E223:G223"/>
    <mergeCell ref="E224:G224"/>
    <mergeCell ref="H224:I224"/>
    <mergeCell ref="E225:G225"/>
    <mergeCell ref="E201:G201"/>
    <mergeCell ref="H201:I201"/>
    <mergeCell ref="E202:G202"/>
    <mergeCell ref="E209:G209"/>
    <mergeCell ref="E210:G210"/>
    <mergeCell ref="E211:G211"/>
    <mergeCell ref="H211:I211"/>
    <mergeCell ref="E190:G190"/>
    <mergeCell ref="E191:G191"/>
    <mergeCell ref="H191:I191"/>
    <mergeCell ref="E192:G192"/>
    <mergeCell ref="E199:G199"/>
    <mergeCell ref="E200:G200"/>
    <mergeCell ref="E179:G179"/>
    <mergeCell ref="E180:G180"/>
    <mergeCell ref="E181:G181"/>
    <mergeCell ref="H181:I181"/>
    <mergeCell ref="E182:G182"/>
    <mergeCell ref="E189:G189"/>
    <mergeCell ref="E162:G162"/>
    <mergeCell ref="E169:G169"/>
    <mergeCell ref="E170:G170"/>
    <mergeCell ref="E171:G171"/>
    <mergeCell ref="H171:I171"/>
    <mergeCell ref="E172:G172"/>
    <mergeCell ref="E151:G151"/>
    <mergeCell ref="H151:I151"/>
    <mergeCell ref="E152:G152"/>
    <mergeCell ref="E159:G159"/>
    <mergeCell ref="E160:G160"/>
    <mergeCell ref="E161:G161"/>
    <mergeCell ref="H161:I161"/>
    <mergeCell ref="E140:G140"/>
    <mergeCell ref="E141:G141"/>
    <mergeCell ref="H141:I141"/>
    <mergeCell ref="E142:G142"/>
    <mergeCell ref="E149:G149"/>
    <mergeCell ref="E150:G150"/>
    <mergeCell ref="E129:G129"/>
    <mergeCell ref="E130:G130"/>
    <mergeCell ref="E131:G131"/>
    <mergeCell ref="H131:I131"/>
    <mergeCell ref="E132:G132"/>
    <mergeCell ref="E139:G139"/>
    <mergeCell ref="E112:G112"/>
    <mergeCell ref="E119:G119"/>
    <mergeCell ref="E120:G120"/>
    <mergeCell ref="E121:G121"/>
    <mergeCell ref="H121:I121"/>
    <mergeCell ref="E122:G122"/>
    <mergeCell ref="E101:G101"/>
    <mergeCell ref="H101:I101"/>
    <mergeCell ref="E102:G102"/>
    <mergeCell ref="E109:G109"/>
    <mergeCell ref="E110:G110"/>
    <mergeCell ref="E111:G111"/>
    <mergeCell ref="H111:I111"/>
    <mergeCell ref="E90:G90"/>
    <mergeCell ref="E91:G91"/>
    <mergeCell ref="H91:I91"/>
    <mergeCell ref="E92:G92"/>
    <mergeCell ref="E99:G99"/>
    <mergeCell ref="E100:G100"/>
    <mergeCell ref="E79:G79"/>
    <mergeCell ref="E80:G80"/>
    <mergeCell ref="E81:G81"/>
    <mergeCell ref="H81:I81"/>
    <mergeCell ref="E82:G82"/>
    <mergeCell ref="E89:G89"/>
    <mergeCell ref="E61:G61"/>
    <mergeCell ref="E69:G69"/>
    <mergeCell ref="E70:G70"/>
    <mergeCell ref="E71:G71"/>
    <mergeCell ref="H71:I71"/>
    <mergeCell ref="E72:G72"/>
    <mergeCell ref="E50:G50"/>
    <mergeCell ref="H50:I50"/>
    <mergeCell ref="E51:G51"/>
    <mergeCell ref="E58:G58"/>
    <mergeCell ref="E59:G59"/>
    <mergeCell ref="E60:G60"/>
    <mergeCell ref="H60:I60"/>
    <mergeCell ref="E38:G38"/>
    <mergeCell ref="E39:G39"/>
    <mergeCell ref="H39:I39"/>
    <mergeCell ref="E40:G40"/>
    <mergeCell ref="E48:G48"/>
    <mergeCell ref="E49:G49"/>
    <mergeCell ref="E27:G27"/>
    <mergeCell ref="E28:G28"/>
    <mergeCell ref="E29:G29"/>
    <mergeCell ref="H29:I29"/>
    <mergeCell ref="E30:G30"/>
    <mergeCell ref="E37:G37"/>
    <mergeCell ref="B1:I4"/>
    <mergeCell ref="C12:I12"/>
    <mergeCell ref="A14:A15"/>
    <mergeCell ref="B14:B15"/>
    <mergeCell ref="C14:C15"/>
    <mergeCell ref="D14:D15"/>
    <mergeCell ref="E14:E15"/>
    <mergeCell ref="G14:G15"/>
    <mergeCell ref="H14:I14"/>
    <mergeCell ref="B5:I5"/>
    <mergeCell ref="B6:I6"/>
    <mergeCell ref="B7:I7"/>
    <mergeCell ref="B8:I9"/>
    <mergeCell ref="B11:I11"/>
    <mergeCell ref="B10:I10"/>
  </mergeCells>
  <pageMargins left="0.51181102362204722" right="0.39370078740157483" top="0.59055118110236227" bottom="0.78740157480314965" header="0.31496062992125984" footer="0.31496062992125984"/>
  <pageSetup paperSize="9" scale="70" orientation="portrait" r:id="rId1"/>
  <rowBreaks count="15" manualBreakCount="15">
    <brk id="68" min="1" max="8" man="1"/>
    <brk id="122" min="1" max="8" man="1"/>
    <brk id="182" min="1" max="8" man="1"/>
    <brk id="236" min="1" max="8" man="1"/>
    <brk id="349" min="1" max="8" man="1"/>
    <brk id="523" min="1" max="8" man="1"/>
    <brk id="573" min="1" max="8" man="1"/>
    <brk id="633" min="1" max="8" man="1"/>
    <brk id="693" min="1" max="8" man="1"/>
    <brk id="745" min="1" max="8" man="1"/>
    <brk id="794" min="1" max="8" man="1"/>
    <brk id="855" min="1" max="8" man="1"/>
    <brk id="915" min="1" max="8" man="1"/>
    <brk id="966" min="1" max="8" man="1"/>
    <brk id="1026" min="1" max="8" man="1"/>
  </rowBreaks>
  <ignoredErrors>
    <ignoredError sqref="L98" formula="1"/>
    <ignoredError sqref="D968:D969" evalErro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showGridLines="0" view="pageBreakPreview" zoomScaleNormal="100" zoomScaleSheetLayoutView="100" workbookViewId="0">
      <selection activeCell="K12" sqref="K12"/>
    </sheetView>
  </sheetViews>
  <sheetFormatPr defaultRowHeight="12.75" x14ac:dyDescent="0.2"/>
  <cols>
    <col min="1" max="1" width="5.42578125" style="211" customWidth="1"/>
    <col min="2" max="2" width="51.7109375" style="209" customWidth="1"/>
    <col min="3" max="3" width="16.28515625" style="211" bestFit="1" customWidth="1"/>
    <col min="4" max="4" width="8.7109375" style="211" bestFit="1" customWidth="1"/>
    <col min="5" max="5" width="15.85546875" style="211" bestFit="1" customWidth="1"/>
    <col min="6" max="6" width="8" style="211" bestFit="1" customWidth="1"/>
    <col min="7" max="7" width="17" style="211" bestFit="1" customWidth="1"/>
    <col min="8" max="8" width="8.140625" style="211" bestFit="1" customWidth="1"/>
    <col min="9" max="9" width="18.28515625" style="211" bestFit="1" customWidth="1"/>
    <col min="10" max="10" width="12.28515625" style="211" bestFit="1" customWidth="1"/>
    <col min="11" max="16" width="12.7109375" style="211" customWidth="1"/>
    <col min="17" max="17" width="13.5703125" style="215" bestFit="1" customWidth="1"/>
    <col min="18" max="18" width="9.140625" style="211"/>
    <col min="19" max="19" width="24.42578125" style="211" bestFit="1" customWidth="1"/>
    <col min="20" max="16384" width="9.140625" style="211"/>
  </cols>
  <sheetData>
    <row r="1" spans="1:17" ht="23.25" customHeight="1" x14ac:dyDescent="0.2">
      <c r="A1" s="409" t="s">
        <v>377</v>
      </c>
      <c r="B1" s="409"/>
      <c r="C1" s="409"/>
      <c r="D1" s="409"/>
      <c r="E1" s="409"/>
      <c r="F1" s="409"/>
      <c r="G1" s="409"/>
      <c r="H1" s="409"/>
      <c r="I1" s="409"/>
      <c r="J1" s="409"/>
      <c r="K1" s="209"/>
      <c r="L1" s="209"/>
      <c r="M1" s="209"/>
      <c r="N1" s="209"/>
      <c r="O1" s="209"/>
      <c r="P1" s="209"/>
      <c r="Q1" s="210"/>
    </row>
    <row r="2" spans="1:17" x14ac:dyDescent="0.2">
      <c r="A2" s="409"/>
      <c r="B2" s="409"/>
      <c r="C2" s="409"/>
      <c r="D2" s="409"/>
      <c r="E2" s="409"/>
      <c r="F2" s="409"/>
      <c r="G2" s="409"/>
      <c r="H2" s="409"/>
      <c r="I2" s="409"/>
      <c r="J2" s="409"/>
      <c r="K2" s="209"/>
      <c r="L2" s="209"/>
      <c r="M2" s="209"/>
      <c r="N2" s="209"/>
      <c r="O2" s="209"/>
      <c r="P2" s="209"/>
      <c r="Q2" s="210"/>
    </row>
    <row r="3" spans="1:17" ht="15" customHeight="1" x14ac:dyDescent="0.2">
      <c r="A3" s="409"/>
      <c r="B3" s="409"/>
      <c r="C3" s="409"/>
      <c r="D3" s="409"/>
      <c r="E3" s="409"/>
      <c r="F3" s="409"/>
      <c r="G3" s="409"/>
      <c r="H3" s="409"/>
      <c r="I3" s="409"/>
      <c r="J3" s="409"/>
      <c r="K3" s="212"/>
      <c r="L3" s="212"/>
      <c r="M3" s="212"/>
      <c r="N3" s="212"/>
      <c r="O3" s="212"/>
      <c r="P3" s="212"/>
      <c r="Q3" s="212"/>
    </row>
    <row r="4" spans="1:17" ht="15" customHeight="1" x14ac:dyDescent="0.2">
      <c r="A4" s="409"/>
      <c r="B4" s="409"/>
      <c r="C4" s="409"/>
      <c r="D4" s="409"/>
      <c r="E4" s="409"/>
      <c r="F4" s="409"/>
      <c r="G4" s="409"/>
      <c r="H4" s="409"/>
      <c r="I4" s="409"/>
      <c r="J4" s="409"/>
      <c r="K4" s="213"/>
      <c r="L4" s="213"/>
      <c r="M4" s="213"/>
      <c r="N4" s="213"/>
      <c r="O4" s="213"/>
      <c r="P4" s="213"/>
      <c r="Q4" s="213"/>
    </row>
    <row r="5" spans="1:17" ht="15" customHeight="1" x14ac:dyDescent="0.25">
      <c r="A5" s="350"/>
      <c r="B5" s="350"/>
      <c r="C5" s="350"/>
      <c r="D5" s="350"/>
      <c r="E5" s="350"/>
      <c r="F5" s="350"/>
      <c r="G5" s="350"/>
      <c r="H5" s="350"/>
      <c r="I5" s="350"/>
      <c r="J5" s="350"/>
      <c r="K5" s="213"/>
      <c r="L5" s="213"/>
      <c r="M5" s="213"/>
      <c r="N5" s="213"/>
      <c r="O5" s="213"/>
      <c r="P5" s="213"/>
      <c r="Q5" s="213"/>
    </row>
    <row r="6" spans="1:17" x14ac:dyDescent="0.2">
      <c r="A6" s="442" t="str">
        <f>Comp!B5</f>
        <v xml:space="preserve"> PREFEITURA MUNICIPAL DE BAIÃO</v>
      </c>
      <c r="B6" s="442"/>
      <c r="C6" s="442"/>
      <c r="D6" s="442"/>
      <c r="E6" s="442"/>
      <c r="F6" s="442"/>
      <c r="G6" s="442"/>
      <c r="H6" s="442"/>
      <c r="I6" s="442"/>
      <c r="J6" s="442"/>
      <c r="K6" s="214"/>
      <c r="L6" s="214"/>
      <c r="M6" s="214"/>
      <c r="N6" s="214"/>
      <c r="O6" s="214"/>
      <c r="P6" s="214"/>
      <c r="Q6" s="214"/>
    </row>
    <row r="7" spans="1:17" x14ac:dyDescent="0.2">
      <c r="A7" s="442" t="str">
        <f>Comp!B6</f>
        <v>TOMADA DE PREÇO   N° 013/2015</v>
      </c>
      <c r="B7" s="442"/>
      <c r="C7" s="442"/>
      <c r="D7" s="442"/>
      <c r="E7" s="442"/>
      <c r="F7" s="442"/>
      <c r="G7" s="442"/>
      <c r="H7" s="442"/>
      <c r="I7" s="442"/>
      <c r="J7" s="442"/>
    </row>
    <row r="8" spans="1:17" x14ac:dyDescent="0.2">
      <c r="A8" s="442" t="str">
        <f>Comp!B7</f>
        <v>LOCAL:  E.M.E.F PÓLO DE MASSARANDUBA</v>
      </c>
      <c r="B8" s="442"/>
      <c r="C8" s="442"/>
      <c r="D8" s="442"/>
      <c r="E8" s="442"/>
      <c r="F8" s="442"/>
      <c r="G8" s="442"/>
      <c r="H8" s="442"/>
      <c r="I8" s="442"/>
      <c r="J8" s="442"/>
    </row>
    <row r="9" spans="1:17" ht="32.25" customHeight="1" x14ac:dyDescent="0.2">
      <c r="A9" s="443" t="str">
        <f>Comp!B8</f>
        <v>OBRA:  CONTINUAÇÃO DA CONSTRUÇÃO DE 01 (DUAS) ESCOLAS PÓLO NA LOCALIDADE MASSARANDUBA - PROJETO PADRÃO FNDE - 04 (QUATRO) SALAS DE  AULAS - NO MUNICIPIO DE BAIÃO - PARÁ</v>
      </c>
      <c r="B9" s="443"/>
      <c r="C9" s="443"/>
      <c r="D9" s="443"/>
      <c r="E9" s="443"/>
      <c r="F9" s="443"/>
      <c r="G9" s="443"/>
      <c r="H9" s="443"/>
      <c r="I9" s="443"/>
      <c r="J9" s="443"/>
    </row>
    <row r="10" spans="1:17" x14ac:dyDescent="0.2">
      <c r="A10" s="443" t="str">
        <f>Comp!B10</f>
        <v>PRAZO DE EXECUÇÃO: 03 MESES</v>
      </c>
      <c r="B10" s="443"/>
      <c r="C10" s="443"/>
      <c r="D10" s="443"/>
      <c r="E10" s="443"/>
      <c r="F10" s="443"/>
      <c r="G10" s="443"/>
      <c r="H10" s="443"/>
      <c r="I10" s="443"/>
      <c r="J10" s="443"/>
    </row>
    <row r="11" spans="1:17" x14ac:dyDescent="0.2">
      <c r="A11" s="441"/>
      <c r="B11" s="441"/>
      <c r="C11" s="441"/>
      <c r="D11" s="441"/>
      <c r="E11" s="441"/>
      <c r="F11" s="441"/>
      <c r="G11" s="441"/>
      <c r="H11" s="441"/>
      <c r="I11" s="441"/>
      <c r="J11" s="441"/>
    </row>
    <row r="12" spans="1:17" ht="15" customHeight="1" x14ac:dyDescent="0.2">
      <c r="A12" s="410" t="s">
        <v>378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213"/>
      <c r="L12" s="213"/>
      <c r="M12" s="213"/>
      <c r="N12" s="213"/>
      <c r="O12" s="213"/>
      <c r="P12" s="213"/>
      <c r="Q12" s="213"/>
    </row>
    <row r="13" spans="1:17" ht="15" customHeight="1" x14ac:dyDescent="0.2">
      <c r="A13" s="217"/>
      <c r="B13" s="218"/>
      <c r="C13" s="216"/>
      <c r="D13" s="216"/>
      <c r="E13" s="216"/>
      <c r="F13" s="216"/>
      <c r="G13" s="216"/>
      <c r="H13" s="216"/>
    </row>
    <row r="14" spans="1:17" ht="10.5" customHeight="1" x14ac:dyDescent="0.2">
      <c r="A14" s="219"/>
      <c r="B14" s="220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</row>
    <row r="15" spans="1:17" ht="12.75" customHeight="1" x14ac:dyDescent="0.2"/>
    <row r="16" spans="1:17" ht="12.75" customHeight="1" x14ac:dyDescent="0.2">
      <c r="A16" s="411" t="s">
        <v>0</v>
      </c>
      <c r="B16" s="411" t="s">
        <v>379</v>
      </c>
      <c r="C16" s="412" t="s">
        <v>380</v>
      </c>
      <c r="D16" s="412"/>
      <c r="E16" s="413" t="s">
        <v>381</v>
      </c>
      <c r="F16" s="413"/>
      <c r="G16" s="413" t="s">
        <v>382</v>
      </c>
      <c r="H16" s="413"/>
      <c r="I16" s="414" t="s">
        <v>383</v>
      </c>
      <c r="J16" s="415"/>
    </row>
    <row r="17" spans="1:17" ht="12.75" customHeight="1" x14ac:dyDescent="0.2">
      <c r="A17" s="411"/>
      <c r="B17" s="411"/>
      <c r="C17" s="221" t="s">
        <v>384</v>
      </c>
      <c r="D17" s="222" t="s">
        <v>312</v>
      </c>
      <c r="E17" s="221" t="s">
        <v>384</v>
      </c>
      <c r="F17" s="222" t="s">
        <v>312</v>
      </c>
      <c r="G17" s="221" t="s">
        <v>384</v>
      </c>
      <c r="H17" s="222" t="s">
        <v>312</v>
      </c>
      <c r="I17" s="223" t="s">
        <v>5</v>
      </c>
      <c r="J17" s="224" t="s">
        <v>375</v>
      </c>
    </row>
    <row r="18" spans="1:17" x14ac:dyDescent="0.2">
      <c r="A18" s="225">
        <v>1</v>
      </c>
      <c r="B18" s="226" t="str">
        <f>'Resumo Geral'!B16</f>
        <v>SERVIÇOS PRELIMINARES</v>
      </c>
      <c r="C18" s="227">
        <f t="shared" ref="C18:C27" si="0">D18*I18</f>
        <v>1585.2021418168986</v>
      </c>
      <c r="D18" s="228">
        <v>1</v>
      </c>
      <c r="E18" s="229"/>
      <c r="F18" s="230"/>
      <c r="G18" s="229"/>
      <c r="H18" s="230"/>
      <c r="I18" s="227">
        <f>'Resumo Geral'!C16</f>
        <v>1585.2021418168986</v>
      </c>
      <c r="J18" s="230">
        <f t="shared" ref="J18:J31" si="1">D18+F18+H18</f>
        <v>1</v>
      </c>
    </row>
    <row r="19" spans="1:17" x14ac:dyDescent="0.2">
      <c r="A19" s="225">
        <v>2</v>
      </c>
      <c r="B19" s="226" t="str">
        <f>'Resumo Geral'!B17</f>
        <v>SUPERESTRUTURA</v>
      </c>
      <c r="C19" s="227">
        <f t="shared" si="0"/>
        <v>1838.6559433917125</v>
      </c>
      <c r="D19" s="228">
        <v>0.5</v>
      </c>
      <c r="E19" s="227">
        <f t="shared" ref="E19:E29" si="2">F19*I19</f>
        <v>1838.6559433917125</v>
      </c>
      <c r="F19" s="228">
        <v>0.5</v>
      </c>
      <c r="G19" s="229"/>
      <c r="H19" s="230"/>
      <c r="I19" s="227">
        <f>'Resumo Geral'!C17</f>
        <v>3677.3118867834251</v>
      </c>
      <c r="J19" s="230">
        <f t="shared" si="1"/>
        <v>1</v>
      </c>
    </row>
    <row r="20" spans="1:17" x14ac:dyDescent="0.2">
      <c r="A20" s="225">
        <v>3</v>
      </c>
      <c r="B20" s="226" t="str">
        <f>'Resumo Geral'!B18</f>
        <v>INSTALAÇÕES HIDRO-SANITÁRIAS</v>
      </c>
      <c r="C20" s="227">
        <f t="shared" si="0"/>
        <v>6419.2011041108635</v>
      </c>
      <c r="D20" s="228">
        <v>0.5</v>
      </c>
      <c r="E20" s="227">
        <f t="shared" si="2"/>
        <v>6419.2011041108635</v>
      </c>
      <c r="F20" s="228">
        <v>0.5</v>
      </c>
      <c r="G20" s="229"/>
      <c r="H20" s="228"/>
      <c r="I20" s="227">
        <f>'Resumo Geral'!C18</f>
        <v>12838.402208221727</v>
      </c>
      <c r="J20" s="230">
        <f t="shared" si="1"/>
        <v>1</v>
      </c>
    </row>
    <row r="21" spans="1:17" x14ac:dyDescent="0.2">
      <c r="A21" s="225">
        <v>4</v>
      </c>
      <c r="B21" s="226" t="str">
        <f>'Resumo Geral'!B19</f>
        <v>INSTALAÇÕES ELÉTRICAS E TELEFONICAS</v>
      </c>
      <c r="C21" s="227">
        <f t="shared" si="0"/>
        <v>10948.429093807859</v>
      </c>
      <c r="D21" s="228">
        <v>0.3</v>
      </c>
      <c r="E21" s="227">
        <f t="shared" si="2"/>
        <v>10948.429093807859</v>
      </c>
      <c r="F21" s="228">
        <v>0.3</v>
      </c>
      <c r="G21" s="227">
        <f t="shared" ref="G21:G31" si="3">H21*I21</f>
        <v>14597.905458410482</v>
      </c>
      <c r="H21" s="230">
        <v>0.4</v>
      </c>
      <c r="I21" s="227">
        <f>'Resumo Geral'!C19</f>
        <v>36494.7636460262</v>
      </c>
      <c r="J21" s="230">
        <f t="shared" si="1"/>
        <v>1</v>
      </c>
    </row>
    <row r="22" spans="1:17" x14ac:dyDescent="0.2">
      <c r="A22" s="225">
        <v>5</v>
      </c>
      <c r="B22" s="226" t="str">
        <f>'Resumo Geral'!B20</f>
        <v>ESQUADRIAS</v>
      </c>
      <c r="C22" s="227">
        <f t="shared" si="0"/>
        <v>7216.9186727005399</v>
      </c>
      <c r="D22" s="228">
        <v>0.3</v>
      </c>
      <c r="E22" s="227">
        <f t="shared" si="2"/>
        <v>8419.7384514839632</v>
      </c>
      <c r="F22" s="228">
        <v>0.35</v>
      </c>
      <c r="G22" s="227">
        <f t="shared" si="3"/>
        <v>8419.7384514839632</v>
      </c>
      <c r="H22" s="230">
        <v>0.35</v>
      </c>
      <c r="I22" s="227">
        <f>'Resumo Geral'!C20</f>
        <v>24056.395575668466</v>
      </c>
      <c r="J22" s="230">
        <f t="shared" si="1"/>
        <v>0.99999999999999989</v>
      </c>
    </row>
    <row r="23" spans="1:17" x14ac:dyDescent="0.2">
      <c r="A23" s="225">
        <v>6</v>
      </c>
      <c r="B23" s="226" t="str">
        <f>'Resumo Geral'!B21</f>
        <v>COBERTURA</v>
      </c>
      <c r="C23" s="227">
        <f t="shared" si="0"/>
        <v>2809.3940271737133</v>
      </c>
      <c r="D23" s="228">
        <v>0.3</v>
      </c>
      <c r="E23" s="227">
        <f t="shared" si="2"/>
        <v>3277.6263650359988</v>
      </c>
      <c r="F23" s="228">
        <v>0.35</v>
      </c>
      <c r="G23" s="227">
        <f t="shared" si="3"/>
        <v>3277.6263650359988</v>
      </c>
      <c r="H23" s="230">
        <v>0.35</v>
      </c>
      <c r="I23" s="227">
        <f>'Resumo Geral'!C21</f>
        <v>9364.6467572457113</v>
      </c>
      <c r="J23" s="230">
        <f t="shared" si="1"/>
        <v>0.99999999999999989</v>
      </c>
      <c r="K23" s="231"/>
      <c r="L23" s="231"/>
      <c r="M23" s="231"/>
      <c r="N23" s="231"/>
      <c r="O23" s="231"/>
      <c r="P23" s="231"/>
      <c r="Q23" s="231"/>
    </row>
    <row r="24" spans="1:17" x14ac:dyDescent="0.2">
      <c r="A24" s="225">
        <v>7</v>
      </c>
      <c r="B24" s="226" t="str">
        <f>'Resumo Geral'!B22</f>
        <v>REVESTIMENTO</v>
      </c>
      <c r="C24" s="227">
        <f t="shared" si="0"/>
        <v>5330.999322942419</v>
      </c>
      <c r="D24" s="228">
        <v>0.3</v>
      </c>
      <c r="E24" s="227">
        <f t="shared" si="2"/>
        <v>6219.4992100994887</v>
      </c>
      <c r="F24" s="228">
        <v>0.35</v>
      </c>
      <c r="G24" s="227">
        <f t="shared" si="3"/>
        <v>6219.4992100994887</v>
      </c>
      <c r="H24" s="230">
        <v>0.35</v>
      </c>
      <c r="I24" s="227">
        <f>'Resumo Geral'!C22</f>
        <v>17769.997743141397</v>
      </c>
      <c r="J24" s="230">
        <f t="shared" si="1"/>
        <v>0.99999999999999989</v>
      </c>
      <c r="K24" s="232"/>
      <c r="L24" s="232"/>
      <c r="M24" s="232"/>
      <c r="N24" s="232"/>
      <c r="O24" s="232"/>
      <c r="P24" s="232"/>
      <c r="Q24" s="232"/>
    </row>
    <row r="25" spans="1:17" x14ac:dyDescent="0.2">
      <c r="A25" s="225">
        <v>8</v>
      </c>
      <c r="B25" s="226" t="str">
        <f>'Resumo Geral'!B23</f>
        <v>PAVIMENTAÇÃO</v>
      </c>
      <c r="C25" s="227">
        <f t="shared" si="0"/>
        <v>2081.3581791324782</v>
      </c>
      <c r="D25" s="228">
        <v>0.3</v>
      </c>
      <c r="E25" s="227">
        <f t="shared" si="2"/>
        <v>2428.251208987891</v>
      </c>
      <c r="F25" s="228">
        <v>0.35</v>
      </c>
      <c r="G25" s="227">
        <f t="shared" si="3"/>
        <v>2428.251208987891</v>
      </c>
      <c r="H25" s="230">
        <v>0.35</v>
      </c>
      <c r="I25" s="227">
        <f>'Resumo Geral'!C23</f>
        <v>6937.8605971082607</v>
      </c>
      <c r="J25" s="230">
        <f t="shared" si="1"/>
        <v>0.99999999999999989</v>
      </c>
    </row>
    <row r="26" spans="1:17" x14ac:dyDescent="0.2">
      <c r="A26" s="225">
        <v>9</v>
      </c>
      <c r="B26" s="226" t="str">
        <f>'Resumo Geral'!B24</f>
        <v>SOLEIRAS E RODAPÉS</v>
      </c>
      <c r="C26" s="227">
        <f t="shared" si="0"/>
        <v>73.043225071735947</v>
      </c>
      <c r="D26" s="228">
        <v>0.2</v>
      </c>
      <c r="E26" s="227">
        <f t="shared" si="2"/>
        <v>146.08645014347189</v>
      </c>
      <c r="F26" s="228">
        <v>0.4</v>
      </c>
      <c r="G26" s="227">
        <f t="shared" si="3"/>
        <v>146.08645014347189</v>
      </c>
      <c r="H26" s="233">
        <v>0.4</v>
      </c>
      <c r="I26" s="227">
        <f>'Resumo Geral'!C24</f>
        <v>365.21612535867973</v>
      </c>
      <c r="J26" s="230">
        <f t="shared" si="1"/>
        <v>1</v>
      </c>
    </row>
    <row r="27" spans="1:17" x14ac:dyDescent="0.2">
      <c r="A27" s="225">
        <v>10</v>
      </c>
      <c r="B27" s="226" t="str">
        <f>'Resumo Geral'!B25</f>
        <v>PINTURA</v>
      </c>
      <c r="C27" s="227">
        <f t="shared" si="0"/>
        <v>4786.1061825916413</v>
      </c>
      <c r="D27" s="228">
        <v>0.2</v>
      </c>
      <c r="E27" s="227">
        <f t="shared" si="2"/>
        <v>9572.2123651832826</v>
      </c>
      <c r="F27" s="228">
        <v>0.4</v>
      </c>
      <c r="G27" s="227">
        <f t="shared" si="3"/>
        <v>9572.2123651832826</v>
      </c>
      <c r="H27" s="233">
        <v>0.4</v>
      </c>
      <c r="I27" s="227">
        <f>'Resumo Geral'!C25</f>
        <v>23930.530912958206</v>
      </c>
      <c r="J27" s="230">
        <f t="shared" si="1"/>
        <v>1</v>
      </c>
    </row>
    <row r="28" spans="1:17" x14ac:dyDescent="0.2">
      <c r="A28" s="225">
        <v>11</v>
      </c>
      <c r="B28" s="226" t="str">
        <f>'Resumo Geral'!B26</f>
        <v>ELEMENTOS DECORATIVOS E OUTROS</v>
      </c>
      <c r="C28" s="229"/>
      <c r="D28" s="228"/>
      <c r="E28" s="227">
        <f t="shared" si="2"/>
        <v>19522.678454127781</v>
      </c>
      <c r="F28" s="228">
        <v>0.5</v>
      </c>
      <c r="G28" s="227">
        <f t="shared" si="3"/>
        <v>19522.678454127781</v>
      </c>
      <c r="H28" s="228">
        <v>0.5</v>
      </c>
      <c r="I28" s="227">
        <f>'Resumo Geral'!C26</f>
        <v>39045.356908255562</v>
      </c>
      <c r="J28" s="230">
        <f t="shared" si="1"/>
        <v>1</v>
      </c>
    </row>
    <row r="29" spans="1:17" x14ac:dyDescent="0.2">
      <c r="A29" s="225">
        <v>12</v>
      </c>
      <c r="B29" s="226" t="str">
        <f>'Resumo Geral'!B27</f>
        <v>INSTALAÇÕES REDE LÓGICA</v>
      </c>
      <c r="C29" s="234"/>
      <c r="D29" s="233"/>
      <c r="E29" s="227">
        <f t="shared" si="2"/>
        <v>585.47173805407999</v>
      </c>
      <c r="F29" s="233">
        <v>0.5</v>
      </c>
      <c r="G29" s="227">
        <f t="shared" si="3"/>
        <v>585.47173805407999</v>
      </c>
      <c r="H29" s="233">
        <v>0.5</v>
      </c>
      <c r="I29" s="227">
        <f>'Resumo Geral'!C27</f>
        <v>1170.94347610816</v>
      </c>
      <c r="J29" s="230">
        <f t="shared" si="1"/>
        <v>1</v>
      </c>
    </row>
    <row r="30" spans="1:17" x14ac:dyDescent="0.2">
      <c r="A30" s="225">
        <v>13</v>
      </c>
      <c r="B30" s="226" t="str">
        <f>'Resumo Geral'!B28</f>
        <v>PORTAL DE ACESSO</v>
      </c>
      <c r="C30" s="234"/>
      <c r="D30" s="233"/>
      <c r="E30" s="234"/>
      <c r="F30" s="233"/>
      <c r="G30" s="227">
        <f t="shared" si="3"/>
        <v>4249.558927338594</v>
      </c>
      <c r="H30" s="233">
        <v>1</v>
      </c>
      <c r="I30" s="227">
        <f>'Resumo Geral'!C28</f>
        <v>4249.558927338594</v>
      </c>
      <c r="J30" s="230">
        <f t="shared" si="1"/>
        <v>1</v>
      </c>
    </row>
    <row r="31" spans="1:17" x14ac:dyDescent="0.2">
      <c r="A31" s="225">
        <v>14</v>
      </c>
      <c r="B31" s="226" t="str">
        <f>ORÇAMENTO!B177</f>
        <v>LIMPEZA DA OBRA</v>
      </c>
      <c r="C31" s="234"/>
      <c r="D31" s="233"/>
      <c r="E31" s="234"/>
      <c r="F31" s="233"/>
      <c r="G31" s="227">
        <f t="shared" si="3"/>
        <v>923.64951925338607</v>
      </c>
      <c r="H31" s="233">
        <v>1</v>
      </c>
      <c r="I31" s="227">
        <f>ORÇAMENTO!F180</f>
        <v>923.64951925338607</v>
      </c>
      <c r="J31" s="230">
        <f t="shared" si="1"/>
        <v>1</v>
      </c>
    </row>
    <row r="32" spans="1:17" x14ac:dyDescent="0.2">
      <c r="A32" s="403" t="s">
        <v>385</v>
      </c>
      <c r="B32" s="404"/>
      <c r="C32" s="235">
        <f>SUM(C18:C30)</f>
        <v>43089.30789273986</v>
      </c>
      <c r="D32" s="236"/>
      <c r="E32" s="235">
        <f>SUM(E18:E30)</f>
        <v>69377.850384426376</v>
      </c>
      <c r="F32" s="236"/>
      <c r="G32" s="235">
        <f>SUM(G18:G31)</f>
        <v>69942.67814811843</v>
      </c>
      <c r="H32" s="236"/>
      <c r="I32" s="235">
        <f>SUM(I18:I31)</f>
        <v>182409.83642528465</v>
      </c>
      <c r="J32" s="237"/>
    </row>
    <row r="33" spans="1:10" x14ac:dyDescent="0.2">
      <c r="A33" s="405" t="s">
        <v>386</v>
      </c>
      <c r="B33" s="406"/>
      <c r="C33" s="238">
        <f>(SUM(C18:C30)/I32)</f>
        <v>0.23622250168723388</v>
      </c>
      <c r="D33" s="238"/>
      <c r="E33" s="238">
        <f>E32/I32</f>
        <v>0.38034051092877136</v>
      </c>
      <c r="F33" s="238"/>
      <c r="G33" s="238">
        <f>G32/I32</f>
        <v>0.38343698738399484</v>
      </c>
      <c r="H33" s="238"/>
      <c r="I33" s="239"/>
      <c r="J33" s="240"/>
    </row>
    <row r="34" spans="1:10" x14ac:dyDescent="0.2">
      <c r="A34" s="403" t="s">
        <v>387</v>
      </c>
      <c r="B34" s="404"/>
      <c r="C34" s="235">
        <f>C32</f>
        <v>43089.30789273986</v>
      </c>
      <c r="D34" s="236"/>
      <c r="E34" s="235">
        <f>C34+E32</f>
        <v>112467.15827716624</v>
      </c>
      <c r="F34" s="236"/>
      <c r="G34" s="235">
        <f>E34+G32</f>
        <v>182409.83642528468</v>
      </c>
      <c r="H34" s="236"/>
      <c r="I34" s="241"/>
      <c r="J34" s="237"/>
    </row>
    <row r="35" spans="1:10" x14ac:dyDescent="0.2">
      <c r="A35" s="407" t="s">
        <v>388</v>
      </c>
      <c r="B35" s="408"/>
      <c r="C35" s="233">
        <f>C34/I32</f>
        <v>0.23622250168723388</v>
      </c>
      <c r="D35" s="233"/>
      <c r="E35" s="233">
        <f>E34/I32</f>
        <v>0.61656301261600521</v>
      </c>
      <c r="F35" s="242"/>
      <c r="G35" s="233">
        <f>G34/I32</f>
        <v>1.0000000000000002</v>
      </c>
      <c r="H35" s="242"/>
      <c r="I35" s="243"/>
      <c r="J35" s="243"/>
    </row>
  </sheetData>
  <mergeCells count="17">
    <mergeCell ref="A9:J9"/>
    <mergeCell ref="A10:J10"/>
    <mergeCell ref="A32:B32"/>
    <mergeCell ref="A33:B33"/>
    <mergeCell ref="A34:B34"/>
    <mergeCell ref="A35:B35"/>
    <mergeCell ref="A1:J4"/>
    <mergeCell ref="A12:J12"/>
    <mergeCell ref="A16:A17"/>
    <mergeCell ref="B16:B17"/>
    <mergeCell ref="C16:D16"/>
    <mergeCell ref="E16:F16"/>
    <mergeCell ref="G16:H16"/>
    <mergeCell ref="I16:J16"/>
    <mergeCell ref="A6:J6"/>
    <mergeCell ref="A7:J7"/>
    <mergeCell ref="A8:J8"/>
  </mergeCells>
  <pageMargins left="0.70866141732283472" right="0.39370078740157483" top="0.59055118110236227" bottom="0.78740157480314965" header="0.31496062992125984" footer="0.31496062992125984"/>
  <pageSetup paperSize="9" scale="8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zoomScaleNormal="100" workbookViewId="0">
      <selection activeCell="D11" sqref="D11"/>
    </sheetView>
  </sheetViews>
  <sheetFormatPr defaultRowHeight="12.75" x14ac:dyDescent="0.25"/>
  <cols>
    <col min="1" max="1" width="5.7109375" style="201" customWidth="1"/>
    <col min="2" max="2" width="65.7109375" style="201" customWidth="1"/>
    <col min="3" max="3" width="12.7109375" style="201" customWidth="1"/>
    <col min="4" max="4" width="9.140625" style="201"/>
    <col min="5" max="5" width="9.85546875" style="201" bestFit="1" customWidth="1"/>
    <col min="6" max="255" width="9.140625" style="201"/>
    <col min="256" max="256" width="5.7109375" style="201" customWidth="1"/>
    <col min="257" max="257" width="65.7109375" style="201" customWidth="1"/>
    <col min="258" max="259" width="6.7109375" style="201" customWidth="1"/>
    <col min="260" max="260" width="9.140625" style="201"/>
    <col min="261" max="261" width="9.85546875" style="201" bestFit="1" customWidth="1"/>
    <col min="262" max="511" width="9.140625" style="201"/>
    <col min="512" max="512" width="5.7109375" style="201" customWidth="1"/>
    <col min="513" max="513" width="65.7109375" style="201" customWidth="1"/>
    <col min="514" max="515" width="6.7109375" style="201" customWidth="1"/>
    <col min="516" max="516" width="9.140625" style="201"/>
    <col min="517" max="517" width="9.85546875" style="201" bestFit="1" customWidth="1"/>
    <col min="518" max="767" width="9.140625" style="201"/>
    <col min="768" max="768" width="5.7109375" style="201" customWidth="1"/>
    <col min="769" max="769" width="65.7109375" style="201" customWidth="1"/>
    <col min="770" max="771" width="6.7109375" style="201" customWidth="1"/>
    <col min="772" max="772" width="9.140625" style="201"/>
    <col min="773" max="773" width="9.85546875" style="201" bestFit="1" customWidth="1"/>
    <col min="774" max="1023" width="9.140625" style="201"/>
    <col min="1024" max="1024" width="5.7109375" style="201" customWidth="1"/>
    <col min="1025" max="1025" width="65.7109375" style="201" customWidth="1"/>
    <col min="1026" max="1027" width="6.7109375" style="201" customWidth="1"/>
    <col min="1028" max="1028" width="9.140625" style="201"/>
    <col min="1029" max="1029" width="9.85546875" style="201" bestFit="1" customWidth="1"/>
    <col min="1030" max="1279" width="9.140625" style="201"/>
    <col min="1280" max="1280" width="5.7109375" style="201" customWidth="1"/>
    <col min="1281" max="1281" width="65.7109375" style="201" customWidth="1"/>
    <col min="1282" max="1283" width="6.7109375" style="201" customWidth="1"/>
    <col min="1284" max="1284" width="9.140625" style="201"/>
    <col min="1285" max="1285" width="9.85546875" style="201" bestFit="1" customWidth="1"/>
    <col min="1286" max="1535" width="9.140625" style="201"/>
    <col min="1536" max="1536" width="5.7109375" style="201" customWidth="1"/>
    <col min="1537" max="1537" width="65.7109375" style="201" customWidth="1"/>
    <col min="1538" max="1539" width="6.7109375" style="201" customWidth="1"/>
    <col min="1540" max="1540" width="9.140625" style="201"/>
    <col min="1541" max="1541" width="9.85546875" style="201" bestFit="1" customWidth="1"/>
    <col min="1542" max="1791" width="9.140625" style="201"/>
    <col min="1792" max="1792" width="5.7109375" style="201" customWidth="1"/>
    <col min="1793" max="1793" width="65.7109375" style="201" customWidth="1"/>
    <col min="1794" max="1795" width="6.7109375" style="201" customWidth="1"/>
    <col min="1796" max="1796" width="9.140625" style="201"/>
    <col min="1797" max="1797" width="9.85546875" style="201" bestFit="1" customWidth="1"/>
    <col min="1798" max="2047" width="9.140625" style="201"/>
    <col min="2048" max="2048" width="5.7109375" style="201" customWidth="1"/>
    <col min="2049" max="2049" width="65.7109375" style="201" customWidth="1"/>
    <col min="2050" max="2051" width="6.7109375" style="201" customWidth="1"/>
    <col min="2052" max="2052" width="9.140625" style="201"/>
    <col min="2053" max="2053" width="9.85546875" style="201" bestFit="1" customWidth="1"/>
    <col min="2054" max="2303" width="9.140625" style="201"/>
    <col min="2304" max="2304" width="5.7109375" style="201" customWidth="1"/>
    <col min="2305" max="2305" width="65.7109375" style="201" customWidth="1"/>
    <col min="2306" max="2307" width="6.7109375" style="201" customWidth="1"/>
    <col min="2308" max="2308" width="9.140625" style="201"/>
    <col min="2309" max="2309" width="9.85546875" style="201" bestFit="1" customWidth="1"/>
    <col min="2310" max="2559" width="9.140625" style="201"/>
    <col min="2560" max="2560" width="5.7109375" style="201" customWidth="1"/>
    <col min="2561" max="2561" width="65.7109375" style="201" customWidth="1"/>
    <col min="2562" max="2563" width="6.7109375" style="201" customWidth="1"/>
    <col min="2564" max="2564" width="9.140625" style="201"/>
    <col min="2565" max="2565" width="9.85546875" style="201" bestFit="1" customWidth="1"/>
    <col min="2566" max="2815" width="9.140625" style="201"/>
    <col min="2816" max="2816" width="5.7109375" style="201" customWidth="1"/>
    <col min="2817" max="2817" width="65.7109375" style="201" customWidth="1"/>
    <col min="2818" max="2819" width="6.7109375" style="201" customWidth="1"/>
    <col min="2820" max="2820" width="9.140625" style="201"/>
    <col min="2821" max="2821" width="9.85546875" style="201" bestFit="1" customWidth="1"/>
    <col min="2822" max="3071" width="9.140625" style="201"/>
    <col min="3072" max="3072" width="5.7109375" style="201" customWidth="1"/>
    <col min="3073" max="3073" width="65.7109375" style="201" customWidth="1"/>
    <col min="3074" max="3075" width="6.7109375" style="201" customWidth="1"/>
    <col min="3076" max="3076" width="9.140625" style="201"/>
    <col min="3077" max="3077" width="9.85546875" style="201" bestFit="1" customWidth="1"/>
    <col min="3078" max="3327" width="9.140625" style="201"/>
    <col min="3328" max="3328" width="5.7109375" style="201" customWidth="1"/>
    <col min="3329" max="3329" width="65.7109375" style="201" customWidth="1"/>
    <col min="3330" max="3331" width="6.7109375" style="201" customWidth="1"/>
    <col min="3332" max="3332" width="9.140625" style="201"/>
    <col min="3333" max="3333" width="9.85546875" style="201" bestFit="1" customWidth="1"/>
    <col min="3334" max="3583" width="9.140625" style="201"/>
    <col min="3584" max="3584" width="5.7109375" style="201" customWidth="1"/>
    <col min="3585" max="3585" width="65.7109375" style="201" customWidth="1"/>
    <col min="3586" max="3587" width="6.7109375" style="201" customWidth="1"/>
    <col min="3588" max="3588" width="9.140625" style="201"/>
    <col min="3589" max="3589" width="9.85546875" style="201" bestFit="1" customWidth="1"/>
    <col min="3590" max="3839" width="9.140625" style="201"/>
    <col min="3840" max="3840" width="5.7109375" style="201" customWidth="1"/>
    <col min="3841" max="3841" width="65.7109375" style="201" customWidth="1"/>
    <col min="3842" max="3843" width="6.7109375" style="201" customWidth="1"/>
    <col min="3844" max="3844" width="9.140625" style="201"/>
    <col min="3845" max="3845" width="9.85546875" style="201" bestFit="1" customWidth="1"/>
    <col min="3846" max="4095" width="9.140625" style="201"/>
    <col min="4096" max="4096" width="5.7109375" style="201" customWidth="1"/>
    <col min="4097" max="4097" width="65.7109375" style="201" customWidth="1"/>
    <col min="4098" max="4099" width="6.7109375" style="201" customWidth="1"/>
    <col min="4100" max="4100" width="9.140625" style="201"/>
    <col min="4101" max="4101" width="9.85546875" style="201" bestFit="1" customWidth="1"/>
    <col min="4102" max="4351" width="9.140625" style="201"/>
    <col min="4352" max="4352" width="5.7109375" style="201" customWidth="1"/>
    <col min="4353" max="4353" width="65.7109375" style="201" customWidth="1"/>
    <col min="4354" max="4355" width="6.7109375" style="201" customWidth="1"/>
    <col min="4356" max="4356" width="9.140625" style="201"/>
    <col min="4357" max="4357" width="9.85546875" style="201" bestFit="1" customWidth="1"/>
    <col min="4358" max="4607" width="9.140625" style="201"/>
    <col min="4608" max="4608" width="5.7109375" style="201" customWidth="1"/>
    <col min="4609" max="4609" width="65.7109375" style="201" customWidth="1"/>
    <col min="4610" max="4611" width="6.7109375" style="201" customWidth="1"/>
    <col min="4612" max="4612" width="9.140625" style="201"/>
    <col min="4613" max="4613" width="9.85546875" style="201" bestFit="1" customWidth="1"/>
    <col min="4614" max="4863" width="9.140625" style="201"/>
    <col min="4864" max="4864" width="5.7109375" style="201" customWidth="1"/>
    <col min="4865" max="4865" width="65.7109375" style="201" customWidth="1"/>
    <col min="4866" max="4867" width="6.7109375" style="201" customWidth="1"/>
    <col min="4868" max="4868" width="9.140625" style="201"/>
    <col min="4869" max="4869" width="9.85546875" style="201" bestFit="1" customWidth="1"/>
    <col min="4870" max="5119" width="9.140625" style="201"/>
    <col min="5120" max="5120" width="5.7109375" style="201" customWidth="1"/>
    <col min="5121" max="5121" width="65.7109375" style="201" customWidth="1"/>
    <col min="5122" max="5123" width="6.7109375" style="201" customWidth="1"/>
    <col min="5124" max="5124" width="9.140625" style="201"/>
    <col min="5125" max="5125" width="9.85546875" style="201" bestFit="1" customWidth="1"/>
    <col min="5126" max="5375" width="9.140625" style="201"/>
    <col min="5376" max="5376" width="5.7109375" style="201" customWidth="1"/>
    <col min="5377" max="5377" width="65.7109375" style="201" customWidth="1"/>
    <col min="5378" max="5379" width="6.7109375" style="201" customWidth="1"/>
    <col min="5380" max="5380" width="9.140625" style="201"/>
    <col min="5381" max="5381" width="9.85546875" style="201" bestFit="1" customWidth="1"/>
    <col min="5382" max="5631" width="9.140625" style="201"/>
    <col min="5632" max="5632" width="5.7109375" style="201" customWidth="1"/>
    <col min="5633" max="5633" width="65.7109375" style="201" customWidth="1"/>
    <col min="5634" max="5635" width="6.7109375" style="201" customWidth="1"/>
    <col min="5636" max="5636" width="9.140625" style="201"/>
    <col min="5637" max="5637" width="9.85546875" style="201" bestFit="1" customWidth="1"/>
    <col min="5638" max="5887" width="9.140625" style="201"/>
    <col min="5888" max="5888" width="5.7109375" style="201" customWidth="1"/>
    <col min="5889" max="5889" width="65.7109375" style="201" customWidth="1"/>
    <col min="5890" max="5891" width="6.7109375" style="201" customWidth="1"/>
    <col min="5892" max="5892" width="9.140625" style="201"/>
    <col min="5893" max="5893" width="9.85546875" style="201" bestFit="1" customWidth="1"/>
    <col min="5894" max="6143" width="9.140625" style="201"/>
    <col min="6144" max="6144" width="5.7109375" style="201" customWidth="1"/>
    <col min="6145" max="6145" width="65.7109375" style="201" customWidth="1"/>
    <col min="6146" max="6147" width="6.7109375" style="201" customWidth="1"/>
    <col min="6148" max="6148" width="9.140625" style="201"/>
    <col min="6149" max="6149" width="9.85546875" style="201" bestFit="1" customWidth="1"/>
    <col min="6150" max="6399" width="9.140625" style="201"/>
    <col min="6400" max="6400" width="5.7109375" style="201" customWidth="1"/>
    <col min="6401" max="6401" width="65.7109375" style="201" customWidth="1"/>
    <col min="6402" max="6403" width="6.7109375" style="201" customWidth="1"/>
    <col min="6404" max="6404" width="9.140625" style="201"/>
    <col min="6405" max="6405" width="9.85546875" style="201" bestFit="1" customWidth="1"/>
    <col min="6406" max="6655" width="9.140625" style="201"/>
    <col min="6656" max="6656" width="5.7109375" style="201" customWidth="1"/>
    <col min="6657" max="6657" width="65.7109375" style="201" customWidth="1"/>
    <col min="6658" max="6659" width="6.7109375" style="201" customWidth="1"/>
    <col min="6660" max="6660" width="9.140625" style="201"/>
    <col min="6661" max="6661" width="9.85546875" style="201" bestFit="1" customWidth="1"/>
    <col min="6662" max="6911" width="9.140625" style="201"/>
    <col min="6912" max="6912" width="5.7109375" style="201" customWidth="1"/>
    <col min="6913" max="6913" width="65.7109375" style="201" customWidth="1"/>
    <col min="6914" max="6915" width="6.7109375" style="201" customWidth="1"/>
    <col min="6916" max="6916" width="9.140625" style="201"/>
    <col min="6917" max="6917" width="9.85546875" style="201" bestFit="1" customWidth="1"/>
    <col min="6918" max="7167" width="9.140625" style="201"/>
    <col min="7168" max="7168" width="5.7109375" style="201" customWidth="1"/>
    <col min="7169" max="7169" width="65.7109375" style="201" customWidth="1"/>
    <col min="7170" max="7171" width="6.7109375" style="201" customWidth="1"/>
    <col min="7172" max="7172" width="9.140625" style="201"/>
    <col min="7173" max="7173" width="9.85546875" style="201" bestFit="1" customWidth="1"/>
    <col min="7174" max="7423" width="9.140625" style="201"/>
    <col min="7424" max="7424" width="5.7109375" style="201" customWidth="1"/>
    <col min="7425" max="7425" width="65.7109375" style="201" customWidth="1"/>
    <col min="7426" max="7427" width="6.7109375" style="201" customWidth="1"/>
    <col min="7428" max="7428" width="9.140625" style="201"/>
    <col min="7429" max="7429" width="9.85546875" style="201" bestFit="1" customWidth="1"/>
    <col min="7430" max="7679" width="9.140625" style="201"/>
    <col min="7680" max="7680" width="5.7109375" style="201" customWidth="1"/>
    <col min="7681" max="7681" width="65.7109375" style="201" customWidth="1"/>
    <col min="7682" max="7683" width="6.7109375" style="201" customWidth="1"/>
    <col min="7684" max="7684" width="9.140625" style="201"/>
    <col min="7685" max="7685" width="9.85546875" style="201" bestFit="1" customWidth="1"/>
    <col min="7686" max="7935" width="9.140625" style="201"/>
    <col min="7936" max="7936" width="5.7109375" style="201" customWidth="1"/>
    <col min="7937" max="7937" width="65.7109375" style="201" customWidth="1"/>
    <col min="7938" max="7939" width="6.7109375" style="201" customWidth="1"/>
    <col min="7940" max="7940" width="9.140625" style="201"/>
    <col min="7941" max="7941" width="9.85546875" style="201" bestFit="1" customWidth="1"/>
    <col min="7942" max="8191" width="9.140625" style="201"/>
    <col min="8192" max="8192" width="5.7109375" style="201" customWidth="1"/>
    <col min="8193" max="8193" width="65.7109375" style="201" customWidth="1"/>
    <col min="8194" max="8195" width="6.7109375" style="201" customWidth="1"/>
    <col min="8196" max="8196" width="9.140625" style="201"/>
    <col min="8197" max="8197" width="9.85546875" style="201" bestFit="1" customWidth="1"/>
    <col min="8198" max="8447" width="9.140625" style="201"/>
    <col min="8448" max="8448" width="5.7109375" style="201" customWidth="1"/>
    <col min="8449" max="8449" width="65.7109375" style="201" customWidth="1"/>
    <col min="8450" max="8451" width="6.7109375" style="201" customWidth="1"/>
    <col min="8452" max="8452" width="9.140625" style="201"/>
    <col min="8453" max="8453" width="9.85546875" style="201" bestFit="1" customWidth="1"/>
    <col min="8454" max="8703" width="9.140625" style="201"/>
    <col min="8704" max="8704" width="5.7109375" style="201" customWidth="1"/>
    <col min="8705" max="8705" width="65.7109375" style="201" customWidth="1"/>
    <col min="8706" max="8707" width="6.7109375" style="201" customWidth="1"/>
    <col min="8708" max="8708" width="9.140625" style="201"/>
    <col min="8709" max="8709" width="9.85546875" style="201" bestFit="1" customWidth="1"/>
    <col min="8710" max="8959" width="9.140625" style="201"/>
    <col min="8960" max="8960" width="5.7109375" style="201" customWidth="1"/>
    <col min="8961" max="8961" width="65.7109375" style="201" customWidth="1"/>
    <col min="8962" max="8963" width="6.7109375" style="201" customWidth="1"/>
    <col min="8964" max="8964" width="9.140625" style="201"/>
    <col min="8965" max="8965" width="9.85546875" style="201" bestFit="1" customWidth="1"/>
    <col min="8966" max="9215" width="9.140625" style="201"/>
    <col min="9216" max="9216" width="5.7109375" style="201" customWidth="1"/>
    <col min="9217" max="9217" width="65.7109375" style="201" customWidth="1"/>
    <col min="9218" max="9219" width="6.7109375" style="201" customWidth="1"/>
    <col min="9220" max="9220" width="9.140625" style="201"/>
    <col min="9221" max="9221" width="9.85546875" style="201" bestFit="1" customWidth="1"/>
    <col min="9222" max="9471" width="9.140625" style="201"/>
    <col min="9472" max="9472" width="5.7109375" style="201" customWidth="1"/>
    <col min="9473" max="9473" width="65.7109375" style="201" customWidth="1"/>
    <col min="9474" max="9475" width="6.7109375" style="201" customWidth="1"/>
    <col min="9476" max="9476" width="9.140625" style="201"/>
    <col min="9477" max="9477" width="9.85546875" style="201" bestFit="1" customWidth="1"/>
    <col min="9478" max="9727" width="9.140625" style="201"/>
    <col min="9728" max="9728" width="5.7109375" style="201" customWidth="1"/>
    <col min="9729" max="9729" width="65.7109375" style="201" customWidth="1"/>
    <col min="9730" max="9731" width="6.7109375" style="201" customWidth="1"/>
    <col min="9732" max="9732" width="9.140625" style="201"/>
    <col min="9733" max="9733" width="9.85546875" style="201" bestFit="1" customWidth="1"/>
    <col min="9734" max="9983" width="9.140625" style="201"/>
    <col min="9984" max="9984" width="5.7109375" style="201" customWidth="1"/>
    <col min="9985" max="9985" width="65.7109375" style="201" customWidth="1"/>
    <col min="9986" max="9987" width="6.7109375" style="201" customWidth="1"/>
    <col min="9988" max="9988" width="9.140625" style="201"/>
    <col min="9989" max="9989" width="9.85546875" style="201" bestFit="1" customWidth="1"/>
    <col min="9990" max="10239" width="9.140625" style="201"/>
    <col min="10240" max="10240" width="5.7109375" style="201" customWidth="1"/>
    <col min="10241" max="10241" width="65.7109375" style="201" customWidth="1"/>
    <col min="10242" max="10243" width="6.7109375" style="201" customWidth="1"/>
    <col min="10244" max="10244" width="9.140625" style="201"/>
    <col min="10245" max="10245" width="9.85546875" style="201" bestFit="1" customWidth="1"/>
    <col min="10246" max="10495" width="9.140625" style="201"/>
    <col min="10496" max="10496" width="5.7109375" style="201" customWidth="1"/>
    <col min="10497" max="10497" width="65.7109375" style="201" customWidth="1"/>
    <col min="10498" max="10499" width="6.7109375" style="201" customWidth="1"/>
    <col min="10500" max="10500" width="9.140625" style="201"/>
    <col min="10501" max="10501" width="9.85546875" style="201" bestFit="1" customWidth="1"/>
    <col min="10502" max="10751" width="9.140625" style="201"/>
    <col min="10752" max="10752" width="5.7109375" style="201" customWidth="1"/>
    <col min="10753" max="10753" width="65.7109375" style="201" customWidth="1"/>
    <col min="10754" max="10755" width="6.7109375" style="201" customWidth="1"/>
    <col min="10756" max="10756" width="9.140625" style="201"/>
    <col min="10757" max="10757" width="9.85546875" style="201" bestFit="1" customWidth="1"/>
    <col min="10758" max="11007" width="9.140625" style="201"/>
    <col min="11008" max="11008" width="5.7109375" style="201" customWidth="1"/>
    <col min="11009" max="11009" width="65.7109375" style="201" customWidth="1"/>
    <col min="11010" max="11011" width="6.7109375" style="201" customWidth="1"/>
    <col min="11012" max="11012" width="9.140625" style="201"/>
    <col min="11013" max="11013" width="9.85546875" style="201" bestFit="1" customWidth="1"/>
    <col min="11014" max="11263" width="9.140625" style="201"/>
    <col min="11264" max="11264" width="5.7109375" style="201" customWidth="1"/>
    <col min="11265" max="11265" width="65.7109375" style="201" customWidth="1"/>
    <col min="11266" max="11267" width="6.7109375" style="201" customWidth="1"/>
    <col min="11268" max="11268" width="9.140625" style="201"/>
    <col min="11269" max="11269" width="9.85546875" style="201" bestFit="1" customWidth="1"/>
    <col min="11270" max="11519" width="9.140625" style="201"/>
    <col min="11520" max="11520" width="5.7109375" style="201" customWidth="1"/>
    <col min="11521" max="11521" width="65.7109375" style="201" customWidth="1"/>
    <col min="11522" max="11523" width="6.7109375" style="201" customWidth="1"/>
    <col min="11524" max="11524" width="9.140625" style="201"/>
    <col min="11525" max="11525" width="9.85546875" style="201" bestFit="1" customWidth="1"/>
    <col min="11526" max="11775" width="9.140625" style="201"/>
    <col min="11776" max="11776" width="5.7109375" style="201" customWidth="1"/>
    <col min="11777" max="11777" width="65.7109375" style="201" customWidth="1"/>
    <col min="11778" max="11779" width="6.7109375" style="201" customWidth="1"/>
    <col min="11780" max="11780" width="9.140625" style="201"/>
    <col min="11781" max="11781" width="9.85546875" style="201" bestFit="1" customWidth="1"/>
    <col min="11782" max="12031" width="9.140625" style="201"/>
    <col min="12032" max="12032" width="5.7109375" style="201" customWidth="1"/>
    <col min="12033" max="12033" width="65.7109375" style="201" customWidth="1"/>
    <col min="12034" max="12035" width="6.7109375" style="201" customWidth="1"/>
    <col min="12036" max="12036" width="9.140625" style="201"/>
    <col min="12037" max="12037" width="9.85546875" style="201" bestFit="1" customWidth="1"/>
    <col min="12038" max="12287" width="9.140625" style="201"/>
    <col min="12288" max="12288" width="5.7109375" style="201" customWidth="1"/>
    <col min="12289" max="12289" width="65.7109375" style="201" customWidth="1"/>
    <col min="12290" max="12291" width="6.7109375" style="201" customWidth="1"/>
    <col min="12292" max="12292" width="9.140625" style="201"/>
    <col min="12293" max="12293" width="9.85546875" style="201" bestFit="1" customWidth="1"/>
    <col min="12294" max="12543" width="9.140625" style="201"/>
    <col min="12544" max="12544" width="5.7109375" style="201" customWidth="1"/>
    <col min="12545" max="12545" width="65.7109375" style="201" customWidth="1"/>
    <col min="12546" max="12547" width="6.7109375" style="201" customWidth="1"/>
    <col min="12548" max="12548" width="9.140625" style="201"/>
    <col min="12549" max="12549" width="9.85546875" style="201" bestFit="1" customWidth="1"/>
    <col min="12550" max="12799" width="9.140625" style="201"/>
    <col min="12800" max="12800" width="5.7109375" style="201" customWidth="1"/>
    <col min="12801" max="12801" width="65.7109375" style="201" customWidth="1"/>
    <col min="12802" max="12803" width="6.7109375" style="201" customWidth="1"/>
    <col min="12804" max="12804" width="9.140625" style="201"/>
    <col min="12805" max="12805" width="9.85546875" style="201" bestFit="1" customWidth="1"/>
    <col min="12806" max="13055" width="9.140625" style="201"/>
    <col min="13056" max="13056" width="5.7109375" style="201" customWidth="1"/>
    <col min="13057" max="13057" width="65.7109375" style="201" customWidth="1"/>
    <col min="13058" max="13059" width="6.7109375" style="201" customWidth="1"/>
    <col min="13060" max="13060" width="9.140625" style="201"/>
    <col min="13061" max="13061" width="9.85546875" style="201" bestFit="1" customWidth="1"/>
    <col min="13062" max="13311" width="9.140625" style="201"/>
    <col min="13312" max="13312" width="5.7109375" style="201" customWidth="1"/>
    <col min="13313" max="13313" width="65.7109375" style="201" customWidth="1"/>
    <col min="13314" max="13315" width="6.7109375" style="201" customWidth="1"/>
    <col min="13316" max="13316" width="9.140625" style="201"/>
    <col min="13317" max="13317" width="9.85546875" style="201" bestFit="1" customWidth="1"/>
    <col min="13318" max="13567" width="9.140625" style="201"/>
    <col min="13568" max="13568" width="5.7109375" style="201" customWidth="1"/>
    <col min="13569" max="13569" width="65.7109375" style="201" customWidth="1"/>
    <col min="13570" max="13571" width="6.7109375" style="201" customWidth="1"/>
    <col min="13572" max="13572" width="9.140625" style="201"/>
    <col min="13573" max="13573" width="9.85546875" style="201" bestFit="1" customWidth="1"/>
    <col min="13574" max="13823" width="9.140625" style="201"/>
    <col min="13824" max="13824" width="5.7109375" style="201" customWidth="1"/>
    <col min="13825" max="13825" width="65.7109375" style="201" customWidth="1"/>
    <col min="13826" max="13827" width="6.7109375" style="201" customWidth="1"/>
    <col min="13828" max="13828" width="9.140625" style="201"/>
    <col min="13829" max="13829" width="9.85546875" style="201" bestFit="1" customWidth="1"/>
    <col min="13830" max="14079" width="9.140625" style="201"/>
    <col min="14080" max="14080" width="5.7109375" style="201" customWidth="1"/>
    <col min="14081" max="14081" width="65.7109375" style="201" customWidth="1"/>
    <col min="14082" max="14083" width="6.7109375" style="201" customWidth="1"/>
    <col min="14084" max="14084" width="9.140625" style="201"/>
    <col min="14085" max="14085" width="9.85546875" style="201" bestFit="1" customWidth="1"/>
    <col min="14086" max="14335" width="9.140625" style="201"/>
    <col min="14336" max="14336" width="5.7109375" style="201" customWidth="1"/>
    <col min="14337" max="14337" width="65.7109375" style="201" customWidth="1"/>
    <col min="14338" max="14339" width="6.7109375" style="201" customWidth="1"/>
    <col min="14340" max="14340" width="9.140625" style="201"/>
    <col min="14341" max="14341" width="9.85546875" style="201" bestFit="1" customWidth="1"/>
    <col min="14342" max="14591" width="9.140625" style="201"/>
    <col min="14592" max="14592" width="5.7109375" style="201" customWidth="1"/>
    <col min="14593" max="14593" width="65.7109375" style="201" customWidth="1"/>
    <col min="14594" max="14595" width="6.7109375" style="201" customWidth="1"/>
    <col min="14596" max="14596" width="9.140625" style="201"/>
    <col min="14597" max="14597" width="9.85546875" style="201" bestFit="1" customWidth="1"/>
    <col min="14598" max="14847" width="9.140625" style="201"/>
    <col min="14848" max="14848" width="5.7109375" style="201" customWidth="1"/>
    <col min="14849" max="14849" width="65.7109375" style="201" customWidth="1"/>
    <col min="14850" max="14851" width="6.7109375" style="201" customWidth="1"/>
    <col min="14852" max="14852" width="9.140625" style="201"/>
    <col min="14853" max="14853" width="9.85546875" style="201" bestFit="1" customWidth="1"/>
    <col min="14854" max="15103" width="9.140625" style="201"/>
    <col min="15104" max="15104" width="5.7109375" style="201" customWidth="1"/>
    <col min="15105" max="15105" width="65.7109375" style="201" customWidth="1"/>
    <col min="15106" max="15107" width="6.7109375" style="201" customWidth="1"/>
    <col min="15108" max="15108" width="9.140625" style="201"/>
    <col min="15109" max="15109" width="9.85546875" style="201" bestFit="1" customWidth="1"/>
    <col min="15110" max="15359" width="9.140625" style="201"/>
    <col min="15360" max="15360" width="5.7109375" style="201" customWidth="1"/>
    <col min="15361" max="15361" width="65.7109375" style="201" customWidth="1"/>
    <col min="15362" max="15363" width="6.7109375" style="201" customWidth="1"/>
    <col min="15364" max="15364" width="9.140625" style="201"/>
    <col min="15365" max="15365" width="9.85546875" style="201" bestFit="1" customWidth="1"/>
    <col min="15366" max="15615" width="9.140625" style="201"/>
    <col min="15616" max="15616" width="5.7109375" style="201" customWidth="1"/>
    <col min="15617" max="15617" width="65.7109375" style="201" customWidth="1"/>
    <col min="15618" max="15619" width="6.7109375" style="201" customWidth="1"/>
    <col min="15620" max="15620" width="9.140625" style="201"/>
    <col min="15621" max="15621" width="9.85546875" style="201" bestFit="1" customWidth="1"/>
    <col min="15622" max="15871" width="9.140625" style="201"/>
    <col min="15872" max="15872" width="5.7109375" style="201" customWidth="1"/>
    <col min="15873" max="15873" width="65.7109375" style="201" customWidth="1"/>
    <col min="15874" max="15875" width="6.7109375" style="201" customWidth="1"/>
    <col min="15876" max="15876" width="9.140625" style="201"/>
    <col min="15877" max="15877" width="9.85546875" style="201" bestFit="1" customWidth="1"/>
    <col min="15878" max="16127" width="9.140625" style="201"/>
    <col min="16128" max="16128" width="5.7109375" style="201" customWidth="1"/>
    <col min="16129" max="16129" width="65.7109375" style="201" customWidth="1"/>
    <col min="16130" max="16131" width="6.7109375" style="201" customWidth="1"/>
    <col min="16132" max="16132" width="9.140625" style="201"/>
    <col min="16133" max="16133" width="9.85546875" style="201" bestFit="1" customWidth="1"/>
    <col min="16134" max="16384" width="9.140625" style="201"/>
  </cols>
  <sheetData>
    <row r="1" spans="1:5" s="192" customFormat="1" ht="12.75" customHeight="1" x14ac:dyDescent="0.25">
      <c r="A1" s="386" t="str">
        <f>Comp!B1</f>
        <v xml:space="preserve">   A MIRANDA CAPELA CONSTRUTORA COMERCIO E SERVIÇOS EIRELI-EPP                                                                                                                                                    CNPJ: 15.788.657/0001-32, Incs. Estadual nº 15.376.620-4,                                                                                                                                                                         Rua Antônio Braga, s/n – Bairro Vila do Carmo, neste município de Cametá - PA</v>
      </c>
      <c r="B1" s="386"/>
      <c r="C1" s="386"/>
    </row>
    <row r="2" spans="1:5" s="192" customFormat="1" ht="12.75" customHeight="1" x14ac:dyDescent="0.25">
      <c r="A2" s="386"/>
      <c r="B2" s="386"/>
      <c r="C2" s="386"/>
    </row>
    <row r="3" spans="1:5" s="192" customFormat="1" ht="12.75" customHeight="1" x14ac:dyDescent="0.25">
      <c r="A3" s="386"/>
      <c r="B3" s="386"/>
      <c r="C3" s="386"/>
    </row>
    <row r="4" spans="1:5" s="192" customFormat="1" ht="12.75" customHeight="1" x14ac:dyDescent="0.25">
      <c r="A4" s="386"/>
      <c r="B4" s="386"/>
      <c r="C4" s="386"/>
    </row>
    <row r="5" spans="1:5" s="192" customFormat="1" ht="12.75" customHeight="1" x14ac:dyDescent="0.25"/>
    <row r="6" spans="1:5" s="198" customFormat="1" ht="16.5" customHeight="1" x14ac:dyDescent="0.2">
      <c r="A6" s="438" t="str">
        <f>Cronograma!A6</f>
        <v xml:space="preserve"> PREFEITURA MUNICIPAL DE BAIÃO</v>
      </c>
      <c r="B6" s="438"/>
      <c r="C6" s="438"/>
      <c r="D6" s="244"/>
      <c r="E6" s="244"/>
    </row>
    <row r="7" spans="1:5" s="246" customFormat="1" x14ac:dyDescent="0.2">
      <c r="A7" s="438" t="str">
        <f>Cronograma!A7</f>
        <v>TOMADA DE PREÇO   N° 013/2015</v>
      </c>
      <c r="B7" s="438"/>
      <c r="C7" s="438"/>
      <c r="D7" s="245"/>
      <c r="E7" s="245"/>
    </row>
    <row r="8" spans="1:5" s="198" customFormat="1" x14ac:dyDescent="0.2">
      <c r="A8" s="438" t="str">
        <f>Cronograma!A8</f>
        <v>LOCAL:  E.M.E.F PÓLO DE MASSARANDUBA</v>
      </c>
      <c r="B8" s="438"/>
      <c r="C8" s="438"/>
      <c r="D8" s="199"/>
      <c r="E8" s="199"/>
    </row>
    <row r="9" spans="1:5" s="198" customFormat="1" ht="39.75" customHeight="1" x14ac:dyDescent="0.2">
      <c r="A9" s="444" t="str">
        <f>Cronograma!A9</f>
        <v>OBRA:  CONTINUAÇÃO DA CONSTRUÇÃO DE 01 (DUAS) ESCOLAS PÓLO NA LOCALIDADE MASSARANDUBA - PROJETO PADRÃO FNDE - 04 (QUATRO) SALAS DE  AULAS - NO MUNICIPIO DE BAIÃO - PARÁ</v>
      </c>
      <c r="B9" s="444"/>
      <c r="C9" s="444"/>
      <c r="D9" s="199"/>
      <c r="E9" s="199"/>
    </row>
    <row r="10" spans="1:5" x14ac:dyDescent="0.25">
      <c r="A10" s="438" t="str">
        <f>Cronograma!A10</f>
        <v>PRAZO DE EXECUÇÃO: 03 MESES</v>
      </c>
      <c r="B10" s="438"/>
      <c r="C10" s="438"/>
    </row>
    <row r="11" spans="1:5" ht="13.5" thickBot="1" x14ac:dyDescent="0.3"/>
    <row r="12" spans="1:5" ht="13.5" thickBot="1" x14ac:dyDescent="0.3">
      <c r="A12" s="419" t="s">
        <v>389</v>
      </c>
      <c r="B12" s="420"/>
      <c r="C12" s="421"/>
    </row>
    <row r="13" spans="1:5" ht="15" customHeight="1" thickBot="1" x14ac:dyDescent="0.3">
      <c r="A13" s="416" t="s">
        <v>390</v>
      </c>
      <c r="B13" s="417"/>
      <c r="C13" s="418"/>
    </row>
    <row r="14" spans="1:5" x14ac:dyDescent="0.25">
      <c r="A14" s="247" t="s">
        <v>0</v>
      </c>
      <c r="B14" s="248" t="s">
        <v>391</v>
      </c>
      <c r="C14" s="249" t="s">
        <v>392</v>
      </c>
    </row>
    <row r="15" spans="1:5" x14ac:dyDescent="0.25">
      <c r="A15" s="250" t="s">
        <v>10</v>
      </c>
      <c r="B15" s="251" t="s">
        <v>393</v>
      </c>
      <c r="C15" s="252">
        <v>5</v>
      </c>
    </row>
    <row r="16" spans="1:5" x14ac:dyDescent="0.25">
      <c r="A16" s="250" t="s">
        <v>11</v>
      </c>
      <c r="B16" s="251" t="s">
        <v>394</v>
      </c>
      <c r="C16" s="252">
        <v>1.35</v>
      </c>
    </row>
    <row r="17" spans="1:3" x14ac:dyDescent="0.25">
      <c r="A17" s="250" t="s">
        <v>395</v>
      </c>
      <c r="B17" s="251" t="s">
        <v>396</v>
      </c>
      <c r="C17" s="252">
        <v>1.0604880878992999</v>
      </c>
    </row>
    <row r="18" spans="1:3" ht="13.5" thickBot="1" x14ac:dyDescent="0.3">
      <c r="A18" s="253" t="s">
        <v>397</v>
      </c>
      <c r="B18" s="254" t="s">
        <v>398</v>
      </c>
      <c r="C18" s="255">
        <v>1.1000000000000001</v>
      </c>
    </row>
    <row r="19" spans="1:3" ht="15" customHeight="1" thickBot="1" x14ac:dyDescent="0.3">
      <c r="A19" s="424" t="s">
        <v>399</v>
      </c>
      <c r="B19" s="425"/>
      <c r="C19" s="256">
        <f>SUM(C15:C18)</f>
        <v>8.510488087899299</v>
      </c>
    </row>
    <row r="20" spans="1:3" ht="13.5" thickBot="1" x14ac:dyDescent="0.3">
      <c r="A20" s="416" t="s">
        <v>400</v>
      </c>
      <c r="B20" s="417"/>
      <c r="C20" s="418"/>
    </row>
    <row r="21" spans="1:3" x14ac:dyDescent="0.25">
      <c r="A21" s="247" t="s">
        <v>0</v>
      </c>
      <c r="B21" s="248" t="s">
        <v>391</v>
      </c>
      <c r="C21" s="249" t="s">
        <v>392</v>
      </c>
    </row>
    <row r="22" spans="1:3" x14ac:dyDescent="0.25">
      <c r="A22" s="250" t="s">
        <v>14</v>
      </c>
      <c r="B22" s="251" t="s">
        <v>401</v>
      </c>
      <c r="C22" s="252">
        <v>0</v>
      </c>
    </row>
    <row r="23" spans="1:3" x14ac:dyDescent="0.25">
      <c r="A23" s="250" t="s">
        <v>296</v>
      </c>
      <c r="B23" s="251" t="s">
        <v>402</v>
      </c>
      <c r="C23" s="252">
        <v>2</v>
      </c>
    </row>
    <row r="24" spans="1:3" x14ac:dyDescent="0.25">
      <c r="A24" s="250" t="s">
        <v>297</v>
      </c>
      <c r="B24" s="251" t="s">
        <v>403</v>
      </c>
      <c r="C24" s="252">
        <v>1.28</v>
      </c>
    </row>
    <row r="25" spans="1:3" x14ac:dyDescent="0.25">
      <c r="A25" s="250" t="s">
        <v>298</v>
      </c>
      <c r="B25" s="251" t="s">
        <v>404</v>
      </c>
      <c r="C25" s="252">
        <v>0</v>
      </c>
    </row>
    <row r="26" spans="1:3" ht="13.5" thickBot="1" x14ac:dyDescent="0.3">
      <c r="A26" s="250" t="s">
        <v>299</v>
      </c>
      <c r="B26" s="251" t="s">
        <v>405</v>
      </c>
      <c r="C26" s="252">
        <v>1.22</v>
      </c>
    </row>
    <row r="27" spans="1:3" ht="13.5" thickBot="1" x14ac:dyDescent="0.3">
      <c r="A27" s="424" t="s">
        <v>406</v>
      </c>
      <c r="B27" s="425"/>
      <c r="C27" s="256">
        <f>SUM(C22:C26)</f>
        <v>4.5</v>
      </c>
    </row>
    <row r="28" spans="1:3" ht="13.5" thickBot="1" x14ac:dyDescent="0.3">
      <c r="A28" s="416" t="s">
        <v>407</v>
      </c>
      <c r="B28" s="417"/>
      <c r="C28" s="418"/>
    </row>
    <row r="29" spans="1:3" x14ac:dyDescent="0.25">
      <c r="A29" s="247" t="s">
        <v>0</v>
      </c>
      <c r="B29" s="248" t="s">
        <v>391</v>
      </c>
      <c r="C29" s="249" t="s">
        <v>392</v>
      </c>
    </row>
    <row r="30" spans="1:3" x14ac:dyDescent="0.25">
      <c r="A30" s="250" t="s">
        <v>17</v>
      </c>
      <c r="B30" s="251" t="s">
        <v>408</v>
      </c>
      <c r="C30" s="252">
        <v>9</v>
      </c>
    </row>
    <row r="31" spans="1:3" x14ac:dyDescent="0.25">
      <c r="A31" s="250" t="s">
        <v>21</v>
      </c>
      <c r="B31" s="251" t="s">
        <v>409</v>
      </c>
      <c r="C31" s="252">
        <v>1.2</v>
      </c>
    </row>
    <row r="32" spans="1:3" x14ac:dyDescent="0.25">
      <c r="A32" s="250" t="s">
        <v>38</v>
      </c>
      <c r="B32" s="251" t="s">
        <v>410</v>
      </c>
      <c r="C32" s="252">
        <v>0.51</v>
      </c>
    </row>
    <row r="33" spans="1:5" ht="13.5" thickBot="1" x14ac:dyDescent="0.3">
      <c r="A33" s="250" t="s">
        <v>300</v>
      </c>
      <c r="B33" s="251" t="s">
        <v>411</v>
      </c>
      <c r="C33" s="252">
        <v>1</v>
      </c>
    </row>
    <row r="34" spans="1:5" ht="13.5" thickBot="1" x14ac:dyDescent="0.3">
      <c r="A34" s="424" t="s">
        <v>412</v>
      </c>
      <c r="B34" s="425"/>
      <c r="C34" s="256">
        <f>SUM(C30:C33)</f>
        <v>11.709999999999999</v>
      </c>
    </row>
    <row r="35" spans="1:5" ht="13.5" thickBot="1" x14ac:dyDescent="0.3">
      <c r="A35" s="424" t="s">
        <v>413</v>
      </c>
      <c r="B35" s="425"/>
      <c r="C35" s="257">
        <f>(((1+(C19%+C32%+C33%))*(1+C31%)*(1+C30%))/(1-C27%)) -1</f>
        <v>0.27079999999999971</v>
      </c>
      <c r="E35" s="258"/>
    </row>
    <row r="36" spans="1:5" x14ac:dyDescent="0.25">
      <c r="A36" s="422" t="s">
        <v>414</v>
      </c>
      <c r="B36" s="259" t="s">
        <v>415</v>
      </c>
      <c r="C36" s="260"/>
    </row>
    <row r="37" spans="1:5" ht="15.75" customHeight="1" thickBot="1" x14ac:dyDescent="0.3">
      <c r="A37" s="423"/>
      <c r="B37" s="261" t="s">
        <v>416</v>
      </c>
      <c r="C37" s="262"/>
    </row>
    <row r="40" spans="1:5" x14ac:dyDescent="0.25">
      <c r="B40" s="263"/>
    </row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s="192" customFormat="1" ht="20.100000000000001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</sheetData>
  <mergeCells count="15">
    <mergeCell ref="A36:A37"/>
    <mergeCell ref="A19:B19"/>
    <mergeCell ref="A20:C20"/>
    <mergeCell ref="A27:B27"/>
    <mergeCell ref="A28:C28"/>
    <mergeCell ref="A34:B34"/>
    <mergeCell ref="A35:B35"/>
    <mergeCell ref="A13:C13"/>
    <mergeCell ref="A1:C4"/>
    <mergeCell ref="A7:C7"/>
    <mergeCell ref="A8:C8"/>
    <mergeCell ref="A12:C12"/>
    <mergeCell ref="A6:C6"/>
    <mergeCell ref="A9:C9"/>
    <mergeCell ref="A10:C10"/>
  </mergeCells>
  <printOptions horizontalCentered="1"/>
  <pageMargins left="0.78740157480314965" right="0.78740157480314965" top="0.98425196850393704" bottom="0.98425196850393704" header="0.51181102362204722" footer="0.51181102362204722"/>
  <pageSetup paperSize="9" scale="96" orientation="portrait" horizontalDpi="12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zoomScaleNormal="100" workbookViewId="0">
      <selection activeCell="I10" sqref="I10"/>
    </sheetView>
  </sheetViews>
  <sheetFormatPr defaultRowHeight="12.75" x14ac:dyDescent="0.25"/>
  <cols>
    <col min="1" max="1" width="8.140625" style="267" customWidth="1"/>
    <col min="2" max="2" width="63.28515625" style="267" customWidth="1"/>
    <col min="3" max="3" width="15.140625" style="267" customWidth="1"/>
    <col min="4" max="4" width="7" style="267" hidden="1" customWidth="1"/>
    <col min="5" max="5" width="47.140625" style="267" hidden="1" customWidth="1"/>
    <col min="6" max="6" width="10.28515625" style="267" hidden="1" customWidth="1"/>
    <col min="7" max="7" width="8.5703125" style="267" hidden="1" customWidth="1"/>
    <col min="8" max="8" width="15.140625" style="267" hidden="1" customWidth="1"/>
    <col min="9" max="10" width="9.140625" style="201" customWidth="1"/>
    <col min="11" max="256" width="9.140625" style="201"/>
    <col min="257" max="257" width="8.140625" style="201" customWidth="1"/>
    <col min="258" max="258" width="63.28515625" style="201" customWidth="1"/>
    <col min="259" max="259" width="15.140625" style="201" customWidth="1"/>
    <col min="260" max="264" width="0" style="201" hidden="1" customWidth="1"/>
    <col min="265" max="266" width="9.140625" style="201" customWidth="1"/>
    <col min="267" max="512" width="9.140625" style="201"/>
    <col min="513" max="513" width="8.140625" style="201" customWidth="1"/>
    <col min="514" max="514" width="63.28515625" style="201" customWidth="1"/>
    <col min="515" max="515" width="15.140625" style="201" customWidth="1"/>
    <col min="516" max="520" width="0" style="201" hidden="1" customWidth="1"/>
    <col min="521" max="522" width="9.140625" style="201" customWidth="1"/>
    <col min="523" max="768" width="9.140625" style="201"/>
    <col min="769" max="769" width="8.140625" style="201" customWidth="1"/>
    <col min="770" max="770" width="63.28515625" style="201" customWidth="1"/>
    <col min="771" max="771" width="15.140625" style="201" customWidth="1"/>
    <col min="772" max="776" width="0" style="201" hidden="1" customWidth="1"/>
    <col min="777" max="778" width="9.140625" style="201" customWidth="1"/>
    <col min="779" max="1024" width="9.140625" style="201"/>
    <col min="1025" max="1025" width="8.140625" style="201" customWidth="1"/>
    <col min="1026" max="1026" width="63.28515625" style="201" customWidth="1"/>
    <col min="1027" max="1027" width="15.140625" style="201" customWidth="1"/>
    <col min="1028" max="1032" width="0" style="201" hidden="1" customWidth="1"/>
    <col min="1033" max="1034" width="9.140625" style="201" customWidth="1"/>
    <col min="1035" max="1280" width="9.140625" style="201"/>
    <col min="1281" max="1281" width="8.140625" style="201" customWidth="1"/>
    <col min="1282" max="1282" width="63.28515625" style="201" customWidth="1"/>
    <col min="1283" max="1283" width="15.140625" style="201" customWidth="1"/>
    <col min="1284" max="1288" width="0" style="201" hidden="1" customWidth="1"/>
    <col min="1289" max="1290" width="9.140625" style="201" customWidth="1"/>
    <col min="1291" max="1536" width="9.140625" style="201"/>
    <col min="1537" max="1537" width="8.140625" style="201" customWidth="1"/>
    <col min="1538" max="1538" width="63.28515625" style="201" customWidth="1"/>
    <col min="1539" max="1539" width="15.140625" style="201" customWidth="1"/>
    <col min="1540" max="1544" width="0" style="201" hidden="1" customWidth="1"/>
    <col min="1545" max="1546" width="9.140625" style="201" customWidth="1"/>
    <col min="1547" max="1792" width="9.140625" style="201"/>
    <col min="1793" max="1793" width="8.140625" style="201" customWidth="1"/>
    <col min="1794" max="1794" width="63.28515625" style="201" customWidth="1"/>
    <col min="1795" max="1795" width="15.140625" style="201" customWidth="1"/>
    <col min="1796" max="1800" width="0" style="201" hidden="1" customWidth="1"/>
    <col min="1801" max="1802" width="9.140625" style="201" customWidth="1"/>
    <col min="1803" max="2048" width="9.140625" style="201"/>
    <col min="2049" max="2049" width="8.140625" style="201" customWidth="1"/>
    <col min="2050" max="2050" width="63.28515625" style="201" customWidth="1"/>
    <col min="2051" max="2051" width="15.140625" style="201" customWidth="1"/>
    <col min="2052" max="2056" width="0" style="201" hidden="1" customWidth="1"/>
    <col min="2057" max="2058" width="9.140625" style="201" customWidth="1"/>
    <col min="2059" max="2304" width="9.140625" style="201"/>
    <col min="2305" max="2305" width="8.140625" style="201" customWidth="1"/>
    <col min="2306" max="2306" width="63.28515625" style="201" customWidth="1"/>
    <col min="2307" max="2307" width="15.140625" style="201" customWidth="1"/>
    <col min="2308" max="2312" width="0" style="201" hidden="1" customWidth="1"/>
    <col min="2313" max="2314" width="9.140625" style="201" customWidth="1"/>
    <col min="2315" max="2560" width="9.140625" style="201"/>
    <col min="2561" max="2561" width="8.140625" style="201" customWidth="1"/>
    <col min="2562" max="2562" width="63.28515625" style="201" customWidth="1"/>
    <col min="2563" max="2563" width="15.140625" style="201" customWidth="1"/>
    <col min="2564" max="2568" width="0" style="201" hidden="1" customWidth="1"/>
    <col min="2569" max="2570" width="9.140625" style="201" customWidth="1"/>
    <col min="2571" max="2816" width="9.140625" style="201"/>
    <col min="2817" max="2817" width="8.140625" style="201" customWidth="1"/>
    <col min="2818" max="2818" width="63.28515625" style="201" customWidth="1"/>
    <col min="2819" max="2819" width="15.140625" style="201" customWidth="1"/>
    <col min="2820" max="2824" width="0" style="201" hidden="1" customWidth="1"/>
    <col min="2825" max="2826" width="9.140625" style="201" customWidth="1"/>
    <col min="2827" max="3072" width="9.140625" style="201"/>
    <col min="3073" max="3073" width="8.140625" style="201" customWidth="1"/>
    <col min="3074" max="3074" width="63.28515625" style="201" customWidth="1"/>
    <col min="3075" max="3075" width="15.140625" style="201" customWidth="1"/>
    <col min="3076" max="3080" width="0" style="201" hidden="1" customWidth="1"/>
    <col min="3081" max="3082" width="9.140625" style="201" customWidth="1"/>
    <col min="3083" max="3328" width="9.140625" style="201"/>
    <col min="3329" max="3329" width="8.140625" style="201" customWidth="1"/>
    <col min="3330" max="3330" width="63.28515625" style="201" customWidth="1"/>
    <col min="3331" max="3331" width="15.140625" style="201" customWidth="1"/>
    <col min="3332" max="3336" width="0" style="201" hidden="1" customWidth="1"/>
    <col min="3337" max="3338" width="9.140625" style="201" customWidth="1"/>
    <col min="3339" max="3584" width="9.140625" style="201"/>
    <col min="3585" max="3585" width="8.140625" style="201" customWidth="1"/>
    <col min="3586" max="3586" width="63.28515625" style="201" customWidth="1"/>
    <col min="3587" max="3587" width="15.140625" style="201" customWidth="1"/>
    <col min="3588" max="3592" width="0" style="201" hidden="1" customWidth="1"/>
    <col min="3593" max="3594" width="9.140625" style="201" customWidth="1"/>
    <col min="3595" max="3840" width="9.140625" style="201"/>
    <col min="3841" max="3841" width="8.140625" style="201" customWidth="1"/>
    <col min="3842" max="3842" width="63.28515625" style="201" customWidth="1"/>
    <col min="3843" max="3843" width="15.140625" style="201" customWidth="1"/>
    <col min="3844" max="3848" width="0" style="201" hidden="1" customWidth="1"/>
    <col min="3849" max="3850" width="9.140625" style="201" customWidth="1"/>
    <col min="3851" max="4096" width="9.140625" style="201"/>
    <col min="4097" max="4097" width="8.140625" style="201" customWidth="1"/>
    <col min="4098" max="4098" width="63.28515625" style="201" customWidth="1"/>
    <col min="4099" max="4099" width="15.140625" style="201" customWidth="1"/>
    <col min="4100" max="4104" width="0" style="201" hidden="1" customWidth="1"/>
    <col min="4105" max="4106" width="9.140625" style="201" customWidth="1"/>
    <col min="4107" max="4352" width="9.140625" style="201"/>
    <col min="4353" max="4353" width="8.140625" style="201" customWidth="1"/>
    <col min="4354" max="4354" width="63.28515625" style="201" customWidth="1"/>
    <col min="4355" max="4355" width="15.140625" style="201" customWidth="1"/>
    <col min="4356" max="4360" width="0" style="201" hidden="1" customWidth="1"/>
    <col min="4361" max="4362" width="9.140625" style="201" customWidth="1"/>
    <col min="4363" max="4608" width="9.140625" style="201"/>
    <col min="4609" max="4609" width="8.140625" style="201" customWidth="1"/>
    <col min="4610" max="4610" width="63.28515625" style="201" customWidth="1"/>
    <col min="4611" max="4611" width="15.140625" style="201" customWidth="1"/>
    <col min="4612" max="4616" width="0" style="201" hidden="1" customWidth="1"/>
    <col min="4617" max="4618" width="9.140625" style="201" customWidth="1"/>
    <col min="4619" max="4864" width="9.140625" style="201"/>
    <col min="4865" max="4865" width="8.140625" style="201" customWidth="1"/>
    <col min="4866" max="4866" width="63.28515625" style="201" customWidth="1"/>
    <col min="4867" max="4867" width="15.140625" style="201" customWidth="1"/>
    <col min="4868" max="4872" width="0" style="201" hidden="1" customWidth="1"/>
    <col min="4873" max="4874" width="9.140625" style="201" customWidth="1"/>
    <col min="4875" max="5120" width="9.140625" style="201"/>
    <col min="5121" max="5121" width="8.140625" style="201" customWidth="1"/>
    <col min="5122" max="5122" width="63.28515625" style="201" customWidth="1"/>
    <col min="5123" max="5123" width="15.140625" style="201" customWidth="1"/>
    <col min="5124" max="5128" width="0" style="201" hidden="1" customWidth="1"/>
    <col min="5129" max="5130" width="9.140625" style="201" customWidth="1"/>
    <col min="5131" max="5376" width="9.140625" style="201"/>
    <col min="5377" max="5377" width="8.140625" style="201" customWidth="1"/>
    <col min="5378" max="5378" width="63.28515625" style="201" customWidth="1"/>
    <col min="5379" max="5379" width="15.140625" style="201" customWidth="1"/>
    <col min="5380" max="5384" width="0" style="201" hidden="1" customWidth="1"/>
    <col min="5385" max="5386" width="9.140625" style="201" customWidth="1"/>
    <col min="5387" max="5632" width="9.140625" style="201"/>
    <col min="5633" max="5633" width="8.140625" style="201" customWidth="1"/>
    <col min="5634" max="5634" width="63.28515625" style="201" customWidth="1"/>
    <col min="5635" max="5635" width="15.140625" style="201" customWidth="1"/>
    <col min="5636" max="5640" width="0" style="201" hidden="1" customWidth="1"/>
    <col min="5641" max="5642" width="9.140625" style="201" customWidth="1"/>
    <col min="5643" max="5888" width="9.140625" style="201"/>
    <col min="5889" max="5889" width="8.140625" style="201" customWidth="1"/>
    <col min="5890" max="5890" width="63.28515625" style="201" customWidth="1"/>
    <col min="5891" max="5891" width="15.140625" style="201" customWidth="1"/>
    <col min="5892" max="5896" width="0" style="201" hidden="1" customWidth="1"/>
    <col min="5897" max="5898" width="9.140625" style="201" customWidth="1"/>
    <col min="5899" max="6144" width="9.140625" style="201"/>
    <col min="6145" max="6145" width="8.140625" style="201" customWidth="1"/>
    <col min="6146" max="6146" width="63.28515625" style="201" customWidth="1"/>
    <col min="6147" max="6147" width="15.140625" style="201" customWidth="1"/>
    <col min="6148" max="6152" width="0" style="201" hidden="1" customWidth="1"/>
    <col min="6153" max="6154" width="9.140625" style="201" customWidth="1"/>
    <col min="6155" max="6400" width="9.140625" style="201"/>
    <col min="6401" max="6401" width="8.140625" style="201" customWidth="1"/>
    <col min="6402" max="6402" width="63.28515625" style="201" customWidth="1"/>
    <col min="6403" max="6403" width="15.140625" style="201" customWidth="1"/>
    <col min="6404" max="6408" width="0" style="201" hidden="1" customWidth="1"/>
    <col min="6409" max="6410" width="9.140625" style="201" customWidth="1"/>
    <col min="6411" max="6656" width="9.140625" style="201"/>
    <col min="6657" max="6657" width="8.140625" style="201" customWidth="1"/>
    <col min="6658" max="6658" width="63.28515625" style="201" customWidth="1"/>
    <col min="6659" max="6659" width="15.140625" style="201" customWidth="1"/>
    <col min="6660" max="6664" width="0" style="201" hidden="1" customWidth="1"/>
    <col min="6665" max="6666" width="9.140625" style="201" customWidth="1"/>
    <col min="6667" max="6912" width="9.140625" style="201"/>
    <col min="6913" max="6913" width="8.140625" style="201" customWidth="1"/>
    <col min="6914" max="6914" width="63.28515625" style="201" customWidth="1"/>
    <col min="6915" max="6915" width="15.140625" style="201" customWidth="1"/>
    <col min="6916" max="6920" width="0" style="201" hidden="1" customWidth="1"/>
    <col min="6921" max="6922" width="9.140625" style="201" customWidth="1"/>
    <col min="6923" max="7168" width="9.140625" style="201"/>
    <col min="7169" max="7169" width="8.140625" style="201" customWidth="1"/>
    <col min="7170" max="7170" width="63.28515625" style="201" customWidth="1"/>
    <col min="7171" max="7171" width="15.140625" style="201" customWidth="1"/>
    <col min="7172" max="7176" width="0" style="201" hidden="1" customWidth="1"/>
    <col min="7177" max="7178" width="9.140625" style="201" customWidth="1"/>
    <col min="7179" max="7424" width="9.140625" style="201"/>
    <col min="7425" max="7425" width="8.140625" style="201" customWidth="1"/>
    <col min="7426" max="7426" width="63.28515625" style="201" customWidth="1"/>
    <col min="7427" max="7427" width="15.140625" style="201" customWidth="1"/>
    <col min="7428" max="7432" width="0" style="201" hidden="1" customWidth="1"/>
    <col min="7433" max="7434" width="9.140625" style="201" customWidth="1"/>
    <col min="7435" max="7680" width="9.140625" style="201"/>
    <col min="7681" max="7681" width="8.140625" style="201" customWidth="1"/>
    <col min="7682" max="7682" width="63.28515625" style="201" customWidth="1"/>
    <col min="7683" max="7683" width="15.140625" style="201" customWidth="1"/>
    <col min="7684" max="7688" width="0" style="201" hidden="1" customWidth="1"/>
    <col min="7689" max="7690" width="9.140625" style="201" customWidth="1"/>
    <col min="7691" max="7936" width="9.140625" style="201"/>
    <col min="7937" max="7937" width="8.140625" style="201" customWidth="1"/>
    <col min="7938" max="7938" width="63.28515625" style="201" customWidth="1"/>
    <col min="7939" max="7939" width="15.140625" style="201" customWidth="1"/>
    <col min="7940" max="7944" width="0" style="201" hidden="1" customWidth="1"/>
    <col min="7945" max="7946" width="9.140625" style="201" customWidth="1"/>
    <col min="7947" max="8192" width="9.140625" style="201"/>
    <col min="8193" max="8193" width="8.140625" style="201" customWidth="1"/>
    <col min="8194" max="8194" width="63.28515625" style="201" customWidth="1"/>
    <col min="8195" max="8195" width="15.140625" style="201" customWidth="1"/>
    <col min="8196" max="8200" width="0" style="201" hidden="1" customWidth="1"/>
    <col min="8201" max="8202" width="9.140625" style="201" customWidth="1"/>
    <col min="8203" max="8448" width="9.140625" style="201"/>
    <col min="8449" max="8449" width="8.140625" style="201" customWidth="1"/>
    <col min="8450" max="8450" width="63.28515625" style="201" customWidth="1"/>
    <col min="8451" max="8451" width="15.140625" style="201" customWidth="1"/>
    <col min="8452" max="8456" width="0" style="201" hidden="1" customWidth="1"/>
    <col min="8457" max="8458" width="9.140625" style="201" customWidth="1"/>
    <col min="8459" max="8704" width="9.140625" style="201"/>
    <col min="8705" max="8705" width="8.140625" style="201" customWidth="1"/>
    <col min="8706" max="8706" width="63.28515625" style="201" customWidth="1"/>
    <col min="8707" max="8707" width="15.140625" style="201" customWidth="1"/>
    <col min="8708" max="8712" width="0" style="201" hidden="1" customWidth="1"/>
    <col min="8713" max="8714" width="9.140625" style="201" customWidth="1"/>
    <col min="8715" max="8960" width="9.140625" style="201"/>
    <col min="8961" max="8961" width="8.140625" style="201" customWidth="1"/>
    <col min="8962" max="8962" width="63.28515625" style="201" customWidth="1"/>
    <col min="8963" max="8963" width="15.140625" style="201" customWidth="1"/>
    <col min="8964" max="8968" width="0" style="201" hidden="1" customWidth="1"/>
    <col min="8969" max="8970" width="9.140625" style="201" customWidth="1"/>
    <col min="8971" max="9216" width="9.140625" style="201"/>
    <col min="9217" max="9217" width="8.140625" style="201" customWidth="1"/>
    <col min="9218" max="9218" width="63.28515625" style="201" customWidth="1"/>
    <col min="9219" max="9219" width="15.140625" style="201" customWidth="1"/>
    <col min="9220" max="9224" width="0" style="201" hidden="1" customWidth="1"/>
    <col min="9225" max="9226" width="9.140625" style="201" customWidth="1"/>
    <col min="9227" max="9472" width="9.140625" style="201"/>
    <col min="9473" max="9473" width="8.140625" style="201" customWidth="1"/>
    <col min="9474" max="9474" width="63.28515625" style="201" customWidth="1"/>
    <col min="9475" max="9475" width="15.140625" style="201" customWidth="1"/>
    <col min="9476" max="9480" width="0" style="201" hidden="1" customWidth="1"/>
    <col min="9481" max="9482" width="9.140625" style="201" customWidth="1"/>
    <col min="9483" max="9728" width="9.140625" style="201"/>
    <col min="9729" max="9729" width="8.140625" style="201" customWidth="1"/>
    <col min="9730" max="9730" width="63.28515625" style="201" customWidth="1"/>
    <col min="9731" max="9731" width="15.140625" style="201" customWidth="1"/>
    <col min="9732" max="9736" width="0" style="201" hidden="1" customWidth="1"/>
    <col min="9737" max="9738" width="9.140625" style="201" customWidth="1"/>
    <col min="9739" max="9984" width="9.140625" style="201"/>
    <col min="9985" max="9985" width="8.140625" style="201" customWidth="1"/>
    <col min="9986" max="9986" width="63.28515625" style="201" customWidth="1"/>
    <col min="9987" max="9987" width="15.140625" style="201" customWidth="1"/>
    <col min="9988" max="9992" width="0" style="201" hidden="1" customWidth="1"/>
    <col min="9993" max="9994" width="9.140625" style="201" customWidth="1"/>
    <col min="9995" max="10240" width="9.140625" style="201"/>
    <col min="10241" max="10241" width="8.140625" style="201" customWidth="1"/>
    <col min="10242" max="10242" width="63.28515625" style="201" customWidth="1"/>
    <col min="10243" max="10243" width="15.140625" style="201" customWidth="1"/>
    <col min="10244" max="10248" width="0" style="201" hidden="1" customWidth="1"/>
    <col min="10249" max="10250" width="9.140625" style="201" customWidth="1"/>
    <col min="10251" max="10496" width="9.140625" style="201"/>
    <col min="10497" max="10497" width="8.140625" style="201" customWidth="1"/>
    <col min="10498" max="10498" width="63.28515625" style="201" customWidth="1"/>
    <col min="10499" max="10499" width="15.140625" style="201" customWidth="1"/>
    <col min="10500" max="10504" width="0" style="201" hidden="1" customWidth="1"/>
    <col min="10505" max="10506" width="9.140625" style="201" customWidth="1"/>
    <col min="10507" max="10752" width="9.140625" style="201"/>
    <col min="10753" max="10753" width="8.140625" style="201" customWidth="1"/>
    <col min="10754" max="10754" width="63.28515625" style="201" customWidth="1"/>
    <col min="10755" max="10755" width="15.140625" style="201" customWidth="1"/>
    <col min="10756" max="10760" width="0" style="201" hidden="1" customWidth="1"/>
    <col min="10761" max="10762" width="9.140625" style="201" customWidth="1"/>
    <col min="10763" max="11008" width="9.140625" style="201"/>
    <col min="11009" max="11009" width="8.140625" style="201" customWidth="1"/>
    <col min="11010" max="11010" width="63.28515625" style="201" customWidth="1"/>
    <col min="11011" max="11011" width="15.140625" style="201" customWidth="1"/>
    <col min="11012" max="11016" width="0" style="201" hidden="1" customWidth="1"/>
    <col min="11017" max="11018" width="9.140625" style="201" customWidth="1"/>
    <col min="11019" max="11264" width="9.140625" style="201"/>
    <col min="11265" max="11265" width="8.140625" style="201" customWidth="1"/>
    <col min="11266" max="11266" width="63.28515625" style="201" customWidth="1"/>
    <col min="11267" max="11267" width="15.140625" style="201" customWidth="1"/>
    <col min="11268" max="11272" width="0" style="201" hidden="1" customWidth="1"/>
    <col min="11273" max="11274" width="9.140625" style="201" customWidth="1"/>
    <col min="11275" max="11520" width="9.140625" style="201"/>
    <col min="11521" max="11521" width="8.140625" style="201" customWidth="1"/>
    <col min="11522" max="11522" width="63.28515625" style="201" customWidth="1"/>
    <col min="11523" max="11523" width="15.140625" style="201" customWidth="1"/>
    <col min="11524" max="11528" width="0" style="201" hidden="1" customWidth="1"/>
    <col min="11529" max="11530" width="9.140625" style="201" customWidth="1"/>
    <col min="11531" max="11776" width="9.140625" style="201"/>
    <col min="11777" max="11777" width="8.140625" style="201" customWidth="1"/>
    <col min="11778" max="11778" width="63.28515625" style="201" customWidth="1"/>
    <col min="11779" max="11779" width="15.140625" style="201" customWidth="1"/>
    <col min="11780" max="11784" width="0" style="201" hidden="1" customWidth="1"/>
    <col min="11785" max="11786" width="9.140625" style="201" customWidth="1"/>
    <col min="11787" max="12032" width="9.140625" style="201"/>
    <col min="12033" max="12033" width="8.140625" style="201" customWidth="1"/>
    <col min="12034" max="12034" width="63.28515625" style="201" customWidth="1"/>
    <col min="12035" max="12035" width="15.140625" style="201" customWidth="1"/>
    <col min="12036" max="12040" width="0" style="201" hidden="1" customWidth="1"/>
    <col min="12041" max="12042" width="9.140625" style="201" customWidth="1"/>
    <col min="12043" max="12288" width="9.140625" style="201"/>
    <col min="12289" max="12289" width="8.140625" style="201" customWidth="1"/>
    <col min="12290" max="12290" width="63.28515625" style="201" customWidth="1"/>
    <col min="12291" max="12291" width="15.140625" style="201" customWidth="1"/>
    <col min="12292" max="12296" width="0" style="201" hidden="1" customWidth="1"/>
    <col min="12297" max="12298" width="9.140625" style="201" customWidth="1"/>
    <col min="12299" max="12544" width="9.140625" style="201"/>
    <col min="12545" max="12545" width="8.140625" style="201" customWidth="1"/>
    <col min="12546" max="12546" width="63.28515625" style="201" customWidth="1"/>
    <col min="12547" max="12547" width="15.140625" style="201" customWidth="1"/>
    <col min="12548" max="12552" width="0" style="201" hidden="1" customWidth="1"/>
    <col min="12553" max="12554" width="9.140625" style="201" customWidth="1"/>
    <col min="12555" max="12800" width="9.140625" style="201"/>
    <col min="12801" max="12801" width="8.140625" style="201" customWidth="1"/>
    <col min="12802" max="12802" width="63.28515625" style="201" customWidth="1"/>
    <col min="12803" max="12803" width="15.140625" style="201" customWidth="1"/>
    <col min="12804" max="12808" width="0" style="201" hidden="1" customWidth="1"/>
    <col min="12809" max="12810" width="9.140625" style="201" customWidth="1"/>
    <col min="12811" max="13056" width="9.140625" style="201"/>
    <col min="13057" max="13057" width="8.140625" style="201" customWidth="1"/>
    <col min="13058" max="13058" width="63.28515625" style="201" customWidth="1"/>
    <col min="13059" max="13059" width="15.140625" style="201" customWidth="1"/>
    <col min="13060" max="13064" width="0" style="201" hidden="1" customWidth="1"/>
    <col min="13065" max="13066" width="9.140625" style="201" customWidth="1"/>
    <col min="13067" max="13312" width="9.140625" style="201"/>
    <col min="13313" max="13313" width="8.140625" style="201" customWidth="1"/>
    <col min="13314" max="13314" width="63.28515625" style="201" customWidth="1"/>
    <col min="13315" max="13315" width="15.140625" style="201" customWidth="1"/>
    <col min="13316" max="13320" width="0" style="201" hidden="1" customWidth="1"/>
    <col min="13321" max="13322" width="9.140625" style="201" customWidth="1"/>
    <col min="13323" max="13568" width="9.140625" style="201"/>
    <col min="13569" max="13569" width="8.140625" style="201" customWidth="1"/>
    <col min="13570" max="13570" width="63.28515625" style="201" customWidth="1"/>
    <col min="13571" max="13571" width="15.140625" style="201" customWidth="1"/>
    <col min="13572" max="13576" width="0" style="201" hidden="1" customWidth="1"/>
    <col min="13577" max="13578" width="9.140625" style="201" customWidth="1"/>
    <col min="13579" max="13824" width="9.140625" style="201"/>
    <col min="13825" max="13825" width="8.140625" style="201" customWidth="1"/>
    <col min="13826" max="13826" width="63.28515625" style="201" customWidth="1"/>
    <col min="13827" max="13827" width="15.140625" style="201" customWidth="1"/>
    <col min="13828" max="13832" width="0" style="201" hidden="1" customWidth="1"/>
    <col min="13833" max="13834" width="9.140625" style="201" customWidth="1"/>
    <col min="13835" max="14080" width="9.140625" style="201"/>
    <col min="14081" max="14081" width="8.140625" style="201" customWidth="1"/>
    <col min="14082" max="14082" width="63.28515625" style="201" customWidth="1"/>
    <col min="14083" max="14083" width="15.140625" style="201" customWidth="1"/>
    <col min="14084" max="14088" width="0" style="201" hidden="1" customWidth="1"/>
    <col min="14089" max="14090" width="9.140625" style="201" customWidth="1"/>
    <col min="14091" max="14336" width="9.140625" style="201"/>
    <col min="14337" max="14337" width="8.140625" style="201" customWidth="1"/>
    <col min="14338" max="14338" width="63.28515625" style="201" customWidth="1"/>
    <col min="14339" max="14339" width="15.140625" style="201" customWidth="1"/>
    <col min="14340" max="14344" width="0" style="201" hidden="1" customWidth="1"/>
    <col min="14345" max="14346" width="9.140625" style="201" customWidth="1"/>
    <col min="14347" max="14592" width="9.140625" style="201"/>
    <col min="14593" max="14593" width="8.140625" style="201" customWidth="1"/>
    <col min="14594" max="14594" width="63.28515625" style="201" customWidth="1"/>
    <col min="14595" max="14595" width="15.140625" style="201" customWidth="1"/>
    <col min="14596" max="14600" width="0" style="201" hidden="1" customWidth="1"/>
    <col min="14601" max="14602" width="9.140625" style="201" customWidth="1"/>
    <col min="14603" max="14848" width="9.140625" style="201"/>
    <col min="14849" max="14849" width="8.140625" style="201" customWidth="1"/>
    <col min="14850" max="14850" width="63.28515625" style="201" customWidth="1"/>
    <col min="14851" max="14851" width="15.140625" style="201" customWidth="1"/>
    <col min="14852" max="14856" width="0" style="201" hidden="1" customWidth="1"/>
    <col min="14857" max="14858" width="9.140625" style="201" customWidth="1"/>
    <col min="14859" max="15104" width="9.140625" style="201"/>
    <col min="15105" max="15105" width="8.140625" style="201" customWidth="1"/>
    <col min="15106" max="15106" width="63.28515625" style="201" customWidth="1"/>
    <col min="15107" max="15107" width="15.140625" style="201" customWidth="1"/>
    <col min="15108" max="15112" width="0" style="201" hidden="1" customWidth="1"/>
    <col min="15113" max="15114" width="9.140625" style="201" customWidth="1"/>
    <col min="15115" max="15360" width="9.140625" style="201"/>
    <col min="15361" max="15361" width="8.140625" style="201" customWidth="1"/>
    <col min="15362" max="15362" width="63.28515625" style="201" customWidth="1"/>
    <col min="15363" max="15363" width="15.140625" style="201" customWidth="1"/>
    <col min="15364" max="15368" width="0" style="201" hidden="1" customWidth="1"/>
    <col min="15369" max="15370" width="9.140625" style="201" customWidth="1"/>
    <col min="15371" max="15616" width="9.140625" style="201"/>
    <col min="15617" max="15617" width="8.140625" style="201" customWidth="1"/>
    <col min="15618" max="15618" width="63.28515625" style="201" customWidth="1"/>
    <col min="15619" max="15619" width="15.140625" style="201" customWidth="1"/>
    <col min="15620" max="15624" width="0" style="201" hidden="1" customWidth="1"/>
    <col min="15625" max="15626" width="9.140625" style="201" customWidth="1"/>
    <col min="15627" max="15872" width="9.140625" style="201"/>
    <col min="15873" max="15873" width="8.140625" style="201" customWidth="1"/>
    <col min="15874" max="15874" width="63.28515625" style="201" customWidth="1"/>
    <col min="15875" max="15875" width="15.140625" style="201" customWidth="1"/>
    <col min="15876" max="15880" width="0" style="201" hidden="1" customWidth="1"/>
    <col min="15881" max="15882" width="9.140625" style="201" customWidth="1"/>
    <col min="15883" max="16128" width="9.140625" style="201"/>
    <col min="16129" max="16129" width="8.140625" style="201" customWidth="1"/>
    <col min="16130" max="16130" width="63.28515625" style="201" customWidth="1"/>
    <col min="16131" max="16131" width="15.140625" style="201" customWidth="1"/>
    <col min="16132" max="16136" width="0" style="201" hidden="1" customWidth="1"/>
    <col min="16137" max="16138" width="9.140625" style="201" customWidth="1"/>
    <col min="16139" max="16384" width="9.140625" style="201"/>
  </cols>
  <sheetData>
    <row r="1" spans="1:8" s="192" customFormat="1" ht="12.75" customHeight="1" x14ac:dyDescent="0.25">
      <c r="A1" s="386" t="str">
        <f>BDI!A1</f>
        <v xml:space="preserve">   A MIRANDA CAPELA CONSTRUTORA COMERCIO E SERVIÇOS EIRELI-EPP                                                                                                                                                    CNPJ: 15.788.657/0001-32, Incs. Estadual nº 15.376.620-4,                                                                                                                                                                         Rua Antônio Braga, s/n – Bairro Vila do Carmo, neste município de Cametá - PA</v>
      </c>
      <c r="B1" s="386"/>
      <c r="C1" s="386"/>
      <c r="D1" s="386"/>
    </row>
    <row r="2" spans="1:8" s="192" customFormat="1" ht="12.75" customHeight="1" x14ac:dyDescent="0.25">
      <c r="A2" s="386"/>
      <c r="B2" s="386"/>
      <c r="C2" s="386"/>
      <c r="D2" s="386"/>
    </row>
    <row r="3" spans="1:8" s="192" customFormat="1" ht="12.75" customHeight="1" x14ac:dyDescent="0.25">
      <c r="A3" s="386"/>
      <c r="B3" s="386"/>
      <c r="C3" s="386"/>
      <c r="D3" s="386"/>
    </row>
    <row r="4" spans="1:8" s="192" customFormat="1" ht="12.75" customHeight="1" x14ac:dyDescent="0.25">
      <c r="A4" s="386"/>
      <c r="B4" s="386"/>
      <c r="C4" s="386"/>
      <c r="D4" s="386"/>
    </row>
    <row r="5" spans="1:8" s="192" customFormat="1" ht="12.75" customHeight="1" x14ac:dyDescent="0.25"/>
    <row r="6" spans="1:8" s="192" customFormat="1" ht="12.75" hidden="1" customHeight="1" x14ac:dyDescent="0.25"/>
    <row r="7" spans="1:8" s="349" customFormat="1" ht="12.75" customHeight="1" x14ac:dyDescent="0.25">
      <c r="A7" s="446" t="str">
        <f>BDI!A6</f>
        <v xml:space="preserve"> PREFEITURA MUNICIPAL DE BAIÃO</v>
      </c>
      <c r="B7" s="446"/>
      <c r="C7" s="446"/>
    </row>
    <row r="8" spans="1:8" s="349" customFormat="1" ht="12.75" customHeight="1" x14ac:dyDescent="0.25">
      <c r="A8" s="446" t="str">
        <f>BDI!A7</f>
        <v>TOMADA DE PREÇO   N° 013/2015</v>
      </c>
      <c r="B8" s="446"/>
      <c r="C8" s="446"/>
    </row>
    <row r="9" spans="1:8" ht="15.75" x14ac:dyDescent="0.25">
      <c r="A9" s="446" t="str">
        <f>BDI!A8</f>
        <v>LOCAL:  E.M.E.F PÓLO DE MASSARANDUBA</v>
      </c>
      <c r="B9" s="446"/>
      <c r="C9" s="446"/>
      <c r="D9" s="264"/>
      <c r="E9" s="265" t="s">
        <v>417</v>
      </c>
      <c r="F9" s="201"/>
      <c r="G9" s="201"/>
      <c r="H9" s="201"/>
    </row>
    <row r="10" spans="1:8" ht="43.5" customHeight="1" x14ac:dyDescent="0.25">
      <c r="A10" s="445" t="str">
        <f>BDI!A9</f>
        <v>OBRA:  CONTINUAÇÃO DA CONSTRUÇÃO DE 01 (DUAS) ESCOLAS PÓLO NA LOCALIDADE MASSARANDUBA - PROJETO PADRÃO FNDE - 04 (QUATRO) SALAS DE  AULAS - NO MUNICIPIO DE BAIÃO - PARÁ</v>
      </c>
      <c r="B10" s="445"/>
      <c r="C10" s="445"/>
      <c r="D10" s="351"/>
      <c r="E10" s="265"/>
      <c r="F10" s="201"/>
      <c r="G10" s="201"/>
      <c r="H10" s="201"/>
    </row>
    <row r="11" spans="1:8" ht="15" x14ac:dyDescent="0.25">
      <c r="A11" s="446" t="str">
        <f>BDI!A10</f>
        <v>PRAZO DE EXECUÇÃO: 03 MESES</v>
      </c>
      <c r="B11" s="446"/>
      <c r="C11" s="446"/>
      <c r="D11" s="266"/>
      <c r="E11" s="267" t="s">
        <v>418</v>
      </c>
      <c r="F11" s="268">
        <f>220</f>
        <v>220</v>
      </c>
      <c r="G11" s="269"/>
      <c r="H11" s="267" t="s">
        <v>419</v>
      </c>
    </row>
    <row r="12" spans="1:8" hidden="1" x14ac:dyDescent="0.25">
      <c r="E12" s="267" t="s">
        <v>420</v>
      </c>
      <c r="F12" s="268">
        <v>30</v>
      </c>
      <c r="G12" s="269">
        <f>F11/F12</f>
        <v>7.333333333333333</v>
      </c>
      <c r="H12" s="267" t="s">
        <v>421</v>
      </c>
    </row>
    <row r="13" spans="1:8" x14ac:dyDescent="0.25">
      <c r="E13" s="270" t="s">
        <v>422</v>
      </c>
    </row>
    <row r="14" spans="1:8" ht="15.75" x14ac:dyDescent="0.25">
      <c r="A14" s="427" t="s">
        <v>423</v>
      </c>
      <c r="B14" s="427"/>
      <c r="C14" s="427"/>
      <c r="D14" s="271"/>
      <c r="E14" s="272" t="s">
        <v>424</v>
      </c>
      <c r="F14" s="273">
        <v>52</v>
      </c>
      <c r="G14" s="274">
        <f>((((F70/F24)*F23)-F12)/7)*(F24/F70)*G12</f>
        <v>361.98956022878372</v>
      </c>
      <c r="H14" s="267" t="s">
        <v>425</v>
      </c>
    </row>
    <row r="15" spans="1:8" x14ac:dyDescent="0.2">
      <c r="A15" s="428" t="s">
        <v>426</v>
      </c>
      <c r="B15" s="428"/>
      <c r="C15" s="275" t="s">
        <v>312</v>
      </c>
      <c r="D15" s="276"/>
      <c r="E15" s="277" t="s">
        <v>427</v>
      </c>
      <c r="F15" s="278" t="s">
        <v>428</v>
      </c>
      <c r="G15" s="279">
        <f>(((F70/F24)*F15)*((F70-1)/F70)*(F24/F70))*G12</f>
        <v>86.646768111162686</v>
      </c>
      <c r="H15" s="267" t="s">
        <v>425</v>
      </c>
    </row>
    <row r="16" spans="1:8" x14ac:dyDescent="0.2">
      <c r="A16" s="280" t="s">
        <v>429</v>
      </c>
      <c r="B16" s="281" t="s">
        <v>430</v>
      </c>
      <c r="C16" s="282">
        <v>20</v>
      </c>
      <c r="D16" s="283"/>
      <c r="E16" s="277" t="s">
        <v>431</v>
      </c>
      <c r="F16" s="284">
        <v>15</v>
      </c>
      <c r="G16" s="279">
        <f>((F16*3.4%)+2)*G12</f>
        <v>18.406666666666663</v>
      </c>
      <c r="H16" s="267" t="s">
        <v>425</v>
      </c>
    </row>
    <row r="17" spans="1:8" x14ac:dyDescent="0.2">
      <c r="A17" s="280" t="s">
        <v>432</v>
      </c>
      <c r="B17" s="281" t="s">
        <v>433</v>
      </c>
      <c r="C17" s="282">
        <v>8</v>
      </c>
      <c r="D17" s="283"/>
      <c r="E17" s="277" t="s">
        <v>434</v>
      </c>
      <c r="F17" s="284">
        <v>5</v>
      </c>
      <c r="G17" s="279">
        <f>F17*(92.36%*85.64%*5.93%)*G12</f>
        <v>1.7198346979733334</v>
      </c>
      <c r="H17" s="267" t="s">
        <v>425</v>
      </c>
    </row>
    <row r="18" spans="1:8" x14ac:dyDescent="0.2">
      <c r="A18" s="280" t="s">
        <v>435</v>
      </c>
      <c r="B18" s="281" t="s">
        <v>436</v>
      </c>
      <c r="C18" s="282">
        <v>2.5</v>
      </c>
      <c r="D18" s="283"/>
      <c r="E18" s="285" t="s">
        <v>437</v>
      </c>
      <c r="F18" s="267">
        <v>120</v>
      </c>
      <c r="G18" s="269">
        <f>(4.33%*7.64%*82.4%*(F18/F23)*(F12+F22))*G12</f>
        <v>0.45972588147296367</v>
      </c>
      <c r="H18" s="267" t="s">
        <v>425</v>
      </c>
    </row>
    <row r="19" spans="1:8" x14ac:dyDescent="0.2">
      <c r="A19" s="280" t="s">
        <v>438</v>
      </c>
      <c r="B19" s="281" t="s">
        <v>439</v>
      </c>
      <c r="C19" s="282">
        <v>1.5</v>
      </c>
      <c r="D19" s="283"/>
      <c r="E19" s="286" t="s">
        <v>440</v>
      </c>
      <c r="F19" s="273">
        <v>2</v>
      </c>
      <c r="G19" s="287">
        <f>F19*G12</f>
        <v>14.666666666666666</v>
      </c>
      <c r="H19" s="267" t="s">
        <v>425</v>
      </c>
    </row>
    <row r="20" spans="1:8" x14ac:dyDescent="0.2">
      <c r="A20" s="280" t="s">
        <v>441</v>
      </c>
      <c r="B20" s="281" t="s">
        <v>442</v>
      </c>
      <c r="C20" s="282">
        <v>1</v>
      </c>
      <c r="D20" s="283"/>
      <c r="E20" s="288" t="s">
        <v>443</v>
      </c>
      <c r="F20" s="273">
        <v>190</v>
      </c>
      <c r="G20" s="287">
        <f>(F20*((F23-107.42)/F23)*20%*20%)*G12</f>
        <v>39.342163814738754</v>
      </c>
      <c r="H20" s="267" t="s">
        <v>425</v>
      </c>
    </row>
    <row r="21" spans="1:8" x14ac:dyDescent="0.2">
      <c r="A21" s="280" t="s">
        <v>444</v>
      </c>
      <c r="B21" s="281" t="s">
        <v>445</v>
      </c>
      <c r="C21" s="282">
        <v>0.6</v>
      </c>
      <c r="D21" s="283"/>
      <c r="E21" s="288" t="s">
        <v>446</v>
      </c>
      <c r="F21" s="273">
        <v>15</v>
      </c>
      <c r="G21" s="287">
        <f>(F21*3.5%)*G12</f>
        <v>3.85</v>
      </c>
      <c r="H21" s="267" t="s">
        <v>425</v>
      </c>
    </row>
    <row r="22" spans="1:8" x14ac:dyDescent="0.2">
      <c r="A22" s="280" t="s">
        <v>447</v>
      </c>
      <c r="B22" s="281" t="s">
        <v>448</v>
      </c>
      <c r="C22" s="282">
        <v>0.2</v>
      </c>
      <c r="D22" s="289"/>
      <c r="E22" s="286" t="s">
        <v>449</v>
      </c>
      <c r="F22" s="290">
        <v>40</v>
      </c>
      <c r="G22" s="291">
        <f>F22*(F24/F70)*G12</f>
        <v>192.76410453135199</v>
      </c>
      <c r="H22" s="285" t="s">
        <v>425</v>
      </c>
    </row>
    <row r="23" spans="1:8" x14ac:dyDescent="0.2">
      <c r="A23" s="280" t="s">
        <v>450</v>
      </c>
      <c r="B23" s="281" t="s">
        <v>451</v>
      </c>
      <c r="C23" s="282">
        <v>3</v>
      </c>
      <c r="D23" s="283"/>
      <c r="E23" s="270" t="s">
        <v>452</v>
      </c>
      <c r="F23" s="292">
        <f>365.25</f>
        <v>365.25</v>
      </c>
      <c r="G23" s="293">
        <f>F23*G12</f>
        <v>2678.5</v>
      </c>
      <c r="H23" s="285" t="s">
        <v>425</v>
      </c>
    </row>
    <row r="24" spans="1:8" x14ac:dyDescent="0.2">
      <c r="A24" s="280" t="s">
        <v>453</v>
      </c>
      <c r="B24" s="281" t="s">
        <v>454</v>
      </c>
      <c r="C24" s="294">
        <v>0</v>
      </c>
      <c r="D24" s="283"/>
      <c r="E24" s="270" t="s">
        <v>455</v>
      </c>
      <c r="F24" s="278" t="s">
        <v>456</v>
      </c>
      <c r="G24" s="293">
        <f>G23-SUM(G14:G22)</f>
        <v>1958.6545094011831</v>
      </c>
      <c r="H24" s="285" t="s">
        <v>425</v>
      </c>
    </row>
    <row r="25" spans="1:8" x14ac:dyDescent="0.25">
      <c r="A25" s="426" t="s">
        <v>457</v>
      </c>
      <c r="B25" s="426"/>
      <c r="C25" s="295">
        <f>SUM(C16:C24)</f>
        <v>36.800000000000004</v>
      </c>
      <c r="D25" s="296"/>
      <c r="E25" s="286" t="s">
        <v>458</v>
      </c>
      <c r="F25" s="290">
        <v>30</v>
      </c>
      <c r="G25" s="291">
        <f>F25*G12</f>
        <v>220</v>
      </c>
      <c r="H25" s="285" t="s">
        <v>425</v>
      </c>
    </row>
    <row r="26" spans="1:8" x14ac:dyDescent="0.25">
      <c r="A26" s="430" t="s">
        <v>459</v>
      </c>
      <c r="B26" s="430"/>
      <c r="C26" s="430"/>
      <c r="D26" s="297"/>
      <c r="E26" s="298" t="s">
        <v>460</v>
      </c>
      <c r="F26" s="299">
        <v>33</v>
      </c>
      <c r="G26" s="300">
        <f>(F26*F67*F71*90%)*G12</f>
        <v>121.76466312665308</v>
      </c>
      <c r="H26" s="285" t="s">
        <v>425</v>
      </c>
    </row>
    <row r="27" spans="1:8" x14ac:dyDescent="0.2">
      <c r="A27" s="280" t="s">
        <v>461</v>
      </c>
      <c r="B27" s="301" t="s">
        <v>462</v>
      </c>
      <c r="C27" s="294">
        <f>(SUM(G14:G15)/G24)*100</f>
        <v>22.905332522227589</v>
      </c>
      <c r="D27" s="297"/>
      <c r="E27" s="298" t="s">
        <v>463</v>
      </c>
      <c r="F27" s="299">
        <v>7</v>
      </c>
      <c r="G27" s="302">
        <f>((F27*F67*F71*10%)+(F27*F68*20%*50%))*G12</f>
        <v>6.6346537718642953</v>
      </c>
      <c r="H27" s="285" t="s">
        <v>425</v>
      </c>
    </row>
    <row r="28" spans="1:8" x14ac:dyDescent="0.2">
      <c r="A28" s="280" t="s">
        <v>464</v>
      </c>
      <c r="B28" s="301" t="s">
        <v>465</v>
      </c>
      <c r="C28" s="294">
        <f>(G16/G24)*100</f>
        <v>0.93976076833959388</v>
      </c>
      <c r="D28" s="297"/>
      <c r="E28" s="303" t="s">
        <v>466</v>
      </c>
      <c r="F28" s="299">
        <v>6</v>
      </c>
      <c r="G28" s="302">
        <f>(F22*(F28/F70)*F71)*G12</f>
        <v>81.996406145894326</v>
      </c>
      <c r="H28" s="285" t="s">
        <v>425</v>
      </c>
    </row>
    <row r="29" spans="1:8" x14ac:dyDescent="0.2">
      <c r="A29" s="280" t="s">
        <v>467</v>
      </c>
      <c r="B29" s="301" t="s">
        <v>468</v>
      </c>
      <c r="C29" s="294">
        <f>(G18/G24)*100</f>
        <v>2.3471514719230147E-2</v>
      </c>
      <c r="D29" s="297"/>
      <c r="E29" s="303" t="s">
        <v>469</v>
      </c>
      <c r="F29" s="299"/>
      <c r="G29" s="302">
        <f>((F23+F22)*(F70/F24)*(F67*C17%*50%*F71))*G12</f>
        <v>101.13071770922944</v>
      </c>
      <c r="H29" s="285" t="s">
        <v>425</v>
      </c>
    </row>
    <row r="30" spans="1:8" x14ac:dyDescent="0.2">
      <c r="A30" s="280" t="s">
        <v>470</v>
      </c>
      <c r="B30" s="301" t="s">
        <v>471</v>
      </c>
      <c r="C30" s="294">
        <f>(G25/G24)*100</f>
        <v>11.232200418401524</v>
      </c>
      <c r="D30" s="297"/>
      <c r="E30" s="303" t="s">
        <v>472</v>
      </c>
      <c r="F30" s="300">
        <v>8.3333333333333304</v>
      </c>
      <c r="G30" s="302">
        <f>(F30%*F12*F67*F71)*G12</f>
        <v>10.249550768236785</v>
      </c>
      <c r="H30" s="285" t="s">
        <v>425</v>
      </c>
    </row>
    <row r="31" spans="1:8" ht="38.25" x14ac:dyDescent="0.25">
      <c r="A31" s="280" t="s">
        <v>473</v>
      </c>
      <c r="B31" s="304" t="s">
        <v>474</v>
      </c>
      <c r="C31" s="305">
        <f>SUM(G19:G21)/G24</f>
        <v>2.954008999733931E-2</v>
      </c>
      <c r="D31" s="297"/>
      <c r="E31" s="303"/>
      <c r="F31" s="299"/>
      <c r="G31" s="306"/>
      <c r="H31" s="297"/>
    </row>
    <row r="32" spans="1:8" x14ac:dyDescent="0.25">
      <c r="A32" s="426" t="s">
        <v>475</v>
      </c>
      <c r="B32" s="426"/>
      <c r="C32" s="295">
        <f>SUM(C27:C31)</f>
        <v>35.130305313685277</v>
      </c>
      <c r="D32" s="297"/>
      <c r="E32" s="431" t="s">
        <v>476</v>
      </c>
      <c r="F32" s="431"/>
      <c r="G32" s="306"/>
      <c r="H32" s="297"/>
    </row>
    <row r="33" spans="1:8" x14ac:dyDescent="0.25">
      <c r="A33" s="430" t="s">
        <v>477</v>
      </c>
      <c r="B33" s="430"/>
      <c r="C33" s="430"/>
      <c r="D33" s="297"/>
      <c r="E33" s="285"/>
      <c r="F33" s="285"/>
      <c r="G33" s="306"/>
      <c r="H33" s="297"/>
    </row>
    <row r="34" spans="1:8" ht="25.5" x14ac:dyDescent="0.2">
      <c r="A34" s="280" t="s">
        <v>478</v>
      </c>
      <c r="B34" s="307" t="s">
        <v>479</v>
      </c>
      <c r="C34" s="294">
        <f>50%*(C17+(C17*C32%))</f>
        <v>5.4052122125474114</v>
      </c>
      <c r="D34" s="297"/>
      <c r="E34" s="308" t="s">
        <v>480</v>
      </c>
      <c r="F34" s="308" t="s">
        <v>481</v>
      </c>
      <c r="G34" s="309"/>
      <c r="H34" s="297"/>
    </row>
    <row r="35" spans="1:8" x14ac:dyDescent="0.2">
      <c r="A35" s="280" t="s">
        <v>482</v>
      </c>
      <c r="B35" s="310" t="s">
        <v>483</v>
      </c>
      <c r="C35" s="294">
        <f>(G28/G24)*100</f>
        <v>4.1863639428151611</v>
      </c>
      <c r="D35" s="297"/>
      <c r="E35" s="308" t="s">
        <v>484</v>
      </c>
      <c r="F35" s="311">
        <v>6.25</v>
      </c>
      <c r="G35" s="297"/>
      <c r="H35" s="297"/>
    </row>
    <row r="36" spans="1:8" x14ac:dyDescent="0.2">
      <c r="A36" s="280" t="s">
        <v>485</v>
      </c>
      <c r="B36" s="281" t="s">
        <v>486</v>
      </c>
      <c r="C36" s="294">
        <f>(G26/G24)*100</f>
        <v>6.2167504550805148</v>
      </c>
      <c r="D36" s="297"/>
      <c r="E36" s="308" t="s">
        <v>487</v>
      </c>
      <c r="F36" s="312">
        <v>96</v>
      </c>
      <c r="G36" s="297"/>
      <c r="H36" s="297"/>
    </row>
    <row r="37" spans="1:8" x14ac:dyDescent="0.2">
      <c r="A37" s="426" t="s">
        <v>488</v>
      </c>
      <c r="B37" s="426"/>
      <c r="C37" s="294">
        <f>SUM(C34:C36)</f>
        <v>15.808326610443087</v>
      </c>
      <c r="D37" s="297"/>
      <c r="E37" s="308" t="s">
        <v>489</v>
      </c>
      <c r="F37" s="311">
        <v>1.502</v>
      </c>
      <c r="G37" s="297"/>
      <c r="H37" s="297"/>
    </row>
    <row r="38" spans="1:8" x14ac:dyDescent="0.25">
      <c r="A38" s="430" t="s">
        <v>490</v>
      </c>
      <c r="B38" s="430"/>
      <c r="C38" s="430"/>
      <c r="D38" s="297"/>
      <c r="E38" s="308" t="s">
        <v>491</v>
      </c>
      <c r="F38" s="311">
        <v>7.5</v>
      </c>
      <c r="G38" s="297"/>
      <c r="H38" s="297"/>
    </row>
    <row r="39" spans="1:8" x14ac:dyDescent="0.2">
      <c r="A39" s="280" t="s">
        <v>492</v>
      </c>
      <c r="B39" s="310" t="s">
        <v>493</v>
      </c>
      <c r="C39" s="294">
        <f>C25*C32%</f>
        <v>12.927952355436183</v>
      </c>
      <c r="D39" s="297"/>
      <c r="E39" s="308" t="s">
        <v>494</v>
      </c>
      <c r="F39" s="313">
        <v>24</v>
      </c>
      <c r="G39" s="297"/>
      <c r="H39" s="297"/>
    </row>
    <row r="40" spans="1:8" hidden="1" x14ac:dyDescent="0.2">
      <c r="A40" s="280" t="s">
        <v>495</v>
      </c>
      <c r="B40" s="310" t="s">
        <v>496</v>
      </c>
      <c r="C40" s="294">
        <f>C17*0%</f>
        <v>0</v>
      </c>
      <c r="D40" s="297"/>
      <c r="E40" s="308"/>
      <c r="F40" s="311"/>
      <c r="G40" s="297"/>
      <c r="H40" s="297"/>
    </row>
    <row r="41" spans="1:8" x14ac:dyDescent="0.2">
      <c r="A41" s="426" t="s">
        <v>497</v>
      </c>
      <c r="B41" s="426"/>
      <c r="C41" s="294">
        <f>SUM(C39:C40)</f>
        <v>12.927952355436183</v>
      </c>
      <c r="D41" s="297"/>
      <c r="E41" s="308" t="s">
        <v>498</v>
      </c>
      <c r="F41" s="311">
        <v>19.5</v>
      </c>
      <c r="G41" s="283"/>
      <c r="H41" s="283"/>
    </row>
    <row r="42" spans="1:8" x14ac:dyDescent="0.2">
      <c r="A42" s="430" t="s">
        <v>499</v>
      </c>
      <c r="B42" s="430"/>
      <c r="C42" s="294">
        <f>(C25+C37+C32+C41)</f>
        <v>100.66658427956455</v>
      </c>
      <c r="D42" s="283"/>
      <c r="E42" s="308" t="s">
        <v>500</v>
      </c>
      <c r="F42" s="311">
        <v>28.8</v>
      </c>
      <c r="G42" s="297"/>
      <c r="H42" s="297"/>
    </row>
    <row r="43" spans="1:8" x14ac:dyDescent="0.2">
      <c r="A43" s="432" t="s">
        <v>501</v>
      </c>
      <c r="B43" s="432"/>
      <c r="C43" s="432"/>
      <c r="E43" s="308" t="s">
        <v>502</v>
      </c>
      <c r="F43" s="311">
        <v>600</v>
      </c>
      <c r="G43" s="283"/>
      <c r="H43" s="283"/>
    </row>
    <row r="44" spans="1:8" x14ac:dyDescent="0.2">
      <c r="A44" s="314" t="s">
        <v>503</v>
      </c>
      <c r="B44" s="315" t="s">
        <v>504</v>
      </c>
      <c r="C44" s="305">
        <f>((F35*F36*6%)/F43)*100</f>
        <v>6</v>
      </c>
      <c r="E44" s="313" t="s">
        <v>505</v>
      </c>
      <c r="F44" s="313">
        <v>12</v>
      </c>
      <c r="G44" s="283"/>
      <c r="H44" s="283"/>
    </row>
    <row r="45" spans="1:8" x14ac:dyDescent="0.25">
      <c r="A45" s="314" t="s">
        <v>506</v>
      </c>
      <c r="B45" s="315" t="s">
        <v>507</v>
      </c>
      <c r="C45" s="305">
        <f>((F37*F39-F43/30*F39*1%)/F43)*100</f>
        <v>5.2080000000000002</v>
      </c>
      <c r="G45" s="316"/>
      <c r="H45" s="316"/>
    </row>
    <row r="46" spans="1:8" x14ac:dyDescent="0.25">
      <c r="A46" s="280" t="s">
        <v>508</v>
      </c>
      <c r="B46" s="301" t="s">
        <v>509</v>
      </c>
      <c r="C46" s="305">
        <f>((F38*F39*0.95)/F43)*100</f>
        <v>28.499999999999996</v>
      </c>
    </row>
    <row r="47" spans="1:8" x14ac:dyDescent="0.25">
      <c r="A47" s="280" t="s">
        <v>510</v>
      </c>
      <c r="B47" s="301" t="s">
        <v>511</v>
      </c>
      <c r="C47" s="305">
        <f>(F41/F43)*100</f>
        <v>3.25</v>
      </c>
    </row>
    <row r="48" spans="1:8" ht="12.75" customHeight="1" x14ac:dyDescent="0.25">
      <c r="A48" s="280" t="s">
        <v>512</v>
      </c>
      <c r="B48" s="301" t="s">
        <v>513</v>
      </c>
      <c r="C48" s="305">
        <f>(F42/F43)*100</f>
        <v>4.8</v>
      </c>
    </row>
    <row r="49" spans="1:10" s="267" customFormat="1" ht="12.75" customHeight="1" x14ac:dyDescent="0.25">
      <c r="A49" s="280" t="s">
        <v>514</v>
      </c>
      <c r="B49" s="301" t="s">
        <v>505</v>
      </c>
      <c r="C49" s="305">
        <f>(F44/F43)*100</f>
        <v>2</v>
      </c>
      <c r="E49" s="317" t="s">
        <v>515</v>
      </c>
      <c r="F49" s="317"/>
      <c r="I49" s="201"/>
      <c r="J49" s="201"/>
    </row>
    <row r="50" spans="1:10" x14ac:dyDescent="0.25">
      <c r="A50" s="430" t="s">
        <v>516</v>
      </c>
      <c r="B50" s="430"/>
      <c r="C50" s="305">
        <f>SUM(C44:C48)</f>
        <v>47.757999999999996</v>
      </c>
      <c r="E50" s="318"/>
      <c r="F50" s="318"/>
    </row>
    <row r="51" spans="1:10" x14ac:dyDescent="0.25">
      <c r="A51" s="430" t="s">
        <v>517</v>
      </c>
      <c r="B51" s="430"/>
      <c r="C51" s="295">
        <f>C50+C42</f>
        <v>148.42458427956456</v>
      </c>
      <c r="E51" s="301" t="s">
        <v>518</v>
      </c>
      <c r="F51" s="319">
        <f>SUM(F52:F59)</f>
        <v>72807</v>
      </c>
    </row>
    <row r="52" spans="1:10" x14ac:dyDescent="0.25">
      <c r="A52" s="429"/>
      <c r="B52" s="429"/>
      <c r="C52" s="429"/>
      <c r="E52" s="301" t="s">
        <v>519</v>
      </c>
      <c r="F52" s="319">
        <v>882</v>
      </c>
    </row>
    <row r="53" spans="1:10" x14ac:dyDescent="0.25">
      <c r="E53" s="301" t="s">
        <v>520</v>
      </c>
      <c r="F53" s="319">
        <v>55380</v>
      </c>
    </row>
    <row r="54" spans="1:10" x14ac:dyDescent="0.25">
      <c r="E54" s="301" t="s">
        <v>521</v>
      </c>
      <c r="F54" s="319">
        <v>7553</v>
      </c>
    </row>
    <row r="55" spans="1:10" ht="12.75" customHeight="1" x14ac:dyDescent="0.25">
      <c r="D55" s="320"/>
      <c r="E55" s="301" t="s">
        <v>522</v>
      </c>
      <c r="F55" s="319">
        <v>2241</v>
      </c>
    </row>
    <row r="56" spans="1:10" x14ac:dyDescent="0.25">
      <c r="D56" s="320"/>
      <c r="E56" s="301" t="s">
        <v>523</v>
      </c>
      <c r="F56" s="319">
        <v>6593</v>
      </c>
    </row>
    <row r="57" spans="1:10" x14ac:dyDescent="0.25">
      <c r="E57" s="301" t="s">
        <v>524</v>
      </c>
      <c r="F57" s="319">
        <v>10</v>
      </c>
    </row>
    <row r="58" spans="1:10" x14ac:dyDescent="0.25">
      <c r="E58" s="301" t="s">
        <v>525</v>
      </c>
      <c r="F58" s="319">
        <v>148</v>
      </c>
    </row>
    <row r="59" spans="1:10" x14ac:dyDescent="0.25">
      <c r="E59" s="301" t="s">
        <v>526</v>
      </c>
      <c r="F59" s="319">
        <v>0</v>
      </c>
    </row>
    <row r="60" spans="1:10" x14ac:dyDescent="0.25">
      <c r="E60" s="301" t="s">
        <v>527</v>
      </c>
      <c r="F60" s="319"/>
    </row>
    <row r="61" spans="1:10" x14ac:dyDescent="0.25">
      <c r="E61" s="301" t="s">
        <v>528</v>
      </c>
      <c r="F61" s="319">
        <v>95230</v>
      </c>
    </row>
    <row r="62" spans="1:10" x14ac:dyDescent="0.25">
      <c r="E62" s="301" t="s">
        <v>529</v>
      </c>
      <c r="F62" s="319">
        <v>102886</v>
      </c>
    </row>
    <row r="63" spans="1:10" x14ac:dyDescent="0.25">
      <c r="E63" s="301" t="s">
        <v>530</v>
      </c>
      <c r="F63" s="319">
        <f>SUM(F61:F62)/COUNT(F61:F62)</f>
        <v>99058</v>
      </c>
    </row>
    <row r="64" spans="1:10" ht="38.25" x14ac:dyDescent="0.25">
      <c r="E64" s="304" t="s">
        <v>531</v>
      </c>
      <c r="F64" s="319">
        <f>F51-(F54+F57+F58+F59)</f>
        <v>65096</v>
      </c>
    </row>
    <row r="65" spans="5:6" ht="25.5" x14ac:dyDescent="0.25">
      <c r="E65" s="304" t="s">
        <v>532</v>
      </c>
      <c r="F65" s="319">
        <f>F51-(F57+F58+F59)</f>
        <v>72649</v>
      </c>
    </row>
    <row r="67" spans="5:6" ht="25.5" x14ac:dyDescent="0.25">
      <c r="E67" s="304" t="s">
        <v>533</v>
      </c>
      <c r="F67" s="321">
        <f>(F64/F63)*1</f>
        <v>0.65715035635688179</v>
      </c>
    </row>
    <row r="68" spans="5:6" x14ac:dyDescent="0.25">
      <c r="E68" s="304" t="s">
        <v>534</v>
      </c>
      <c r="F68" s="321">
        <f>(F65/F63)*1</f>
        <v>0.73339861495285585</v>
      </c>
    </row>
    <row r="69" spans="5:6" x14ac:dyDescent="0.25">
      <c r="E69" s="304" t="s">
        <v>535</v>
      </c>
      <c r="F69" s="321">
        <f>(F54/F51)*1</f>
        <v>0.10374002499759638</v>
      </c>
    </row>
    <row r="70" spans="5:6" x14ac:dyDescent="0.25">
      <c r="E70" s="304" t="s">
        <v>536</v>
      </c>
      <c r="F70" s="322">
        <f>12/F67</f>
        <v>18.260661177338086</v>
      </c>
    </row>
    <row r="71" spans="5:6" x14ac:dyDescent="0.25">
      <c r="E71" s="301" t="s">
        <v>537</v>
      </c>
      <c r="F71" s="321">
        <f>(F53/F64)*1</f>
        <v>0.85074351726680597</v>
      </c>
    </row>
    <row r="72" spans="5:6" x14ac:dyDescent="0.25">
      <c r="E72" s="323"/>
      <c r="F72" s="323"/>
    </row>
  </sheetData>
  <mergeCells count="21">
    <mergeCell ref="A52:C52"/>
    <mergeCell ref="A26:C26"/>
    <mergeCell ref="A32:B32"/>
    <mergeCell ref="E32:F32"/>
    <mergeCell ref="A33:C33"/>
    <mergeCell ref="A37:B37"/>
    <mergeCell ref="A38:C38"/>
    <mergeCell ref="A41:B41"/>
    <mergeCell ref="A42:B42"/>
    <mergeCell ref="A43:C43"/>
    <mergeCell ref="A50:B50"/>
    <mergeCell ref="A51:B51"/>
    <mergeCell ref="A25:B25"/>
    <mergeCell ref="A1:D4"/>
    <mergeCell ref="A9:C9"/>
    <mergeCell ref="A11:C11"/>
    <mergeCell ref="A14:C14"/>
    <mergeCell ref="A15:B15"/>
    <mergeCell ref="A7:C7"/>
    <mergeCell ref="A8:C8"/>
    <mergeCell ref="A10:C10"/>
  </mergeCells>
  <printOptions horizontalCentered="1"/>
  <pageMargins left="0.56999999999999995" right="0.34" top="0.98425196850393704" bottom="0.98425196850393704" header="0.51181102362204722" footer="0.51181102362204722"/>
  <pageSetup paperSize="9"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72"/>
  <sheetViews>
    <sheetView topLeftCell="A34" zoomScaleNormal="100" workbookViewId="0">
      <selection activeCell="F195" sqref="F195"/>
    </sheetView>
  </sheetViews>
  <sheetFormatPr defaultRowHeight="12.75" x14ac:dyDescent="0.25"/>
  <cols>
    <col min="1" max="1" width="8.140625" style="267" customWidth="1"/>
    <col min="2" max="2" width="63.28515625" style="267" customWidth="1"/>
    <col min="3" max="3" width="15.140625" style="267" customWidth="1"/>
    <col min="4" max="4" width="7" style="267" hidden="1" customWidth="1"/>
    <col min="5" max="5" width="47.140625" style="267" hidden="1" customWidth="1"/>
    <col min="6" max="6" width="10.28515625" style="267" hidden="1" customWidth="1"/>
    <col min="7" max="7" width="8.5703125" style="267" hidden="1" customWidth="1"/>
    <col min="8" max="8" width="15.140625" style="267" hidden="1" customWidth="1"/>
    <col min="9" max="9" width="0" style="201" hidden="1" customWidth="1"/>
    <col min="10" max="256" width="9.140625" style="201"/>
    <col min="257" max="257" width="8.140625" style="201" customWidth="1"/>
    <col min="258" max="258" width="63.28515625" style="201" customWidth="1"/>
    <col min="259" max="259" width="15.140625" style="201" customWidth="1"/>
    <col min="260" max="265" width="0" style="201" hidden="1" customWidth="1"/>
    <col min="266" max="512" width="9.140625" style="201"/>
    <col min="513" max="513" width="8.140625" style="201" customWidth="1"/>
    <col min="514" max="514" width="63.28515625" style="201" customWidth="1"/>
    <col min="515" max="515" width="15.140625" style="201" customWidth="1"/>
    <col min="516" max="521" width="0" style="201" hidden="1" customWidth="1"/>
    <col min="522" max="768" width="9.140625" style="201"/>
    <col min="769" max="769" width="8.140625" style="201" customWidth="1"/>
    <col min="770" max="770" width="63.28515625" style="201" customWidth="1"/>
    <col min="771" max="771" width="15.140625" style="201" customWidth="1"/>
    <col min="772" max="777" width="0" style="201" hidden="1" customWidth="1"/>
    <col min="778" max="1024" width="9.140625" style="201"/>
    <col min="1025" max="1025" width="8.140625" style="201" customWidth="1"/>
    <col min="1026" max="1026" width="63.28515625" style="201" customWidth="1"/>
    <col min="1027" max="1027" width="15.140625" style="201" customWidth="1"/>
    <col min="1028" max="1033" width="0" style="201" hidden="1" customWidth="1"/>
    <col min="1034" max="1280" width="9.140625" style="201"/>
    <col min="1281" max="1281" width="8.140625" style="201" customWidth="1"/>
    <col min="1282" max="1282" width="63.28515625" style="201" customWidth="1"/>
    <col min="1283" max="1283" width="15.140625" style="201" customWidth="1"/>
    <col min="1284" max="1289" width="0" style="201" hidden="1" customWidth="1"/>
    <col min="1290" max="1536" width="9.140625" style="201"/>
    <col min="1537" max="1537" width="8.140625" style="201" customWidth="1"/>
    <col min="1538" max="1538" width="63.28515625" style="201" customWidth="1"/>
    <col min="1539" max="1539" width="15.140625" style="201" customWidth="1"/>
    <col min="1540" max="1545" width="0" style="201" hidden="1" customWidth="1"/>
    <col min="1546" max="1792" width="9.140625" style="201"/>
    <col min="1793" max="1793" width="8.140625" style="201" customWidth="1"/>
    <col min="1794" max="1794" width="63.28515625" style="201" customWidth="1"/>
    <col min="1795" max="1795" width="15.140625" style="201" customWidth="1"/>
    <col min="1796" max="1801" width="0" style="201" hidden="1" customWidth="1"/>
    <col min="1802" max="2048" width="9.140625" style="201"/>
    <col min="2049" max="2049" width="8.140625" style="201" customWidth="1"/>
    <col min="2050" max="2050" width="63.28515625" style="201" customWidth="1"/>
    <col min="2051" max="2051" width="15.140625" style="201" customWidth="1"/>
    <col min="2052" max="2057" width="0" style="201" hidden="1" customWidth="1"/>
    <col min="2058" max="2304" width="9.140625" style="201"/>
    <col min="2305" max="2305" width="8.140625" style="201" customWidth="1"/>
    <col min="2306" max="2306" width="63.28515625" style="201" customWidth="1"/>
    <col min="2307" max="2307" width="15.140625" style="201" customWidth="1"/>
    <col min="2308" max="2313" width="0" style="201" hidden="1" customWidth="1"/>
    <col min="2314" max="2560" width="9.140625" style="201"/>
    <col min="2561" max="2561" width="8.140625" style="201" customWidth="1"/>
    <col min="2562" max="2562" width="63.28515625" style="201" customWidth="1"/>
    <col min="2563" max="2563" width="15.140625" style="201" customWidth="1"/>
    <col min="2564" max="2569" width="0" style="201" hidden="1" customWidth="1"/>
    <col min="2570" max="2816" width="9.140625" style="201"/>
    <col min="2817" max="2817" width="8.140625" style="201" customWidth="1"/>
    <col min="2818" max="2818" width="63.28515625" style="201" customWidth="1"/>
    <col min="2819" max="2819" width="15.140625" style="201" customWidth="1"/>
    <col min="2820" max="2825" width="0" style="201" hidden="1" customWidth="1"/>
    <col min="2826" max="3072" width="9.140625" style="201"/>
    <col min="3073" max="3073" width="8.140625" style="201" customWidth="1"/>
    <col min="3074" max="3074" width="63.28515625" style="201" customWidth="1"/>
    <col min="3075" max="3075" width="15.140625" style="201" customWidth="1"/>
    <col min="3076" max="3081" width="0" style="201" hidden="1" customWidth="1"/>
    <col min="3082" max="3328" width="9.140625" style="201"/>
    <col min="3329" max="3329" width="8.140625" style="201" customWidth="1"/>
    <col min="3330" max="3330" width="63.28515625" style="201" customWidth="1"/>
    <col min="3331" max="3331" width="15.140625" style="201" customWidth="1"/>
    <col min="3332" max="3337" width="0" style="201" hidden="1" customWidth="1"/>
    <col min="3338" max="3584" width="9.140625" style="201"/>
    <col min="3585" max="3585" width="8.140625" style="201" customWidth="1"/>
    <col min="3586" max="3586" width="63.28515625" style="201" customWidth="1"/>
    <col min="3587" max="3587" width="15.140625" style="201" customWidth="1"/>
    <col min="3588" max="3593" width="0" style="201" hidden="1" customWidth="1"/>
    <col min="3594" max="3840" width="9.140625" style="201"/>
    <col min="3841" max="3841" width="8.140625" style="201" customWidth="1"/>
    <col min="3842" max="3842" width="63.28515625" style="201" customWidth="1"/>
    <col min="3843" max="3843" width="15.140625" style="201" customWidth="1"/>
    <col min="3844" max="3849" width="0" style="201" hidden="1" customWidth="1"/>
    <col min="3850" max="4096" width="9.140625" style="201"/>
    <col min="4097" max="4097" width="8.140625" style="201" customWidth="1"/>
    <col min="4098" max="4098" width="63.28515625" style="201" customWidth="1"/>
    <col min="4099" max="4099" width="15.140625" style="201" customWidth="1"/>
    <col min="4100" max="4105" width="0" style="201" hidden="1" customWidth="1"/>
    <col min="4106" max="4352" width="9.140625" style="201"/>
    <col min="4353" max="4353" width="8.140625" style="201" customWidth="1"/>
    <col min="4354" max="4354" width="63.28515625" style="201" customWidth="1"/>
    <col min="4355" max="4355" width="15.140625" style="201" customWidth="1"/>
    <col min="4356" max="4361" width="0" style="201" hidden="1" customWidth="1"/>
    <col min="4362" max="4608" width="9.140625" style="201"/>
    <col min="4609" max="4609" width="8.140625" style="201" customWidth="1"/>
    <col min="4610" max="4610" width="63.28515625" style="201" customWidth="1"/>
    <col min="4611" max="4611" width="15.140625" style="201" customWidth="1"/>
    <col min="4612" max="4617" width="0" style="201" hidden="1" customWidth="1"/>
    <col min="4618" max="4864" width="9.140625" style="201"/>
    <col min="4865" max="4865" width="8.140625" style="201" customWidth="1"/>
    <col min="4866" max="4866" width="63.28515625" style="201" customWidth="1"/>
    <col min="4867" max="4867" width="15.140625" style="201" customWidth="1"/>
    <col min="4868" max="4873" width="0" style="201" hidden="1" customWidth="1"/>
    <col min="4874" max="5120" width="9.140625" style="201"/>
    <col min="5121" max="5121" width="8.140625" style="201" customWidth="1"/>
    <col min="5122" max="5122" width="63.28515625" style="201" customWidth="1"/>
    <col min="5123" max="5123" width="15.140625" style="201" customWidth="1"/>
    <col min="5124" max="5129" width="0" style="201" hidden="1" customWidth="1"/>
    <col min="5130" max="5376" width="9.140625" style="201"/>
    <col min="5377" max="5377" width="8.140625" style="201" customWidth="1"/>
    <col min="5378" max="5378" width="63.28515625" style="201" customWidth="1"/>
    <col min="5379" max="5379" width="15.140625" style="201" customWidth="1"/>
    <col min="5380" max="5385" width="0" style="201" hidden="1" customWidth="1"/>
    <col min="5386" max="5632" width="9.140625" style="201"/>
    <col min="5633" max="5633" width="8.140625" style="201" customWidth="1"/>
    <col min="5634" max="5634" width="63.28515625" style="201" customWidth="1"/>
    <col min="5635" max="5635" width="15.140625" style="201" customWidth="1"/>
    <col min="5636" max="5641" width="0" style="201" hidden="1" customWidth="1"/>
    <col min="5642" max="5888" width="9.140625" style="201"/>
    <col min="5889" max="5889" width="8.140625" style="201" customWidth="1"/>
    <col min="5890" max="5890" width="63.28515625" style="201" customWidth="1"/>
    <col min="5891" max="5891" width="15.140625" style="201" customWidth="1"/>
    <col min="5892" max="5897" width="0" style="201" hidden="1" customWidth="1"/>
    <col min="5898" max="6144" width="9.140625" style="201"/>
    <col min="6145" max="6145" width="8.140625" style="201" customWidth="1"/>
    <col min="6146" max="6146" width="63.28515625" style="201" customWidth="1"/>
    <col min="6147" max="6147" width="15.140625" style="201" customWidth="1"/>
    <col min="6148" max="6153" width="0" style="201" hidden="1" customWidth="1"/>
    <col min="6154" max="6400" width="9.140625" style="201"/>
    <col min="6401" max="6401" width="8.140625" style="201" customWidth="1"/>
    <col min="6402" max="6402" width="63.28515625" style="201" customWidth="1"/>
    <col min="6403" max="6403" width="15.140625" style="201" customWidth="1"/>
    <col min="6404" max="6409" width="0" style="201" hidden="1" customWidth="1"/>
    <col min="6410" max="6656" width="9.140625" style="201"/>
    <col min="6657" max="6657" width="8.140625" style="201" customWidth="1"/>
    <col min="6658" max="6658" width="63.28515625" style="201" customWidth="1"/>
    <col min="6659" max="6659" width="15.140625" style="201" customWidth="1"/>
    <col min="6660" max="6665" width="0" style="201" hidden="1" customWidth="1"/>
    <col min="6666" max="6912" width="9.140625" style="201"/>
    <col min="6913" max="6913" width="8.140625" style="201" customWidth="1"/>
    <col min="6914" max="6914" width="63.28515625" style="201" customWidth="1"/>
    <col min="6915" max="6915" width="15.140625" style="201" customWidth="1"/>
    <col min="6916" max="6921" width="0" style="201" hidden="1" customWidth="1"/>
    <col min="6922" max="7168" width="9.140625" style="201"/>
    <col min="7169" max="7169" width="8.140625" style="201" customWidth="1"/>
    <col min="7170" max="7170" width="63.28515625" style="201" customWidth="1"/>
    <col min="7171" max="7171" width="15.140625" style="201" customWidth="1"/>
    <col min="7172" max="7177" width="0" style="201" hidden="1" customWidth="1"/>
    <col min="7178" max="7424" width="9.140625" style="201"/>
    <col min="7425" max="7425" width="8.140625" style="201" customWidth="1"/>
    <col min="7426" max="7426" width="63.28515625" style="201" customWidth="1"/>
    <col min="7427" max="7427" width="15.140625" style="201" customWidth="1"/>
    <col min="7428" max="7433" width="0" style="201" hidden="1" customWidth="1"/>
    <col min="7434" max="7680" width="9.140625" style="201"/>
    <col min="7681" max="7681" width="8.140625" style="201" customWidth="1"/>
    <col min="7682" max="7682" width="63.28515625" style="201" customWidth="1"/>
    <col min="7683" max="7683" width="15.140625" style="201" customWidth="1"/>
    <col min="7684" max="7689" width="0" style="201" hidden="1" customWidth="1"/>
    <col min="7690" max="7936" width="9.140625" style="201"/>
    <col min="7937" max="7937" width="8.140625" style="201" customWidth="1"/>
    <col min="7938" max="7938" width="63.28515625" style="201" customWidth="1"/>
    <col min="7939" max="7939" width="15.140625" style="201" customWidth="1"/>
    <col min="7940" max="7945" width="0" style="201" hidden="1" customWidth="1"/>
    <col min="7946" max="8192" width="9.140625" style="201"/>
    <col min="8193" max="8193" width="8.140625" style="201" customWidth="1"/>
    <col min="8194" max="8194" width="63.28515625" style="201" customWidth="1"/>
    <col min="8195" max="8195" width="15.140625" style="201" customWidth="1"/>
    <col min="8196" max="8201" width="0" style="201" hidden="1" customWidth="1"/>
    <col min="8202" max="8448" width="9.140625" style="201"/>
    <col min="8449" max="8449" width="8.140625" style="201" customWidth="1"/>
    <col min="8450" max="8450" width="63.28515625" style="201" customWidth="1"/>
    <col min="8451" max="8451" width="15.140625" style="201" customWidth="1"/>
    <col min="8452" max="8457" width="0" style="201" hidden="1" customWidth="1"/>
    <col min="8458" max="8704" width="9.140625" style="201"/>
    <col min="8705" max="8705" width="8.140625" style="201" customWidth="1"/>
    <col min="8706" max="8706" width="63.28515625" style="201" customWidth="1"/>
    <col min="8707" max="8707" width="15.140625" style="201" customWidth="1"/>
    <col min="8708" max="8713" width="0" style="201" hidden="1" customWidth="1"/>
    <col min="8714" max="8960" width="9.140625" style="201"/>
    <col min="8961" max="8961" width="8.140625" style="201" customWidth="1"/>
    <col min="8962" max="8962" width="63.28515625" style="201" customWidth="1"/>
    <col min="8963" max="8963" width="15.140625" style="201" customWidth="1"/>
    <col min="8964" max="8969" width="0" style="201" hidden="1" customWidth="1"/>
    <col min="8970" max="9216" width="9.140625" style="201"/>
    <col min="9217" max="9217" width="8.140625" style="201" customWidth="1"/>
    <col min="9218" max="9218" width="63.28515625" style="201" customWidth="1"/>
    <col min="9219" max="9219" width="15.140625" style="201" customWidth="1"/>
    <col min="9220" max="9225" width="0" style="201" hidden="1" customWidth="1"/>
    <col min="9226" max="9472" width="9.140625" style="201"/>
    <col min="9473" max="9473" width="8.140625" style="201" customWidth="1"/>
    <col min="9474" max="9474" width="63.28515625" style="201" customWidth="1"/>
    <col min="9475" max="9475" width="15.140625" style="201" customWidth="1"/>
    <col min="9476" max="9481" width="0" style="201" hidden="1" customWidth="1"/>
    <col min="9482" max="9728" width="9.140625" style="201"/>
    <col min="9729" max="9729" width="8.140625" style="201" customWidth="1"/>
    <col min="9730" max="9730" width="63.28515625" style="201" customWidth="1"/>
    <col min="9731" max="9731" width="15.140625" style="201" customWidth="1"/>
    <col min="9732" max="9737" width="0" style="201" hidden="1" customWidth="1"/>
    <col min="9738" max="9984" width="9.140625" style="201"/>
    <col min="9985" max="9985" width="8.140625" style="201" customWidth="1"/>
    <col min="9986" max="9986" width="63.28515625" style="201" customWidth="1"/>
    <col min="9987" max="9987" width="15.140625" style="201" customWidth="1"/>
    <col min="9988" max="9993" width="0" style="201" hidden="1" customWidth="1"/>
    <col min="9994" max="10240" width="9.140625" style="201"/>
    <col min="10241" max="10241" width="8.140625" style="201" customWidth="1"/>
    <col min="10242" max="10242" width="63.28515625" style="201" customWidth="1"/>
    <col min="10243" max="10243" width="15.140625" style="201" customWidth="1"/>
    <col min="10244" max="10249" width="0" style="201" hidden="1" customWidth="1"/>
    <col min="10250" max="10496" width="9.140625" style="201"/>
    <col min="10497" max="10497" width="8.140625" style="201" customWidth="1"/>
    <col min="10498" max="10498" width="63.28515625" style="201" customWidth="1"/>
    <col min="10499" max="10499" width="15.140625" style="201" customWidth="1"/>
    <col min="10500" max="10505" width="0" style="201" hidden="1" customWidth="1"/>
    <col min="10506" max="10752" width="9.140625" style="201"/>
    <col min="10753" max="10753" width="8.140625" style="201" customWidth="1"/>
    <col min="10754" max="10754" width="63.28515625" style="201" customWidth="1"/>
    <col min="10755" max="10755" width="15.140625" style="201" customWidth="1"/>
    <col min="10756" max="10761" width="0" style="201" hidden="1" customWidth="1"/>
    <col min="10762" max="11008" width="9.140625" style="201"/>
    <col min="11009" max="11009" width="8.140625" style="201" customWidth="1"/>
    <col min="11010" max="11010" width="63.28515625" style="201" customWidth="1"/>
    <col min="11011" max="11011" width="15.140625" style="201" customWidth="1"/>
    <col min="11012" max="11017" width="0" style="201" hidden="1" customWidth="1"/>
    <col min="11018" max="11264" width="9.140625" style="201"/>
    <col min="11265" max="11265" width="8.140625" style="201" customWidth="1"/>
    <col min="11266" max="11266" width="63.28515625" style="201" customWidth="1"/>
    <col min="11267" max="11267" width="15.140625" style="201" customWidth="1"/>
    <col min="11268" max="11273" width="0" style="201" hidden="1" customWidth="1"/>
    <col min="11274" max="11520" width="9.140625" style="201"/>
    <col min="11521" max="11521" width="8.140625" style="201" customWidth="1"/>
    <col min="11522" max="11522" width="63.28515625" style="201" customWidth="1"/>
    <col min="11523" max="11523" width="15.140625" style="201" customWidth="1"/>
    <col min="11524" max="11529" width="0" style="201" hidden="1" customWidth="1"/>
    <col min="11530" max="11776" width="9.140625" style="201"/>
    <col min="11777" max="11777" width="8.140625" style="201" customWidth="1"/>
    <col min="11778" max="11778" width="63.28515625" style="201" customWidth="1"/>
    <col min="11779" max="11779" width="15.140625" style="201" customWidth="1"/>
    <col min="11780" max="11785" width="0" style="201" hidden="1" customWidth="1"/>
    <col min="11786" max="12032" width="9.140625" style="201"/>
    <col min="12033" max="12033" width="8.140625" style="201" customWidth="1"/>
    <col min="12034" max="12034" width="63.28515625" style="201" customWidth="1"/>
    <col min="12035" max="12035" width="15.140625" style="201" customWidth="1"/>
    <col min="12036" max="12041" width="0" style="201" hidden="1" customWidth="1"/>
    <col min="12042" max="12288" width="9.140625" style="201"/>
    <col min="12289" max="12289" width="8.140625" style="201" customWidth="1"/>
    <col min="12290" max="12290" width="63.28515625" style="201" customWidth="1"/>
    <col min="12291" max="12291" width="15.140625" style="201" customWidth="1"/>
    <col min="12292" max="12297" width="0" style="201" hidden="1" customWidth="1"/>
    <col min="12298" max="12544" width="9.140625" style="201"/>
    <col min="12545" max="12545" width="8.140625" style="201" customWidth="1"/>
    <col min="12546" max="12546" width="63.28515625" style="201" customWidth="1"/>
    <col min="12547" max="12547" width="15.140625" style="201" customWidth="1"/>
    <col min="12548" max="12553" width="0" style="201" hidden="1" customWidth="1"/>
    <col min="12554" max="12800" width="9.140625" style="201"/>
    <col min="12801" max="12801" width="8.140625" style="201" customWidth="1"/>
    <col min="12802" max="12802" width="63.28515625" style="201" customWidth="1"/>
    <col min="12803" max="12803" width="15.140625" style="201" customWidth="1"/>
    <col min="12804" max="12809" width="0" style="201" hidden="1" customWidth="1"/>
    <col min="12810" max="13056" width="9.140625" style="201"/>
    <col min="13057" max="13057" width="8.140625" style="201" customWidth="1"/>
    <col min="13058" max="13058" width="63.28515625" style="201" customWidth="1"/>
    <col min="13059" max="13059" width="15.140625" style="201" customWidth="1"/>
    <col min="13060" max="13065" width="0" style="201" hidden="1" customWidth="1"/>
    <col min="13066" max="13312" width="9.140625" style="201"/>
    <col min="13313" max="13313" width="8.140625" style="201" customWidth="1"/>
    <col min="13314" max="13314" width="63.28515625" style="201" customWidth="1"/>
    <col min="13315" max="13315" width="15.140625" style="201" customWidth="1"/>
    <col min="13316" max="13321" width="0" style="201" hidden="1" customWidth="1"/>
    <col min="13322" max="13568" width="9.140625" style="201"/>
    <col min="13569" max="13569" width="8.140625" style="201" customWidth="1"/>
    <col min="13570" max="13570" width="63.28515625" style="201" customWidth="1"/>
    <col min="13571" max="13571" width="15.140625" style="201" customWidth="1"/>
    <col min="13572" max="13577" width="0" style="201" hidden="1" customWidth="1"/>
    <col min="13578" max="13824" width="9.140625" style="201"/>
    <col min="13825" max="13825" width="8.140625" style="201" customWidth="1"/>
    <col min="13826" max="13826" width="63.28515625" style="201" customWidth="1"/>
    <col min="13827" max="13827" width="15.140625" style="201" customWidth="1"/>
    <col min="13828" max="13833" width="0" style="201" hidden="1" customWidth="1"/>
    <col min="13834" max="14080" width="9.140625" style="201"/>
    <col min="14081" max="14081" width="8.140625" style="201" customWidth="1"/>
    <col min="14082" max="14082" width="63.28515625" style="201" customWidth="1"/>
    <col min="14083" max="14083" width="15.140625" style="201" customWidth="1"/>
    <col min="14084" max="14089" width="0" style="201" hidden="1" customWidth="1"/>
    <col min="14090" max="14336" width="9.140625" style="201"/>
    <col min="14337" max="14337" width="8.140625" style="201" customWidth="1"/>
    <col min="14338" max="14338" width="63.28515625" style="201" customWidth="1"/>
    <col min="14339" max="14339" width="15.140625" style="201" customWidth="1"/>
    <col min="14340" max="14345" width="0" style="201" hidden="1" customWidth="1"/>
    <col min="14346" max="14592" width="9.140625" style="201"/>
    <col min="14593" max="14593" width="8.140625" style="201" customWidth="1"/>
    <col min="14594" max="14594" width="63.28515625" style="201" customWidth="1"/>
    <col min="14595" max="14595" width="15.140625" style="201" customWidth="1"/>
    <col min="14596" max="14601" width="0" style="201" hidden="1" customWidth="1"/>
    <col min="14602" max="14848" width="9.140625" style="201"/>
    <col min="14849" max="14849" width="8.140625" style="201" customWidth="1"/>
    <col min="14850" max="14850" width="63.28515625" style="201" customWidth="1"/>
    <col min="14851" max="14851" width="15.140625" style="201" customWidth="1"/>
    <col min="14852" max="14857" width="0" style="201" hidden="1" customWidth="1"/>
    <col min="14858" max="15104" width="9.140625" style="201"/>
    <col min="15105" max="15105" width="8.140625" style="201" customWidth="1"/>
    <col min="15106" max="15106" width="63.28515625" style="201" customWidth="1"/>
    <col min="15107" max="15107" width="15.140625" style="201" customWidth="1"/>
    <col min="15108" max="15113" width="0" style="201" hidden="1" customWidth="1"/>
    <col min="15114" max="15360" width="9.140625" style="201"/>
    <col min="15361" max="15361" width="8.140625" style="201" customWidth="1"/>
    <col min="15362" max="15362" width="63.28515625" style="201" customWidth="1"/>
    <col min="15363" max="15363" width="15.140625" style="201" customWidth="1"/>
    <col min="15364" max="15369" width="0" style="201" hidden="1" customWidth="1"/>
    <col min="15370" max="15616" width="9.140625" style="201"/>
    <col min="15617" max="15617" width="8.140625" style="201" customWidth="1"/>
    <col min="15618" max="15618" width="63.28515625" style="201" customWidth="1"/>
    <col min="15619" max="15619" width="15.140625" style="201" customWidth="1"/>
    <col min="15620" max="15625" width="0" style="201" hidden="1" customWidth="1"/>
    <col min="15626" max="15872" width="9.140625" style="201"/>
    <col min="15873" max="15873" width="8.140625" style="201" customWidth="1"/>
    <col min="15874" max="15874" width="63.28515625" style="201" customWidth="1"/>
    <col min="15875" max="15875" width="15.140625" style="201" customWidth="1"/>
    <col min="15876" max="15881" width="0" style="201" hidden="1" customWidth="1"/>
    <col min="15882" max="16128" width="9.140625" style="201"/>
    <col min="16129" max="16129" width="8.140625" style="201" customWidth="1"/>
    <col min="16130" max="16130" width="63.28515625" style="201" customWidth="1"/>
    <col min="16131" max="16131" width="15.140625" style="201" customWidth="1"/>
    <col min="16132" max="16137" width="0" style="201" hidden="1" customWidth="1"/>
    <col min="16138" max="16384" width="9.140625" style="201"/>
  </cols>
  <sheetData>
    <row r="1" spans="1:8" x14ac:dyDescent="0.25">
      <c r="A1" s="386" t="str">
        <f>'Enc. Soc. (Horista)'!A1:D4</f>
        <v xml:space="preserve">   A MIRANDA CAPELA CONSTRUTORA COMERCIO E SERVIÇOS EIRELI-EPP                                                                                                                                                    CNPJ: 15.788.657/0001-32, Incs. Estadual nº 15.376.620-4,                                                                                                                                                                         Rua Antônio Braga, s/n – Bairro Vila do Carmo, neste município de Cametá - PA</v>
      </c>
      <c r="B1" s="386"/>
      <c r="C1" s="386"/>
      <c r="D1" s="386"/>
      <c r="E1" s="265" t="s">
        <v>417</v>
      </c>
      <c r="F1" s="201"/>
      <c r="G1" s="201"/>
      <c r="H1" s="201"/>
    </row>
    <row r="2" spans="1:8" x14ac:dyDescent="0.25">
      <c r="A2" s="386"/>
      <c r="B2" s="386"/>
      <c r="C2" s="386"/>
      <c r="D2" s="386"/>
      <c r="E2" s="265"/>
      <c r="F2" s="201"/>
      <c r="G2" s="201"/>
      <c r="H2" s="201"/>
    </row>
    <row r="3" spans="1:8" x14ac:dyDescent="0.25">
      <c r="A3" s="386"/>
      <c r="B3" s="386"/>
      <c r="C3" s="386"/>
      <c r="D3" s="386"/>
      <c r="E3" s="265"/>
      <c r="F3" s="201"/>
      <c r="G3" s="201"/>
      <c r="H3" s="201"/>
    </row>
    <row r="4" spans="1:8" x14ac:dyDescent="0.25">
      <c r="A4" s="386"/>
      <c r="B4" s="386"/>
      <c r="C4" s="386"/>
      <c r="D4" s="386"/>
      <c r="E4" s="267" t="s">
        <v>418</v>
      </c>
      <c r="F4" s="268">
        <f>220</f>
        <v>220</v>
      </c>
      <c r="G4" s="269"/>
      <c r="H4" s="267" t="s">
        <v>419</v>
      </c>
    </row>
    <row r="5" spans="1:8" x14ac:dyDescent="0.25">
      <c r="A5" s="192"/>
      <c r="B5" s="192"/>
      <c r="C5" s="192"/>
      <c r="E5" s="267" t="s">
        <v>420</v>
      </c>
      <c r="F5" s="268">
        <v>30</v>
      </c>
      <c r="G5" s="269">
        <f>F4/F5</f>
        <v>7.333333333333333</v>
      </c>
      <c r="H5" s="267" t="s">
        <v>421</v>
      </c>
    </row>
    <row r="6" spans="1:8" ht="15.75" x14ac:dyDescent="0.25">
      <c r="A6" s="433" t="s">
        <v>538</v>
      </c>
      <c r="B6" s="433"/>
      <c r="C6" s="433"/>
      <c r="D6" s="264"/>
      <c r="E6" s="272" t="s">
        <v>424</v>
      </c>
      <c r="F6" s="273">
        <v>52</v>
      </c>
      <c r="G6" s="274">
        <f>((((F70/F16)*F15)-F5)/7)*(F16/F70)*G5</f>
        <v>361.98956022878372</v>
      </c>
      <c r="H6" s="267" t="s">
        <v>425</v>
      </c>
    </row>
    <row r="7" spans="1:8" ht="15" x14ac:dyDescent="0.2">
      <c r="A7" s="434" t="s">
        <v>539</v>
      </c>
      <c r="B7" s="434"/>
      <c r="C7" s="434"/>
      <c r="D7" s="266"/>
      <c r="E7" s="277" t="s">
        <v>427</v>
      </c>
      <c r="F7" s="278" t="s">
        <v>428</v>
      </c>
      <c r="G7" s="279">
        <f>(((F70/F16)*F7)*((F70-1)/F70)*(F16/F70))*G5</f>
        <v>86.646768111162686</v>
      </c>
      <c r="H7" s="267" t="s">
        <v>425</v>
      </c>
    </row>
    <row r="8" spans="1:8" hidden="1" x14ac:dyDescent="0.2">
      <c r="E8" s="277" t="s">
        <v>431</v>
      </c>
      <c r="F8" s="284">
        <v>15</v>
      </c>
      <c r="G8" s="279">
        <f>((F8*3.4%)+2)*G5</f>
        <v>18.406666666666663</v>
      </c>
      <c r="H8" s="267" t="s">
        <v>425</v>
      </c>
    </row>
    <row r="9" spans="1:8" x14ac:dyDescent="0.2">
      <c r="E9" s="277" t="s">
        <v>434</v>
      </c>
      <c r="F9" s="284">
        <v>5</v>
      </c>
      <c r="G9" s="279">
        <f>F9*(92.36%*85.64%*5.93%)*G5</f>
        <v>1.7198346979733334</v>
      </c>
      <c r="H9" s="267" t="s">
        <v>425</v>
      </c>
    </row>
    <row r="10" spans="1:8" ht="15.75" x14ac:dyDescent="0.25">
      <c r="A10" s="427" t="s">
        <v>540</v>
      </c>
      <c r="B10" s="427"/>
      <c r="C10" s="427"/>
      <c r="D10" s="271"/>
      <c r="E10" s="285" t="s">
        <v>437</v>
      </c>
      <c r="F10" s="267">
        <v>120</v>
      </c>
      <c r="G10" s="269">
        <f>(4.33%*7.64%*82.4%*(F10/F15)*(F5+F14))*G5</f>
        <v>0.45972588147296367</v>
      </c>
      <c r="H10" s="267" t="s">
        <v>425</v>
      </c>
    </row>
    <row r="11" spans="1:8" x14ac:dyDescent="0.2">
      <c r="A11" s="428" t="s">
        <v>426</v>
      </c>
      <c r="B11" s="428"/>
      <c r="C11" s="275" t="s">
        <v>312</v>
      </c>
      <c r="D11" s="276"/>
      <c r="E11" s="286" t="s">
        <v>440</v>
      </c>
      <c r="F11" s="273">
        <v>2</v>
      </c>
      <c r="G11" s="287">
        <f>F11*G5</f>
        <v>14.666666666666666</v>
      </c>
      <c r="H11" s="267" t="s">
        <v>425</v>
      </c>
    </row>
    <row r="12" spans="1:8" x14ac:dyDescent="0.2">
      <c r="A12" s="280" t="s">
        <v>429</v>
      </c>
      <c r="B12" s="281" t="s">
        <v>430</v>
      </c>
      <c r="C12" s="282">
        <v>20</v>
      </c>
      <c r="D12" s="283"/>
      <c r="E12" s="288" t="s">
        <v>443</v>
      </c>
      <c r="F12" s="273">
        <v>190</v>
      </c>
      <c r="G12" s="287">
        <f>(F12*((F15-107.42)/F15)*20%*20%)*G5</f>
        <v>39.342163814738754</v>
      </c>
      <c r="H12" s="267" t="s">
        <v>425</v>
      </c>
    </row>
    <row r="13" spans="1:8" x14ac:dyDescent="0.2">
      <c r="A13" s="280" t="s">
        <v>432</v>
      </c>
      <c r="B13" s="281" t="s">
        <v>433</v>
      </c>
      <c r="C13" s="282">
        <v>8</v>
      </c>
      <c r="D13" s="283"/>
      <c r="E13" s="288" t="s">
        <v>446</v>
      </c>
      <c r="F13" s="273">
        <v>15</v>
      </c>
      <c r="G13" s="287">
        <f>(F13*3.5%)*G5</f>
        <v>3.85</v>
      </c>
      <c r="H13" s="267" t="s">
        <v>425</v>
      </c>
    </row>
    <row r="14" spans="1:8" x14ac:dyDescent="0.2">
      <c r="A14" s="280" t="s">
        <v>435</v>
      </c>
      <c r="B14" s="281" t="s">
        <v>436</v>
      </c>
      <c r="C14" s="282">
        <v>2.5</v>
      </c>
      <c r="D14" s="283"/>
      <c r="E14" s="286" t="s">
        <v>449</v>
      </c>
      <c r="F14" s="290">
        <v>40</v>
      </c>
      <c r="G14" s="291">
        <f>F14*(F16/F70)*G5</f>
        <v>192.76410453135199</v>
      </c>
      <c r="H14" s="285" t="s">
        <v>425</v>
      </c>
    </row>
    <row r="15" spans="1:8" x14ac:dyDescent="0.2">
      <c r="A15" s="280" t="s">
        <v>438</v>
      </c>
      <c r="B15" s="281" t="s">
        <v>439</v>
      </c>
      <c r="C15" s="282">
        <v>1.5</v>
      </c>
      <c r="D15" s="283"/>
      <c r="E15" s="270" t="s">
        <v>452</v>
      </c>
      <c r="F15" s="292">
        <f>365.25</f>
        <v>365.25</v>
      </c>
      <c r="G15" s="293">
        <f>F15*G5</f>
        <v>2678.5</v>
      </c>
      <c r="H15" s="285" t="s">
        <v>425</v>
      </c>
    </row>
    <row r="16" spans="1:8" x14ac:dyDescent="0.2">
      <c r="A16" s="280" t="s">
        <v>441</v>
      </c>
      <c r="B16" s="281" t="s">
        <v>442</v>
      </c>
      <c r="C16" s="282">
        <v>1</v>
      </c>
      <c r="D16" s="283"/>
      <c r="E16" s="270" t="s">
        <v>455</v>
      </c>
      <c r="F16" s="278" t="s">
        <v>456</v>
      </c>
      <c r="G16" s="293">
        <f>G15-SUM(G6:G14)</f>
        <v>1958.6545094011831</v>
      </c>
      <c r="H16" s="285" t="s">
        <v>425</v>
      </c>
    </row>
    <row r="17" spans="1:8" x14ac:dyDescent="0.2">
      <c r="A17" s="280" t="s">
        <v>444</v>
      </c>
      <c r="B17" s="281" t="s">
        <v>445</v>
      </c>
      <c r="C17" s="282">
        <v>0.6</v>
      </c>
      <c r="D17" s="283"/>
      <c r="E17" s="286" t="s">
        <v>458</v>
      </c>
      <c r="F17" s="290">
        <v>30</v>
      </c>
      <c r="G17" s="291">
        <f>F17*G5</f>
        <v>220</v>
      </c>
      <c r="H17" s="285" t="s">
        <v>425</v>
      </c>
    </row>
    <row r="18" spans="1:8" x14ac:dyDescent="0.2">
      <c r="A18" s="280" t="s">
        <v>447</v>
      </c>
      <c r="B18" s="281" t="s">
        <v>448</v>
      </c>
      <c r="C18" s="282">
        <v>0.2</v>
      </c>
      <c r="D18" s="289"/>
      <c r="E18" s="298" t="s">
        <v>460</v>
      </c>
      <c r="F18" s="299">
        <v>33</v>
      </c>
      <c r="G18" s="300">
        <f>(F18*F67*F71*90%)*G5</f>
        <v>121.76466312665308</v>
      </c>
      <c r="H18" s="285" t="s">
        <v>425</v>
      </c>
    </row>
    <row r="19" spans="1:8" x14ac:dyDescent="0.2">
      <c r="A19" s="280" t="s">
        <v>450</v>
      </c>
      <c r="B19" s="281" t="s">
        <v>451</v>
      </c>
      <c r="C19" s="282">
        <v>3</v>
      </c>
      <c r="D19" s="283"/>
      <c r="E19" s="298" t="s">
        <v>463</v>
      </c>
      <c r="F19" s="299">
        <v>7</v>
      </c>
      <c r="G19" s="302">
        <f>((F19*F67*F71*10%)+(F19*F68*20%*50%))*G5</f>
        <v>6.6346537718642953</v>
      </c>
      <c r="H19" s="285" t="s">
        <v>425</v>
      </c>
    </row>
    <row r="20" spans="1:8" x14ac:dyDescent="0.2">
      <c r="A20" s="280" t="s">
        <v>453</v>
      </c>
      <c r="B20" s="281" t="s">
        <v>454</v>
      </c>
      <c r="C20" s="294">
        <v>0</v>
      </c>
      <c r="D20" s="283"/>
      <c r="E20" s="303" t="s">
        <v>466</v>
      </c>
      <c r="F20" s="299">
        <v>6</v>
      </c>
      <c r="G20" s="302">
        <f>(F14*(F20/F70)*F71)*G5</f>
        <v>81.996406145894326</v>
      </c>
      <c r="H20" s="285" t="s">
        <v>425</v>
      </c>
    </row>
    <row r="21" spans="1:8" x14ac:dyDescent="0.25">
      <c r="A21" s="426" t="s">
        <v>457</v>
      </c>
      <c r="B21" s="426"/>
      <c r="C21" s="295">
        <f>SUM(C12:C20)</f>
        <v>36.800000000000004</v>
      </c>
      <c r="D21" s="296"/>
      <c r="E21" s="303" t="s">
        <v>469</v>
      </c>
      <c r="F21" s="299"/>
      <c r="G21" s="302">
        <f>((F15+F14)*(F70/F16)*(F67*C13%*50%*F71))*G5</f>
        <v>101.13071770922944</v>
      </c>
      <c r="H21" s="285" t="s">
        <v>425</v>
      </c>
    </row>
    <row r="22" spans="1:8" x14ac:dyDescent="0.25">
      <c r="A22" s="430" t="s">
        <v>459</v>
      </c>
      <c r="B22" s="430"/>
      <c r="C22" s="430"/>
      <c r="D22" s="297"/>
      <c r="E22" s="303" t="s">
        <v>472</v>
      </c>
      <c r="F22" s="300">
        <v>8.3333333333333304</v>
      </c>
      <c r="G22" s="302">
        <f>(F22%*F5*F67*F71)*G5</f>
        <v>10.249550768236785</v>
      </c>
      <c r="H22" s="285" t="s">
        <v>425</v>
      </c>
    </row>
    <row r="23" spans="1:8" x14ac:dyDescent="0.2">
      <c r="A23" s="280" t="s">
        <v>461</v>
      </c>
      <c r="B23" s="301" t="s">
        <v>541</v>
      </c>
      <c r="C23" s="294">
        <f>(G17/G16)*100</f>
        <v>11.232200418401524</v>
      </c>
      <c r="D23" s="297"/>
    </row>
    <row r="24" spans="1:8" x14ac:dyDescent="0.25">
      <c r="A24" s="426" t="s">
        <v>475</v>
      </c>
      <c r="B24" s="426"/>
      <c r="C24" s="295">
        <f>SUM(C23)</f>
        <v>11.232200418401524</v>
      </c>
      <c r="D24" s="297"/>
      <c r="E24" s="201"/>
      <c r="F24" s="201"/>
      <c r="G24" s="306"/>
      <c r="H24" s="297"/>
    </row>
    <row r="25" spans="1:8" x14ac:dyDescent="0.25">
      <c r="A25" s="430" t="s">
        <v>477</v>
      </c>
      <c r="B25" s="430"/>
      <c r="C25" s="430"/>
      <c r="D25" s="297"/>
      <c r="E25" s="201"/>
      <c r="F25" s="201"/>
      <c r="G25" s="306"/>
      <c r="H25" s="297"/>
    </row>
    <row r="26" spans="1:8" ht="25.5" x14ac:dyDescent="0.2">
      <c r="A26" s="280" t="s">
        <v>478</v>
      </c>
      <c r="B26" s="307" t="s">
        <v>479</v>
      </c>
      <c r="C26" s="294">
        <f>50%*(C13+(C13*C24%))</f>
        <v>4.4492880167360607</v>
      </c>
      <c r="D26" s="297"/>
      <c r="E26" s="201"/>
      <c r="F26" s="201"/>
      <c r="G26" s="309"/>
      <c r="H26" s="201"/>
    </row>
    <row r="27" spans="1:8" ht="38.25" hidden="1" x14ac:dyDescent="0.25">
      <c r="A27" s="280" t="s">
        <v>482</v>
      </c>
      <c r="B27" s="304" t="s">
        <v>474</v>
      </c>
      <c r="C27" s="305">
        <f>SUM(G11:G13)/G16</f>
        <v>2.954008999733931E-2</v>
      </c>
      <c r="D27" s="297"/>
      <c r="E27" s="324" t="s">
        <v>476</v>
      </c>
      <c r="F27" s="324"/>
      <c r="G27" s="309"/>
      <c r="H27" s="201"/>
    </row>
    <row r="28" spans="1:8" x14ac:dyDescent="0.2">
      <c r="A28" s="280" t="s">
        <v>482</v>
      </c>
      <c r="B28" s="310" t="s">
        <v>483</v>
      </c>
      <c r="C28" s="294">
        <f>(G20/G16)*100</f>
        <v>4.1863639428151611</v>
      </c>
      <c r="D28" s="297"/>
      <c r="E28" s="285"/>
      <c r="F28" s="285"/>
      <c r="G28" s="297"/>
      <c r="H28" s="201"/>
    </row>
    <row r="29" spans="1:8" x14ac:dyDescent="0.2">
      <c r="A29" s="280" t="s">
        <v>485</v>
      </c>
      <c r="B29" s="281" t="s">
        <v>486</v>
      </c>
      <c r="C29" s="294">
        <f>(G18/G16)*100</f>
        <v>6.2167504550805148</v>
      </c>
      <c r="D29" s="297"/>
      <c r="E29" s="308" t="s">
        <v>480</v>
      </c>
      <c r="F29" s="308" t="s">
        <v>481</v>
      </c>
      <c r="G29" s="297"/>
      <c r="H29" s="201"/>
    </row>
    <row r="30" spans="1:8" x14ac:dyDescent="0.2">
      <c r="A30" s="426" t="s">
        <v>488</v>
      </c>
      <c r="B30" s="426"/>
      <c r="C30" s="294">
        <f>SUM(C26:C29)</f>
        <v>14.881942504629077</v>
      </c>
      <c r="D30" s="297"/>
      <c r="E30" s="308" t="s">
        <v>484</v>
      </c>
      <c r="F30" s="311">
        <v>6.25</v>
      </c>
      <c r="G30" s="297"/>
      <c r="H30" s="201"/>
    </row>
    <row r="31" spans="1:8" x14ac:dyDescent="0.25">
      <c r="A31" s="430" t="s">
        <v>490</v>
      </c>
      <c r="B31" s="430"/>
      <c r="C31" s="430"/>
      <c r="D31" s="297"/>
      <c r="E31" s="308" t="s">
        <v>487</v>
      </c>
      <c r="F31" s="313">
        <v>96</v>
      </c>
      <c r="G31" s="297"/>
      <c r="H31" s="201"/>
    </row>
    <row r="32" spans="1:8" x14ac:dyDescent="0.2">
      <c r="A32" s="280" t="s">
        <v>492</v>
      </c>
      <c r="B32" s="310" t="s">
        <v>493</v>
      </c>
      <c r="C32" s="294">
        <f>C21*C24%</f>
        <v>4.1334497539717612</v>
      </c>
      <c r="D32" s="297"/>
      <c r="E32" s="308" t="s">
        <v>489</v>
      </c>
      <c r="F32" s="311">
        <v>1.502</v>
      </c>
      <c r="G32" s="297"/>
      <c r="H32" s="201"/>
    </row>
    <row r="33" spans="1:10" ht="12.75" customHeight="1" x14ac:dyDescent="0.2">
      <c r="A33" s="280" t="s">
        <v>495</v>
      </c>
      <c r="B33" s="310" t="s">
        <v>542</v>
      </c>
      <c r="C33" s="294">
        <f>C13*C29%</f>
        <v>0.4973400364064412</v>
      </c>
      <c r="D33" s="297"/>
      <c r="E33" s="308" t="s">
        <v>491</v>
      </c>
      <c r="F33" s="311">
        <v>3</v>
      </c>
      <c r="G33" s="297"/>
      <c r="H33" s="201"/>
    </row>
    <row r="34" spans="1:10" x14ac:dyDescent="0.2">
      <c r="A34" s="426" t="s">
        <v>497</v>
      </c>
      <c r="B34" s="426"/>
      <c r="C34" s="294">
        <f>SUM(C32:C33)</f>
        <v>4.630789790378202</v>
      </c>
      <c r="D34" s="297"/>
      <c r="E34" s="308" t="s">
        <v>491</v>
      </c>
      <c r="F34" s="311">
        <v>7.5</v>
      </c>
      <c r="G34" s="283"/>
      <c r="H34" s="201"/>
    </row>
    <row r="35" spans="1:10" x14ac:dyDescent="0.2">
      <c r="A35" s="430" t="s">
        <v>499</v>
      </c>
      <c r="B35" s="430"/>
      <c r="C35" s="294">
        <f>(C21+C30+C24+C34)</f>
        <v>67.544932713408798</v>
      </c>
      <c r="D35" s="283"/>
      <c r="E35" s="308" t="s">
        <v>494</v>
      </c>
      <c r="F35" s="313">
        <v>24</v>
      </c>
      <c r="G35" s="297"/>
      <c r="H35" s="201"/>
    </row>
    <row r="36" spans="1:10" ht="12.75" hidden="1" customHeight="1" x14ac:dyDescent="0.2">
      <c r="A36" s="325"/>
      <c r="B36" s="325"/>
      <c r="C36" s="325"/>
      <c r="D36" s="283"/>
      <c r="E36" s="308"/>
      <c r="F36" s="311"/>
      <c r="G36" s="283"/>
      <c r="H36" s="201"/>
    </row>
    <row r="37" spans="1:10" x14ac:dyDescent="0.2">
      <c r="A37" s="432" t="s">
        <v>501</v>
      </c>
      <c r="B37" s="432"/>
      <c r="C37" s="432"/>
      <c r="E37" s="308" t="s">
        <v>498</v>
      </c>
      <c r="F37" s="311">
        <v>19.5</v>
      </c>
      <c r="G37" s="283"/>
      <c r="H37" s="201"/>
    </row>
    <row r="38" spans="1:10" x14ac:dyDescent="0.2">
      <c r="A38" s="314" t="s">
        <v>503</v>
      </c>
      <c r="B38" s="315" t="s">
        <v>504</v>
      </c>
      <c r="C38" s="305">
        <f>((F30*F31*6%)/F39)*100</f>
        <v>6</v>
      </c>
      <c r="E38" s="308" t="s">
        <v>500</v>
      </c>
      <c r="F38" s="311">
        <v>28.8</v>
      </c>
      <c r="G38" s="283"/>
      <c r="H38" s="201"/>
    </row>
    <row r="39" spans="1:10" x14ac:dyDescent="0.25">
      <c r="A39" s="314" t="s">
        <v>506</v>
      </c>
      <c r="B39" s="315" t="s">
        <v>507</v>
      </c>
      <c r="C39" s="305">
        <f>((F32*F35-F39/30*F35*1%)/F39)*100</f>
        <v>5.2080000000000002</v>
      </c>
      <c r="E39" s="308" t="s">
        <v>502</v>
      </c>
      <c r="F39" s="311">
        <v>600</v>
      </c>
      <c r="G39" s="316"/>
      <c r="H39" s="201"/>
    </row>
    <row r="40" spans="1:10" x14ac:dyDescent="0.25">
      <c r="A40" s="280" t="s">
        <v>508</v>
      </c>
      <c r="B40" s="301" t="s">
        <v>509</v>
      </c>
      <c r="C40" s="305">
        <f>((F34*F35*0.95)/F39)*100</f>
        <v>28.499999999999996</v>
      </c>
      <c r="E40" s="313" t="s">
        <v>505</v>
      </c>
      <c r="F40" s="313">
        <v>12</v>
      </c>
      <c r="H40" s="201"/>
    </row>
    <row r="41" spans="1:10" ht="12.75" customHeight="1" x14ac:dyDescent="0.25">
      <c r="A41" s="280" t="s">
        <v>510</v>
      </c>
      <c r="B41" s="301" t="s">
        <v>511</v>
      </c>
      <c r="C41" s="305">
        <f>(F37/F39)*100</f>
        <v>3.25</v>
      </c>
      <c r="E41" s="201"/>
      <c r="F41" s="201"/>
      <c r="H41" s="201"/>
    </row>
    <row r="42" spans="1:10" s="267" customFormat="1" ht="12.75" customHeight="1" x14ac:dyDescent="0.25">
      <c r="A42" s="280" t="s">
        <v>512</v>
      </c>
      <c r="B42" s="301" t="s">
        <v>513</v>
      </c>
      <c r="C42" s="305">
        <f>(F38/F39)*100</f>
        <v>4.8</v>
      </c>
      <c r="E42" s="317" t="s">
        <v>515</v>
      </c>
      <c r="F42" s="317"/>
      <c r="I42" s="201"/>
      <c r="J42" s="201"/>
    </row>
    <row r="43" spans="1:10" s="267" customFormat="1" ht="12.75" customHeight="1" x14ac:dyDescent="0.25">
      <c r="A43" s="280" t="s">
        <v>514</v>
      </c>
      <c r="B43" s="301" t="s">
        <v>505</v>
      </c>
      <c r="C43" s="305">
        <f>(F40/F39)*100</f>
        <v>2</v>
      </c>
      <c r="E43" s="317"/>
      <c r="F43" s="317"/>
      <c r="I43" s="201"/>
      <c r="J43" s="201"/>
    </row>
    <row r="44" spans="1:10" x14ac:dyDescent="0.25">
      <c r="A44" s="430" t="s">
        <v>516</v>
      </c>
      <c r="B44" s="430"/>
      <c r="C44" s="305">
        <f>SUM(C38:C42)</f>
        <v>47.757999999999996</v>
      </c>
      <c r="E44" s="318"/>
      <c r="F44" s="318"/>
    </row>
    <row r="45" spans="1:10" x14ac:dyDescent="0.25">
      <c r="A45" s="430" t="s">
        <v>517</v>
      </c>
      <c r="B45" s="430"/>
      <c r="C45" s="295">
        <f>C44+C35</f>
        <v>115.30293271340879</v>
      </c>
      <c r="E45" s="301" t="s">
        <v>518</v>
      </c>
      <c r="F45" s="319">
        <f>SUM(F46:F59)</f>
        <v>72807</v>
      </c>
    </row>
    <row r="46" spans="1:10" x14ac:dyDescent="0.25">
      <c r="A46" s="429"/>
      <c r="B46" s="429"/>
      <c r="C46" s="429"/>
      <c r="E46" s="301" t="s">
        <v>519</v>
      </c>
      <c r="F46" s="319">
        <v>882</v>
      </c>
    </row>
    <row r="47" spans="1:10" s="329" customFormat="1" x14ac:dyDescent="0.25">
      <c r="A47" s="318"/>
      <c r="B47" s="318"/>
      <c r="C47" s="318"/>
      <c r="D47" s="326"/>
      <c r="E47" s="327"/>
      <c r="F47" s="328"/>
      <c r="G47" s="326"/>
      <c r="H47" s="326"/>
    </row>
    <row r="48" spans="1:10" s="329" customFormat="1" x14ac:dyDescent="0.25">
      <c r="A48" s="318"/>
      <c r="B48" s="318"/>
      <c r="C48" s="318"/>
      <c r="D48" s="326"/>
      <c r="E48" s="327"/>
      <c r="F48" s="328"/>
      <c r="G48" s="326"/>
      <c r="H48" s="326"/>
    </row>
    <row r="49" spans="1:10" s="329" customFormat="1" x14ac:dyDescent="0.25">
      <c r="A49" s="318"/>
      <c r="B49" s="318"/>
      <c r="C49" s="318"/>
      <c r="D49" s="326"/>
      <c r="E49" s="327"/>
      <c r="F49" s="328"/>
      <c r="G49" s="326"/>
      <c r="H49" s="326"/>
    </row>
    <row r="50" spans="1:10" s="329" customFormat="1" x14ac:dyDescent="0.25">
      <c r="A50" s="318"/>
      <c r="B50" s="318"/>
      <c r="C50" s="318"/>
      <c r="D50" s="326"/>
      <c r="E50" s="327"/>
      <c r="F50" s="328"/>
      <c r="G50" s="326"/>
      <c r="H50" s="326"/>
    </row>
    <row r="51" spans="1:10" s="329" customFormat="1" x14ac:dyDescent="0.25">
      <c r="A51" s="318"/>
      <c r="B51" s="318"/>
      <c r="C51" s="318"/>
      <c r="D51" s="326"/>
      <c r="E51" s="327"/>
      <c r="F51" s="328"/>
      <c r="G51" s="326"/>
      <c r="H51" s="326"/>
    </row>
    <row r="52" spans="1:10" s="329" customFormat="1" x14ac:dyDescent="0.25">
      <c r="A52" s="318"/>
      <c r="B52" s="318"/>
      <c r="C52" s="318"/>
      <c r="D52" s="326"/>
      <c r="E52" s="327"/>
      <c r="F52" s="328"/>
      <c r="G52" s="326"/>
      <c r="H52" s="326"/>
    </row>
    <row r="53" spans="1:10" x14ac:dyDescent="0.25">
      <c r="E53" s="301" t="s">
        <v>520</v>
      </c>
      <c r="F53" s="319">
        <v>55380</v>
      </c>
    </row>
    <row r="54" spans="1:10" s="267" customFormat="1" ht="12.75" customHeight="1" x14ac:dyDescent="0.25">
      <c r="E54" s="301" t="s">
        <v>521</v>
      </c>
      <c r="F54" s="319">
        <v>7553</v>
      </c>
      <c r="I54" s="201"/>
      <c r="J54" s="201"/>
    </row>
    <row r="55" spans="1:10" s="267" customFormat="1" x14ac:dyDescent="0.25">
      <c r="E55" s="301" t="s">
        <v>522</v>
      </c>
      <c r="F55" s="319">
        <v>2241</v>
      </c>
      <c r="I55" s="201"/>
      <c r="J55" s="201"/>
    </row>
    <row r="56" spans="1:10" s="267" customFormat="1" x14ac:dyDescent="0.25">
      <c r="E56" s="301" t="s">
        <v>523</v>
      </c>
      <c r="F56" s="319">
        <v>6593</v>
      </c>
      <c r="I56" s="201"/>
      <c r="J56" s="201"/>
    </row>
    <row r="57" spans="1:10" s="267" customFormat="1" x14ac:dyDescent="0.25">
      <c r="E57" s="301" t="s">
        <v>524</v>
      </c>
      <c r="F57" s="319">
        <v>10</v>
      </c>
      <c r="I57" s="201"/>
      <c r="J57" s="201"/>
    </row>
    <row r="58" spans="1:10" s="267" customFormat="1" x14ac:dyDescent="0.25">
      <c r="E58" s="301" t="s">
        <v>525</v>
      </c>
      <c r="F58" s="319">
        <v>148</v>
      </c>
      <c r="I58" s="201"/>
      <c r="J58" s="201"/>
    </row>
    <row r="59" spans="1:10" s="267" customFormat="1" x14ac:dyDescent="0.25">
      <c r="E59" s="301" t="s">
        <v>526</v>
      </c>
      <c r="F59" s="319">
        <v>0</v>
      </c>
      <c r="I59" s="201"/>
      <c r="J59" s="201"/>
    </row>
    <row r="60" spans="1:10" s="267" customFormat="1" x14ac:dyDescent="0.25">
      <c r="E60" s="301" t="s">
        <v>527</v>
      </c>
      <c r="F60" s="319"/>
      <c r="I60" s="201"/>
      <c r="J60" s="201"/>
    </row>
    <row r="61" spans="1:10" s="267" customFormat="1" x14ac:dyDescent="0.25">
      <c r="E61" s="301" t="s">
        <v>528</v>
      </c>
      <c r="F61" s="319">
        <v>95230</v>
      </c>
      <c r="I61" s="201"/>
      <c r="J61" s="201"/>
    </row>
    <row r="62" spans="1:10" s="267" customFormat="1" x14ac:dyDescent="0.25">
      <c r="E62" s="301" t="s">
        <v>529</v>
      </c>
      <c r="F62" s="319">
        <v>102886</v>
      </c>
      <c r="I62" s="201"/>
      <c r="J62" s="201"/>
    </row>
    <row r="63" spans="1:10" s="267" customFormat="1" x14ac:dyDescent="0.25">
      <c r="E63" s="301" t="s">
        <v>530</v>
      </c>
      <c r="F63" s="319">
        <f>SUM(F61:F62)/COUNT(F61:F62)</f>
        <v>99058</v>
      </c>
      <c r="I63" s="201"/>
      <c r="J63" s="201"/>
    </row>
    <row r="64" spans="1:10" s="267" customFormat="1" ht="38.25" x14ac:dyDescent="0.25">
      <c r="E64" s="304" t="s">
        <v>531</v>
      </c>
      <c r="F64" s="319">
        <f>F45-(F54+F57+F58+F59)</f>
        <v>65096</v>
      </c>
      <c r="I64" s="201"/>
      <c r="J64" s="201"/>
    </row>
    <row r="65" spans="5:10" s="267" customFormat="1" ht="25.5" x14ac:dyDescent="0.25">
      <c r="E65" s="304" t="s">
        <v>532</v>
      </c>
      <c r="F65" s="319">
        <f>F45-(F57+F58+F59)</f>
        <v>72649</v>
      </c>
      <c r="I65" s="201"/>
      <c r="J65" s="201"/>
    </row>
    <row r="67" spans="5:10" s="267" customFormat="1" ht="25.5" x14ac:dyDescent="0.25">
      <c r="E67" s="304" t="s">
        <v>533</v>
      </c>
      <c r="F67" s="321">
        <f>(F64/F63)*1</f>
        <v>0.65715035635688179</v>
      </c>
      <c r="I67" s="201"/>
      <c r="J67" s="201"/>
    </row>
    <row r="68" spans="5:10" s="267" customFormat="1" x14ac:dyDescent="0.25">
      <c r="E68" s="304" t="s">
        <v>534</v>
      </c>
      <c r="F68" s="321">
        <f>(F65/F63)*1</f>
        <v>0.73339861495285585</v>
      </c>
      <c r="I68" s="201"/>
      <c r="J68" s="201"/>
    </row>
    <row r="69" spans="5:10" s="267" customFormat="1" x14ac:dyDescent="0.25">
      <c r="E69" s="304" t="s">
        <v>535</v>
      </c>
      <c r="F69" s="321">
        <f>(F54/F45)*1</f>
        <v>0.10374002499759638</v>
      </c>
      <c r="I69" s="201"/>
      <c r="J69" s="201"/>
    </row>
    <row r="70" spans="5:10" s="267" customFormat="1" x14ac:dyDescent="0.25">
      <c r="E70" s="304" t="s">
        <v>536</v>
      </c>
      <c r="F70" s="322">
        <f>12/F67</f>
        <v>18.260661177338086</v>
      </c>
      <c r="I70" s="201"/>
      <c r="J70" s="201"/>
    </row>
    <row r="71" spans="5:10" s="267" customFormat="1" x14ac:dyDescent="0.25">
      <c r="E71" s="301" t="s">
        <v>537</v>
      </c>
      <c r="F71" s="321">
        <f>(F53/F64)*1</f>
        <v>0.85074351726680597</v>
      </c>
      <c r="I71" s="201"/>
      <c r="J71" s="201"/>
    </row>
    <row r="72" spans="5:10" s="267" customFormat="1" x14ac:dyDescent="0.25">
      <c r="E72" s="323"/>
      <c r="F72" s="323"/>
      <c r="I72" s="201"/>
      <c r="J72" s="201"/>
    </row>
  </sheetData>
  <mergeCells count="17">
    <mergeCell ref="A35:B35"/>
    <mergeCell ref="A37:C37"/>
    <mergeCell ref="A44:B44"/>
    <mergeCell ref="A45:B45"/>
    <mergeCell ref="A46:C46"/>
    <mergeCell ref="A34:B34"/>
    <mergeCell ref="A1:D4"/>
    <mergeCell ref="A6:C6"/>
    <mergeCell ref="A7:C7"/>
    <mergeCell ref="A10:C10"/>
    <mergeCell ref="A11:B11"/>
    <mergeCell ref="A21:B21"/>
    <mergeCell ref="A22:C22"/>
    <mergeCell ref="A24:B24"/>
    <mergeCell ref="A25:C25"/>
    <mergeCell ref="A30:B30"/>
    <mergeCell ref="A31:C31"/>
  </mergeCells>
  <printOptions horizontalCentered="1"/>
  <pageMargins left="0.56999999999999995" right="0.34" top="0.98425196850393704" bottom="0.98425196850393704" header="0.51181102362204722" footer="0.51181102362204722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10</vt:i4>
      </vt:variant>
    </vt:vector>
  </HeadingPairs>
  <TitlesOfParts>
    <vt:vector size="18" baseType="lpstr">
      <vt:lpstr>Resumo</vt:lpstr>
      <vt:lpstr>Resumo Geral</vt:lpstr>
      <vt:lpstr>ORÇAMENTO</vt:lpstr>
      <vt:lpstr>Comp</vt:lpstr>
      <vt:lpstr>Cronograma</vt:lpstr>
      <vt:lpstr>BDI</vt:lpstr>
      <vt:lpstr>Enc. Soc. (Horista)</vt:lpstr>
      <vt:lpstr>Enc. Soc. (Mensalista)</vt:lpstr>
      <vt:lpstr>Comp!Area_de_impressao</vt:lpstr>
      <vt:lpstr>Cronograma!Area_de_impressao</vt:lpstr>
      <vt:lpstr>'Enc. Soc. (Horista)'!Area_de_impressao</vt:lpstr>
      <vt:lpstr>'Enc. Soc. (Mensalista)'!Area_de_impressao</vt:lpstr>
      <vt:lpstr>ORÇAMENTO!Area_de_impressao</vt:lpstr>
      <vt:lpstr>Resumo!Area_de_impressao</vt:lpstr>
      <vt:lpstr>'Resumo Geral'!Area_de_impressao</vt:lpstr>
      <vt:lpstr>Comp!Titulos_de_impressao</vt:lpstr>
      <vt:lpstr>Cronograma!Titulos_de_impressao</vt:lpstr>
      <vt:lpstr>'Resumo Geral'!Titulos_de_impressao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Osorio</cp:lastModifiedBy>
  <dcterms:created xsi:type="dcterms:W3CDTF">2015-12-11T14:28:19Z</dcterms:created>
  <dcterms:modified xsi:type="dcterms:W3CDTF">2015-12-16T05:16:18Z</dcterms:modified>
</cp:coreProperties>
</file>